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2675" windowHeight="10005" tabRatio="875" firstSheet="11"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state="hidden" r:id="rId8"/>
    <sheet name="定义" sheetId="10" state="hidden" r:id="rId9"/>
    <sheet name="常用公式" sheetId="69" state="hidden" r:id="rId10"/>
    <sheet name="项目基本情况" sheetId="4" r:id="rId11"/>
    <sheet name="数据-基础表" sheetId="3" r:id="rId12"/>
    <sheet name="数据-汇总表" sheetId="6" r:id="rId13"/>
    <sheet name="数据-取费表" sheetId="1" r:id="rId14"/>
    <sheet name="估价对象房地状况" sheetId="20" state="hidden" r:id="rId15"/>
    <sheet name="系统读取表" sheetId="66" r:id="rId16"/>
    <sheet name="结果表" sheetId="9" r:id="rId17"/>
    <sheet name="剩余法-待开发" sheetId="12" r:id="rId18"/>
    <sheet name="剩余法-现房" sheetId="43" state="hidden" r:id="rId19"/>
    <sheet name="比较法-住宅、综合" sheetId="39" state="hidden" r:id="rId20"/>
    <sheet name="比较法-工业" sheetId="40" r:id="rId21"/>
    <sheet name="基准地价" sheetId="46" state="hidden" r:id="rId22"/>
    <sheet name="修正" sheetId="49" state="hidden" r:id="rId23"/>
    <sheet name="区片价" sheetId="48" state="hidden" r:id="rId24"/>
    <sheet name="区片价-范围" sheetId="71" state="hidden" r:id="rId25"/>
    <sheet name="容积率修正" sheetId="45" state="hidden" r:id="rId26"/>
    <sheet name="因素修正幅度" sheetId="56" state="hidden" r:id="rId27"/>
    <sheet name="地价" sheetId="59" state="hidden" r:id="rId28"/>
    <sheet name="地价-分区" sheetId="70" state="hidden" r:id="rId29"/>
    <sheet name="基准地价（汇总）" sheetId="67" state="hidden" r:id="rId30"/>
    <sheet name="收益还原法" sheetId="44" state="hidden" r:id="rId31"/>
    <sheet name="不动产收益法" sheetId="15" r:id="rId32"/>
    <sheet name="不动产收益法-酒店模型" sheetId="68" state="hidden" r:id="rId33"/>
    <sheet name="成本逼近法" sheetId="11" state="hidden" r:id="rId34"/>
    <sheet name="不动产比较法-住宅" sheetId="21" state="hidden" r:id="rId35"/>
    <sheet name="不动产比较法-商业" sheetId="33" state="hidden" r:id="rId36"/>
    <sheet name="不动产比较法-办公" sheetId="34" state="hidden" r:id="rId37"/>
    <sheet name="不动产比较法-工业" sheetId="37" state="hidden" r:id="rId38"/>
    <sheet name="不动产比较法-车位" sheetId="35" state="hidden" r:id="rId39"/>
    <sheet name="不动产比较法-仓储" sheetId="36" state="hidden" r:id="rId40"/>
    <sheet name="典型户型修正" sheetId="31" state="hidden" r:id="rId41"/>
    <sheet name="存贷款利率" sheetId="65" state="hidden" r:id="rId42"/>
    <sheet name="土地案例" sheetId="72" r:id="rId43"/>
  </sheets>
  <externalReferences>
    <externalReference r:id="rId44"/>
    <externalReference r:id="rId45"/>
    <externalReference r:id="rId46"/>
  </externalReferences>
  <definedNames>
    <definedName name="_xlnm._FilterDatabase" localSheetId="20" hidden="1">'比较法-工业'!$A$1:$L$45</definedName>
    <definedName name="_xlnm._FilterDatabase" localSheetId="19"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34"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20">'比较法-工业'!$A$1:$K$62,'比较法-工业'!$A$65:$N$122</definedName>
    <definedName name="_xlnm.Print_Area" localSheetId="19">'比较法-住宅、综合'!$A$1:$K$66,'比较法-住宅、综合'!$A$70:$N$133</definedName>
    <definedName name="_xlnm.Print_Area" localSheetId="36">'不动产比较法-办公'!$A$1:$K$55,'不动产比较法-办公'!$A$58:$M$132</definedName>
    <definedName name="_xlnm.Print_Area" localSheetId="39">'不动产比较法-仓储'!$A$1:$K$42,'不动产比较法-仓储'!$A$45:$M$96</definedName>
    <definedName name="_xlnm.Print_Area" localSheetId="38">'不动产比较法-车位'!$A$1:$K$44,'不动产比较法-车位'!$A$47:$M$102</definedName>
    <definedName name="_xlnm.Print_Area" localSheetId="37">'不动产比较法-工业'!$A$1:$K$48,'不动产比较法-工业'!$A$51:$M$113</definedName>
    <definedName name="_xlnm.Print_Area" localSheetId="35">'不动产比较法-商业'!$A$1:$K$54,'不动产比较法-商业'!$A$57:$M$131</definedName>
    <definedName name="_xlnm.Print_Area" localSheetId="34">'不动产比较法-住宅'!$A$1:$K$54,'不动产比较法-住宅'!$A$57:$M$131</definedName>
    <definedName name="_xlnm.Print_Area" localSheetId="31">不动产收益法!$A$1:$F$43,不动产收益法!$H$3:$M$29,不动产收益法!$A$46:$F$70,不动产收益法!$I$46:$M$60</definedName>
    <definedName name="_xlnm.Print_Area" localSheetId="33">成本逼近法!$A$1:$G$23</definedName>
    <definedName name="_xlnm.Print_Area" localSheetId="14">估价对象房地状况!$A$1:$G$24</definedName>
    <definedName name="_xlnm.Print_Area" localSheetId="7">估价师及机构信息!$A$1:$F$23</definedName>
    <definedName name="_xlnm.Print_Area" localSheetId="21">基准地价!$A$1:$J$44,基准地价!$A$47:$N$103,基准地价!$R$1:$V$16</definedName>
    <definedName name="_xlnm.Print_Area" localSheetId="29">'基准地价（汇总）'!$A$1:$F$14</definedName>
    <definedName name="_xlnm.Print_Area" localSheetId="16">结果表!$A$1:$I$46,结果表!$K$25:$O$44,结果表!$A$62:$I$115,结果表!$K$64:$P$81</definedName>
    <definedName name="_xlnm.Print_Area" localSheetId="17">'剩余法-待开发'!$A$1:$K$36</definedName>
    <definedName name="_xlnm.Print_Area" localSheetId="18">'剩余法-现房'!$A$1:$K$27</definedName>
    <definedName name="_xlnm.Print_Area" localSheetId="30">收益还原法!$A$1:$F$46,收益还原法!$H$3:$M$31,收益还原法!$I$47:$M$61</definedName>
    <definedName name="_xlnm.Print_Area" localSheetId="12">'数据-汇总表'!$A$1:$P$32</definedName>
    <definedName name="_xlnm.Print_Area" localSheetId="15">系统读取表!$A$1:$J$26</definedName>
    <definedName name="_xlnm.Print_Area" localSheetId="10">项目基本情况!$A$1:$J$44</definedName>
    <definedName name="八级" localSheetId="42">[2]区片价!$P$1:$P$44</definedName>
    <definedName name="八级">区片价!$Q$1:$Q$44</definedName>
    <definedName name="办公层高" localSheetId="42">'[2]比较法-办公'!$B$119:$M$119</definedName>
    <definedName name="办公层高">'不动产比较法-办公'!$B$119:$M$119</definedName>
    <definedName name="办公朝向" localSheetId="42">'[2]比较法-办公'!$B$91:$M$91</definedName>
    <definedName name="办公朝向">'不动产比较法-办公'!$B$91:$M$91</definedName>
    <definedName name="办公道路级别" localSheetId="42">'[2]比较法-办公'!$B$87:$M$87</definedName>
    <definedName name="办公道路级别">'不动产比较法-办公'!$B$87:$M$87</definedName>
    <definedName name="办公公共部分装修" localSheetId="42">'[2]比较法-办公'!$B$108:$M$108</definedName>
    <definedName name="办公公共部分装修">'不动产比较法-办公'!$B$108:$M$108</definedName>
    <definedName name="办公基础设施水平" localSheetId="42">'[2]比较法-办公'!$B$117:$M$117</definedName>
    <definedName name="办公基础设施水平">'不动产比较法-办公'!$B$117:$M$117</definedName>
    <definedName name="办公集聚程度" localSheetId="42">[2]定义!$M$1:$M$6</definedName>
    <definedName name="办公集聚程度">定义!$M$1:$M$6</definedName>
    <definedName name="办公建筑结构" localSheetId="42">'[2]比较法-办公'!$B$106:$M$106</definedName>
    <definedName name="办公建筑结构">'不动产比较法-办公'!$B$106:$M$106</definedName>
    <definedName name="办公建筑类型" localSheetId="42">'[2]比较法-办公'!$B$101:$M$101</definedName>
    <definedName name="办公建筑类型">'不动产比较法-办公'!$B$101:$M$101</definedName>
    <definedName name="办公交易情况" localSheetId="42">'[2]比较法-办公'!$A$62:$M$62</definedName>
    <definedName name="办公交易情况">'不动产比较法-办公'!$A$62:$M$62</definedName>
    <definedName name="办公楼层" localSheetId="42">'[2]比较法-办公'!$B$89:$M$89</definedName>
    <definedName name="办公楼层">'不动产比较法-办公'!$B$89:$M$89</definedName>
    <definedName name="办公内部装修" localSheetId="42">'[2]比较法-办公'!$B$123:$M$123</definedName>
    <definedName name="办公内部装修">'不动产比较法-办公'!$B$123:$M$123</definedName>
    <definedName name="办公物业管理" localSheetId="42">'[2]比较法-办公'!$B$115:$M$115</definedName>
    <definedName name="办公物业管理">'不动产比较法-办公'!$B$115:$M$115</definedName>
    <definedName name="办公用途" localSheetId="42">'[2]比较法-办公'!$B$64:$M$64</definedName>
    <definedName name="办公用途">'不动产比较法-办公'!$B$64:$M$64</definedName>
    <definedName name="仓储公共部分装修" localSheetId="42">'[2]比较法-仓储'!$B$77:$M$77</definedName>
    <definedName name="仓储公共部分装修">'不动产比较法-仓储'!$B$77:$M$77</definedName>
    <definedName name="仓储交易情况" localSheetId="42">'[2]比较法-仓储'!$A$49:$M$49</definedName>
    <definedName name="仓储交易情况">'不动产比较法-仓储'!$A$49:$M$49</definedName>
    <definedName name="仓储楼层" localSheetId="42">'[2]比较法-仓储'!$B$69:$M$69</definedName>
    <definedName name="仓储楼层">'不动产比较法-仓储'!$B$69:$M$69</definedName>
    <definedName name="仓储物业等级" localSheetId="42">'[2]比较法-仓储'!$B$82:$M$82</definedName>
    <definedName name="仓储物业等级">'不动产比较法-仓储'!$B$82:$M$82</definedName>
    <definedName name="仓储用途" localSheetId="42">'[2]比较法-仓储'!$B$51:$M$51</definedName>
    <definedName name="仓储用途">'不动产比较法-仓储'!$B$51:$M$51</definedName>
    <definedName name="产业集聚程度" localSheetId="42">[2]定义!$N$1:$N$6</definedName>
    <definedName name="产业集聚程度">定义!$N$1:$N$6</definedName>
    <definedName name="车位公共部分装修" localSheetId="42">'[2]比较法-车位'!$B$83:$M$83</definedName>
    <definedName name="车位公共部分装修">'不动产比较法-车位'!$B$83:$M$83</definedName>
    <definedName name="车位交易情况" localSheetId="42">'[2]比较法-车位'!$A$51:$M$51</definedName>
    <definedName name="车位交易情况">'不动产比较法-车位'!$A$51:$M$51</definedName>
    <definedName name="车位类型" localSheetId="42">'[2]比较法-车位'!$B$93:$M$93</definedName>
    <definedName name="车位类型">'不动产比较法-车位'!$B$93:$M$93</definedName>
    <definedName name="车位楼层" localSheetId="42">'[2]比较法-车位'!$B$71:$M$71</definedName>
    <definedName name="车位楼层">'不动产比较法-车位'!$B$71:$M$71</definedName>
    <definedName name="车位配套类型" localSheetId="42">'[2]比较法-车位'!$B$79:$M$79</definedName>
    <definedName name="车位配套类型">'不动产比较法-车位'!$B$79:$M$79</definedName>
    <definedName name="车位物业等级" localSheetId="42">'[2]比较法-车位'!$B$88:$M$88</definedName>
    <definedName name="车位物业等级">'不动产比较法-车位'!$B$88:$M$88</definedName>
    <definedName name="车位用途" localSheetId="42">'[2]比较法-车位'!$B$53:$M$53</definedName>
    <definedName name="车位用途">'不动产比较法-车位'!$B$53:$M$53</definedName>
    <definedName name="城镇土地纳税等级分级范围" localSheetId="42">'[2]数据-取费表'!$A$53:$A$63</definedName>
    <definedName name="城镇土地纳税等级分级范围">'数据-取费表'!$A$53:$A$63</definedName>
    <definedName name="单价内涵" localSheetId="42">[2]定义!$V$1:$V$3</definedName>
    <definedName name="单价内涵">定义!$V$1:$V$3</definedName>
    <definedName name="地类判定" localSheetId="42">[2]定义!$H$1:$H$9</definedName>
    <definedName name="地类判定">定义!$H$1:$H$9</definedName>
    <definedName name="二级" localSheetId="42">[2]区片价!$J$1:$J$21</definedName>
    <definedName name="二级">区片价!$K$1:$K$21</definedName>
    <definedName name="二级分类" localSheetId="42">[2]修正!$C$19:$C$51</definedName>
    <definedName name="二级分类">修正!$C$19:$C$51</definedName>
    <definedName name="法定最高年限" localSheetId="42">[2]定义!$G$1:$G$6</definedName>
    <definedName name="法定最高年限">定义!$G$2:$G$5</definedName>
    <definedName name="工业公共部分装修" localSheetId="42">'[2]比较法-工业'!$B$95:$M$95</definedName>
    <definedName name="工业公共部分装修">'不动产比较法-工业'!$B$95:$M$95</definedName>
    <definedName name="工业基础设施水平" localSheetId="42">'[2]比较法-工业'!$B$102:$M$102</definedName>
    <definedName name="工业基础设施水平">'不动产比较法-工业'!$B$102:$M$102</definedName>
    <definedName name="工业建筑结构" localSheetId="42">'[2]比较法-工业'!$B$93:$M$93</definedName>
    <definedName name="工业建筑结构">'不动产比较法-工业'!$B$93:$M$93</definedName>
    <definedName name="工业建筑类型" localSheetId="42">'[2]比较法-工业'!$B$88:$M$88</definedName>
    <definedName name="工业建筑类型">'不动产比较法-工业'!$B$88:$M$88</definedName>
    <definedName name="工业交易情况" localSheetId="42">'[2]比较法-工业'!$A$55:$M$55</definedName>
    <definedName name="工业交易情况">'不动产比较法-工业'!$A$55:$M$55</definedName>
    <definedName name="工业内部装修" localSheetId="42">'[2]比较法-工业'!$B$104:$M$104</definedName>
    <definedName name="工业内部装修">'不动产比较法-工业'!$B$104:$M$104</definedName>
    <definedName name="工业物业管理" localSheetId="42">'[2]比较法-工业'!$B$100:$M$100</definedName>
    <definedName name="工业物业管理">'不动产比较法-工业'!$B$100:$M$100</definedName>
    <definedName name="工业用途" localSheetId="42">'[2]比较法-工业'!$B$57:$M$57</definedName>
    <definedName name="工业用途">'不动产比较法-工业'!$B$57:$M$57</definedName>
    <definedName name="公共配套设施" localSheetId="42">[2]定义!$Q$1:$Q$6</definedName>
    <definedName name="公共配套设施">定义!$Q$1:$Q$6</definedName>
    <definedName name="估价范围判定" localSheetId="42">[2]定义!$D$1:$D$4</definedName>
    <definedName name="估价范围判定">定义!$D$1:$D$4</definedName>
    <definedName name="估价方法" localSheetId="42">[2]定义!$B$1:$B$50</definedName>
    <definedName name="估价方法">定义!$B$1:$B$50</definedName>
    <definedName name="环境" localSheetId="42">[2]定义!$S$1:$S$6</definedName>
    <definedName name="环境">定义!$S$1:$S$6</definedName>
    <definedName name="基础设施水平" localSheetId="42">[2]定义!$R$1:$R$6</definedName>
    <definedName name="基础设施水平">定义!$R$1:$R$6</definedName>
    <definedName name="季度" localSheetId="42">[2]基准地价修正!$Q$19:$AD$19</definedName>
    <definedName name="季度">基准地价!$N$19:$AB$19</definedName>
    <definedName name="季度2014">地价!$A$2:$A$41</definedName>
    <definedName name="价值类型2" localSheetId="42">[2]定义!$B$54:$B$56</definedName>
    <definedName name="价值类型2">定义!$B$54:$B$56</definedName>
    <definedName name="交通便捷度" localSheetId="42">[2]定义!$O$1:$O$6</definedName>
    <definedName name="交通便捷度">定义!$O$1:$O$6</definedName>
    <definedName name="九级" localSheetId="42">[2]区片价!$Q$1:$Q$51</definedName>
    <definedName name="九级">区片价!$R$1:$R$51</definedName>
    <definedName name="居住社区成熟度" localSheetId="42">[2]定义!$K$1:$K$6</definedName>
    <definedName name="居住社区成熟度">定义!$K$1:$K$6</definedName>
    <definedName name="类别" localSheetId="42">[2]定义!$J$1:$J$3</definedName>
    <definedName name="类别">定义!$J$1:$J$3</definedName>
    <definedName name="临街状况" localSheetId="42">[2]定义!$T$1:$T$5</definedName>
    <definedName name="临街状况">定义!$T$1:$T$5</definedName>
    <definedName name="六级" localSheetId="42">[2]区片价!$N$1:$N$64</definedName>
    <definedName name="六级">区片价!$O$1:$O$64</definedName>
    <definedName name="内部装修维护情况" localSheetId="42">[2]定义!$U$1:$U$6</definedName>
    <definedName name="内部装修维护情况">定义!$U$1:$U$6</definedName>
    <definedName name="七级" localSheetId="42">[2]区片价!$O$1:$O$45</definedName>
    <definedName name="七级">区片价!$P$1:$P$45</definedName>
    <definedName name="七通一平" localSheetId="42">[2]修正!$A$8:$A$16</definedName>
    <definedName name="七通一平">修正!$A$8:$A$16</definedName>
    <definedName name="区域土地利用方向" localSheetId="42">[2]定义!$P$1:$P$6</definedName>
    <definedName name="区域土地利用方向">定义!$P$1:$P$6</definedName>
    <definedName name="三级" localSheetId="42">[2]区片价!$K$1:$K$26</definedName>
    <definedName name="三级">区片价!$L$1:$L$26</definedName>
    <definedName name="商业层高" localSheetId="42">'[2]比较法-商业'!$B$116:$M$116</definedName>
    <definedName name="商业层高">'不动产比较法-商业'!$B$116:$M$116</definedName>
    <definedName name="商业成新度" localSheetId="42">'[2]比较法-商业'!$B$109:$M$109</definedName>
    <definedName name="商业成新度">'不动产比较法-商业'!$B$109:$M$109</definedName>
    <definedName name="商业繁华度" localSheetId="42">[2]定义!$L$1:$L$6</definedName>
    <definedName name="商业繁华度">定义!$L$1:$L$6</definedName>
    <definedName name="商业公共部分装修" localSheetId="42">'[2]比较法-商业'!$B$107:$M$107</definedName>
    <definedName name="商业公共部分装修">'不动产比较法-商业'!$B$107:$M$107</definedName>
    <definedName name="商业基础设施水平" localSheetId="42">'[2]比较法-商业'!$B$112:$M$112</definedName>
    <definedName name="商业基础设施水平">'不动产比较法-商业'!$B$112:$M$112</definedName>
    <definedName name="商业建筑结构" localSheetId="42">'[2]比较法-商业'!$B$105:$M$105</definedName>
    <definedName name="商业建筑结构">'不动产比较法-商业'!$B$105:$M$105</definedName>
    <definedName name="商业交易情况" localSheetId="42">'[2]比较法-商业'!$A$61:$M$61</definedName>
    <definedName name="商业交易情况">'不动产比较法-商业'!$A$61:$M$61</definedName>
    <definedName name="商业街名称" localSheetId="42">[2]修正!$C$71:$C$138</definedName>
    <definedName name="商业街名称">修正!$C$71:$C$139</definedName>
    <definedName name="商业进深比" localSheetId="42">'[2]比较法-商业'!$B$120:$M$120</definedName>
    <definedName name="商业进深比">'不动产比较法-商业'!$B$120:$M$120</definedName>
    <definedName name="商业类型" localSheetId="42">'[2]比较法-商业'!$B$100:$M$100</definedName>
    <definedName name="商业类型">'不动产比较法-商业'!$B$100:$M$100</definedName>
    <definedName name="商业临街状况" localSheetId="42">'[2]比较法-商业'!$B$86:$M$86</definedName>
    <definedName name="商业临街状况">'不动产比较法-商业'!$B$86:$M$86</definedName>
    <definedName name="商业楼层" localSheetId="42">'[2]比较法-商业'!$B$92:$M$92</definedName>
    <definedName name="商业楼层">'不动产比较法-商业'!$B$92:$M$92</definedName>
    <definedName name="商业内部装修" localSheetId="42">'[2]比较法-商业'!$B$122:$M$122</definedName>
    <definedName name="商业内部装修">'不动产比较法-商业'!$B$122:$M$122</definedName>
    <definedName name="商业人流量" localSheetId="42">'[2]比较法-商业'!$B$90:$M$90</definedName>
    <definedName name="商业人流量">'不动产比较法-商业'!$B$90:$M$90</definedName>
    <definedName name="商业业态" localSheetId="42">'[2]比较法-商业'!$B$114:$M$114</definedName>
    <definedName name="商业业态">'不动产比较法-商业'!$B$114:$M$114</definedName>
    <definedName name="商业用途" localSheetId="42">'[2]比较法-商业'!$B$63:$M$63</definedName>
    <definedName name="商业用途">'不动产比较法-商业'!$B$63:$M$63</definedName>
    <definedName name="十二级" localSheetId="42">[2]区片价!$T$1:$T$8</definedName>
    <definedName name="十二级">区片价!$U$1:$U$8</definedName>
    <definedName name="十级" localSheetId="42">[2]区片价!$R$1:$R$32</definedName>
    <definedName name="十级">区片价!$S$1:$S$32</definedName>
    <definedName name="十一级" localSheetId="42">[2]区片价!$S$1:$S$21</definedName>
    <definedName name="十一级">区片价!$T$1:$T$21</definedName>
    <definedName name="是否封闭" localSheetId="42">'[2]比较法-仓储'!$B$89:$M$89</definedName>
    <definedName name="是否封闭">'不动产比较法-仓储'!$B$89:$M$89</definedName>
    <definedName name="是否直接入户" localSheetId="42">'[2]比较法-车位'!$B$95:$M$95</definedName>
    <definedName name="是否直接入户">'不动产比较法-车位'!$B$95:$M$95</definedName>
    <definedName name="四级" localSheetId="42">[2]区片价!$L$1:$L$33</definedName>
    <definedName name="四级">区片价!$M$1:$M$33</definedName>
    <definedName name="套工道路等级">'[2]土地比较法-工业'!$B$97:$M$97</definedName>
    <definedName name="套工地质条件">'[2]土地比较法-工业'!$B$114:$M$114</definedName>
    <definedName name="套工工程地质条件">'比较法-工业'!$B$115:$M$115</definedName>
    <definedName name="套工交易情况" localSheetId="42">'[2]土地比较法-住宅、综合'!$A$72:$M$72</definedName>
    <definedName name="套工交易情况">'比较法-住宅、综合'!$A$74:$M$74</definedName>
    <definedName name="套工开发程度">'比较法-工业'!$B$113:$M$113</definedName>
    <definedName name="套工临街等级">'比较法-工业'!$B$98:$M$98</definedName>
    <definedName name="套工土地级别" localSheetId="42">'[2]土地比较法-工业'!$B$99:$M$99</definedName>
    <definedName name="套工土地级别">'比较法-工业'!$B$100:$M$100</definedName>
    <definedName name="套工用途" localSheetId="42">'[2]土地比较法-工业'!$B$70:$M$70</definedName>
    <definedName name="套工用途">'比较法-工业'!$B$71:$M$71</definedName>
    <definedName name="套工宗地开发程度">'[2]土地比较法-工业'!$B$112:$M$112</definedName>
    <definedName name="套工宗地形状" localSheetId="42">'[2]土地比较法-工业'!$B$110:$M$110</definedName>
    <definedName name="套工宗地形状">'比较法-工业'!$B$111:$M$111</definedName>
    <definedName name="套综道路等级" localSheetId="42">'[2]土地比较法-住宅、综合'!$B$105:$M$105</definedName>
    <definedName name="套综道路等级">'比较法-住宅、综合'!$B$107:$M$107</definedName>
    <definedName name="套综工程地质条件" localSheetId="42">'[2]土地比较法-住宅、综合'!$B$124:$M$124</definedName>
    <definedName name="套综工程地质条件">'比较法-住宅、综合'!$B$126:$M$126</definedName>
    <definedName name="套综交易情况" localSheetId="42">'[2]土地比较法-住宅、综合'!$A$72:$M$72</definedName>
    <definedName name="套综交易情况">'比较法-住宅、综合'!$A$74:$M$74</definedName>
    <definedName name="套综临街宽度及深度" localSheetId="42">'[2]土地比较法-住宅、综合'!$B$120:$M$120</definedName>
    <definedName name="套综临街宽度及深度">'比较法-住宅、综合'!$B$122:$M$122</definedName>
    <definedName name="套综土地级别" localSheetId="42">'[2]土地比较法-住宅、综合'!$B$107:$M$107</definedName>
    <definedName name="套综土地级别">'比较法-住宅、综合'!$B$109:$M$109</definedName>
    <definedName name="套综用途" localSheetId="42">'[2]土地比较法-住宅、综合'!$B$74:$M$74</definedName>
    <definedName name="套综用途">'比较法-住宅、综合'!$B$76:$M$76</definedName>
    <definedName name="套综宗地内开发程度" localSheetId="42">'[2]土地比较法-住宅、综合'!$B$122:$M$122</definedName>
    <definedName name="套综宗地内开发程度">'比较法-住宅、综合'!$B$124:$M$124</definedName>
    <definedName name="套综宗地形状" localSheetId="42">'[2]土地比较法-住宅、综合'!$B$118:$M$118</definedName>
    <definedName name="套综宗地形状">'比较法-住宅、综合'!$B$120:$M$120</definedName>
    <definedName name="土地估价师" localSheetId="42">[2]估价师及机构信息!$D$3:$D$24</definedName>
    <definedName name="土地估价师">估价师及机构信息!$D$3:$D$17</definedName>
    <definedName name="土地级别" localSheetId="42">[2]定义!$C$1:$C$14</definedName>
    <definedName name="土地级别">定义!$C$1:$C$14</definedName>
    <definedName name="土地利用方向" localSheetId="42">[2]定义!$P$1:$P$6</definedName>
    <definedName name="土地利用方向">定义!$P$1:$P$6</definedName>
    <definedName name="土地年限区间" localSheetId="42">[2]定义!$I$1:$I$16</definedName>
    <definedName name="土地年限区间">定义!$I$1:$I$16</definedName>
    <definedName name="位置" localSheetId="42">[2]定义!$E$2:$E$4</definedName>
    <definedName name="位置">定义!$E$2:$E$4</definedName>
    <definedName name="五等判定" localSheetId="42">[2]定义!$W$1:$W$6</definedName>
    <definedName name="五等判定">定义!$W$1:$W$6</definedName>
    <definedName name="五级" localSheetId="42">[2]区片价!$M$1:$M$41</definedName>
    <definedName name="五级">区片价!$N$1:$N$41</definedName>
    <definedName name="项目类型" localSheetId="32">'[1]数据-汇总表'!$C$17:$C$26</definedName>
    <definedName name="项目类型" localSheetId="42">'[2]数据-汇总表'!$C$17:$C$26</definedName>
    <definedName name="项目类型">'数据-汇总表'!$C$17:$C$26</definedName>
    <definedName name="写字楼等级" localSheetId="42">'[2]比较法-办公'!$B$113:$M$113</definedName>
    <definedName name="写字楼等级">'不动产比较法-办公'!$B$113:$M$113</definedName>
    <definedName name="一级" localSheetId="42">[2]区片价!$I$1:$I$6</definedName>
    <definedName name="一级">区片价!$J$1:$J$6</definedName>
    <definedName name="一修多修正项2" localSheetId="42">[2]典型户型修正!$5:$5</definedName>
    <definedName name="一修多修正项2">典型户型修正!$5:$5</definedName>
    <definedName name="一修多修正项3" localSheetId="42">[2]典型户型修正!$7:$7</definedName>
    <definedName name="一修多修正项3">典型户型修正!$7:$7</definedName>
    <definedName name="一修多修正项4" localSheetId="42">[2]典型户型修正!$9:$9</definedName>
    <definedName name="一修多修正项4">典型户型修正!$9:$9</definedName>
    <definedName name="一修多修正项5" localSheetId="42">[2]典型户型修正!$11:$11</definedName>
    <definedName name="一修多修正项5">典型户型修正!$11:$11</definedName>
    <definedName name="一修多修正项6" localSheetId="42">[2]典型户型修正!$13:$13</definedName>
    <definedName name="一修多修正项6">典型户型修正!$13:$13</definedName>
    <definedName name="一修多修正项7" localSheetId="42">[2]典型户型修正!$15:$15</definedName>
    <definedName name="一修多修正项7">典型户型修正!$15:$15</definedName>
    <definedName name="一修多修正项8" localSheetId="42">[2]典型户型修正!$17:$17</definedName>
    <definedName name="一修多修正项8">典型户型修正!$17:$17</definedName>
    <definedName name="用途类型">定义!$A$1:$A$50</definedName>
    <definedName name="用途明细">[2]定义!$A$1:$A$50</definedName>
    <definedName name="有无电梯" localSheetId="42">'[2]比较法-仓储'!$B$84:$M$84</definedName>
    <definedName name="有无电梯">'不动产比较法-仓储'!$B$84:$M$84</definedName>
    <definedName name="主用途" localSheetId="42">[2]定义!$F$1:$F$12</definedName>
    <definedName name="主用途">定义!$F$1:$F$12</definedName>
    <definedName name="住宅朝向" localSheetId="42">'[2]比较法-住宅'!$B$88:$M$88</definedName>
    <definedName name="住宅朝向">'不动产比较法-住宅'!$B$88:$M$88</definedName>
    <definedName name="住宅房型" localSheetId="42">'[2]比较法-住宅'!$B$118:$M$118</definedName>
    <definedName name="住宅房型">'不动产比较法-住宅'!$B$118:$M$118</definedName>
    <definedName name="住宅公共部分装修" localSheetId="42">'[2]比较法-住宅'!$B$109:$M$109</definedName>
    <definedName name="住宅公共部分装修">'不动产比较法-住宅'!$B$109:$M$109</definedName>
    <definedName name="住宅基础设施水平" localSheetId="42">'[2]比较法-住宅'!$B$116:$M$116</definedName>
    <definedName name="住宅基础设施水平">'不动产比较法-住宅'!$B$116:$M$116</definedName>
    <definedName name="住宅建筑结构" localSheetId="42">'[2]比较法-住宅'!$B$105:$M$105</definedName>
    <definedName name="住宅建筑结构">'不动产比较法-住宅'!$B$105:$M$105</definedName>
    <definedName name="住宅建筑类型" localSheetId="42">'[2]比较法-住宅'!$B$100:$M$100</definedName>
    <definedName name="住宅建筑类型">'不动产比较法-住宅'!$B$100:$M$100</definedName>
    <definedName name="住宅建筑品质" localSheetId="42">'[2]比较法-住宅'!$B$107:$M$107</definedName>
    <definedName name="住宅建筑品质">'不动产比较法-住宅'!$B$107:$M$107</definedName>
    <definedName name="住宅交易情况" localSheetId="42">'[2]比较法-住宅'!$A$61:$M$61</definedName>
    <definedName name="住宅交易情况">'不动产比较法-住宅'!$A$61:$M$61</definedName>
    <definedName name="住宅楼层" localSheetId="42">'[2]比较法-住宅'!$B$86:$M$86</definedName>
    <definedName name="住宅楼层">'不动产比较法-住宅'!$B$86:$M$86</definedName>
    <definedName name="住宅内部装修" localSheetId="42">'[2]比较法-住宅'!$B$122:$M$122</definedName>
    <definedName name="住宅内部装修">'不动产比较法-住宅'!$B$122:$M$122</definedName>
    <definedName name="住宅物业管理" localSheetId="42">'[2]比较法-住宅'!$B$114:$M$114</definedName>
    <definedName name="住宅物业管理">'不动产比较法-住宅'!$B$114:$M$114</definedName>
    <definedName name="住宅用途" localSheetId="42">'[2]比较法-住宅'!$B$63:$M$63</definedName>
    <definedName name="住宅用途">'不动产比较法-住宅'!$B$63:$M$63</definedName>
    <definedName name="住宅主力户型面积" localSheetId="42">'[2]比较法-住宅'!$B$120:$M$120</definedName>
    <definedName name="住宅主力户型面积">'不动产比较法-住宅'!$B$120:$M$120</definedName>
    <definedName name="注册房地产估价师" localSheetId="42">[2]估价师及机构信息!$A$3:$A$16</definedName>
    <definedName name="注册房地产估价师">估价师及机构信息!$A$3:$A$17</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18" i="65" l="1"/>
  <c r="F18" i="65"/>
  <c r="E18" i="65"/>
  <c r="G17" i="65"/>
  <c r="F17" i="65"/>
  <c r="E17" i="65"/>
  <c r="G16" i="65"/>
  <c r="F16" i="65"/>
  <c r="E16" i="65"/>
  <c r="G14" i="65"/>
  <c r="F14" i="65"/>
  <c r="E14" i="65"/>
  <c r="G13" i="65"/>
  <c r="F13" i="65"/>
  <c r="E13" i="65"/>
  <c r="C3" i="65"/>
  <c r="N1" i="65"/>
  <c r="H1" i="65"/>
  <c r="C1" i="65"/>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B21" i="31"/>
  <c r="A21" i="31"/>
  <c r="B20"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3" i="37"/>
  <c r="B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3" i="34"/>
  <c r="B2"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3" i="33"/>
  <c r="B2"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3" i="21"/>
  <c r="B2" i="21"/>
  <c r="F22" i="11"/>
  <c r="C18" i="11"/>
  <c r="G17" i="11"/>
  <c r="C16" i="11"/>
  <c r="C15" i="11"/>
  <c r="C14" i="11"/>
  <c r="E13" i="11"/>
  <c r="D13" i="11"/>
  <c r="C13" i="11"/>
  <c r="E12" i="11"/>
  <c r="D12" i="11"/>
  <c r="C12" i="11"/>
  <c r="C11" i="11"/>
  <c r="C10" i="11"/>
  <c r="C9" i="11"/>
  <c r="C8" i="11"/>
  <c r="C7" i="11"/>
  <c r="R43" i="68"/>
  <c r="R41" i="68"/>
  <c r="C41" i="68"/>
  <c r="R40" i="68"/>
  <c r="C40" i="68"/>
  <c r="E39" i="68"/>
  <c r="D39" i="68"/>
  <c r="C39" i="68"/>
  <c r="E38" i="68"/>
  <c r="D38" i="68"/>
  <c r="C38" i="68"/>
  <c r="F36" i="68"/>
  <c r="R35" i="68"/>
  <c r="U34" i="68"/>
  <c r="R34" i="68"/>
  <c r="R33" i="68"/>
  <c r="E32" i="68"/>
  <c r="D32" i="68"/>
  <c r="C32" i="68"/>
  <c r="C30" i="68"/>
  <c r="E29" i="68"/>
  <c r="D29" i="68"/>
  <c r="C29" i="68"/>
  <c r="R27" i="68"/>
  <c r="C27" i="68"/>
  <c r="E26" i="68"/>
  <c r="D26" i="68"/>
  <c r="C26" i="68"/>
  <c r="R25" i="68"/>
  <c r="R24" i="68"/>
  <c r="M24" i="68"/>
  <c r="R23" i="68"/>
  <c r="E23" i="68"/>
  <c r="D23" i="68"/>
  <c r="C23" i="68"/>
  <c r="R22" i="68"/>
  <c r="R21" i="68"/>
  <c r="R19" i="68"/>
  <c r="N19" i="68"/>
  <c r="R18" i="68"/>
  <c r="D18" i="68"/>
  <c r="R17" i="68"/>
  <c r="D17" i="68"/>
  <c r="R16" i="68"/>
  <c r="D16" i="68"/>
  <c r="D15" i="68"/>
  <c r="R14" i="68"/>
  <c r="N14" i="68"/>
  <c r="M14" i="68"/>
  <c r="D14" i="68"/>
  <c r="R13" i="68"/>
  <c r="R12" i="68"/>
  <c r="D12" i="68"/>
  <c r="R11" i="68"/>
  <c r="E11" i="68"/>
  <c r="D11" i="68"/>
  <c r="R10" i="68"/>
  <c r="D10" i="68"/>
  <c r="R9" i="68"/>
  <c r="D9" i="68"/>
  <c r="R8" i="68"/>
  <c r="R7" i="68"/>
  <c r="E7" i="68"/>
  <c r="D7" i="68"/>
  <c r="U5" i="68"/>
  <c r="R5" i="68"/>
  <c r="R4" i="68"/>
  <c r="R3" i="68"/>
  <c r="B3" i="68"/>
  <c r="B2" i="68"/>
  <c r="P75" i="15"/>
  <c r="Q73" i="15"/>
  <c r="P62" i="15"/>
  <c r="F61" i="15"/>
  <c r="Q60" i="15"/>
  <c r="F60" i="15"/>
  <c r="D60" i="15"/>
  <c r="Q59" i="15"/>
  <c r="K59" i="15"/>
  <c r="F59" i="15"/>
  <c r="F58" i="15"/>
  <c r="Q52" i="15"/>
  <c r="J51" i="15"/>
  <c r="J50" i="15"/>
  <c r="M47" i="15"/>
  <c r="L46" i="15"/>
  <c r="F34" i="15"/>
  <c r="F33" i="15"/>
  <c r="F32" i="15"/>
  <c r="F31" i="15"/>
  <c r="F28" i="15"/>
  <c r="C28" i="15"/>
  <c r="F23" i="15"/>
  <c r="D23" i="15" s="1"/>
  <c r="F21" i="15"/>
  <c r="M20" i="15"/>
  <c r="F20" i="15"/>
  <c r="M19" i="15"/>
  <c r="M18" i="15"/>
  <c r="F18" i="15"/>
  <c r="M17" i="15"/>
  <c r="F17" i="15"/>
  <c r="F15" i="15"/>
  <c r="G1" i="15"/>
  <c r="Q74" i="44"/>
  <c r="Q61" i="44"/>
  <c r="Q60" i="44"/>
  <c r="Q53" i="44"/>
  <c r="J52" i="44"/>
  <c r="J51" i="44"/>
  <c r="M48" i="44"/>
  <c r="F36" i="44"/>
  <c r="F35" i="44"/>
  <c r="F34" i="44"/>
  <c r="F33" i="44"/>
  <c r="F30" i="44"/>
  <c r="C30" i="44"/>
  <c r="F25" i="44"/>
  <c r="D24" i="44" s="1"/>
  <c r="F23" i="44"/>
  <c r="M22" i="44"/>
  <c r="F22" i="44"/>
  <c r="M21" i="44"/>
  <c r="M20" i="44"/>
  <c r="F20" i="44"/>
  <c r="M19" i="44"/>
  <c r="F19" i="44"/>
  <c r="F17" i="44"/>
  <c r="G1" i="44"/>
  <c r="AD40" i="70"/>
  <c r="AB40" i="70"/>
  <c r="AA40" i="70"/>
  <c r="Z40" i="70"/>
  <c r="W40" i="70"/>
  <c r="P40" i="70"/>
  <c r="N40" i="70"/>
  <c r="M40" i="70"/>
  <c r="L40" i="70"/>
  <c r="I40" i="70"/>
  <c r="AD39" i="70"/>
  <c r="AB39" i="70"/>
  <c r="AA39" i="70"/>
  <c r="Z39" i="70"/>
  <c r="W39" i="70"/>
  <c r="U39" i="70"/>
  <c r="T39" i="70"/>
  <c r="S39" i="70"/>
  <c r="P39" i="70"/>
  <c r="N39" i="70"/>
  <c r="M39" i="70"/>
  <c r="L39" i="70"/>
  <c r="I39" i="70"/>
  <c r="AD38" i="70"/>
  <c r="AB38" i="70"/>
  <c r="AA38" i="70"/>
  <c r="Z38" i="70"/>
  <c r="W38" i="70"/>
  <c r="U38" i="70"/>
  <c r="T38" i="70"/>
  <c r="S38" i="70"/>
  <c r="P38" i="70"/>
  <c r="N38" i="70"/>
  <c r="M38" i="70"/>
  <c r="L38" i="70"/>
  <c r="I38" i="70"/>
  <c r="AD37" i="70"/>
  <c r="AB37" i="70"/>
  <c r="AA37" i="70"/>
  <c r="Z37" i="70"/>
  <c r="W37" i="70"/>
  <c r="U37" i="70"/>
  <c r="T37" i="70"/>
  <c r="S37" i="70"/>
  <c r="P37" i="70"/>
  <c r="N37" i="70"/>
  <c r="M37" i="70"/>
  <c r="L37" i="70"/>
  <c r="I37" i="70"/>
  <c r="AD36" i="70"/>
  <c r="AB36" i="70"/>
  <c r="AA36" i="70"/>
  <c r="Z36" i="70"/>
  <c r="W36" i="70"/>
  <c r="U36" i="70"/>
  <c r="T36" i="70"/>
  <c r="S36" i="70"/>
  <c r="P36" i="70"/>
  <c r="N36" i="70"/>
  <c r="M36" i="70"/>
  <c r="L36" i="70"/>
  <c r="I36" i="70"/>
  <c r="AD35" i="70"/>
  <c r="AB35" i="70"/>
  <c r="AA35" i="70"/>
  <c r="Z35" i="70"/>
  <c r="W35" i="70"/>
  <c r="U35" i="70"/>
  <c r="T35" i="70"/>
  <c r="S35" i="70"/>
  <c r="P35" i="70"/>
  <c r="N35" i="70"/>
  <c r="M35" i="70"/>
  <c r="L35" i="70"/>
  <c r="I35" i="70"/>
  <c r="AD34" i="70"/>
  <c r="AB34" i="70"/>
  <c r="AA34" i="70"/>
  <c r="Z34" i="70"/>
  <c r="W34" i="70"/>
  <c r="U34" i="70"/>
  <c r="T34" i="70"/>
  <c r="S34" i="70"/>
  <c r="P34" i="70"/>
  <c r="N34" i="70"/>
  <c r="M34" i="70"/>
  <c r="L34" i="70"/>
  <c r="I34" i="70"/>
  <c r="AD33" i="70"/>
  <c r="AB33" i="70"/>
  <c r="AA33" i="70"/>
  <c r="Z33" i="70"/>
  <c r="W33" i="70"/>
  <c r="U33" i="70"/>
  <c r="T33" i="70"/>
  <c r="S33" i="70"/>
  <c r="P33" i="70"/>
  <c r="N33" i="70"/>
  <c r="M33" i="70"/>
  <c r="L33" i="70"/>
  <c r="I33" i="70"/>
  <c r="AD32" i="70"/>
  <c r="AB32" i="70"/>
  <c r="AA32" i="70"/>
  <c r="Z32" i="70"/>
  <c r="W32" i="70"/>
  <c r="U32" i="70"/>
  <c r="T32" i="70"/>
  <c r="S32" i="70"/>
  <c r="P32" i="70"/>
  <c r="N32" i="70"/>
  <c r="M32" i="70"/>
  <c r="L32" i="70"/>
  <c r="I32" i="70"/>
  <c r="AD31" i="70"/>
  <c r="AB31" i="70"/>
  <c r="AA31" i="70"/>
  <c r="Z31" i="70"/>
  <c r="W31" i="70"/>
  <c r="U31" i="70"/>
  <c r="T31" i="70"/>
  <c r="S31" i="70"/>
  <c r="P31" i="70"/>
  <c r="N31" i="70"/>
  <c r="M31" i="70"/>
  <c r="L31" i="70"/>
  <c r="I31" i="70"/>
  <c r="AD30" i="70"/>
  <c r="AB30" i="70"/>
  <c r="AA30" i="70"/>
  <c r="Z30" i="70"/>
  <c r="W30" i="70"/>
  <c r="U30" i="70"/>
  <c r="T30" i="70"/>
  <c r="S30" i="70"/>
  <c r="P30" i="70"/>
  <c r="N30" i="70"/>
  <c r="M30" i="70"/>
  <c r="L30" i="70"/>
  <c r="I30" i="70"/>
  <c r="AD29" i="70"/>
  <c r="AB29" i="70"/>
  <c r="AA29" i="70"/>
  <c r="Z29" i="70"/>
  <c r="W29" i="70"/>
  <c r="U29" i="70"/>
  <c r="T29" i="70"/>
  <c r="S29" i="70"/>
  <c r="P29" i="70"/>
  <c r="N29" i="70"/>
  <c r="M29" i="70"/>
  <c r="L29" i="70"/>
  <c r="I29" i="70"/>
  <c r="AD28" i="70"/>
  <c r="AB28" i="70"/>
  <c r="AA28" i="70"/>
  <c r="Z28" i="70"/>
  <c r="W28" i="70"/>
  <c r="U28" i="70"/>
  <c r="T28" i="70"/>
  <c r="S28" i="70"/>
  <c r="P28" i="70"/>
  <c r="N28" i="70"/>
  <c r="M28" i="70"/>
  <c r="L28" i="70"/>
  <c r="I28" i="70"/>
  <c r="AD27" i="70"/>
  <c r="AB27" i="70"/>
  <c r="AA27" i="70"/>
  <c r="Z27" i="70"/>
  <c r="W27" i="70"/>
  <c r="U27" i="70"/>
  <c r="T27" i="70"/>
  <c r="S27" i="70"/>
  <c r="P27" i="70"/>
  <c r="N27" i="70"/>
  <c r="M27" i="70"/>
  <c r="L27" i="70"/>
  <c r="I27" i="70"/>
  <c r="AD25" i="70"/>
  <c r="AB25" i="70"/>
  <c r="AA25" i="70"/>
  <c r="Z25" i="70"/>
  <c r="W25" i="70"/>
  <c r="U25" i="70"/>
  <c r="T25" i="70"/>
  <c r="S25" i="70"/>
  <c r="P25" i="70"/>
  <c r="N25" i="70"/>
  <c r="M25" i="70"/>
  <c r="L25" i="70"/>
  <c r="I25" i="70"/>
  <c r="G25" i="70"/>
  <c r="F25" i="70"/>
  <c r="E25" i="70"/>
  <c r="AD18" i="70"/>
  <c r="AC18" i="70"/>
  <c r="AB18" i="70"/>
  <c r="AA18" i="70"/>
  <c r="Z18" i="70"/>
  <c r="Y18" i="70"/>
  <c r="W18" i="70"/>
  <c r="P18" i="70"/>
  <c r="O18" i="70"/>
  <c r="N18" i="70"/>
  <c r="M18" i="70"/>
  <c r="L18" i="70"/>
  <c r="K18" i="70"/>
  <c r="I18" i="70"/>
  <c r="AD17" i="70"/>
  <c r="AC17" i="70"/>
  <c r="AB17" i="70"/>
  <c r="AA17" i="70"/>
  <c r="Z17" i="70"/>
  <c r="Y17" i="70"/>
  <c r="W17" i="70"/>
  <c r="V17" i="70"/>
  <c r="U17" i="70"/>
  <c r="T17" i="70"/>
  <c r="S17" i="70"/>
  <c r="R17" i="70"/>
  <c r="P17" i="70"/>
  <c r="O17" i="70"/>
  <c r="N17" i="70"/>
  <c r="M17" i="70"/>
  <c r="L17" i="70"/>
  <c r="K17" i="70"/>
  <c r="I17" i="70"/>
  <c r="AD16" i="70"/>
  <c r="AC16" i="70"/>
  <c r="AB16" i="70"/>
  <c r="AA16" i="70"/>
  <c r="Z16" i="70"/>
  <c r="Y16" i="70"/>
  <c r="W16" i="70"/>
  <c r="V16" i="70"/>
  <c r="U16" i="70"/>
  <c r="T16" i="70"/>
  <c r="S16" i="70"/>
  <c r="R16" i="70"/>
  <c r="P16" i="70"/>
  <c r="O16" i="70"/>
  <c r="N16" i="70"/>
  <c r="M16" i="70"/>
  <c r="L16" i="70"/>
  <c r="K16" i="70"/>
  <c r="I16" i="70"/>
  <c r="AD15" i="70"/>
  <c r="AC15" i="70"/>
  <c r="AB15" i="70"/>
  <c r="AA15" i="70"/>
  <c r="Z15" i="70"/>
  <c r="Y15" i="70"/>
  <c r="W15" i="70"/>
  <c r="V15" i="70"/>
  <c r="U15" i="70"/>
  <c r="T15" i="70"/>
  <c r="S15" i="70"/>
  <c r="R15" i="70"/>
  <c r="P15" i="70"/>
  <c r="O15" i="70"/>
  <c r="N15" i="70"/>
  <c r="M15" i="70"/>
  <c r="L15" i="70"/>
  <c r="K15" i="70"/>
  <c r="I15" i="70"/>
  <c r="AD14" i="70"/>
  <c r="AC14" i="70"/>
  <c r="AB14" i="70"/>
  <c r="AA14" i="70"/>
  <c r="Z14" i="70"/>
  <c r="Y14" i="70"/>
  <c r="W14" i="70"/>
  <c r="V14" i="70"/>
  <c r="U14" i="70"/>
  <c r="T14" i="70"/>
  <c r="S14" i="70"/>
  <c r="R14" i="70"/>
  <c r="P14" i="70"/>
  <c r="O14" i="70"/>
  <c r="N14" i="70"/>
  <c r="M14" i="70"/>
  <c r="L14" i="70"/>
  <c r="K14" i="70"/>
  <c r="I14" i="70"/>
  <c r="AD13" i="70"/>
  <c r="AC13" i="70"/>
  <c r="AB13" i="70"/>
  <c r="AA13" i="70"/>
  <c r="Z13" i="70"/>
  <c r="Y13" i="70"/>
  <c r="W13" i="70"/>
  <c r="V13" i="70"/>
  <c r="U13" i="70"/>
  <c r="T13" i="70"/>
  <c r="S13" i="70"/>
  <c r="R13" i="70"/>
  <c r="P13" i="70"/>
  <c r="O13" i="70"/>
  <c r="N13" i="70"/>
  <c r="M13" i="70"/>
  <c r="L13" i="70"/>
  <c r="K13" i="70"/>
  <c r="I13" i="70"/>
  <c r="AD12" i="70"/>
  <c r="AC12" i="70"/>
  <c r="AB12" i="70"/>
  <c r="AA12" i="70"/>
  <c r="Z12" i="70"/>
  <c r="Y12" i="70"/>
  <c r="W12" i="70"/>
  <c r="V12" i="70"/>
  <c r="U12" i="70"/>
  <c r="T12" i="70"/>
  <c r="S12" i="70"/>
  <c r="R12" i="70"/>
  <c r="P12" i="70"/>
  <c r="O12" i="70"/>
  <c r="N12" i="70"/>
  <c r="M12" i="70"/>
  <c r="L12" i="70"/>
  <c r="K12" i="70"/>
  <c r="I12" i="70"/>
  <c r="AD11" i="70"/>
  <c r="AC11" i="70"/>
  <c r="AB11" i="70"/>
  <c r="AA11" i="70"/>
  <c r="Z11" i="70"/>
  <c r="Y11" i="70"/>
  <c r="W11" i="70"/>
  <c r="V11" i="70"/>
  <c r="U11" i="70"/>
  <c r="T11" i="70"/>
  <c r="S11" i="70"/>
  <c r="R11" i="70"/>
  <c r="P11" i="70"/>
  <c r="O11" i="70"/>
  <c r="N11" i="70"/>
  <c r="M11" i="70"/>
  <c r="L11" i="70"/>
  <c r="K11" i="70"/>
  <c r="I11" i="70"/>
  <c r="AD10" i="70"/>
  <c r="AC10" i="70"/>
  <c r="AB10" i="70"/>
  <c r="AA10" i="70"/>
  <c r="Z10" i="70"/>
  <c r="Y10" i="70"/>
  <c r="W10" i="70"/>
  <c r="V10" i="70"/>
  <c r="U10" i="70"/>
  <c r="T10" i="70"/>
  <c r="S10" i="70"/>
  <c r="R10" i="70"/>
  <c r="P10" i="70"/>
  <c r="O10" i="70"/>
  <c r="N10" i="70"/>
  <c r="M10" i="70"/>
  <c r="L10" i="70"/>
  <c r="K10" i="70"/>
  <c r="I10" i="70"/>
  <c r="AD9" i="70"/>
  <c r="AC9" i="70"/>
  <c r="AB9" i="70"/>
  <c r="AA9" i="70"/>
  <c r="Z9" i="70"/>
  <c r="Y9" i="70"/>
  <c r="W9" i="70"/>
  <c r="V9" i="70"/>
  <c r="U9" i="70"/>
  <c r="T9" i="70"/>
  <c r="S9" i="70"/>
  <c r="R9" i="70"/>
  <c r="P9" i="70"/>
  <c r="O9" i="70"/>
  <c r="N9" i="70"/>
  <c r="M9" i="70"/>
  <c r="L9" i="70"/>
  <c r="K9" i="70"/>
  <c r="I9" i="70"/>
  <c r="AD8" i="70"/>
  <c r="AC8" i="70"/>
  <c r="AB8" i="70"/>
  <c r="AA8" i="70"/>
  <c r="Z8" i="70"/>
  <c r="Y8" i="70"/>
  <c r="W8" i="70"/>
  <c r="V8" i="70"/>
  <c r="U8" i="70"/>
  <c r="T8" i="70"/>
  <c r="S8" i="70"/>
  <c r="R8" i="70"/>
  <c r="P8" i="70"/>
  <c r="O8" i="70"/>
  <c r="N8" i="70"/>
  <c r="M8" i="70"/>
  <c r="L8" i="70"/>
  <c r="K8" i="70"/>
  <c r="I8" i="70"/>
  <c r="AD7" i="70"/>
  <c r="AC7" i="70"/>
  <c r="AB7" i="70"/>
  <c r="AA7" i="70"/>
  <c r="Z7" i="70"/>
  <c r="Y7" i="70"/>
  <c r="W7" i="70"/>
  <c r="V7" i="70"/>
  <c r="U7" i="70"/>
  <c r="T7" i="70"/>
  <c r="S7" i="70"/>
  <c r="R7" i="70"/>
  <c r="P7" i="70"/>
  <c r="O7" i="70"/>
  <c r="N7" i="70"/>
  <c r="M7" i="70"/>
  <c r="L7" i="70"/>
  <c r="K7" i="70"/>
  <c r="I7" i="70"/>
  <c r="AD6" i="70"/>
  <c r="AC6" i="70"/>
  <c r="AB6" i="70"/>
  <c r="AA6" i="70"/>
  <c r="Z6" i="70"/>
  <c r="Y6" i="70"/>
  <c r="W6" i="70"/>
  <c r="V6" i="70"/>
  <c r="U6" i="70"/>
  <c r="T6" i="70"/>
  <c r="S6" i="70"/>
  <c r="R6" i="70"/>
  <c r="P6" i="70"/>
  <c r="O6" i="70"/>
  <c r="N6" i="70"/>
  <c r="M6" i="70"/>
  <c r="L6" i="70"/>
  <c r="K6" i="70"/>
  <c r="I6" i="70"/>
  <c r="AD5" i="70"/>
  <c r="AC5" i="70"/>
  <c r="AB5" i="70"/>
  <c r="AA5" i="70"/>
  <c r="Z5" i="70"/>
  <c r="Y5" i="70"/>
  <c r="W5" i="70"/>
  <c r="V5" i="70"/>
  <c r="U5" i="70"/>
  <c r="T5" i="70"/>
  <c r="S5" i="70"/>
  <c r="R5" i="70"/>
  <c r="P5" i="70"/>
  <c r="O5" i="70"/>
  <c r="N5" i="70"/>
  <c r="M5" i="70"/>
  <c r="L5" i="70"/>
  <c r="K5" i="70"/>
  <c r="I5" i="70"/>
  <c r="AD3" i="70"/>
  <c r="AC3" i="70"/>
  <c r="AB3" i="70"/>
  <c r="AA3" i="70"/>
  <c r="Z3" i="70"/>
  <c r="Y3" i="70"/>
  <c r="W3" i="70"/>
  <c r="V3" i="70"/>
  <c r="U3" i="70"/>
  <c r="T3" i="70"/>
  <c r="S3" i="70"/>
  <c r="R3" i="70"/>
  <c r="P3" i="70"/>
  <c r="O3" i="70"/>
  <c r="N3" i="70"/>
  <c r="M3" i="70"/>
  <c r="L3" i="70"/>
  <c r="K3" i="70"/>
  <c r="I3" i="70"/>
  <c r="H3" i="70"/>
  <c r="G3" i="70"/>
  <c r="F3" i="70"/>
  <c r="E3" i="70"/>
  <c r="D3" i="70"/>
  <c r="A1" i="70"/>
  <c r="D90" i="59"/>
  <c r="F89" i="59"/>
  <c r="E89" i="59"/>
  <c r="D89" i="59"/>
  <c r="C89" i="59"/>
  <c r="B89" i="59"/>
  <c r="F88" i="59"/>
  <c r="E88" i="59"/>
  <c r="D88" i="59"/>
  <c r="C88" i="59"/>
  <c r="B88" i="59"/>
  <c r="F87" i="59"/>
  <c r="E87" i="59"/>
  <c r="D87" i="59"/>
  <c r="C87" i="59"/>
  <c r="B87" i="59"/>
  <c r="D86" i="59"/>
  <c r="F85" i="59"/>
  <c r="E85" i="59"/>
  <c r="D85" i="59"/>
  <c r="C85" i="59"/>
  <c r="B85" i="59"/>
  <c r="F84" i="59"/>
  <c r="E84" i="59"/>
  <c r="D84" i="59"/>
  <c r="C84" i="59"/>
  <c r="B84" i="59"/>
  <c r="F83" i="59"/>
  <c r="E83" i="59"/>
  <c r="D83" i="59"/>
  <c r="C83" i="59"/>
  <c r="B83" i="59"/>
  <c r="D82" i="59"/>
  <c r="V81" i="59"/>
  <c r="U81" i="59"/>
  <c r="T81" i="59"/>
  <c r="S81" i="59"/>
  <c r="Q81" i="59"/>
  <c r="P81" i="59"/>
  <c r="O81" i="59"/>
  <c r="N81" i="59"/>
  <c r="F81" i="59"/>
  <c r="E81" i="59"/>
  <c r="D81" i="59"/>
  <c r="C81" i="59"/>
  <c r="B81" i="59"/>
  <c r="Q80" i="59"/>
  <c r="P80" i="59"/>
  <c r="O80" i="59"/>
  <c r="N80" i="59"/>
  <c r="F80" i="59"/>
  <c r="E80" i="59"/>
  <c r="D80" i="59"/>
  <c r="C80" i="59"/>
  <c r="B80" i="59"/>
  <c r="Q79" i="59"/>
  <c r="P79" i="59"/>
  <c r="O79" i="59"/>
  <c r="N79" i="59"/>
  <c r="F79" i="59"/>
  <c r="E79" i="59"/>
  <c r="D79" i="59"/>
  <c r="C79" i="59"/>
  <c r="B79" i="59"/>
  <c r="Q78" i="59"/>
  <c r="P78" i="59"/>
  <c r="O78" i="59"/>
  <c r="N78" i="59"/>
  <c r="D78" i="59"/>
  <c r="V77" i="59"/>
  <c r="U77" i="59"/>
  <c r="T77" i="59"/>
  <c r="S77" i="59"/>
  <c r="Q77" i="59"/>
  <c r="P77" i="59"/>
  <c r="O77" i="59"/>
  <c r="N77" i="59"/>
  <c r="F77" i="59"/>
  <c r="E77" i="59"/>
  <c r="D77" i="59"/>
  <c r="C77" i="59"/>
  <c r="B77" i="59"/>
  <c r="Q76" i="59"/>
  <c r="P76" i="59"/>
  <c r="O76" i="59"/>
  <c r="N76" i="59"/>
  <c r="F76" i="59"/>
  <c r="E76" i="59"/>
  <c r="D76" i="59"/>
  <c r="C76" i="59"/>
  <c r="B76" i="59"/>
  <c r="Q75" i="59"/>
  <c r="P75" i="59"/>
  <c r="O75" i="59"/>
  <c r="N75" i="59"/>
  <c r="F75" i="59"/>
  <c r="E75" i="59"/>
  <c r="D75" i="59"/>
  <c r="C75" i="59"/>
  <c r="B75" i="59"/>
  <c r="Q74" i="59"/>
  <c r="P74" i="59"/>
  <c r="O74" i="59"/>
  <c r="N74" i="59"/>
  <c r="D74" i="59"/>
  <c r="V73" i="59"/>
  <c r="U73" i="59"/>
  <c r="T73" i="59"/>
  <c r="S73" i="59"/>
  <c r="Q73" i="59"/>
  <c r="P73" i="59"/>
  <c r="O73" i="59"/>
  <c r="N73" i="59"/>
  <c r="F73" i="59"/>
  <c r="E73" i="59"/>
  <c r="D73" i="59"/>
  <c r="C73" i="59"/>
  <c r="B73" i="59"/>
  <c r="Q72" i="59"/>
  <c r="P72" i="59"/>
  <c r="O72" i="59"/>
  <c r="N72" i="59"/>
  <c r="F72" i="59"/>
  <c r="E72" i="59"/>
  <c r="D72" i="59"/>
  <c r="C72" i="59"/>
  <c r="B72" i="59"/>
  <c r="Q71" i="59"/>
  <c r="P71" i="59"/>
  <c r="O71" i="59"/>
  <c r="N71" i="59"/>
  <c r="F71" i="59"/>
  <c r="E71" i="59"/>
  <c r="D71" i="59"/>
  <c r="C71" i="59"/>
  <c r="B71" i="59"/>
  <c r="Q70" i="59"/>
  <c r="P70" i="59"/>
  <c r="O70" i="59"/>
  <c r="N70" i="59"/>
  <c r="D70" i="59"/>
  <c r="V69" i="59"/>
  <c r="U69" i="59"/>
  <c r="T69" i="59"/>
  <c r="S69" i="59"/>
  <c r="Q69" i="59"/>
  <c r="P69" i="59"/>
  <c r="O69" i="59"/>
  <c r="N69" i="59"/>
  <c r="F69" i="59"/>
  <c r="E69" i="59"/>
  <c r="D69" i="59"/>
  <c r="C69" i="59"/>
  <c r="B69" i="59"/>
  <c r="Q68" i="59"/>
  <c r="P68" i="59"/>
  <c r="O68" i="59"/>
  <c r="N68" i="59"/>
  <c r="F68" i="59"/>
  <c r="E68" i="59"/>
  <c r="D68" i="59"/>
  <c r="C68" i="59"/>
  <c r="B68" i="59"/>
  <c r="Q67" i="59"/>
  <c r="P67" i="59"/>
  <c r="O67" i="59"/>
  <c r="N67" i="59"/>
  <c r="F67" i="59"/>
  <c r="E67" i="59"/>
  <c r="D67" i="59"/>
  <c r="C67" i="59"/>
  <c r="B67" i="59"/>
  <c r="Q66" i="59"/>
  <c r="P66" i="59"/>
  <c r="O66" i="59"/>
  <c r="N66" i="59"/>
  <c r="D66" i="59"/>
  <c r="V65" i="59"/>
  <c r="U65" i="59"/>
  <c r="T65" i="59"/>
  <c r="S65" i="59"/>
  <c r="Q65" i="59"/>
  <c r="P65" i="59"/>
  <c r="O65" i="59"/>
  <c r="N65" i="59"/>
  <c r="F65" i="59"/>
  <c r="E65" i="59"/>
  <c r="D65" i="59"/>
  <c r="C65" i="59"/>
  <c r="B65" i="59"/>
  <c r="Q64" i="59"/>
  <c r="P64" i="59"/>
  <c r="O64" i="59"/>
  <c r="N64" i="59"/>
  <c r="F64" i="59"/>
  <c r="E64" i="59"/>
  <c r="D64" i="59"/>
  <c r="C64" i="59"/>
  <c r="B64" i="59"/>
  <c r="Q63" i="59"/>
  <c r="P63" i="59"/>
  <c r="O63" i="59"/>
  <c r="N63" i="59"/>
  <c r="F63" i="59"/>
  <c r="E63" i="59"/>
  <c r="D63" i="59"/>
  <c r="C63" i="59"/>
  <c r="B63" i="59"/>
  <c r="Q62" i="59"/>
  <c r="P62" i="59"/>
  <c r="O62" i="59"/>
  <c r="N62" i="59"/>
  <c r="D62" i="59"/>
  <c r="V61" i="59"/>
  <c r="U61" i="59"/>
  <c r="T61" i="59"/>
  <c r="S61" i="59"/>
  <c r="Q61" i="59"/>
  <c r="P61" i="59"/>
  <c r="O61" i="59"/>
  <c r="N61" i="59"/>
  <c r="F61" i="59"/>
  <c r="E61" i="59"/>
  <c r="D61" i="59"/>
  <c r="C61" i="59"/>
  <c r="B61" i="59"/>
  <c r="Q60" i="59"/>
  <c r="P60" i="59"/>
  <c r="O60" i="59"/>
  <c r="N60" i="59"/>
  <c r="F60" i="59"/>
  <c r="E60" i="59"/>
  <c r="D60" i="59"/>
  <c r="C60" i="59"/>
  <c r="B60" i="59"/>
  <c r="Q59" i="59"/>
  <c r="P59" i="59"/>
  <c r="O59" i="59"/>
  <c r="N59" i="59"/>
  <c r="F59" i="59"/>
  <c r="E59" i="59"/>
  <c r="D59" i="59"/>
  <c r="C59" i="59"/>
  <c r="B59" i="59"/>
  <c r="Q58" i="59"/>
  <c r="P58" i="59"/>
  <c r="O58" i="59"/>
  <c r="N58" i="59"/>
  <c r="D58" i="59"/>
  <c r="V57" i="59"/>
  <c r="U57" i="59"/>
  <c r="T57" i="59"/>
  <c r="S57" i="59"/>
  <c r="Q57" i="59"/>
  <c r="P57" i="59"/>
  <c r="O57" i="59"/>
  <c r="N57" i="59"/>
  <c r="F57" i="59"/>
  <c r="E57" i="59"/>
  <c r="D57" i="59"/>
  <c r="C57" i="59"/>
  <c r="B57" i="59"/>
  <c r="Q56" i="59"/>
  <c r="P56" i="59"/>
  <c r="O56" i="59"/>
  <c r="N56" i="59"/>
  <c r="F56" i="59"/>
  <c r="E56" i="59"/>
  <c r="D56" i="59"/>
  <c r="C56" i="59"/>
  <c r="B56" i="59"/>
  <c r="Q55" i="59"/>
  <c r="P55" i="59"/>
  <c r="O55" i="59"/>
  <c r="N55" i="59"/>
  <c r="F55" i="59"/>
  <c r="E55" i="59"/>
  <c r="D55" i="59"/>
  <c r="C55" i="59"/>
  <c r="B55" i="59"/>
  <c r="Q54" i="59"/>
  <c r="P54" i="59"/>
  <c r="O54" i="59"/>
  <c r="N54" i="59"/>
  <c r="D54" i="59"/>
  <c r="V53" i="59"/>
  <c r="U53" i="59"/>
  <c r="T53" i="59"/>
  <c r="S53" i="59"/>
  <c r="Q53" i="59"/>
  <c r="P53" i="59"/>
  <c r="O53" i="59"/>
  <c r="N53" i="59"/>
  <c r="F53" i="59"/>
  <c r="E53" i="59"/>
  <c r="D53" i="59"/>
  <c r="C53" i="59"/>
  <c r="B53" i="59"/>
  <c r="Q52" i="59"/>
  <c r="P52" i="59"/>
  <c r="O52" i="59"/>
  <c r="N52" i="59"/>
  <c r="F52" i="59"/>
  <c r="E52" i="59"/>
  <c r="D52" i="59"/>
  <c r="C52" i="59"/>
  <c r="B52" i="59"/>
  <c r="Q51" i="59"/>
  <c r="P51" i="59"/>
  <c r="O51" i="59"/>
  <c r="N51" i="59"/>
  <c r="F51" i="59"/>
  <c r="E51" i="59"/>
  <c r="D51" i="59"/>
  <c r="C51" i="59"/>
  <c r="B51" i="59"/>
  <c r="Q50" i="59"/>
  <c r="P50" i="59"/>
  <c r="O50" i="59"/>
  <c r="N50" i="59"/>
  <c r="D50" i="59"/>
  <c r="V49" i="59"/>
  <c r="U49" i="59"/>
  <c r="T49" i="59"/>
  <c r="S49" i="59"/>
  <c r="Q49" i="59"/>
  <c r="P49" i="59"/>
  <c r="O49" i="59"/>
  <c r="N49" i="59"/>
  <c r="F49" i="59"/>
  <c r="E49" i="59"/>
  <c r="D49" i="59"/>
  <c r="B49" i="59"/>
  <c r="Q48" i="59"/>
  <c r="P48" i="59"/>
  <c r="O48" i="59"/>
  <c r="N48" i="59"/>
  <c r="F48" i="59"/>
  <c r="E48" i="59"/>
  <c r="D48" i="59"/>
  <c r="C48" i="59"/>
  <c r="B48" i="59"/>
  <c r="Q47" i="59"/>
  <c r="P47" i="59"/>
  <c r="O47" i="59"/>
  <c r="N47" i="59"/>
  <c r="F47" i="59"/>
  <c r="E47" i="59"/>
  <c r="D47" i="59"/>
  <c r="C47" i="59"/>
  <c r="B47" i="59"/>
  <c r="Q46" i="59"/>
  <c r="P46" i="59"/>
  <c r="O46" i="59"/>
  <c r="N46" i="59"/>
  <c r="D46" i="59"/>
  <c r="V45" i="59"/>
  <c r="U45" i="59"/>
  <c r="T45" i="59"/>
  <c r="S45" i="59"/>
  <c r="Q45" i="59"/>
  <c r="P45" i="59"/>
  <c r="O45" i="59"/>
  <c r="N45" i="59"/>
  <c r="F45" i="59"/>
  <c r="E45" i="59"/>
  <c r="D45" i="59"/>
  <c r="C45" i="59"/>
  <c r="B45" i="59"/>
  <c r="Q44" i="59"/>
  <c r="P44" i="59"/>
  <c r="O44" i="59"/>
  <c r="N44" i="59"/>
  <c r="F44" i="59"/>
  <c r="E44" i="59"/>
  <c r="D44" i="59"/>
  <c r="C44" i="59"/>
  <c r="B44" i="59"/>
  <c r="Q43" i="59"/>
  <c r="P43" i="59"/>
  <c r="O43" i="59"/>
  <c r="N43" i="59"/>
  <c r="F43" i="59"/>
  <c r="E43" i="59"/>
  <c r="D43" i="59"/>
  <c r="C43" i="59"/>
  <c r="B43" i="59"/>
  <c r="Q42" i="59"/>
  <c r="P42" i="59"/>
  <c r="O42" i="59"/>
  <c r="N42" i="59"/>
  <c r="D42" i="59"/>
  <c r="AH41" i="59"/>
  <c r="AG41" i="59"/>
  <c r="AF41" i="59"/>
  <c r="AE41" i="59"/>
  <c r="AD41" i="59"/>
  <c r="V41" i="59"/>
  <c r="U41" i="59"/>
  <c r="T41" i="59"/>
  <c r="S41" i="59"/>
  <c r="Q41" i="59"/>
  <c r="P41" i="59"/>
  <c r="O41" i="59"/>
  <c r="N41" i="59"/>
  <c r="F41" i="59"/>
  <c r="E41" i="59"/>
  <c r="D41" i="59"/>
  <c r="C41" i="59"/>
  <c r="B41" i="59"/>
  <c r="AH40" i="59"/>
  <c r="AG40" i="59"/>
  <c r="AF40" i="59"/>
  <c r="AE40" i="59"/>
  <c r="AD40" i="59"/>
  <c r="AB40" i="59"/>
  <c r="AA40" i="59"/>
  <c r="Z40" i="59"/>
  <c r="Y40" i="59"/>
  <c r="X40" i="59"/>
  <c r="Q40" i="59"/>
  <c r="P40" i="59"/>
  <c r="O40" i="59"/>
  <c r="N40" i="59"/>
  <c r="F40" i="59"/>
  <c r="E40" i="59"/>
  <c r="D40" i="59"/>
  <c r="C40" i="59"/>
  <c r="B40" i="59"/>
  <c r="AH39" i="59"/>
  <c r="AG39" i="59"/>
  <c r="AF39" i="59"/>
  <c r="AE39" i="59"/>
  <c r="AD39" i="59"/>
  <c r="AB39" i="59"/>
  <c r="AA39" i="59"/>
  <c r="Z39" i="59"/>
  <c r="Y39" i="59"/>
  <c r="X39" i="59"/>
  <c r="Q39" i="59"/>
  <c r="P39" i="59"/>
  <c r="O39" i="59"/>
  <c r="N39" i="59"/>
  <c r="F39" i="59"/>
  <c r="E39" i="59"/>
  <c r="D39" i="59"/>
  <c r="C39" i="59"/>
  <c r="B39" i="59"/>
  <c r="AH38" i="59"/>
  <c r="AG38" i="59"/>
  <c r="AF38" i="59"/>
  <c r="AE38" i="59"/>
  <c r="AD38" i="59"/>
  <c r="AB38" i="59"/>
  <c r="AA38" i="59"/>
  <c r="Z38" i="59"/>
  <c r="Y38" i="59"/>
  <c r="X38" i="59"/>
  <c r="Q38" i="59"/>
  <c r="P38" i="59"/>
  <c r="O38" i="59"/>
  <c r="N38" i="59"/>
  <c r="D38" i="59"/>
  <c r="AH37" i="59"/>
  <c r="AG37" i="59"/>
  <c r="AF37" i="59"/>
  <c r="AE37" i="59"/>
  <c r="AD37" i="59"/>
  <c r="AB37" i="59"/>
  <c r="AA37" i="59"/>
  <c r="Z37" i="59"/>
  <c r="Y37" i="59"/>
  <c r="X37" i="59"/>
  <c r="V37" i="59"/>
  <c r="U37" i="59"/>
  <c r="T37" i="59"/>
  <c r="S37" i="59"/>
  <c r="Q37" i="59"/>
  <c r="P37" i="59"/>
  <c r="O37" i="59"/>
  <c r="N37" i="59"/>
  <c r="F37" i="59"/>
  <c r="E37" i="59"/>
  <c r="D37" i="59"/>
  <c r="C37" i="59"/>
  <c r="B37" i="59"/>
  <c r="AH36" i="59"/>
  <c r="AG36" i="59"/>
  <c r="AF36" i="59"/>
  <c r="AE36" i="59"/>
  <c r="AD36" i="59"/>
  <c r="AB36" i="59"/>
  <c r="AA36" i="59"/>
  <c r="Z36" i="59"/>
  <c r="Y36" i="59"/>
  <c r="X36" i="59"/>
  <c r="Q36" i="59"/>
  <c r="P36" i="59"/>
  <c r="O36" i="59"/>
  <c r="N36" i="59"/>
  <c r="F36" i="59"/>
  <c r="E36" i="59"/>
  <c r="D36" i="59"/>
  <c r="C36" i="59"/>
  <c r="B36" i="59"/>
  <c r="AH35" i="59"/>
  <c r="AG35" i="59"/>
  <c r="AF35" i="59"/>
  <c r="AE35" i="59"/>
  <c r="AD35" i="59"/>
  <c r="AB35" i="59"/>
  <c r="AA35" i="59"/>
  <c r="Z35" i="59"/>
  <c r="Y35" i="59"/>
  <c r="X35" i="59"/>
  <c r="Q35" i="59"/>
  <c r="P35" i="59"/>
  <c r="O35" i="59"/>
  <c r="N35" i="59"/>
  <c r="F35" i="59"/>
  <c r="E35" i="59"/>
  <c r="D35" i="59"/>
  <c r="C35" i="59"/>
  <c r="B35" i="59"/>
  <c r="AH34" i="59"/>
  <c r="AG34" i="59"/>
  <c r="AF34" i="59"/>
  <c r="AE34" i="59"/>
  <c r="AD34" i="59"/>
  <c r="AB34" i="59"/>
  <c r="AA34" i="59"/>
  <c r="Z34" i="59"/>
  <c r="Y34" i="59"/>
  <c r="X34" i="59"/>
  <c r="Q34" i="59"/>
  <c r="P34" i="59"/>
  <c r="O34" i="59"/>
  <c r="N34" i="59"/>
  <c r="D34" i="59"/>
  <c r="AH33" i="59"/>
  <c r="AG33" i="59"/>
  <c r="AF33" i="59"/>
  <c r="AE33" i="59"/>
  <c r="AD33" i="59"/>
  <c r="AB33" i="59"/>
  <c r="AA33" i="59"/>
  <c r="Z33" i="59"/>
  <c r="Y33" i="59"/>
  <c r="X33" i="59"/>
  <c r="V33" i="59"/>
  <c r="U33" i="59"/>
  <c r="T33" i="59"/>
  <c r="S33" i="59"/>
  <c r="Q33" i="59"/>
  <c r="P33" i="59"/>
  <c r="O33" i="59"/>
  <c r="N33" i="59"/>
  <c r="F33" i="59"/>
  <c r="E33" i="59"/>
  <c r="D33" i="59"/>
  <c r="C33" i="59"/>
  <c r="B33" i="59"/>
  <c r="AH32" i="59"/>
  <c r="AG32" i="59"/>
  <c r="AF32" i="59"/>
  <c r="AE32" i="59"/>
  <c r="AD32" i="59"/>
  <c r="AB32" i="59"/>
  <c r="AA32" i="59"/>
  <c r="Z32" i="59"/>
  <c r="Y32" i="59"/>
  <c r="X32" i="59"/>
  <c r="Q32" i="59"/>
  <c r="P32" i="59"/>
  <c r="O32" i="59"/>
  <c r="N32" i="59"/>
  <c r="F32" i="59"/>
  <c r="E32" i="59"/>
  <c r="D32" i="59"/>
  <c r="C32" i="59"/>
  <c r="B32" i="59"/>
  <c r="AH31" i="59"/>
  <c r="AG31" i="59"/>
  <c r="AF31" i="59"/>
  <c r="AE31" i="59"/>
  <c r="AD31" i="59"/>
  <c r="AB31" i="59"/>
  <c r="AA31" i="59"/>
  <c r="Z31" i="59"/>
  <c r="Y31" i="59"/>
  <c r="X31" i="59"/>
  <c r="Q31" i="59"/>
  <c r="P31" i="59"/>
  <c r="O31" i="59"/>
  <c r="N31" i="59"/>
  <c r="F31" i="59"/>
  <c r="E31" i="59"/>
  <c r="D31" i="59"/>
  <c r="C31" i="59"/>
  <c r="B31" i="59"/>
  <c r="AH30" i="59"/>
  <c r="AG30" i="59"/>
  <c r="AF30" i="59"/>
  <c r="AE30" i="59"/>
  <c r="AD30" i="59"/>
  <c r="AB30" i="59"/>
  <c r="AA30" i="59"/>
  <c r="Z30" i="59"/>
  <c r="Y30" i="59"/>
  <c r="X30" i="59"/>
  <c r="Q30" i="59"/>
  <c r="P30" i="59"/>
  <c r="O30" i="59"/>
  <c r="N30" i="59"/>
  <c r="D30" i="59"/>
  <c r="AH29" i="59"/>
  <c r="AG29" i="59"/>
  <c r="AF29" i="59"/>
  <c r="AE29" i="59"/>
  <c r="AD29" i="59"/>
  <c r="AB29" i="59"/>
  <c r="AA29" i="59"/>
  <c r="Z29" i="59"/>
  <c r="Y29" i="59"/>
  <c r="X29" i="59"/>
  <c r="V29" i="59"/>
  <c r="U29" i="59"/>
  <c r="T29" i="59"/>
  <c r="S29" i="59"/>
  <c r="Q29" i="59"/>
  <c r="P29" i="59"/>
  <c r="O29" i="59"/>
  <c r="N29" i="59"/>
  <c r="F29" i="59"/>
  <c r="E29" i="59"/>
  <c r="D29" i="59"/>
  <c r="C29" i="59"/>
  <c r="B29" i="59"/>
  <c r="AH28" i="59"/>
  <c r="AG28" i="59"/>
  <c r="AF28" i="59"/>
  <c r="AE28" i="59"/>
  <c r="AD28" i="59"/>
  <c r="AB28" i="59"/>
  <c r="AA28" i="59"/>
  <c r="Z28" i="59"/>
  <c r="Y28" i="59"/>
  <c r="X28" i="59"/>
  <c r="Q28" i="59"/>
  <c r="P28" i="59"/>
  <c r="O28" i="59"/>
  <c r="N28" i="59"/>
  <c r="F28" i="59"/>
  <c r="E28" i="59"/>
  <c r="D28" i="59"/>
  <c r="C28" i="59"/>
  <c r="B28" i="59"/>
  <c r="AH27" i="59"/>
  <c r="AG27" i="59"/>
  <c r="AF27" i="59"/>
  <c r="AE27" i="59"/>
  <c r="AD27" i="59"/>
  <c r="AB27" i="59"/>
  <c r="AA27" i="59"/>
  <c r="Z27" i="59"/>
  <c r="Y27" i="59"/>
  <c r="X27" i="59"/>
  <c r="Q27" i="59"/>
  <c r="P27" i="59"/>
  <c r="O27" i="59"/>
  <c r="N27" i="59"/>
  <c r="F27" i="59"/>
  <c r="E27" i="59"/>
  <c r="D27" i="59"/>
  <c r="C27" i="59"/>
  <c r="B27" i="59"/>
  <c r="AH26" i="59"/>
  <c r="AG26" i="59"/>
  <c r="AF26" i="59"/>
  <c r="AE26" i="59"/>
  <c r="AD26" i="59"/>
  <c r="AB26" i="59"/>
  <c r="AA26" i="59"/>
  <c r="Z26" i="59"/>
  <c r="Y26" i="59"/>
  <c r="X26" i="59"/>
  <c r="Q26" i="59"/>
  <c r="P26" i="59"/>
  <c r="O26" i="59"/>
  <c r="N26" i="59"/>
  <c r="D26" i="59"/>
  <c r="AH25" i="59"/>
  <c r="AG25" i="59"/>
  <c r="AF25" i="59"/>
  <c r="AE25" i="59"/>
  <c r="AD25" i="59"/>
  <c r="AB25" i="59"/>
  <c r="AA25" i="59"/>
  <c r="Z25" i="59"/>
  <c r="Y25" i="59"/>
  <c r="X25" i="59"/>
  <c r="V25" i="59"/>
  <c r="U25" i="59"/>
  <c r="T25" i="59"/>
  <c r="S25" i="59"/>
  <c r="Q25" i="59"/>
  <c r="P25" i="59"/>
  <c r="O25" i="59"/>
  <c r="N25" i="59"/>
  <c r="F25" i="59"/>
  <c r="E25" i="59"/>
  <c r="D25" i="59"/>
  <c r="C25" i="59"/>
  <c r="B25" i="59"/>
  <c r="AH24" i="59"/>
  <c r="AG24" i="59"/>
  <c r="AF24" i="59"/>
  <c r="AE24" i="59"/>
  <c r="AD24" i="59"/>
  <c r="AB24" i="59"/>
  <c r="AA24" i="59"/>
  <c r="Z24" i="59"/>
  <c r="Y24" i="59"/>
  <c r="X24" i="59"/>
  <c r="Q24" i="59"/>
  <c r="P24" i="59"/>
  <c r="O24" i="59"/>
  <c r="N24" i="59"/>
  <c r="F24" i="59"/>
  <c r="E24" i="59"/>
  <c r="D24" i="59"/>
  <c r="C24" i="59"/>
  <c r="B24" i="59"/>
  <c r="AH23" i="59"/>
  <c r="AG23" i="59"/>
  <c r="AF23" i="59"/>
  <c r="AE23" i="59"/>
  <c r="AD23" i="59"/>
  <c r="AB23" i="59"/>
  <c r="AA23" i="59"/>
  <c r="Z23" i="59"/>
  <c r="Y23" i="59"/>
  <c r="X23" i="59"/>
  <c r="Q23" i="59"/>
  <c r="P23" i="59"/>
  <c r="O23" i="59"/>
  <c r="N23" i="59"/>
  <c r="F23" i="59"/>
  <c r="E23" i="59"/>
  <c r="D23" i="59"/>
  <c r="C23" i="59"/>
  <c r="B23" i="59"/>
  <c r="AH22" i="59"/>
  <c r="AG22" i="59"/>
  <c r="AF22" i="59"/>
  <c r="AE22" i="59"/>
  <c r="AD22" i="59"/>
  <c r="AB22" i="59"/>
  <c r="AA22" i="59"/>
  <c r="Z22" i="59"/>
  <c r="Y22" i="59"/>
  <c r="X22" i="59"/>
  <c r="Q22" i="59"/>
  <c r="P22" i="59"/>
  <c r="O22" i="59"/>
  <c r="N22" i="59"/>
  <c r="F22" i="59"/>
  <c r="E22" i="59"/>
  <c r="D22" i="59"/>
  <c r="C22" i="59"/>
  <c r="B22" i="59"/>
  <c r="AH21" i="59"/>
  <c r="AG21" i="59"/>
  <c r="AF21" i="59"/>
  <c r="AE21" i="59"/>
  <c r="AD21" i="59"/>
  <c r="AB21" i="59"/>
  <c r="AA21" i="59"/>
  <c r="Z21" i="59"/>
  <c r="Y21" i="59"/>
  <c r="X21" i="59"/>
  <c r="V21" i="59"/>
  <c r="U21" i="59"/>
  <c r="T21" i="59"/>
  <c r="S21" i="59"/>
  <c r="Q21" i="59"/>
  <c r="P21" i="59"/>
  <c r="O21" i="59"/>
  <c r="N21" i="59"/>
  <c r="F21" i="59"/>
  <c r="E21" i="59"/>
  <c r="D21" i="59"/>
  <c r="C21" i="59"/>
  <c r="B21" i="59"/>
  <c r="AH20" i="59"/>
  <c r="AG20" i="59"/>
  <c r="AF20" i="59"/>
  <c r="AE20" i="59"/>
  <c r="AD20" i="59"/>
  <c r="AB20" i="59"/>
  <c r="AA20" i="59"/>
  <c r="Z20" i="59"/>
  <c r="Y20" i="59"/>
  <c r="X20" i="59"/>
  <c r="Q20" i="59"/>
  <c r="P20" i="59"/>
  <c r="O20" i="59"/>
  <c r="N20" i="59"/>
  <c r="F20" i="59"/>
  <c r="E20" i="59"/>
  <c r="D20" i="59"/>
  <c r="C20" i="59"/>
  <c r="B20" i="59"/>
  <c r="AH19" i="59"/>
  <c r="AG19" i="59"/>
  <c r="AF19" i="59"/>
  <c r="AE19" i="59"/>
  <c r="AD19" i="59"/>
  <c r="AB19" i="59"/>
  <c r="AA19" i="59"/>
  <c r="Z19" i="59"/>
  <c r="Y19" i="59"/>
  <c r="X19" i="59"/>
  <c r="Q19" i="59"/>
  <c r="P19" i="59"/>
  <c r="O19" i="59"/>
  <c r="N19" i="59"/>
  <c r="F19" i="59"/>
  <c r="E19" i="59"/>
  <c r="D19" i="59"/>
  <c r="C19" i="59"/>
  <c r="B19" i="59"/>
  <c r="AH18" i="59"/>
  <c r="AG18" i="59"/>
  <c r="AF18" i="59"/>
  <c r="AE18" i="59"/>
  <c r="AD18" i="59"/>
  <c r="AB18" i="59"/>
  <c r="AA18" i="59"/>
  <c r="Z18" i="59"/>
  <c r="Y18" i="59"/>
  <c r="X18" i="59"/>
  <c r="Q18" i="59"/>
  <c r="P18" i="59"/>
  <c r="O18" i="59"/>
  <c r="N18" i="59"/>
  <c r="F18" i="59"/>
  <c r="E18" i="59"/>
  <c r="D18" i="59"/>
  <c r="C18" i="59"/>
  <c r="B18" i="59"/>
  <c r="AH17" i="59"/>
  <c r="AG17" i="59"/>
  <c r="AF17" i="59"/>
  <c r="AE17" i="59"/>
  <c r="AD17" i="59"/>
  <c r="AB17" i="59"/>
  <c r="AA17" i="59"/>
  <c r="Z17" i="59"/>
  <c r="Y17" i="59"/>
  <c r="X17" i="59"/>
  <c r="V17" i="59"/>
  <c r="U17" i="59"/>
  <c r="T17" i="59"/>
  <c r="S17" i="59"/>
  <c r="Q17" i="59"/>
  <c r="P17" i="59"/>
  <c r="O17" i="59"/>
  <c r="N17" i="59"/>
  <c r="F17" i="59"/>
  <c r="E17" i="59"/>
  <c r="D17" i="59"/>
  <c r="C17" i="59"/>
  <c r="B17" i="59"/>
  <c r="AH16" i="59"/>
  <c r="AG16" i="59"/>
  <c r="AF16" i="59"/>
  <c r="AE16" i="59"/>
  <c r="AD16" i="59"/>
  <c r="AB16" i="59"/>
  <c r="AA16" i="59"/>
  <c r="Z16" i="59"/>
  <c r="Y16" i="59"/>
  <c r="X16" i="59"/>
  <c r="Q16" i="59"/>
  <c r="P16" i="59"/>
  <c r="O16" i="59"/>
  <c r="N16" i="59"/>
  <c r="F16" i="59"/>
  <c r="E16" i="59"/>
  <c r="D16" i="59"/>
  <c r="C16" i="59"/>
  <c r="B16" i="59"/>
  <c r="AH15" i="59"/>
  <c r="AG15" i="59"/>
  <c r="AF15" i="59"/>
  <c r="AE15" i="59"/>
  <c r="AD15" i="59"/>
  <c r="AB15" i="59"/>
  <c r="AA15" i="59"/>
  <c r="Z15" i="59"/>
  <c r="Y15" i="59"/>
  <c r="X15" i="59"/>
  <c r="Q15" i="59"/>
  <c r="P15" i="59"/>
  <c r="O15" i="59"/>
  <c r="N15" i="59"/>
  <c r="F15" i="59"/>
  <c r="E15" i="59"/>
  <c r="D15" i="59"/>
  <c r="C15" i="59"/>
  <c r="B15" i="59"/>
  <c r="AH14" i="59"/>
  <c r="AG14" i="59"/>
  <c r="AF14" i="59"/>
  <c r="AE14" i="59"/>
  <c r="AD14" i="59"/>
  <c r="AB14" i="59"/>
  <c r="AA14" i="59"/>
  <c r="Z14" i="59"/>
  <c r="Y14" i="59"/>
  <c r="X14" i="59"/>
  <c r="Q14" i="59"/>
  <c r="P14" i="59"/>
  <c r="O14" i="59"/>
  <c r="N14" i="59"/>
  <c r="F14" i="59"/>
  <c r="E14" i="59"/>
  <c r="D14" i="59"/>
  <c r="C14" i="59"/>
  <c r="B14" i="59"/>
  <c r="AH13" i="59"/>
  <c r="AG13" i="59"/>
  <c r="AF13" i="59"/>
  <c r="AE13" i="59"/>
  <c r="AD13" i="59"/>
  <c r="AB13" i="59"/>
  <c r="AA13" i="59"/>
  <c r="Z13" i="59"/>
  <c r="Y13" i="59"/>
  <c r="X13" i="59"/>
  <c r="V13" i="59"/>
  <c r="U13" i="59"/>
  <c r="T13" i="59"/>
  <c r="S13" i="59"/>
  <c r="Q13" i="59"/>
  <c r="P13" i="59"/>
  <c r="O13" i="59"/>
  <c r="N13" i="59"/>
  <c r="F13" i="59"/>
  <c r="E13" i="59"/>
  <c r="D13" i="59"/>
  <c r="C13" i="59"/>
  <c r="B13" i="59"/>
  <c r="AH12" i="59"/>
  <c r="AG12" i="59"/>
  <c r="AF12" i="59"/>
  <c r="AE12" i="59"/>
  <c r="AD12" i="59"/>
  <c r="AB12" i="59"/>
  <c r="AA12" i="59"/>
  <c r="Z12" i="59"/>
  <c r="Y12" i="59"/>
  <c r="X12" i="59"/>
  <c r="Q12" i="59"/>
  <c r="P12" i="59"/>
  <c r="O12" i="59"/>
  <c r="N12" i="59"/>
  <c r="F12" i="59"/>
  <c r="E12" i="59"/>
  <c r="D12" i="59"/>
  <c r="C12" i="59"/>
  <c r="B12" i="59"/>
  <c r="AH11" i="59"/>
  <c r="AG11" i="59"/>
  <c r="AF11" i="59"/>
  <c r="AE11" i="59"/>
  <c r="AD11" i="59"/>
  <c r="AB11" i="59"/>
  <c r="AA11" i="59"/>
  <c r="Z11" i="59"/>
  <c r="Y11" i="59"/>
  <c r="X11" i="59"/>
  <c r="Q11" i="59"/>
  <c r="P11" i="59"/>
  <c r="O11" i="59"/>
  <c r="N11" i="59"/>
  <c r="F11" i="59"/>
  <c r="E11" i="59"/>
  <c r="D11" i="59"/>
  <c r="C11" i="59"/>
  <c r="B11" i="59"/>
  <c r="AH10" i="59"/>
  <c r="AG10" i="59"/>
  <c r="AF10" i="59"/>
  <c r="AE10" i="59"/>
  <c r="AD10" i="59"/>
  <c r="AB10" i="59"/>
  <c r="AA10" i="59"/>
  <c r="Z10" i="59"/>
  <c r="Y10" i="59"/>
  <c r="X10" i="59"/>
  <c r="Q10" i="59"/>
  <c r="P10" i="59"/>
  <c r="O10" i="59"/>
  <c r="N10" i="59"/>
  <c r="F10" i="59"/>
  <c r="E10" i="59"/>
  <c r="D10" i="59"/>
  <c r="C10" i="59"/>
  <c r="B10" i="59"/>
  <c r="AH9" i="59"/>
  <c r="AG9" i="59"/>
  <c r="AF9" i="59"/>
  <c r="AE9" i="59"/>
  <c r="AD9" i="59"/>
  <c r="AB9" i="59"/>
  <c r="AA9" i="59"/>
  <c r="Z9" i="59"/>
  <c r="Y9" i="59"/>
  <c r="X9" i="59"/>
  <c r="V9" i="59"/>
  <c r="U9" i="59"/>
  <c r="T9" i="59"/>
  <c r="S9" i="59"/>
  <c r="Q9" i="59"/>
  <c r="P9" i="59"/>
  <c r="O9" i="59"/>
  <c r="N9" i="59"/>
  <c r="F9" i="59"/>
  <c r="E9" i="59"/>
  <c r="D9" i="59"/>
  <c r="C9" i="59"/>
  <c r="B9" i="59"/>
  <c r="AH8" i="59"/>
  <c r="AG8" i="59"/>
  <c r="AF8" i="59"/>
  <c r="AE8" i="59"/>
  <c r="AD8" i="59"/>
  <c r="AB8" i="59"/>
  <c r="AA8" i="59"/>
  <c r="Z8" i="59"/>
  <c r="Y8" i="59"/>
  <c r="X8" i="59"/>
  <c r="Q8" i="59"/>
  <c r="P8" i="59"/>
  <c r="O8" i="59"/>
  <c r="N8" i="59"/>
  <c r="F8" i="59"/>
  <c r="E8" i="59"/>
  <c r="D8" i="59"/>
  <c r="C8" i="59"/>
  <c r="B8" i="59"/>
  <c r="AH7" i="59"/>
  <c r="AG7" i="59"/>
  <c r="AF7" i="59"/>
  <c r="AE7" i="59"/>
  <c r="AD7" i="59"/>
  <c r="AB7" i="59"/>
  <c r="AA7" i="59"/>
  <c r="Z7" i="59"/>
  <c r="Y7" i="59"/>
  <c r="X7" i="59"/>
  <c r="Q7" i="59"/>
  <c r="P7" i="59"/>
  <c r="O7" i="59"/>
  <c r="N7" i="59"/>
  <c r="F7" i="59"/>
  <c r="E7" i="59"/>
  <c r="D7" i="59"/>
  <c r="C7" i="59"/>
  <c r="B7" i="59"/>
  <c r="AH6" i="59"/>
  <c r="AG6" i="59"/>
  <c r="AF6" i="59"/>
  <c r="AE6" i="59"/>
  <c r="AD6" i="59"/>
  <c r="AB6" i="59"/>
  <c r="AA6" i="59"/>
  <c r="Z6" i="59"/>
  <c r="Y6" i="59"/>
  <c r="X6" i="59"/>
  <c r="Q6" i="59"/>
  <c r="P6" i="59"/>
  <c r="O6" i="59"/>
  <c r="N6" i="59"/>
  <c r="F6" i="59"/>
  <c r="E6" i="59"/>
  <c r="D6" i="59"/>
  <c r="C6" i="59"/>
  <c r="B6" i="59"/>
  <c r="AH5" i="59"/>
  <c r="AG5" i="59"/>
  <c r="AF5" i="59"/>
  <c r="AE5" i="59"/>
  <c r="AD5" i="59"/>
  <c r="AB5" i="59"/>
  <c r="AA5" i="59"/>
  <c r="Z5" i="59"/>
  <c r="Y5" i="59"/>
  <c r="X5" i="59"/>
  <c r="V5" i="59"/>
  <c r="U5" i="59"/>
  <c r="T5" i="59"/>
  <c r="S5" i="59"/>
  <c r="Q5" i="59"/>
  <c r="P5" i="59"/>
  <c r="O5" i="59"/>
  <c r="N5" i="59"/>
  <c r="F5" i="59"/>
  <c r="E5" i="59"/>
  <c r="D5" i="59"/>
  <c r="C5" i="59"/>
  <c r="B5" i="59"/>
  <c r="AH3" i="59"/>
  <c r="AG3" i="59"/>
  <c r="AF3" i="59"/>
  <c r="AE3" i="59"/>
  <c r="AD3" i="59"/>
  <c r="AB3" i="59"/>
  <c r="AA3" i="59"/>
  <c r="Z3" i="59"/>
  <c r="Y3" i="59"/>
  <c r="X3" i="59"/>
  <c r="L3" i="59"/>
  <c r="K3" i="59"/>
  <c r="J3" i="59"/>
  <c r="I3" i="59"/>
  <c r="N370" i="45"/>
  <c r="N94" i="45"/>
  <c r="I16" i="48"/>
  <c r="I15" i="48"/>
  <c r="I14" i="48"/>
  <c r="I13" i="48"/>
  <c r="I12" i="48"/>
  <c r="I11" i="48"/>
  <c r="I10" i="48"/>
  <c r="I9" i="48"/>
  <c r="I8" i="48"/>
  <c r="I7" i="48"/>
  <c r="I6" i="48"/>
  <c r="I5" i="48"/>
  <c r="H73" i="49"/>
  <c r="M17" i="49"/>
  <c r="L17" i="49"/>
  <c r="K17" i="49"/>
  <c r="J17" i="49"/>
  <c r="I17" i="49"/>
  <c r="H17" i="49"/>
  <c r="G17" i="49"/>
  <c r="F17" i="49"/>
  <c r="E17" i="49"/>
  <c r="D17" i="49"/>
  <c r="C17" i="49"/>
  <c r="B17" i="49"/>
  <c r="M123" i="46"/>
  <c r="L123" i="46"/>
  <c r="K123" i="46"/>
  <c r="J123" i="46"/>
  <c r="I123" i="46"/>
  <c r="H123" i="46"/>
  <c r="G123" i="46"/>
  <c r="F123" i="46"/>
  <c r="E123" i="46"/>
  <c r="D123" i="46"/>
  <c r="C123" i="46"/>
  <c r="B123" i="46"/>
  <c r="M122" i="46"/>
  <c r="L122" i="46"/>
  <c r="K122" i="46"/>
  <c r="J122" i="46"/>
  <c r="I122" i="46"/>
  <c r="H122" i="46"/>
  <c r="G122" i="46"/>
  <c r="F122" i="46"/>
  <c r="E122" i="46"/>
  <c r="D122" i="46"/>
  <c r="C122" i="46"/>
  <c r="B122" i="46"/>
  <c r="M121" i="46"/>
  <c r="L121" i="46"/>
  <c r="K121" i="46"/>
  <c r="J121" i="46"/>
  <c r="I121" i="46"/>
  <c r="H121" i="46"/>
  <c r="G121" i="46"/>
  <c r="F121" i="46"/>
  <c r="E121" i="46"/>
  <c r="D121" i="46"/>
  <c r="C121" i="46"/>
  <c r="B121" i="46"/>
  <c r="M120" i="46"/>
  <c r="L120" i="46"/>
  <c r="K120" i="46"/>
  <c r="J120" i="46"/>
  <c r="I120" i="46"/>
  <c r="H120" i="46"/>
  <c r="G120" i="46"/>
  <c r="F120" i="46"/>
  <c r="E120" i="46"/>
  <c r="D120" i="46"/>
  <c r="C120" i="46"/>
  <c r="B120" i="46"/>
  <c r="M119" i="46"/>
  <c r="L119" i="46"/>
  <c r="K119" i="46"/>
  <c r="J119" i="46"/>
  <c r="I119" i="46"/>
  <c r="H119" i="46"/>
  <c r="G119" i="46"/>
  <c r="F119" i="46"/>
  <c r="E119" i="46"/>
  <c r="D119" i="46"/>
  <c r="C119" i="46"/>
  <c r="B119" i="46"/>
  <c r="H117" i="46"/>
  <c r="F117" i="46"/>
  <c r="D117" i="46"/>
  <c r="B117" i="46"/>
  <c r="N113" i="46"/>
  <c r="M113" i="46"/>
  <c r="L113" i="46"/>
  <c r="K113" i="46"/>
  <c r="J113" i="46"/>
  <c r="I113" i="46"/>
  <c r="H113" i="46"/>
  <c r="G113" i="46"/>
  <c r="F113" i="46"/>
  <c r="E113" i="46"/>
  <c r="D113" i="46"/>
  <c r="C113" i="46"/>
  <c r="N112" i="46"/>
  <c r="M112" i="46"/>
  <c r="L112" i="46"/>
  <c r="K112" i="46"/>
  <c r="J112" i="46"/>
  <c r="I112" i="46"/>
  <c r="H112" i="46"/>
  <c r="G112" i="46"/>
  <c r="F112" i="46"/>
  <c r="E112" i="46"/>
  <c r="D112" i="46"/>
  <c r="C112" i="46"/>
  <c r="N101" i="46"/>
  <c r="M101" i="46"/>
  <c r="K101" i="46"/>
  <c r="J101" i="46"/>
  <c r="H101" i="46"/>
  <c r="D101" i="46"/>
  <c r="B101" i="46"/>
  <c r="N100" i="46"/>
  <c r="M100" i="46"/>
  <c r="K100" i="46"/>
  <c r="J100" i="46"/>
  <c r="H100" i="46"/>
  <c r="D100" i="46"/>
  <c r="B100" i="46"/>
  <c r="N99" i="46"/>
  <c r="M99" i="46"/>
  <c r="K99" i="46"/>
  <c r="J99" i="46"/>
  <c r="H99" i="46"/>
  <c r="D99" i="46"/>
  <c r="B99" i="46"/>
  <c r="N98" i="46"/>
  <c r="M98" i="46"/>
  <c r="K98" i="46"/>
  <c r="J98" i="46"/>
  <c r="H98" i="46"/>
  <c r="D98" i="46"/>
  <c r="N97" i="46"/>
  <c r="M97" i="46"/>
  <c r="K97" i="46"/>
  <c r="J97" i="46"/>
  <c r="H97" i="46"/>
  <c r="D97" i="46"/>
  <c r="B97" i="46"/>
  <c r="N96" i="46"/>
  <c r="M96" i="46"/>
  <c r="K96" i="46"/>
  <c r="J96" i="46"/>
  <c r="H96" i="46"/>
  <c r="D96" i="46"/>
  <c r="N95" i="46"/>
  <c r="M95" i="46"/>
  <c r="K95" i="46"/>
  <c r="J95" i="46"/>
  <c r="H95" i="46"/>
  <c r="D95" i="46"/>
  <c r="B95" i="46"/>
  <c r="N94" i="46"/>
  <c r="M94" i="46"/>
  <c r="K94" i="46"/>
  <c r="J94" i="46"/>
  <c r="H94" i="46"/>
  <c r="D94" i="46"/>
  <c r="B94" i="46"/>
  <c r="N93" i="46"/>
  <c r="M93" i="46"/>
  <c r="K93" i="46"/>
  <c r="J93" i="46"/>
  <c r="H93" i="46"/>
  <c r="F93" i="46"/>
  <c r="E93" i="46"/>
  <c r="D93" i="46"/>
  <c r="B91" i="46"/>
  <c r="N90" i="46"/>
  <c r="M90" i="46"/>
  <c r="K90" i="46"/>
  <c r="J90" i="46"/>
  <c r="H90" i="46"/>
  <c r="D90" i="46"/>
  <c r="B90" i="46"/>
  <c r="N89" i="46"/>
  <c r="M89" i="46"/>
  <c r="K89" i="46"/>
  <c r="J89" i="46"/>
  <c r="H89" i="46"/>
  <c r="D89" i="46"/>
  <c r="N88" i="46"/>
  <c r="M88" i="46"/>
  <c r="K88" i="46"/>
  <c r="J88" i="46"/>
  <c r="H88" i="46"/>
  <c r="D88" i="46"/>
  <c r="B88" i="46"/>
  <c r="N87" i="46"/>
  <c r="M87" i="46"/>
  <c r="K87" i="46"/>
  <c r="J87" i="46"/>
  <c r="H87" i="46"/>
  <c r="D87" i="46"/>
  <c r="B87" i="46"/>
  <c r="N86" i="46"/>
  <c r="M86" i="46"/>
  <c r="K86" i="46"/>
  <c r="J86" i="46"/>
  <c r="H86" i="46"/>
  <c r="D86" i="46"/>
  <c r="B86" i="46"/>
  <c r="N85" i="46"/>
  <c r="M85" i="46"/>
  <c r="K85" i="46"/>
  <c r="J85" i="46"/>
  <c r="H85" i="46"/>
  <c r="D85" i="46"/>
  <c r="B85" i="46"/>
  <c r="N84" i="46"/>
  <c r="M84" i="46"/>
  <c r="K84" i="46"/>
  <c r="J84" i="46"/>
  <c r="H84" i="46"/>
  <c r="D84" i="46"/>
  <c r="B84" i="46"/>
  <c r="N83" i="46"/>
  <c r="M83" i="46"/>
  <c r="K83" i="46"/>
  <c r="J83" i="46"/>
  <c r="H83" i="46"/>
  <c r="F83" i="46"/>
  <c r="E83" i="46"/>
  <c r="D83" i="46"/>
  <c r="B83" i="46"/>
  <c r="B81" i="46"/>
  <c r="N80" i="46"/>
  <c r="M80" i="46"/>
  <c r="K80" i="46"/>
  <c r="J80" i="46"/>
  <c r="H80" i="46"/>
  <c r="D80" i="46"/>
  <c r="N79" i="46"/>
  <c r="M79" i="46"/>
  <c r="K79" i="46"/>
  <c r="J79" i="46"/>
  <c r="H79" i="46"/>
  <c r="D79" i="46"/>
  <c r="B79" i="46"/>
  <c r="N78" i="46"/>
  <c r="M78" i="46"/>
  <c r="K78" i="46"/>
  <c r="J78" i="46"/>
  <c r="H78" i="46"/>
  <c r="D78" i="46"/>
  <c r="N77" i="46"/>
  <c r="M77" i="46"/>
  <c r="K77" i="46"/>
  <c r="J77" i="46"/>
  <c r="H77" i="46"/>
  <c r="D77" i="46"/>
  <c r="B77" i="46"/>
  <c r="N76" i="46"/>
  <c r="M76" i="46"/>
  <c r="K76" i="46"/>
  <c r="J76" i="46"/>
  <c r="H76" i="46"/>
  <c r="D76" i="46"/>
  <c r="B76" i="46"/>
  <c r="N75" i="46"/>
  <c r="M75" i="46"/>
  <c r="K75" i="46"/>
  <c r="J75" i="46"/>
  <c r="H75" i="46"/>
  <c r="D75" i="46"/>
  <c r="B75" i="46"/>
  <c r="N74" i="46"/>
  <c r="M74" i="46"/>
  <c r="K74" i="46"/>
  <c r="J74" i="46"/>
  <c r="H74" i="46"/>
  <c r="D74" i="46"/>
  <c r="B74" i="46"/>
  <c r="N73" i="46"/>
  <c r="M73" i="46"/>
  <c r="K73" i="46"/>
  <c r="J73" i="46"/>
  <c r="H73" i="46"/>
  <c r="D73" i="46"/>
  <c r="B73" i="46"/>
  <c r="N72" i="46"/>
  <c r="M72" i="46"/>
  <c r="K72" i="46"/>
  <c r="J72" i="46"/>
  <c r="H72" i="46"/>
  <c r="F72" i="46"/>
  <c r="E72" i="46"/>
  <c r="D72" i="46"/>
  <c r="B72" i="46"/>
  <c r="B70" i="46"/>
  <c r="N69" i="46"/>
  <c r="M69" i="46"/>
  <c r="K69" i="46"/>
  <c r="J69" i="46"/>
  <c r="H69" i="46"/>
  <c r="D69" i="46"/>
  <c r="B69" i="46"/>
  <c r="N68" i="46"/>
  <c r="M68" i="46"/>
  <c r="K68" i="46"/>
  <c r="J68" i="46"/>
  <c r="H68" i="46"/>
  <c r="D68" i="46"/>
  <c r="B68" i="46"/>
  <c r="N67" i="46"/>
  <c r="M67" i="46"/>
  <c r="K67" i="46"/>
  <c r="J67" i="46"/>
  <c r="H67" i="46"/>
  <c r="D67" i="46"/>
  <c r="B67" i="46"/>
  <c r="N66" i="46"/>
  <c r="M66" i="46"/>
  <c r="K66" i="46"/>
  <c r="J66" i="46"/>
  <c r="H66" i="46"/>
  <c r="D66" i="46"/>
  <c r="N65" i="46"/>
  <c r="M65" i="46"/>
  <c r="K65" i="46"/>
  <c r="J65" i="46"/>
  <c r="H65" i="46"/>
  <c r="D65" i="46"/>
  <c r="B65" i="46"/>
  <c r="N64" i="46"/>
  <c r="M64" i="46"/>
  <c r="K64" i="46"/>
  <c r="J64" i="46"/>
  <c r="H64" i="46"/>
  <c r="D64" i="46"/>
  <c r="N63" i="46"/>
  <c r="M63" i="46"/>
  <c r="K63" i="46"/>
  <c r="J63" i="46"/>
  <c r="H63" i="46"/>
  <c r="D63" i="46"/>
  <c r="B63" i="46"/>
  <c r="N62" i="46"/>
  <c r="M62" i="46"/>
  <c r="K62" i="46"/>
  <c r="J62" i="46"/>
  <c r="H62" i="46"/>
  <c r="D62" i="46"/>
  <c r="B62" i="46"/>
  <c r="N61" i="46"/>
  <c r="M61" i="46"/>
  <c r="K61" i="46"/>
  <c r="J61" i="46"/>
  <c r="H61" i="46"/>
  <c r="F61" i="46"/>
  <c r="E61" i="46"/>
  <c r="D61" i="46"/>
  <c r="B61" i="46"/>
  <c r="B59" i="46"/>
  <c r="N58" i="46"/>
  <c r="M58" i="46"/>
  <c r="K58" i="46"/>
  <c r="J58" i="46"/>
  <c r="H58" i="46"/>
  <c r="D58" i="46"/>
  <c r="B58" i="46"/>
  <c r="N57" i="46"/>
  <c r="M57" i="46"/>
  <c r="K57" i="46"/>
  <c r="J57" i="46"/>
  <c r="H57" i="46"/>
  <c r="D57" i="46"/>
  <c r="B57" i="46"/>
  <c r="N56" i="46"/>
  <c r="M56" i="46"/>
  <c r="K56" i="46"/>
  <c r="J56" i="46"/>
  <c r="H56" i="46"/>
  <c r="D56" i="46"/>
  <c r="B56" i="46"/>
  <c r="N55" i="46"/>
  <c r="M55" i="46"/>
  <c r="K55" i="46"/>
  <c r="J55" i="46"/>
  <c r="H55" i="46"/>
  <c r="D55" i="46"/>
  <c r="N54" i="46"/>
  <c r="M54" i="46"/>
  <c r="K54" i="46"/>
  <c r="J54" i="46"/>
  <c r="H54" i="46"/>
  <c r="D54" i="46"/>
  <c r="B54" i="46"/>
  <c r="N53" i="46"/>
  <c r="M53" i="46"/>
  <c r="K53" i="46"/>
  <c r="J53" i="46"/>
  <c r="H53" i="46"/>
  <c r="D53" i="46"/>
  <c r="N52" i="46"/>
  <c r="M52" i="46"/>
  <c r="K52" i="46"/>
  <c r="J52" i="46"/>
  <c r="H52" i="46"/>
  <c r="D52" i="46"/>
  <c r="B52" i="46"/>
  <c r="N51" i="46"/>
  <c r="M51" i="46"/>
  <c r="K51" i="46"/>
  <c r="J51" i="46"/>
  <c r="H51" i="46"/>
  <c r="D51" i="46"/>
  <c r="B51" i="46"/>
  <c r="N50" i="46"/>
  <c r="M50" i="46"/>
  <c r="K50" i="46"/>
  <c r="J50" i="46"/>
  <c r="H50" i="46"/>
  <c r="F50" i="46"/>
  <c r="E50" i="46"/>
  <c r="D50" i="46"/>
  <c r="B50" i="46"/>
  <c r="B48" i="46"/>
  <c r="E44" i="46"/>
  <c r="C44" i="46"/>
  <c r="I42" i="46"/>
  <c r="H42" i="46"/>
  <c r="G42" i="46"/>
  <c r="F42" i="46"/>
  <c r="E42" i="46"/>
  <c r="C42" i="46"/>
  <c r="I41" i="46"/>
  <c r="H41" i="46"/>
  <c r="G41" i="46"/>
  <c r="F41" i="46"/>
  <c r="E41" i="46"/>
  <c r="C41" i="46"/>
  <c r="I40" i="46"/>
  <c r="H40" i="46"/>
  <c r="G40" i="46"/>
  <c r="F40" i="46"/>
  <c r="E40" i="46"/>
  <c r="C40" i="46"/>
  <c r="I39" i="46"/>
  <c r="H39" i="46"/>
  <c r="G39" i="46"/>
  <c r="F39" i="46"/>
  <c r="E39" i="46"/>
  <c r="C39" i="46"/>
  <c r="I38" i="46"/>
  <c r="H38" i="46"/>
  <c r="G38" i="46"/>
  <c r="F38" i="46"/>
  <c r="E38" i="46"/>
  <c r="C38" i="46"/>
  <c r="I37" i="46"/>
  <c r="H37" i="46"/>
  <c r="G37" i="46"/>
  <c r="F37" i="46"/>
  <c r="E37" i="46"/>
  <c r="C37" i="46"/>
  <c r="E34" i="46"/>
  <c r="C34" i="46"/>
  <c r="E33" i="46"/>
  <c r="C33" i="46"/>
  <c r="Q32" i="46"/>
  <c r="P32" i="46"/>
  <c r="O32" i="46"/>
  <c r="N32" i="46"/>
  <c r="M32" i="46"/>
  <c r="C31" i="46"/>
  <c r="C30" i="46"/>
  <c r="P29" i="46"/>
  <c r="P28" i="46"/>
  <c r="C28" i="46"/>
  <c r="P27" i="46"/>
  <c r="C27" i="46"/>
  <c r="P26" i="46"/>
  <c r="J26" i="46"/>
  <c r="H26" i="46"/>
  <c r="G26" i="46"/>
  <c r="F26" i="46"/>
  <c r="E26" i="46"/>
  <c r="D26" i="46"/>
  <c r="P25" i="46"/>
  <c r="C25" i="46"/>
  <c r="M24" i="46"/>
  <c r="J24" i="46"/>
  <c r="I24" i="46"/>
  <c r="G24" i="46"/>
  <c r="E24" i="46"/>
  <c r="C24" i="46"/>
  <c r="O23" i="46"/>
  <c r="M23" i="46"/>
  <c r="I23" i="46"/>
  <c r="G23" i="46"/>
  <c r="C23" i="46"/>
  <c r="C22" i="46"/>
  <c r="O21" i="46"/>
  <c r="N21" i="46"/>
  <c r="M21" i="46"/>
  <c r="L21" i="46"/>
  <c r="K21" i="46"/>
  <c r="J21" i="46"/>
  <c r="I21" i="46"/>
  <c r="H21" i="46"/>
  <c r="G21" i="46"/>
  <c r="E21" i="46"/>
  <c r="D21" i="46"/>
  <c r="C21" i="46"/>
  <c r="C20" i="46"/>
  <c r="I18" i="46"/>
  <c r="G18" i="46"/>
  <c r="G17" i="46"/>
  <c r="E17" i="46"/>
  <c r="C17" i="46"/>
  <c r="V16" i="46"/>
  <c r="T16" i="46"/>
  <c r="V15" i="46"/>
  <c r="T15" i="46"/>
  <c r="V14" i="46"/>
  <c r="T14" i="46"/>
  <c r="V13" i="46"/>
  <c r="T13" i="46"/>
  <c r="C13" i="46"/>
  <c r="V12" i="46"/>
  <c r="T12" i="46"/>
  <c r="N12" i="46"/>
  <c r="M12" i="46"/>
  <c r="V11" i="46"/>
  <c r="T11" i="46"/>
  <c r="N11" i="46"/>
  <c r="M11" i="46"/>
  <c r="E11" i="46"/>
  <c r="C11" i="46"/>
  <c r="AJ10" i="46"/>
  <c r="AI10" i="46"/>
  <c r="AH10" i="46"/>
  <c r="AG10" i="46"/>
  <c r="AF10" i="46"/>
  <c r="AE10" i="46"/>
  <c r="AD10" i="46"/>
  <c r="AC10" i="46"/>
  <c r="AB10" i="46"/>
  <c r="AA10" i="46"/>
  <c r="Z10" i="46"/>
  <c r="Y10" i="46"/>
  <c r="V10" i="46"/>
  <c r="T10" i="46"/>
  <c r="N10" i="46"/>
  <c r="M10" i="46"/>
  <c r="E10" i="46"/>
  <c r="C10" i="46"/>
  <c r="AJ9" i="46"/>
  <c r="AI9" i="46"/>
  <c r="AH9" i="46"/>
  <c r="AG9" i="46"/>
  <c r="AF9" i="46"/>
  <c r="AE9" i="46"/>
  <c r="AD9" i="46"/>
  <c r="AC9" i="46"/>
  <c r="AB9" i="46"/>
  <c r="AA9" i="46"/>
  <c r="Z9" i="46"/>
  <c r="V9" i="46"/>
  <c r="T9" i="46"/>
  <c r="N9" i="46"/>
  <c r="M9" i="46"/>
  <c r="E9" i="46"/>
  <c r="C9" i="46"/>
  <c r="V8" i="46"/>
  <c r="T8" i="46"/>
  <c r="N8" i="46"/>
  <c r="M8" i="46"/>
  <c r="E8" i="46"/>
  <c r="Z7" i="46"/>
  <c r="X7" i="46"/>
  <c r="V7" i="46"/>
  <c r="T7" i="46"/>
  <c r="N7" i="46"/>
  <c r="M7" i="46"/>
  <c r="C7" i="46"/>
  <c r="V6" i="46"/>
  <c r="T6" i="46"/>
  <c r="S6" i="46"/>
  <c r="N6" i="46"/>
  <c r="M6" i="46"/>
  <c r="C6" i="46"/>
  <c r="V5" i="46"/>
  <c r="T5" i="46"/>
  <c r="S5" i="46"/>
  <c r="N5" i="46"/>
  <c r="M5" i="46"/>
  <c r="D5" i="46"/>
  <c r="C5" i="46"/>
  <c r="V4" i="46"/>
  <c r="T4" i="46"/>
  <c r="S4" i="46"/>
  <c r="N4" i="46"/>
  <c r="M4" i="46"/>
  <c r="D4" i="46"/>
  <c r="B4" i="46"/>
  <c r="V3" i="46"/>
  <c r="T3" i="46"/>
  <c r="S3" i="46"/>
  <c r="N3" i="46"/>
  <c r="M3" i="46"/>
  <c r="G3" i="46"/>
  <c r="B3" i="46"/>
  <c r="V2" i="46"/>
  <c r="T2" i="46"/>
  <c r="S2" i="46"/>
  <c r="N2" i="46"/>
  <c r="M2" i="46"/>
  <c r="I2" i="46"/>
  <c r="G2" i="46"/>
  <c r="B2" i="46"/>
  <c r="N1" i="46"/>
  <c r="M1" i="46"/>
  <c r="D1" i="46"/>
  <c r="B121" i="40"/>
  <c r="B119" i="40"/>
  <c r="B117" i="40"/>
  <c r="M116" i="40"/>
  <c r="L116" i="40"/>
  <c r="K116" i="40"/>
  <c r="J116" i="40"/>
  <c r="I116" i="40"/>
  <c r="H116" i="40"/>
  <c r="G116" i="40"/>
  <c r="F116" i="40"/>
  <c r="E116" i="40"/>
  <c r="D116" i="40"/>
  <c r="M114" i="40"/>
  <c r="L114" i="40"/>
  <c r="K114" i="40"/>
  <c r="J114" i="40"/>
  <c r="I114" i="40"/>
  <c r="H114" i="40"/>
  <c r="G114" i="40"/>
  <c r="F114" i="40"/>
  <c r="E114" i="40"/>
  <c r="D114" i="40"/>
  <c r="M112" i="40"/>
  <c r="L112" i="40"/>
  <c r="K112" i="40"/>
  <c r="J112" i="40"/>
  <c r="I112" i="40"/>
  <c r="H112" i="40"/>
  <c r="G112" i="40"/>
  <c r="F112" i="40"/>
  <c r="E112" i="40"/>
  <c r="D112" i="40"/>
  <c r="M108" i="40"/>
  <c r="L108" i="40"/>
  <c r="K108" i="40"/>
  <c r="J108" i="40"/>
  <c r="I108" i="40"/>
  <c r="H108" i="40"/>
  <c r="G108" i="40"/>
  <c r="F108" i="40"/>
  <c r="E108" i="40"/>
  <c r="D108" i="40"/>
  <c r="C108" i="40"/>
  <c r="B106" i="40"/>
  <c r="B104" i="40"/>
  <c r="B102" i="40"/>
  <c r="M101" i="40"/>
  <c r="L101" i="40"/>
  <c r="K101" i="40"/>
  <c r="J101" i="40"/>
  <c r="I101" i="40"/>
  <c r="H101" i="40"/>
  <c r="G101" i="40"/>
  <c r="F101" i="40"/>
  <c r="E101" i="40"/>
  <c r="D101" i="40"/>
  <c r="M99" i="40"/>
  <c r="L99" i="40"/>
  <c r="K99" i="40"/>
  <c r="J99" i="40"/>
  <c r="I99" i="40"/>
  <c r="H99" i="40"/>
  <c r="G99" i="40"/>
  <c r="F99" i="40"/>
  <c r="E99" i="40"/>
  <c r="D99" i="40"/>
  <c r="M97" i="40"/>
  <c r="L97" i="40"/>
  <c r="K97" i="40"/>
  <c r="J97" i="40"/>
  <c r="I97" i="40"/>
  <c r="H97" i="40"/>
  <c r="G97" i="40"/>
  <c r="F97" i="40"/>
  <c r="E97" i="40"/>
  <c r="D97" i="40"/>
  <c r="B96" i="40"/>
  <c r="G95" i="40"/>
  <c r="F95" i="40"/>
  <c r="E95" i="40"/>
  <c r="D95" i="40"/>
  <c r="G93" i="40"/>
  <c r="F93" i="40"/>
  <c r="E93" i="40"/>
  <c r="D93" i="40"/>
  <c r="G91" i="40"/>
  <c r="F91" i="40"/>
  <c r="E91" i="40"/>
  <c r="D91" i="40"/>
  <c r="G89" i="40"/>
  <c r="F89" i="40"/>
  <c r="E89" i="40"/>
  <c r="D89" i="40"/>
  <c r="G87" i="40"/>
  <c r="F87" i="40"/>
  <c r="E87" i="40"/>
  <c r="D87" i="40"/>
  <c r="G85" i="40"/>
  <c r="F85" i="40"/>
  <c r="E85" i="40"/>
  <c r="D85" i="40"/>
  <c r="B82" i="40"/>
  <c r="B80" i="40"/>
  <c r="B78" i="40"/>
  <c r="M77" i="40"/>
  <c r="L77" i="40"/>
  <c r="K77" i="40"/>
  <c r="J77" i="40"/>
  <c r="I77" i="40"/>
  <c r="H77" i="40"/>
  <c r="G77" i="40"/>
  <c r="F77" i="40"/>
  <c r="E77" i="40"/>
  <c r="D77" i="40"/>
  <c r="M75" i="40"/>
  <c r="L75" i="40"/>
  <c r="K75" i="40"/>
  <c r="J75" i="40"/>
  <c r="I75" i="40"/>
  <c r="H75" i="40"/>
  <c r="G75" i="40"/>
  <c r="F75" i="40"/>
  <c r="E75" i="40"/>
  <c r="D75" i="40"/>
  <c r="C75" i="40"/>
  <c r="B67" i="40"/>
  <c r="N66" i="40"/>
  <c r="M66" i="40"/>
  <c r="L66" i="40"/>
  <c r="K66" i="40"/>
  <c r="J66" i="40"/>
  <c r="I66" i="40"/>
  <c r="H66" i="40"/>
  <c r="G66" i="40"/>
  <c r="F66" i="40"/>
  <c r="E66" i="40"/>
  <c r="D66" i="40"/>
  <c r="C66" i="40"/>
  <c r="N64" i="40"/>
  <c r="M64" i="40"/>
  <c r="L64" i="40"/>
  <c r="K64" i="40"/>
  <c r="J64" i="40"/>
  <c r="I64" i="40"/>
  <c r="H64" i="40"/>
  <c r="G64" i="40"/>
  <c r="F64" i="40"/>
  <c r="E64" i="40"/>
  <c r="D64" i="40"/>
  <c r="C64" i="40"/>
  <c r="F62" i="40"/>
  <c r="E62" i="40"/>
  <c r="I61" i="40"/>
  <c r="H61" i="40"/>
  <c r="F61" i="40"/>
  <c r="E61" i="40"/>
  <c r="C61" i="40"/>
  <c r="B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C56" i="40"/>
  <c r="B56" i="40"/>
  <c r="I55" i="40"/>
  <c r="H55" i="40"/>
  <c r="F55" i="40"/>
  <c r="C55" i="40"/>
  <c r="B55" i="40"/>
  <c r="I54" i="40"/>
  <c r="H54" i="40"/>
  <c r="F54" i="40"/>
  <c r="C54" i="40"/>
  <c r="B54" i="40"/>
  <c r="F53" i="40"/>
  <c r="E53" i="40"/>
  <c r="B53" i="40"/>
  <c r="J52" i="40"/>
  <c r="J50" i="40"/>
  <c r="I50" i="40"/>
  <c r="H50" i="40"/>
  <c r="G50" i="40"/>
  <c r="F50" i="40"/>
  <c r="E50" i="40"/>
  <c r="J49" i="40"/>
  <c r="I49" i="40"/>
  <c r="H49" i="40"/>
  <c r="G49" i="40"/>
  <c r="F49" i="40"/>
  <c r="E49" i="40"/>
  <c r="J48" i="40"/>
  <c r="I48" i="40"/>
  <c r="H48" i="40"/>
  <c r="G48" i="40"/>
  <c r="F48" i="40"/>
  <c r="E48" i="40"/>
  <c r="R45" i="40"/>
  <c r="P45" i="40"/>
  <c r="C45" i="40"/>
  <c r="V44" i="40"/>
  <c r="T44" i="40"/>
  <c r="R44" i="40"/>
  <c r="P44" i="40"/>
  <c r="K44" i="40"/>
  <c r="I44" i="40"/>
  <c r="G44" i="40"/>
  <c r="E44" i="40"/>
  <c r="C44" i="40"/>
  <c r="V43" i="40"/>
  <c r="T43" i="40"/>
  <c r="R43" i="40"/>
  <c r="P43" i="40"/>
  <c r="I43" i="40"/>
  <c r="G43" i="40"/>
  <c r="E43" i="40"/>
  <c r="AC42" i="40"/>
  <c r="AB42" i="40"/>
  <c r="AA42" i="40"/>
  <c r="Z42" i="40"/>
  <c r="W42" i="40"/>
  <c r="U42" i="40"/>
  <c r="S42" i="40"/>
  <c r="Q42" i="40"/>
  <c r="J42" i="40"/>
  <c r="H42" i="40"/>
  <c r="F42" i="40"/>
  <c r="AC41" i="40"/>
  <c r="AB41" i="40"/>
  <c r="AA41" i="40"/>
  <c r="Z41" i="40"/>
  <c r="W41" i="40"/>
  <c r="U41" i="40"/>
  <c r="S41" i="40"/>
  <c r="Q41" i="40"/>
  <c r="J41" i="40"/>
  <c r="H41" i="40"/>
  <c r="F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I36" i="40"/>
  <c r="H36" i="40"/>
  <c r="G36" i="40"/>
  <c r="F36" i="40"/>
  <c r="E36" i="40"/>
  <c r="C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C32" i="40"/>
  <c r="AC30" i="40"/>
  <c r="AB30" i="40"/>
  <c r="AA30" i="40"/>
  <c r="Z30" i="40"/>
  <c r="W30" i="40"/>
  <c r="U30" i="40"/>
  <c r="S30" i="40"/>
  <c r="Q30" i="40"/>
  <c r="J30" i="40"/>
  <c r="H30" i="40"/>
  <c r="F30" i="40"/>
  <c r="C30" i="40"/>
  <c r="AC29" i="40"/>
  <c r="AB29" i="40"/>
  <c r="AA29" i="40"/>
  <c r="Z29" i="40"/>
  <c r="W29" i="40"/>
  <c r="U29" i="40"/>
  <c r="S29" i="40"/>
  <c r="Q29" i="40"/>
  <c r="J29" i="40"/>
  <c r="H29" i="40"/>
  <c r="F29" i="40"/>
  <c r="AC27" i="40"/>
  <c r="AB27" i="40"/>
  <c r="AA27" i="40"/>
  <c r="Z27" i="40"/>
  <c r="W27" i="40"/>
  <c r="U27" i="40"/>
  <c r="S27" i="40"/>
  <c r="Q27" i="40"/>
  <c r="J27" i="40"/>
  <c r="H27" i="40"/>
  <c r="F27" i="40"/>
  <c r="C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6" i="40"/>
  <c r="AB16" i="40"/>
  <c r="AA16" i="40"/>
  <c r="Z16" i="40"/>
  <c r="W16" i="40"/>
  <c r="U16" i="40"/>
  <c r="S16" i="40"/>
  <c r="Q16" i="40"/>
  <c r="J16" i="40"/>
  <c r="H16" i="40"/>
  <c r="F16" i="40"/>
  <c r="AC15" i="40"/>
  <c r="AB15" i="40"/>
  <c r="AA15" i="40"/>
  <c r="Z15" i="40"/>
  <c r="W15" i="40"/>
  <c r="U15" i="40"/>
  <c r="S15" i="40"/>
  <c r="Q15" i="40"/>
  <c r="J15" i="40"/>
  <c r="H15" i="40"/>
  <c r="F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W10" i="40"/>
  <c r="U10" i="40"/>
  <c r="S10" i="40"/>
  <c r="J10" i="40"/>
  <c r="H10" i="40"/>
  <c r="F10" i="40"/>
  <c r="AC9" i="40"/>
  <c r="AB9" i="40"/>
  <c r="AA9" i="40"/>
  <c r="W9" i="40"/>
  <c r="U9" i="40"/>
  <c r="S9" i="40"/>
  <c r="J9" i="40"/>
  <c r="I9" i="40"/>
  <c r="H9" i="40"/>
  <c r="G9" i="40"/>
  <c r="F9" i="40"/>
  <c r="E9" i="40"/>
  <c r="C9" i="40"/>
  <c r="I7" i="40"/>
  <c r="G7" i="40"/>
  <c r="E7" i="40"/>
  <c r="B5" i="40"/>
  <c r="B4" i="40"/>
  <c r="B3" i="40"/>
  <c r="B2" i="40"/>
  <c r="B132" i="39"/>
  <c r="B130" i="39"/>
  <c r="B128" i="39"/>
  <c r="M127" i="39"/>
  <c r="L127" i="39"/>
  <c r="K127" i="39"/>
  <c r="J127" i="39"/>
  <c r="I127" i="39"/>
  <c r="H127" i="39"/>
  <c r="G127" i="39"/>
  <c r="F127" i="39"/>
  <c r="E127" i="39"/>
  <c r="D127"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7" i="39"/>
  <c r="L117" i="39"/>
  <c r="K117" i="39"/>
  <c r="J117" i="39"/>
  <c r="I117" i="39"/>
  <c r="H117" i="39"/>
  <c r="G117" i="39"/>
  <c r="F117" i="39"/>
  <c r="E117" i="39"/>
  <c r="D117" i="39"/>
  <c r="C117" i="39"/>
  <c r="B115" i="39"/>
  <c r="B113" i="39"/>
  <c r="B111" i="39"/>
  <c r="M110" i="39"/>
  <c r="L110" i="39"/>
  <c r="K110" i="39"/>
  <c r="J110" i="39"/>
  <c r="I110" i="39"/>
  <c r="H110" i="39"/>
  <c r="G110" i="39"/>
  <c r="F110" i="39"/>
  <c r="E110" i="39"/>
  <c r="D110" i="39"/>
  <c r="M108" i="39"/>
  <c r="L108" i="39"/>
  <c r="K108" i="39"/>
  <c r="J108" i="39"/>
  <c r="I108" i="39"/>
  <c r="H108" i="39"/>
  <c r="G108" i="39"/>
  <c r="F108" i="39"/>
  <c r="E108" i="39"/>
  <c r="D108" i="39"/>
  <c r="M106" i="39"/>
  <c r="L106" i="39"/>
  <c r="K106" i="39"/>
  <c r="J106" i="39"/>
  <c r="I106" i="39"/>
  <c r="H106" i="39"/>
  <c r="G106" i="39"/>
  <c r="F106" i="39"/>
  <c r="E106" i="39"/>
  <c r="D106" i="39"/>
  <c r="B105" i="39"/>
  <c r="G104" i="39"/>
  <c r="F104" i="39"/>
  <c r="E104" i="39"/>
  <c r="D104"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B87" i="39"/>
  <c r="B85" i="39"/>
  <c r="B83" i="39"/>
  <c r="M82" i="39"/>
  <c r="L82" i="39"/>
  <c r="K82" i="39"/>
  <c r="J82" i="39"/>
  <c r="I82" i="39"/>
  <c r="H82" i="39"/>
  <c r="G82" i="39"/>
  <c r="F82" i="39"/>
  <c r="E82" i="39"/>
  <c r="D82" i="39"/>
  <c r="M80" i="39"/>
  <c r="L80" i="39"/>
  <c r="K80" i="39"/>
  <c r="J80" i="39"/>
  <c r="I80" i="39"/>
  <c r="H80" i="39"/>
  <c r="G80" i="39"/>
  <c r="F80" i="39"/>
  <c r="E80" i="39"/>
  <c r="D80" i="39"/>
  <c r="C80" i="39"/>
  <c r="B72" i="39"/>
  <c r="N71" i="39"/>
  <c r="M71" i="39"/>
  <c r="L71" i="39"/>
  <c r="K71" i="39"/>
  <c r="J71" i="39"/>
  <c r="I71" i="39"/>
  <c r="H71" i="39"/>
  <c r="G71" i="39"/>
  <c r="F71" i="39"/>
  <c r="E71" i="39"/>
  <c r="D71" i="39"/>
  <c r="C71" i="39"/>
  <c r="N69" i="39"/>
  <c r="M69" i="39"/>
  <c r="L69" i="39"/>
  <c r="K69" i="39"/>
  <c r="J69" i="39"/>
  <c r="I69" i="39"/>
  <c r="H69" i="39"/>
  <c r="G69" i="39"/>
  <c r="F69" i="39"/>
  <c r="E69" i="39"/>
  <c r="D69" i="39"/>
  <c r="C69" i="39"/>
  <c r="F67" i="39"/>
  <c r="E67" i="39"/>
  <c r="I66" i="39"/>
  <c r="H66" i="39"/>
  <c r="F66" i="39"/>
  <c r="E66" i="39"/>
  <c r="C66" i="39"/>
  <c r="B66" i="39"/>
  <c r="I65" i="39"/>
  <c r="H65" i="39"/>
  <c r="F65" i="39"/>
  <c r="E65" i="39"/>
  <c r="C65" i="39"/>
  <c r="B65" i="39"/>
  <c r="I64" i="39"/>
  <c r="H64" i="39"/>
  <c r="F64" i="39"/>
  <c r="E64" i="39"/>
  <c r="C64" i="39"/>
  <c r="B64" i="39"/>
  <c r="I63" i="39"/>
  <c r="H63" i="39"/>
  <c r="F63" i="39"/>
  <c r="E63" i="39"/>
  <c r="C63" i="39"/>
  <c r="B63" i="39"/>
  <c r="I62" i="39"/>
  <c r="H62" i="39"/>
  <c r="F62" i="39"/>
  <c r="E62" i="39"/>
  <c r="C62" i="39"/>
  <c r="B62" i="39"/>
  <c r="I61" i="39"/>
  <c r="H61" i="39"/>
  <c r="F61" i="39"/>
  <c r="C61" i="39"/>
  <c r="B61" i="39"/>
  <c r="I60" i="39"/>
  <c r="H60" i="39"/>
  <c r="F60" i="39"/>
  <c r="C60" i="39"/>
  <c r="B60" i="39"/>
  <c r="I59" i="39"/>
  <c r="H59" i="39"/>
  <c r="F59" i="39"/>
  <c r="C59" i="39"/>
  <c r="B59" i="39"/>
  <c r="F58" i="39"/>
  <c r="E58" i="39"/>
  <c r="B58" i="39"/>
  <c r="J57" i="39"/>
  <c r="J55" i="39"/>
  <c r="I55" i="39"/>
  <c r="H55" i="39"/>
  <c r="G55" i="39"/>
  <c r="F55" i="39"/>
  <c r="E55" i="39"/>
  <c r="J54" i="39"/>
  <c r="I54" i="39"/>
  <c r="H54" i="39"/>
  <c r="G54" i="39"/>
  <c r="F54" i="39"/>
  <c r="E54" i="39"/>
  <c r="J53" i="39"/>
  <c r="I53" i="39"/>
  <c r="H53" i="39"/>
  <c r="G53" i="39"/>
  <c r="F53" i="39"/>
  <c r="E53" i="39"/>
  <c r="R50" i="39"/>
  <c r="P50" i="39"/>
  <c r="C50" i="39"/>
  <c r="V49" i="39"/>
  <c r="T49" i="39"/>
  <c r="R49" i="39"/>
  <c r="P49" i="39"/>
  <c r="K49" i="39"/>
  <c r="I49" i="39"/>
  <c r="G49" i="39"/>
  <c r="E49" i="39"/>
  <c r="C49" i="39"/>
  <c r="V48" i="39"/>
  <c r="T48" i="39"/>
  <c r="R48" i="39"/>
  <c r="P48" i="39"/>
  <c r="AC47" i="39"/>
  <c r="AB47" i="39"/>
  <c r="AA47" i="39"/>
  <c r="Z47" i="39"/>
  <c r="W47" i="39"/>
  <c r="U47" i="39"/>
  <c r="S47" i="39"/>
  <c r="Q47" i="39"/>
  <c r="J47" i="39"/>
  <c r="H47" i="39"/>
  <c r="F47" i="39"/>
  <c r="AC46" i="39"/>
  <c r="AB46" i="39"/>
  <c r="AA46" i="39"/>
  <c r="Z46" i="39"/>
  <c r="W46" i="39"/>
  <c r="U46" i="39"/>
  <c r="S46" i="39"/>
  <c r="Q46" i="39"/>
  <c r="J46" i="39"/>
  <c r="H46" i="39"/>
  <c r="F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4" i="39"/>
  <c r="AB34" i="39"/>
  <c r="AA34" i="39"/>
  <c r="Z34" i="39"/>
  <c r="W34" i="39"/>
  <c r="U34" i="39"/>
  <c r="S34" i="39"/>
  <c r="Q34" i="39"/>
  <c r="J34" i="39"/>
  <c r="H34" i="39"/>
  <c r="F34" i="39"/>
  <c r="AC33" i="39"/>
  <c r="AB33" i="39"/>
  <c r="AA33" i="39"/>
  <c r="Z33" i="39"/>
  <c r="W33" i="39"/>
  <c r="U33" i="39"/>
  <c r="S33" i="39"/>
  <c r="Q33" i="39"/>
  <c r="J33" i="39"/>
  <c r="H33" i="39"/>
  <c r="F33" i="39"/>
  <c r="AC31" i="39"/>
  <c r="AB31" i="39"/>
  <c r="AA31" i="39"/>
  <c r="Z31" i="39"/>
  <c r="W31" i="39"/>
  <c r="U31" i="39"/>
  <c r="S31" i="39"/>
  <c r="Q31" i="39"/>
  <c r="J31" i="39"/>
  <c r="H31" i="39"/>
  <c r="F31" i="39"/>
  <c r="C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6" i="39"/>
  <c r="AB16" i="39"/>
  <c r="AA16" i="39"/>
  <c r="Z16" i="39"/>
  <c r="W16" i="39"/>
  <c r="U16" i="39"/>
  <c r="S16" i="39"/>
  <c r="Q16" i="39"/>
  <c r="J16" i="39"/>
  <c r="H16" i="39"/>
  <c r="F16" i="39"/>
  <c r="AC15" i="39"/>
  <c r="AB15" i="39"/>
  <c r="AA15" i="39"/>
  <c r="Z15" i="39"/>
  <c r="W15" i="39"/>
  <c r="U15" i="39"/>
  <c r="S15" i="39"/>
  <c r="Q15" i="39"/>
  <c r="J15" i="39"/>
  <c r="H15" i="39"/>
  <c r="F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W10" i="39"/>
  <c r="U10" i="39"/>
  <c r="S10" i="39"/>
  <c r="J10" i="39"/>
  <c r="H10" i="39"/>
  <c r="F10" i="39"/>
  <c r="AC9" i="39"/>
  <c r="AB9" i="39"/>
  <c r="AA9" i="39"/>
  <c r="W9" i="39"/>
  <c r="U9" i="39"/>
  <c r="S9" i="39"/>
  <c r="J9" i="39"/>
  <c r="H9" i="39"/>
  <c r="F9" i="39"/>
  <c r="C9" i="39"/>
  <c r="B5" i="39"/>
  <c r="B4" i="39"/>
  <c r="B3" i="39"/>
  <c r="B2" i="39"/>
  <c r="F26" i="43"/>
  <c r="F25" i="43"/>
  <c r="C25" i="43"/>
  <c r="F24" i="43"/>
  <c r="C24" i="43"/>
  <c r="F21" i="43"/>
  <c r="F19" i="43"/>
  <c r="F17" i="43"/>
  <c r="E16" i="43"/>
  <c r="D16" i="43"/>
  <c r="C16" i="43" s="1"/>
  <c r="F15" i="43"/>
  <c r="C15" i="43"/>
  <c r="F14" i="43"/>
  <c r="K9" i="43"/>
  <c r="J9" i="43"/>
  <c r="I9" i="43"/>
  <c r="H9" i="43"/>
  <c r="G9" i="43"/>
  <c r="F9" i="43"/>
  <c r="E9" i="43"/>
  <c r="D9" i="43"/>
  <c r="C9" i="43"/>
  <c r="C6" i="43"/>
  <c r="K1" i="43"/>
  <c r="F33" i="12"/>
  <c r="C34" i="12" s="1"/>
  <c r="D33" i="12" s="1"/>
  <c r="F29" i="12"/>
  <c r="F25" i="12"/>
  <c r="C25" i="12"/>
  <c r="F24" i="12"/>
  <c r="F23" i="12"/>
  <c r="E22" i="12"/>
  <c r="D22" i="12"/>
  <c r="C22" i="12" s="1"/>
  <c r="E21" i="12"/>
  <c r="D21" i="12"/>
  <c r="C21" i="12" s="1"/>
  <c r="E19" i="12"/>
  <c r="F17" i="12"/>
  <c r="E16" i="12"/>
  <c r="D16" i="12"/>
  <c r="D19" i="12" s="1"/>
  <c r="C19" i="12" s="1"/>
  <c r="F15" i="12"/>
  <c r="C15" i="12"/>
  <c r="F14" i="12"/>
  <c r="K9" i="12"/>
  <c r="J9" i="12"/>
  <c r="I9" i="12"/>
  <c r="H9" i="12"/>
  <c r="G9" i="12"/>
  <c r="F9" i="12"/>
  <c r="E9" i="12"/>
  <c r="D9" i="12"/>
  <c r="C9" i="12"/>
  <c r="K1" i="12"/>
  <c r="C112" i="9"/>
  <c r="D111" i="9"/>
  <c r="C110" i="9"/>
  <c r="C109" i="9"/>
  <c r="E108" i="9"/>
  <c r="D107" i="9"/>
  <c r="C107" i="9"/>
  <c r="C105" i="9"/>
  <c r="D96" i="9"/>
  <c r="H95" i="9"/>
  <c r="D95" i="9"/>
  <c r="C95" i="9"/>
  <c r="C94" i="9"/>
  <c r="C92" i="9"/>
  <c r="D86" i="9"/>
  <c r="K81" i="9"/>
  <c r="K79" i="9"/>
  <c r="K77" i="9"/>
  <c r="F77" i="9"/>
  <c r="E77" i="9"/>
  <c r="D77" i="9"/>
  <c r="N75" i="9" s="1"/>
  <c r="O76" i="9"/>
  <c r="N76" i="9"/>
  <c r="L76" i="9"/>
  <c r="K76" i="9"/>
  <c r="P75" i="9"/>
  <c r="O75" i="9"/>
  <c r="L75" i="9"/>
  <c r="K75" i="9"/>
  <c r="P74" i="9"/>
  <c r="O74" i="9"/>
  <c r="F74" i="9"/>
  <c r="P73" i="9"/>
  <c r="O73" i="9"/>
  <c r="I73" i="9"/>
  <c r="F73" i="9"/>
  <c r="P72" i="9"/>
  <c r="O72" i="9"/>
  <c r="F72" i="9"/>
  <c r="F71" i="9"/>
  <c r="F70" i="9"/>
  <c r="N67" i="9"/>
  <c r="F66" i="9"/>
  <c r="E66" i="9"/>
  <c r="D66" i="9"/>
  <c r="N72" i="9" s="1"/>
  <c r="K47" i="9"/>
  <c r="E46" i="9"/>
  <c r="C46" i="9"/>
  <c r="D46" i="9" s="1"/>
  <c r="A46" i="9"/>
  <c r="F45" i="9"/>
  <c r="D45" i="9"/>
  <c r="C45" i="9"/>
  <c r="E45" i="9" s="1"/>
  <c r="A45" i="9"/>
  <c r="M44" i="9"/>
  <c r="K44" i="9"/>
  <c r="A44" i="9"/>
  <c r="M43" i="9"/>
  <c r="K43" i="9"/>
  <c r="C43" i="9"/>
  <c r="K41" i="9"/>
  <c r="O40" i="9"/>
  <c r="K40" i="9"/>
  <c r="K39" i="9"/>
  <c r="L38" i="9"/>
  <c r="K38" i="9"/>
  <c r="K31" i="9"/>
  <c r="K32" i="9" s="1"/>
  <c r="C25" i="9"/>
  <c r="C24" i="9"/>
  <c r="D18" i="9"/>
  <c r="C18" i="9"/>
  <c r="D17" i="9"/>
  <c r="C17" i="9"/>
  <c r="M4" i="9"/>
  <c r="L4" i="9"/>
  <c r="A2" i="9"/>
  <c r="F23" i="66"/>
  <c r="E23" i="66"/>
  <c r="F22" i="66"/>
  <c r="E22" i="66"/>
  <c r="F21" i="66"/>
  <c r="E21" i="66"/>
  <c r="F20" i="66"/>
  <c r="E20" i="66"/>
  <c r="F19" i="66"/>
  <c r="E19" i="66"/>
  <c r="F18" i="66"/>
  <c r="E18" i="66"/>
  <c r="F17" i="66"/>
  <c r="E17" i="66"/>
  <c r="F16" i="66"/>
  <c r="E16" i="66"/>
  <c r="F15" i="66"/>
  <c r="E15" i="66"/>
  <c r="C14" i="66"/>
  <c r="B14" i="66"/>
  <c r="D8" i="66"/>
  <c r="C8" i="66"/>
  <c r="B8" i="66"/>
  <c r="D7" i="66"/>
  <c r="C7" i="66"/>
  <c r="B7" i="66"/>
  <c r="B3" i="66"/>
  <c r="B2" i="66"/>
  <c r="B1" i="66"/>
  <c r="C24" i="20"/>
  <c r="C22" i="20"/>
  <c r="C21" i="20"/>
  <c r="G20" i="20"/>
  <c r="C20" i="20"/>
  <c r="G19" i="20"/>
  <c r="G18" i="20"/>
  <c r="C18" i="20"/>
  <c r="C17" i="20"/>
  <c r="G16" i="20"/>
  <c r="C16" i="20"/>
  <c r="G15" i="20"/>
  <c r="C15" i="20"/>
  <c r="B52" i="1"/>
  <c r="B43" i="1"/>
  <c r="C42" i="1"/>
  <c r="B41" i="1"/>
  <c r="B31" i="1"/>
  <c r="B24" i="1"/>
  <c r="B23" i="1"/>
  <c r="B22" i="1"/>
  <c r="C2" i="65" s="1"/>
  <c r="I1" i="65" s="1"/>
  <c r="AP16" i="1"/>
  <c r="T16" i="1"/>
  <c r="S16" i="1"/>
  <c r="R16" i="1"/>
  <c r="Q16" i="1"/>
  <c r="K16" i="1"/>
  <c r="H16" i="1"/>
  <c r="G16" i="1"/>
  <c r="K15" i="1"/>
  <c r="P14" i="1"/>
  <c r="O14" i="1"/>
  <c r="M14" i="1"/>
  <c r="K14" i="1"/>
  <c r="AP13" i="1"/>
  <c r="AG13" i="1"/>
  <c r="AE13" i="1"/>
  <c r="T13" i="1"/>
  <c r="S13" i="1"/>
  <c r="R13" i="1"/>
  <c r="P13" i="1"/>
  <c r="O13" i="1"/>
  <c r="M13" i="1"/>
  <c r="K13" i="1"/>
  <c r="G13" i="1"/>
  <c r="F13" i="1"/>
  <c r="E13" i="1"/>
  <c r="D13" i="1"/>
  <c r="B13" i="1"/>
  <c r="A13" i="1"/>
  <c r="AP12" i="1"/>
  <c r="AG12" i="1"/>
  <c r="AE12" i="1"/>
  <c r="T12" i="1"/>
  <c r="S12" i="1"/>
  <c r="R12" i="1"/>
  <c r="P12" i="1"/>
  <c r="O12" i="1"/>
  <c r="M12" i="1"/>
  <c r="K12" i="1"/>
  <c r="G12" i="1"/>
  <c r="F12" i="1"/>
  <c r="E12" i="1"/>
  <c r="D12" i="1"/>
  <c r="B12" i="1"/>
  <c r="A12" i="1"/>
  <c r="AP11" i="1"/>
  <c r="AG11" i="1"/>
  <c r="AE11" i="1"/>
  <c r="T11" i="1"/>
  <c r="S11" i="1"/>
  <c r="R11" i="1"/>
  <c r="P11" i="1"/>
  <c r="O11" i="1"/>
  <c r="M11" i="1"/>
  <c r="K11" i="1"/>
  <c r="G11" i="1"/>
  <c r="F11" i="1"/>
  <c r="E11" i="1"/>
  <c r="D11" i="1"/>
  <c r="B11" i="1"/>
  <c r="A11" i="1"/>
  <c r="AP10" i="1"/>
  <c r="AG10" i="1"/>
  <c r="AE10" i="1"/>
  <c r="T10" i="1"/>
  <c r="S10" i="1"/>
  <c r="R10" i="1"/>
  <c r="P10" i="1"/>
  <c r="O10" i="1"/>
  <c r="M10" i="1"/>
  <c r="K10" i="1"/>
  <c r="G10" i="1"/>
  <c r="F10" i="1"/>
  <c r="E10" i="1"/>
  <c r="D10" i="1"/>
  <c r="B10" i="1"/>
  <c r="A10" i="1"/>
  <c r="AP9" i="1"/>
  <c r="AG9" i="1"/>
  <c r="AE9" i="1"/>
  <c r="T9" i="1"/>
  <c r="S9" i="1"/>
  <c r="R9" i="1"/>
  <c r="P9" i="1"/>
  <c r="O9" i="1"/>
  <c r="M9" i="1"/>
  <c r="K9" i="1"/>
  <c r="G9" i="1"/>
  <c r="F9" i="1"/>
  <c r="E9" i="1"/>
  <c r="D9" i="1"/>
  <c r="B9" i="1"/>
  <c r="A9" i="1"/>
  <c r="AP8" i="1"/>
  <c r="AG8" i="1"/>
  <c r="AE8" i="1"/>
  <c r="T8" i="1"/>
  <c r="S8" i="1"/>
  <c r="R8" i="1"/>
  <c r="P8" i="1"/>
  <c r="O8" i="1"/>
  <c r="M8" i="1"/>
  <c r="K8" i="1"/>
  <c r="G8" i="1"/>
  <c r="F8" i="1"/>
  <c r="E8" i="1"/>
  <c r="D8" i="1"/>
  <c r="B8" i="1"/>
  <c r="A8" i="1"/>
  <c r="AP7" i="1"/>
  <c r="AG7" i="1"/>
  <c r="AE7" i="1"/>
  <c r="T7" i="1"/>
  <c r="S7" i="1"/>
  <c r="R7" i="1"/>
  <c r="P7" i="1"/>
  <c r="O7" i="1"/>
  <c r="M7" i="1"/>
  <c r="K7" i="1"/>
  <c r="G7" i="1"/>
  <c r="F7" i="1"/>
  <c r="E7" i="1"/>
  <c r="D7" i="1"/>
  <c r="B7" i="1"/>
  <c r="A7" i="1"/>
  <c r="AP6" i="1"/>
  <c r="AG6" i="1"/>
  <c r="T6" i="1"/>
  <c r="S6" i="1"/>
  <c r="R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I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A3" i="3"/>
  <c r="T41" i="4"/>
  <c r="R41" i="4"/>
  <c r="Q41" i="4"/>
  <c r="P41" i="4"/>
  <c r="O41" i="4"/>
  <c r="N41" i="4"/>
  <c r="M41" i="4"/>
  <c r="L41" i="4"/>
  <c r="F41" i="4"/>
  <c r="T40" i="4"/>
  <c r="K40" i="4"/>
  <c r="C39" i="4"/>
  <c r="D38" i="4"/>
  <c r="G36" i="4"/>
  <c r="C35" i="4"/>
  <c r="L26" i="4"/>
  <c r="L25" i="4"/>
  <c r="L24" i="4"/>
  <c r="F23" i="4"/>
  <c r="C22" i="4"/>
  <c r="C21" i="4"/>
  <c r="I19" i="4"/>
  <c r="H19" i="4"/>
  <c r="G19" i="4"/>
  <c r="F19" i="4"/>
  <c r="E19" i="4"/>
  <c r="D19" i="4"/>
  <c r="C19" i="4"/>
  <c r="K17" i="4"/>
  <c r="U16" i="4"/>
  <c r="T16" i="4"/>
  <c r="S16" i="4"/>
  <c r="R16" i="4"/>
  <c r="Q16" i="4"/>
  <c r="P16" i="4"/>
  <c r="O16" i="4"/>
  <c r="N16" i="4"/>
  <c r="M16" i="4"/>
  <c r="L16" i="4"/>
  <c r="K16" i="4"/>
  <c r="D14" i="4"/>
  <c r="K6" i="4"/>
  <c r="K4" i="4"/>
  <c r="I4" i="4"/>
  <c r="G4" i="4"/>
  <c r="E4" i="4"/>
  <c r="C4" i="4"/>
  <c r="K2" i="4"/>
  <c r="K1" i="4"/>
  <c r="B1" i="4"/>
  <c r="G25" i="69"/>
  <c r="F25" i="69"/>
  <c r="E25" i="69"/>
  <c r="G24" i="69"/>
  <c r="F24" i="69"/>
  <c r="E24" i="69"/>
  <c r="G23" i="69"/>
  <c r="F23" i="69"/>
  <c r="E23" i="69"/>
  <c r="G22" i="69"/>
  <c r="E22" i="69"/>
  <c r="C18" i="69"/>
  <c r="B18" i="69"/>
  <c r="C15" i="69"/>
  <c r="B15" i="69"/>
  <c r="F12" i="69"/>
  <c r="F11" i="69"/>
  <c r="D7" i="69"/>
  <c r="C7" i="69"/>
  <c r="D6" i="69"/>
  <c r="C6" i="69"/>
  <c r="D5" i="69"/>
  <c r="C5" i="69"/>
  <c r="B3" i="69"/>
  <c r="C57" i="10"/>
  <c r="C56" i="10"/>
  <c r="C55" i="10"/>
  <c r="C54" i="10"/>
  <c r="C53" i="10"/>
  <c r="D51" i="10"/>
  <c r="C51" i="10"/>
  <c r="B51" i="10"/>
  <c r="B2" i="52"/>
  <c r="B14" i="52" s="1"/>
  <c r="B21" i="55"/>
  <c r="A21" i="55"/>
  <c r="B20" i="55"/>
  <c r="B70" i="63" s="1"/>
  <c r="A20" i="55"/>
  <c r="A16" i="55"/>
  <c r="A15" i="55"/>
  <c r="A14" i="55"/>
  <c r="A11" i="55"/>
  <c r="A10" i="55"/>
  <c r="A9" i="55"/>
  <c r="A8" i="55"/>
  <c r="A4" i="55"/>
  <c r="A3" i="55"/>
  <c r="A2" i="55"/>
  <c r="A8" i="54"/>
  <c r="R7" i="54"/>
  <c r="A7" i="54"/>
  <c r="A6" i="54"/>
  <c r="O5" i="54"/>
  <c r="N5" i="54"/>
  <c r="M5" i="54"/>
  <c r="L5" i="54"/>
  <c r="K5" i="54"/>
  <c r="G5" i="54"/>
  <c r="E5" i="54"/>
  <c r="N3" i="54"/>
  <c r="R2" i="54"/>
  <c r="K2" i="54"/>
  <c r="A30" i="64"/>
  <c r="A28" i="64"/>
  <c r="A27" i="64"/>
  <c r="A26" i="64"/>
  <c r="A25" i="64"/>
  <c r="A21" i="64"/>
  <c r="A20" i="64"/>
  <c r="A18" i="64"/>
  <c r="A17" i="64"/>
  <c r="A15" i="64"/>
  <c r="A14" i="64"/>
  <c r="A11" i="64"/>
  <c r="A9" i="64"/>
  <c r="A6" i="64"/>
  <c r="A4" i="64"/>
  <c r="A3" i="64"/>
  <c r="A30" i="51"/>
  <c r="A28" i="51"/>
  <c r="A27" i="51"/>
  <c r="A26" i="51"/>
  <c r="A25" i="51"/>
  <c r="A23" i="51"/>
  <c r="A22" i="51"/>
  <c r="A20" i="51"/>
  <c r="A18" i="51"/>
  <c r="A17" i="51"/>
  <c r="A15" i="51"/>
  <c r="A14" i="51"/>
  <c r="A11" i="51"/>
  <c r="A9" i="51"/>
  <c r="A6" i="51"/>
  <c r="A4" i="51"/>
  <c r="A3" i="51"/>
  <c r="B49" i="50"/>
  <c r="B46" i="50"/>
  <c r="B40" i="50"/>
  <c r="B37" i="50"/>
  <c r="B76" i="63"/>
  <c r="B75" i="63"/>
  <c r="B74" i="63"/>
  <c r="B73" i="63"/>
  <c r="B72" i="63"/>
  <c r="B71" i="63"/>
  <c r="B69" i="63"/>
  <c r="B68" i="63"/>
  <c r="B67" i="63"/>
  <c r="B66" i="63"/>
  <c r="B65" i="63"/>
  <c r="B64" i="63"/>
  <c r="B63" i="63"/>
  <c r="B62" i="63"/>
  <c r="B61" i="63"/>
  <c r="B60" i="63"/>
  <c r="B59" i="63"/>
  <c r="B58" i="63"/>
  <c r="B57" i="63"/>
  <c r="B56" i="63"/>
  <c r="B55" i="63"/>
  <c r="B53" i="63"/>
  <c r="B52" i="63"/>
  <c r="B51" i="63"/>
  <c r="B49" i="63"/>
  <c r="B45" i="63"/>
  <c r="B44" i="63"/>
  <c r="B43" i="63"/>
  <c r="B42" i="63"/>
  <c r="B41" i="63"/>
  <c r="B40" i="63"/>
  <c r="B39" i="63"/>
  <c r="B38" i="63"/>
  <c r="B37" i="63"/>
  <c r="B36" i="63"/>
  <c r="B35" i="63"/>
  <c r="B34" i="63"/>
  <c r="B33" i="63"/>
  <c r="B32" i="63"/>
  <c r="B31" i="63"/>
  <c r="B30" i="63"/>
  <c r="B29" i="63"/>
  <c r="B28" i="63"/>
  <c r="B27" i="63"/>
  <c r="B26" i="63"/>
  <c r="B25" i="63"/>
  <c r="B24" i="63"/>
  <c r="B23" i="63"/>
  <c r="B22" i="63"/>
  <c r="B21" i="63"/>
  <c r="B20" i="63"/>
  <c r="B19" i="63"/>
  <c r="B18" i="63"/>
  <c r="B17" i="63"/>
  <c r="B16" i="63"/>
  <c r="B15" i="63"/>
  <c r="B14" i="63"/>
  <c r="B13" i="63"/>
  <c r="B12" i="63"/>
  <c r="B11" i="63"/>
  <c r="B10" i="63"/>
  <c r="B9" i="63"/>
  <c r="B8" i="63"/>
  <c r="B7" i="63"/>
  <c r="B6" i="63"/>
  <c r="B5" i="63"/>
  <c r="N4" i="63"/>
  <c r="B4" i="63"/>
  <c r="B3" i="63"/>
  <c r="B2" i="63"/>
  <c r="J7" i="65"/>
  <c r="I6" i="65"/>
  <c r="N4" i="65"/>
  <c r="N3" i="65"/>
  <c r="F40" i="15"/>
  <c r="F38" i="15"/>
  <c r="J36" i="15"/>
  <c r="F35" i="15"/>
  <c r="M27" i="15"/>
  <c r="F26" i="15"/>
  <c r="M23" i="15"/>
  <c r="M21" i="15"/>
  <c r="J15" i="15"/>
  <c r="C14" i="15"/>
  <c r="M9" i="15"/>
  <c r="F6" i="15"/>
  <c r="L49" i="44"/>
  <c r="F46" i="44"/>
  <c r="F43" i="44"/>
  <c r="M26" i="44"/>
  <c r="F10" i="44"/>
  <c r="E14" i="67"/>
  <c r="B13" i="67"/>
  <c r="F11" i="67"/>
  <c r="E10" i="67"/>
  <c r="B9" i="67"/>
  <c r="F7" i="67"/>
  <c r="I7" i="65"/>
  <c r="N5" i="65"/>
  <c r="J4" i="65"/>
  <c r="J3" i="65"/>
  <c r="L48" i="15"/>
  <c r="L47" i="15"/>
  <c r="F42" i="15"/>
  <c r="F36" i="15"/>
  <c r="M28" i="15"/>
  <c r="M22" i="15"/>
  <c r="F9" i="15"/>
  <c r="F7" i="15"/>
  <c r="F45" i="44"/>
  <c r="F39" i="44"/>
  <c r="F37" i="44"/>
  <c r="M29" i="44"/>
  <c r="F28" i="44"/>
  <c r="M25" i="44"/>
  <c r="M23" i="44"/>
  <c r="C19" i="44"/>
  <c r="J17" i="44"/>
  <c r="C16" i="44"/>
  <c r="M11" i="44"/>
  <c r="F8" i="44"/>
  <c r="B14" i="67"/>
  <c r="F12" i="67"/>
  <c r="E11" i="67"/>
  <c r="B10" i="67"/>
  <c r="F8" i="67"/>
  <c r="E7" i="67"/>
  <c r="N6" i="65"/>
  <c r="J5" i="65"/>
  <c r="I4" i="65"/>
  <c r="I3" i="65"/>
  <c r="F43" i="15"/>
  <c r="F37" i="15"/>
  <c r="M29" i="15"/>
  <c r="M26" i="15"/>
  <c r="F16" i="15"/>
  <c r="F13" i="15"/>
  <c r="M8" i="15"/>
  <c r="M6" i="15"/>
  <c r="L48" i="44"/>
  <c r="M30" i="44"/>
  <c r="M24" i="44"/>
  <c r="F11" i="44"/>
  <c r="F9" i="44"/>
  <c r="F13" i="67"/>
  <c r="E12" i="67"/>
  <c r="B11" i="67"/>
  <c r="F9" i="67"/>
  <c r="E8" i="67"/>
  <c r="B7" i="67"/>
  <c r="J6" i="65"/>
  <c r="M24" i="15"/>
  <c r="F38" i="44"/>
  <c r="M10" i="44"/>
  <c r="F10" i="67"/>
  <c r="C20" i="9"/>
  <c r="F40" i="44"/>
  <c r="F18" i="44"/>
  <c r="B12" i="67"/>
  <c r="C19" i="9"/>
  <c r="I5" i="65"/>
  <c r="F8" i="15"/>
  <c r="M8" i="44"/>
  <c r="F14" i="67"/>
  <c r="E9" i="67"/>
  <c r="C21" i="9"/>
  <c r="M28" i="44"/>
  <c r="F15" i="44"/>
  <c r="E13" i="67"/>
  <c r="B8" i="67"/>
  <c r="E2" i="65"/>
  <c r="M31" i="44"/>
  <c r="N7" i="65"/>
  <c r="C20" i="12" l="1"/>
  <c r="G20" i="43"/>
  <c r="D25" i="44"/>
  <c r="G26" i="12"/>
  <c r="D24" i="15"/>
  <c r="G27" i="12"/>
  <c r="D26" i="44"/>
  <c r="D22" i="15"/>
  <c r="G28" i="12"/>
  <c r="O6" i="1"/>
  <c r="O16" i="1" s="1"/>
  <c r="M16" i="1"/>
  <c r="B6" i="52"/>
  <c r="E8" i="52"/>
  <c r="B11" i="52"/>
  <c r="E14" i="52"/>
  <c r="B4" i="52"/>
  <c r="E6" i="52"/>
  <c r="B9" i="52"/>
  <c r="B12" i="52"/>
  <c r="B15" i="52"/>
  <c r="E4" i="52"/>
  <c r="B7" i="52"/>
  <c r="B10" i="52"/>
  <c r="E12" i="52"/>
  <c r="C16" i="12"/>
  <c r="B5" i="52"/>
  <c r="B8" i="52"/>
  <c r="E10" i="52"/>
  <c r="E13" i="52"/>
  <c r="B40" i="1"/>
  <c r="F50" i="15"/>
  <c r="L43" i="9"/>
  <c r="B2" i="67"/>
  <c r="M9" i="44"/>
  <c r="J8" i="44" s="1"/>
  <c r="L59" i="44"/>
  <c r="L60" i="44"/>
  <c r="F48" i="15"/>
  <c r="F64" i="15"/>
  <c r="F70" i="15"/>
  <c r="E3" i="67"/>
  <c r="C8" i="44"/>
  <c r="C20" i="44"/>
  <c r="C17" i="44"/>
  <c r="J22" i="44"/>
  <c r="C29" i="44"/>
  <c r="C36" i="44"/>
  <c r="M7" i="15"/>
  <c r="J6" i="15" s="1"/>
  <c r="F49" i="15"/>
  <c r="F63" i="15"/>
  <c r="L59" i="15"/>
  <c r="L58" i="15"/>
  <c r="J57" i="15"/>
  <c r="J55" i="15" s="1"/>
  <c r="J58" i="15" s="1"/>
  <c r="Q51" i="15" s="1"/>
  <c r="J53" i="15"/>
  <c r="L60" i="15"/>
  <c r="L56" i="15"/>
  <c r="I54" i="15"/>
  <c r="L57" i="15"/>
  <c r="J1" i="65"/>
  <c r="E4" i="67"/>
  <c r="Q73" i="44"/>
  <c r="J58" i="44"/>
  <c r="J56" i="44" s="1"/>
  <c r="J59" i="44" s="1"/>
  <c r="Q52" i="44" s="1"/>
  <c r="I55" i="44"/>
  <c r="L57" i="44"/>
  <c r="J54" i="44"/>
  <c r="C6" i="15"/>
  <c r="C18" i="15"/>
  <c r="C15" i="15"/>
  <c r="J20" i="15"/>
  <c r="C27" i="15"/>
  <c r="F62" i="15"/>
  <c r="C61" i="15" s="1"/>
  <c r="C34" i="15"/>
  <c r="Q72" i="15"/>
  <c r="F65" i="15"/>
  <c r="F67" i="15"/>
  <c r="C4" i="65"/>
  <c r="B39" i="1" s="1"/>
  <c r="O41" i="9"/>
  <c r="R8" i="54" s="1"/>
  <c r="B54" i="63" s="1"/>
  <c r="F46" i="9"/>
  <c r="E5" i="52"/>
  <c r="E7" i="52"/>
  <c r="E9" i="52"/>
  <c r="E11" i="52"/>
  <c r="K33" i="9"/>
  <c r="K34" i="9" s="1"/>
  <c r="C17" i="15"/>
  <c r="E3" i="65"/>
  <c r="C18" i="44"/>
  <c r="C16" i="15"/>
  <c r="P6" i="1" l="1"/>
  <c r="P16" i="1" s="1"/>
  <c r="C13" i="12" s="1"/>
  <c r="N16" i="1"/>
  <c r="F22" i="43" s="1"/>
  <c r="C13" i="43"/>
  <c r="L16" i="1"/>
  <c r="C19" i="15"/>
  <c r="C21" i="44"/>
  <c r="F17" i="11"/>
  <c r="C17" i="11" s="1"/>
  <c r="C19" i="11" s="1"/>
  <c r="J21" i="44"/>
  <c r="J20" i="44"/>
  <c r="J19" i="44" s="1"/>
  <c r="Q58" i="15"/>
  <c r="Q67" i="15"/>
  <c r="Q62" i="15"/>
  <c r="Q75" i="15"/>
  <c r="Q62" i="44"/>
  <c r="Q75" i="44"/>
  <c r="Q53" i="15"/>
  <c r="F1" i="15"/>
  <c r="J18" i="15"/>
  <c r="J19" i="15"/>
  <c r="C33" i="15"/>
  <c r="C32" i="15"/>
  <c r="J60" i="44"/>
  <c r="J61" i="44" s="1"/>
  <c r="C48" i="15"/>
  <c r="B4" i="67"/>
  <c r="B3" i="67"/>
  <c r="M11" i="15"/>
  <c r="J10" i="15" s="1"/>
  <c r="J5" i="15" s="1"/>
  <c r="F11" i="15"/>
  <c r="C52" i="15" s="1"/>
  <c r="M13" i="44"/>
  <c r="J12" i="44" s="1"/>
  <c r="J7" i="44" s="1"/>
  <c r="F13" i="44"/>
  <c r="C12" i="44" s="1"/>
  <c r="Q54" i="44"/>
  <c r="F1" i="44"/>
  <c r="Q74" i="15"/>
  <c r="Q61" i="15"/>
  <c r="C7" i="44"/>
  <c r="C35" i="44"/>
  <c r="C34" i="44"/>
  <c r="Q63" i="44"/>
  <c r="Q76" i="44"/>
  <c r="F24" i="15"/>
  <c r="C24" i="15" s="1"/>
  <c r="F20" i="43"/>
  <c r="F26" i="44"/>
  <c r="C26" i="44" s="1"/>
  <c r="F26" i="12"/>
  <c r="C27" i="12" s="1"/>
  <c r="D26" i="12" s="1"/>
  <c r="C32" i="12" s="1"/>
  <c r="D30" i="12" s="1"/>
  <c r="L36" i="46"/>
  <c r="AE6" i="1"/>
  <c r="F41" i="15" s="1"/>
  <c r="J17" i="15" l="1"/>
  <c r="C14" i="12"/>
  <c r="C17" i="12"/>
  <c r="C17" i="43"/>
  <c r="C14" i="43"/>
  <c r="C31" i="15"/>
  <c r="F68" i="15"/>
  <c r="J24" i="15"/>
  <c r="J26" i="15"/>
  <c r="J29" i="15" s="1"/>
  <c r="D20" i="43"/>
  <c r="C33" i="44"/>
  <c r="C10" i="15"/>
  <c r="C5" i="15" s="1"/>
  <c r="N36" i="46"/>
  <c r="Q36" i="46"/>
  <c r="M36" i="46"/>
  <c r="L37" i="46"/>
  <c r="O36" i="46"/>
  <c r="P36" i="46"/>
  <c r="C60" i="15"/>
  <c r="C47" i="15"/>
  <c r="C20" i="11"/>
  <c r="C21" i="11"/>
  <c r="C22" i="11" s="1"/>
  <c r="C23" i="11" s="1"/>
  <c r="B2" i="11" s="1"/>
  <c r="C40" i="44"/>
  <c r="Q50" i="44"/>
  <c r="L47" i="44"/>
  <c r="J28" i="44"/>
  <c r="J31" i="44" s="1"/>
  <c r="J26" i="44"/>
  <c r="C22" i="44"/>
  <c r="C20" i="15"/>
  <c r="C18" i="12" l="1"/>
  <c r="C23" i="12" s="1"/>
  <c r="C18" i="43"/>
  <c r="C19" i="43" s="1"/>
  <c r="C21" i="43" s="1"/>
  <c r="C28" i="44"/>
  <c r="C25" i="44"/>
  <c r="C59" i="15"/>
  <c r="C58" i="15" s="1"/>
  <c r="C65" i="15"/>
  <c r="C38" i="15"/>
  <c r="C26" i="15"/>
  <c r="C23" i="15"/>
  <c r="Q67" i="44"/>
  <c r="Q49" i="44"/>
  <c r="Q55" i="44" s="1"/>
  <c r="Q58" i="44"/>
  <c r="B5" i="11"/>
  <c r="B4" i="11"/>
  <c r="B3" i="11"/>
  <c r="N37" i="46"/>
  <c r="Q37" i="46"/>
  <c r="M37" i="46"/>
  <c r="P37" i="46"/>
  <c r="O37" i="46"/>
  <c r="C31" i="44" l="1"/>
  <c r="C15" i="44" s="1"/>
  <c r="C20" i="43"/>
  <c r="C23" i="43" s="1"/>
  <c r="C27" i="43" s="1"/>
  <c r="B2" i="43" s="1"/>
  <c r="B5" i="43" s="1"/>
  <c r="J16" i="44"/>
  <c r="J15" i="44" s="1"/>
  <c r="J25" i="44" s="1"/>
  <c r="C29" i="15"/>
  <c r="C56" i="15" s="1"/>
  <c r="C63" i="15" s="1"/>
  <c r="B3" i="43" l="1"/>
  <c r="Q72" i="44"/>
  <c r="C43" i="44"/>
  <c r="B4" i="43"/>
  <c r="C38" i="44"/>
  <c r="J24" i="44"/>
  <c r="J18" i="44" s="1"/>
  <c r="J27" i="44" s="1"/>
  <c r="C36" i="15"/>
  <c r="Q51" i="44"/>
  <c r="C39" i="44"/>
  <c r="C13" i="15"/>
  <c r="Q71" i="15" s="1"/>
  <c r="J14" i="15"/>
  <c r="J22" i="15" s="1"/>
  <c r="Q50" i="15"/>
  <c r="J59" i="15"/>
  <c r="J60" i="15" s="1"/>
  <c r="Q49" i="15" s="1"/>
  <c r="C32" i="44" l="1"/>
  <c r="C42" i="44" s="1"/>
  <c r="C44" i="44" s="1"/>
  <c r="C45" i="44" s="1"/>
  <c r="B2" i="44" s="1"/>
  <c r="C37" i="15"/>
  <c r="C30" i="15" s="1"/>
  <c r="C39" i="15" s="1"/>
  <c r="J35" i="15"/>
  <c r="J13" i="15"/>
  <c r="J23" i="15" s="1"/>
  <c r="J16" i="15" s="1"/>
  <c r="J25" i="15" s="1"/>
  <c r="C55" i="15"/>
  <c r="C64" i="15" s="1"/>
  <c r="C57" i="15" s="1"/>
  <c r="C66" i="15" s="1"/>
  <c r="C67" i="15" s="1"/>
  <c r="C70" i="15" s="1"/>
  <c r="L51" i="15"/>
  <c r="Q71" i="44" l="1"/>
  <c r="Q70" i="44" s="1"/>
  <c r="J39" i="15"/>
  <c r="J40" i="15" s="1"/>
  <c r="C40" i="15"/>
  <c r="Q57" i="15" s="1"/>
  <c r="Q63" i="15" s="1"/>
  <c r="Q70" i="15"/>
  <c r="Q69" i="15" s="1"/>
  <c r="L52" i="44"/>
  <c r="Q69" i="44" s="1"/>
  <c r="Q68" i="15"/>
  <c r="Q48" i="15"/>
  <c r="Q54" i="15" s="1"/>
  <c r="B5" i="44"/>
  <c r="B4" i="44"/>
  <c r="B3" i="44"/>
  <c r="B2" i="15" l="1"/>
  <c r="B3" i="15" s="1"/>
  <c r="C46" i="15"/>
  <c r="J42" i="15"/>
  <c r="J43" i="15" s="1"/>
  <c r="C43" i="15"/>
  <c r="C8" i="12" s="1"/>
  <c r="C10" i="12"/>
  <c r="C6" i="12" s="1"/>
  <c r="C29" i="12" s="1"/>
  <c r="Q66" i="15"/>
  <c r="Q76" i="15" s="1"/>
  <c r="L58" i="44"/>
  <c r="L61" i="44" s="1"/>
  <c r="Q68" i="44" s="1"/>
  <c r="Q77" i="44" s="1"/>
  <c r="C24" i="12" l="1"/>
  <c r="C28" i="12" s="1"/>
  <c r="C26" i="12" s="1"/>
  <c r="C31" i="12" s="1"/>
  <c r="C30" i="12" s="1"/>
  <c r="Q59" i="44"/>
  <c r="Q64" i="44" s="1"/>
  <c r="C35" i="12" l="1"/>
  <c r="C33" i="12" s="1"/>
  <c r="C36" i="12"/>
  <c r="B2" i="12" s="1"/>
  <c r="B4" i="12" s="1"/>
  <c r="D19" i="9"/>
  <c r="D21" i="9"/>
  <c r="B5" i="12" l="1"/>
  <c r="B3" i="12"/>
  <c r="D22" i="9"/>
  <c r="L44" i="9"/>
  <c r="G19" i="9"/>
  <c r="G22" i="9" s="1"/>
  <c r="G21" i="9"/>
  <c r="D20" i="9"/>
  <c r="G20" i="9" l="1"/>
  <c r="N43" i="9"/>
  <c r="D14" i="66"/>
  <c r="E14" i="66" s="1"/>
  <c r="C32" i="9"/>
  <c r="O38" i="9" s="1"/>
  <c r="O43" i="9"/>
  <c r="C35" i="9"/>
  <c r="F42" i="9" s="1"/>
  <c r="C33" i="9"/>
  <c r="B5" i="66" l="1"/>
  <c r="F14" i="66"/>
  <c r="G14" i="66"/>
  <c r="B6" i="66" s="1"/>
  <c r="C6" i="66" s="1"/>
  <c r="C42" i="9"/>
  <c r="C44" i="9" s="1"/>
  <c r="C34" i="9"/>
  <c r="M38" i="9" s="1"/>
  <c r="K27" i="9" s="1"/>
  <c r="E42" i="9"/>
  <c r="P5" i="54" s="1"/>
  <c r="B46" i="63" s="1"/>
  <c r="K26" i="9"/>
  <c r="K25" i="9"/>
  <c r="D5" i="66"/>
  <c r="C5" i="66"/>
  <c r="R5" i="54"/>
  <c r="B48" i="63" s="1"/>
  <c r="D42" i="9"/>
  <c r="Q5" i="54" s="1"/>
  <c r="B47" i="63" s="1"/>
  <c r="N38" i="9"/>
  <c r="K28" i="9" s="1"/>
  <c r="D6" i="66" l="1"/>
  <c r="D63" i="9"/>
  <c r="C96" i="9" s="1"/>
  <c r="C91" i="9" s="1"/>
  <c r="N68" i="9"/>
  <c r="D70" i="9"/>
  <c r="C103" i="9"/>
  <c r="E44" i="9"/>
  <c r="D44" i="9"/>
  <c r="F44" i="9"/>
  <c r="N69" i="9"/>
  <c r="O39" i="9"/>
  <c r="D71" i="9" l="1"/>
  <c r="C90" i="9"/>
  <c r="C111" i="9"/>
  <c r="C104" i="9" s="1"/>
  <c r="D73" i="9"/>
  <c r="N73" i="9" s="1"/>
  <c r="C82" i="9"/>
  <c r="C81" i="9" s="1"/>
  <c r="C85" i="9" s="1"/>
  <c r="C86" i="9" s="1"/>
  <c r="D72" i="9" s="1"/>
  <c r="C97" i="9"/>
  <c r="C98" i="9" s="1"/>
  <c r="E98" i="9" s="1"/>
  <c r="E99" i="9" s="1"/>
  <c r="C113" i="9"/>
  <c r="C114" i="9" s="1"/>
  <c r="E114" i="9" s="1"/>
  <c r="E115" i="9" s="1"/>
  <c r="R6" i="54"/>
  <c r="B50" i="63" s="1"/>
  <c r="K29" i="9"/>
  <c r="K30" i="9" s="1"/>
  <c r="M88" i="9"/>
  <c r="N88" i="9" s="1"/>
  <c r="M86" i="9"/>
  <c r="N86" i="9" s="1"/>
  <c r="M85" i="9"/>
  <c r="N85" i="9" s="1"/>
  <c r="M84" i="9"/>
  <c r="N84" i="9" s="1"/>
  <c r="M83" i="9"/>
  <c r="N83" i="9" s="1"/>
  <c r="M87" i="9"/>
  <c r="N87" i="9" s="1"/>
  <c r="C115" i="9" l="1"/>
  <c r="D76" i="9" s="1"/>
  <c r="D74" i="9" s="1"/>
  <c r="N74" i="9" s="1"/>
  <c r="O77" i="9" s="1"/>
  <c r="O79" i="9" s="1"/>
  <c r="C99" i="9"/>
  <c r="N89" i="9"/>
  <c r="O89" i="9" s="1"/>
  <c r="Q77" i="9" l="1"/>
  <c r="O78" i="9"/>
  <c r="O80" i="9"/>
  <c r="O81"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Z9" authorId="0">
      <text>
        <r>
          <rPr>
            <b/>
            <sz val="9"/>
            <rFont val="宋体"/>
            <family val="3"/>
            <charset val="134"/>
          </rPr>
          <t xml:space="preserve">所在楼层
</t>
        </r>
        <r>
          <rPr>
            <sz val="9"/>
            <rFont val="宋体"/>
            <family val="3"/>
            <charset val="134"/>
          </rPr>
          <t xml:space="preserve">
</t>
        </r>
      </text>
    </comment>
    <comment ref="AA9" authorId="0">
      <text>
        <r>
          <rPr>
            <b/>
            <sz val="9"/>
            <rFont val="宋体"/>
            <family val="3"/>
            <charset val="134"/>
          </rPr>
          <t xml:space="preserve">所在楼层
</t>
        </r>
        <r>
          <rPr>
            <sz val="9"/>
            <rFont val="宋体"/>
            <family val="3"/>
            <charset val="134"/>
          </rPr>
          <t xml:space="preserve">
</t>
        </r>
      </text>
    </comment>
    <comment ref="AB9" authorId="0">
      <text>
        <r>
          <rPr>
            <b/>
            <sz val="9"/>
            <rFont val="宋体"/>
            <family val="3"/>
            <charset val="134"/>
          </rPr>
          <t xml:space="preserve">所在楼层
</t>
        </r>
        <r>
          <rPr>
            <sz val="9"/>
            <rFont val="宋体"/>
            <family val="3"/>
            <charset val="134"/>
          </rPr>
          <t xml:space="preserve">
</t>
        </r>
      </text>
    </comment>
    <comment ref="AC9" authorId="0">
      <text>
        <r>
          <rPr>
            <b/>
            <sz val="9"/>
            <rFont val="宋体"/>
            <family val="3"/>
            <charset val="134"/>
          </rPr>
          <t xml:space="preserve">所在楼层
</t>
        </r>
        <r>
          <rPr>
            <sz val="9"/>
            <rFont val="宋体"/>
            <family val="3"/>
            <charset val="134"/>
          </rPr>
          <t xml:space="preserve">
</t>
        </r>
      </text>
    </comment>
    <comment ref="AD9" authorId="0">
      <text>
        <r>
          <rPr>
            <b/>
            <sz val="9"/>
            <rFont val="宋体"/>
            <family val="3"/>
            <charset val="134"/>
          </rPr>
          <t xml:space="preserve">所在楼层
</t>
        </r>
        <r>
          <rPr>
            <sz val="9"/>
            <rFont val="宋体"/>
            <family val="3"/>
            <charset val="134"/>
          </rPr>
          <t xml:space="preserve">
</t>
        </r>
      </text>
    </comment>
    <comment ref="AE9" authorId="0">
      <text>
        <r>
          <rPr>
            <b/>
            <sz val="9"/>
            <rFont val="宋体"/>
            <family val="3"/>
            <charset val="134"/>
          </rPr>
          <t xml:space="preserve">所在楼层
</t>
        </r>
        <r>
          <rPr>
            <sz val="9"/>
            <rFont val="宋体"/>
            <family val="3"/>
            <charset val="134"/>
          </rPr>
          <t xml:space="preserve">
</t>
        </r>
      </text>
    </comment>
    <comment ref="AF9" authorId="0">
      <text>
        <r>
          <rPr>
            <b/>
            <sz val="9"/>
            <rFont val="宋体"/>
            <family val="3"/>
            <charset val="134"/>
          </rPr>
          <t xml:space="preserve">所在楼层
</t>
        </r>
        <r>
          <rPr>
            <sz val="9"/>
            <rFont val="宋体"/>
            <family val="3"/>
            <charset val="134"/>
          </rPr>
          <t xml:space="preserve">
</t>
        </r>
      </text>
    </comment>
    <comment ref="AG9" authorId="0">
      <text>
        <r>
          <rPr>
            <b/>
            <sz val="9"/>
            <rFont val="宋体"/>
            <family val="3"/>
            <charset val="134"/>
          </rPr>
          <t xml:space="preserve">所在楼层
</t>
        </r>
        <r>
          <rPr>
            <sz val="9"/>
            <rFont val="宋体"/>
            <family val="3"/>
            <charset val="134"/>
          </rPr>
          <t xml:space="preserve">
</t>
        </r>
      </text>
    </comment>
    <comment ref="AH9" authorId="0">
      <text>
        <r>
          <rPr>
            <b/>
            <sz val="9"/>
            <rFont val="宋体"/>
            <family val="3"/>
            <charset val="134"/>
          </rPr>
          <t xml:space="preserve">所在楼层
</t>
        </r>
        <r>
          <rPr>
            <sz val="9"/>
            <rFont val="宋体"/>
            <family val="3"/>
            <charset val="134"/>
          </rPr>
          <t xml:space="preserve">
</t>
        </r>
      </text>
    </comment>
    <comment ref="AI9" authorId="0">
      <text>
        <r>
          <rPr>
            <b/>
            <sz val="9"/>
            <rFont val="宋体"/>
            <family val="3"/>
            <charset val="134"/>
          </rPr>
          <t xml:space="preserve">所在楼层
</t>
        </r>
        <r>
          <rPr>
            <sz val="9"/>
            <rFont val="宋体"/>
            <family val="3"/>
            <charset val="134"/>
          </rPr>
          <t xml:space="preserve">
</t>
        </r>
      </text>
    </comment>
    <comment ref="AJ9" authorId="0">
      <text>
        <r>
          <rPr>
            <b/>
            <sz val="9"/>
            <rFont val="宋体"/>
            <family val="3"/>
            <charset val="134"/>
          </rPr>
          <t xml:space="preserve">所在楼层
</t>
        </r>
        <r>
          <rPr>
            <sz val="9"/>
            <rFont val="宋体"/>
            <family val="3"/>
            <charset val="134"/>
          </rPr>
          <t xml:space="preserve">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1">
      <text>
        <r>
          <rPr>
            <b/>
            <sz val="16"/>
            <rFont val="宋体"/>
            <family val="3"/>
            <charset val="134"/>
          </rPr>
          <t>工业选“中心城区”</t>
        </r>
      </text>
    </comment>
    <comment ref="B35" authorId="3">
      <text>
        <r>
          <rPr>
            <sz val="9"/>
            <rFont val="宋体"/>
            <family val="3"/>
            <charset val="134"/>
          </rPr>
          <t xml:space="preserve">地下商业：地上主用途需选商业
地下办公：地上主用途需选办公
地下仓储及车库：按地上主用途计算
</t>
        </r>
      </text>
    </comment>
    <comment ref="G44" authorId="3">
      <text>
        <r>
          <rPr>
            <sz val="10"/>
            <rFont val="宋体"/>
            <family val="3"/>
            <charset val="134"/>
          </rPr>
          <t xml:space="preserve">需在此处填写剩余土地年限
</t>
        </r>
      </text>
    </comment>
    <comment ref="C112" authorId="0">
      <text>
        <r>
          <rPr>
            <b/>
            <sz val="9"/>
            <rFont val="宋体"/>
            <family val="3"/>
            <charset val="134"/>
          </rPr>
          <t xml:space="preserve">所在楼层
</t>
        </r>
        <r>
          <rPr>
            <sz val="9"/>
            <rFont val="宋体"/>
            <family val="3"/>
            <charset val="134"/>
          </rPr>
          <t xml:space="preserve">
</t>
        </r>
      </text>
    </comment>
    <comment ref="D112" authorId="0">
      <text>
        <r>
          <rPr>
            <b/>
            <sz val="9"/>
            <rFont val="宋体"/>
            <family val="3"/>
            <charset val="134"/>
          </rPr>
          <t xml:space="preserve">所在楼层
</t>
        </r>
        <r>
          <rPr>
            <sz val="9"/>
            <rFont val="宋体"/>
            <family val="3"/>
            <charset val="134"/>
          </rPr>
          <t xml:space="preserve">
</t>
        </r>
      </text>
    </comment>
    <comment ref="E112" authorId="0">
      <text>
        <r>
          <rPr>
            <b/>
            <sz val="9"/>
            <rFont val="宋体"/>
            <family val="3"/>
            <charset val="134"/>
          </rPr>
          <t xml:space="preserve">所在楼层
</t>
        </r>
        <r>
          <rPr>
            <sz val="9"/>
            <rFont val="宋体"/>
            <family val="3"/>
            <charset val="134"/>
          </rPr>
          <t xml:space="preserve">
</t>
        </r>
      </text>
    </comment>
    <comment ref="F112" authorId="0">
      <text>
        <r>
          <rPr>
            <b/>
            <sz val="9"/>
            <rFont val="宋体"/>
            <family val="3"/>
            <charset val="134"/>
          </rPr>
          <t xml:space="preserve">所在楼层
</t>
        </r>
        <r>
          <rPr>
            <sz val="9"/>
            <rFont val="宋体"/>
            <family val="3"/>
            <charset val="134"/>
          </rPr>
          <t xml:space="preserve">
</t>
        </r>
      </text>
    </comment>
    <comment ref="G112" authorId="0">
      <text>
        <r>
          <rPr>
            <b/>
            <sz val="9"/>
            <rFont val="宋体"/>
            <family val="3"/>
            <charset val="134"/>
          </rPr>
          <t xml:space="preserve">所在楼层
</t>
        </r>
        <r>
          <rPr>
            <sz val="9"/>
            <rFont val="宋体"/>
            <family val="3"/>
            <charset val="134"/>
          </rPr>
          <t xml:space="preserve">
</t>
        </r>
      </text>
    </comment>
    <comment ref="H112" authorId="0">
      <text>
        <r>
          <rPr>
            <b/>
            <sz val="9"/>
            <rFont val="宋体"/>
            <family val="3"/>
            <charset val="134"/>
          </rPr>
          <t xml:space="preserve">所在楼层
</t>
        </r>
        <r>
          <rPr>
            <sz val="9"/>
            <rFont val="宋体"/>
            <family val="3"/>
            <charset val="134"/>
          </rPr>
          <t xml:space="preserve">
</t>
        </r>
      </text>
    </comment>
    <comment ref="I112" authorId="0">
      <text>
        <r>
          <rPr>
            <b/>
            <sz val="9"/>
            <rFont val="宋体"/>
            <family val="3"/>
            <charset val="134"/>
          </rPr>
          <t xml:space="preserve">所在楼层
</t>
        </r>
        <r>
          <rPr>
            <sz val="9"/>
            <rFont val="宋体"/>
            <family val="3"/>
            <charset val="134"/>
          </rPr>
          <t xml:space="preserve">
</t>
        </r>
      </text>
    </comment>
    <comment ref="J112" authorId="0">
      <text>
        <r>
          <rPr>
            <b/>
            <sz val="9"/>
            <rFont val="宋体"/>
            <family val="3"/>
            <charset val="134"/>
          </rPr>
          <t xml:space="preserve">所在楼层
</t>
        </r>
        <r>
          <rPr>
            <sz val="9"/>
            <rFont val="宋体"/>
            <family val="3"/>
            <charset val="134"/>
          </rPr>
          <t xml:space="preserve">
</t>
        </r>
      </text>
    </comment>
    <comment ref="K112" authorId="0">
      <text>
        <r>
          <rPr>
            <b/>
            <sz val="9"/>
            <rFont val="宋体"/>
            <family val="3"/>
            <charset val="134"/>
          </rPr>
          <t xml:space="preserve">所在楼层
</t>
        </r>
        <r>
          <rPr>
            <sz val="9"/>
            <rFont val="宋体"/>
            <family val="3"/>
            <charset val="134"/>
          </rPr>
          <t xml:space="preserve">
</t>
        </r>
      </text>
    </comment>
    <comment ref="L112" authorId="0">
      <text>
        <r>
          <rPr>
            <b/>
            <sz val="9"/>
            <rFont val="宋体"/>
            <family val="3"/>
            <charset val="134"/>
          </rPr>
          <t xml:space="preserve">所在楼层
</t>
        </r>
        <r>
          <rPr>
            <sz val="9"/>
            <rFont val="宋体"/>
            <family val="3"/>
            <charset val="134"/>
          </rPr>
          <t xml:space="preserve">
</t>
        </r>
      </text>
    </comment>
    <comment ref="M112" authorId="0">
      <text>
        <r>
          <rPr>
            <b/>
            <sz val="9"/>
            <rFont val="宋体"/>
            <family val="3"/>
            <charset val="134"/>
          </rPr>
          <t xml:space="preserve">所在楼层
</t>
        </r>
        <r>
          <rPr>
            <sz val="9"/>
            <rFont val="宋体"/>
            <family val="3"/>
            <charset val="134"/>
          </rPr>
          <t xml:space="preserve">
</t>
        </r>
      </text>
    </comment>
    <comment ref="N112" authorId="0">
      <text>
        <r>
          <rPr>
            <b/>
            <sz val="9"/>
            <rFont val="宋体"/>
            <family val="3"/>
            <charset val="134"/>
          </rPr>
          <t xml:space="preserve">所在楼层
</t>
        </r>
        <r>
          <rPr>
            <sz val="9"/>
            <rFont val="宋体"/>
            <family val="3"/>
            <charset val="134"/>
          </rPr>
          <t xml:space="preserve">
</t>
        </r>
      </text>
    </comment>
    <comment ref="D117" authorId="0">
      <text>
        <r>
          <rPr>
            <b/>
            <sz val="9"/>
            <rFont val="宋体"/>
            <family val="3"/>
            <charset val="134"/>
          </rPr>
          <t>依用途、级别选择录入</t>
        </r>
        <r>
          <rPr>
            <sz val="9"/>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rFont val="宋体"/>
            <family val="3"/>
            <charset val="134"/>
          </rPr>
          <t>开发期≤1年，单利计息；＞1年，复利计息</t>
        </r>
        <r>
          <rPr>
            <sz val="9"/>
            <rFont val="宋体"/>
            <family val="3"/>
            <charset val="134"/>
          </rPr>
          <t xml:space="preserve">
</t>
        </r>
      </text>
    </comment>
    <comment ref="I53" authorId="0">
      <text>
        <r>
          <rPr>
            <sz val="11"/>
            <rFont val="宋体"/>
            <family val="3"/>
            <charset val="134"/>
          </rPr>
          <t>依据一般经验，应比建筑物资本化率高0.5%</t>
        </r>
        <r>
          <rPr>
            <sz val="9"/>
            <rFont val="宋体"/>
            <family val="3"/>
            <charset val="134"/>
          </rPr>
          <t xml:space="preserve">
</t>
        </r>
      </text>
    </comment>
    <comment ref="L53" authorId="0">
      <text>
        <r>
          <rPr>
            <sz val="11"/>
            <rFont val="宋体"/>
            <family val="3"/>
            <charset val="134"/>
          </rPr>
          <t xml:space="preserve">需注意，采用基准地价系数修正法中土地结果计算时，土地报酬率应采用该方法中报酬率（还原率）。
</t>
        </r>
      </text>
    </comment>
    <comment ref="L56" authorId="0">
      <text>
        <r>
          <rPr>
            <sz val="11"/>
            <rFont val="宋体"/>
            <family val="3"/>
            <charset val="134"/>
          </rPr>
          <t>采用租约时，尽量不选用收益还原法</t>
        </r>
        <r>
          <rPr>
            <sz val="9"/>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1"/>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未建项目选择“是”</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charset val="134"/>
          </rPr>
          <t xml:space="preserve">没有时，请选择“——”
</t>
        </r>
      </text>
    </comment>
    <comment ref="H4" authorId="0">
      <text>
        <r>
          <rPr>
            <sz val="12"/>
            <rFont val="楷体_GB2312"/>
            <charset val="134"/>
          </rPr>
          <t xml:space="preserve">没有时，请选择“——”
</t>
        </r>
      </text>
    </comment>
    <comment ref="B10" authorId="1">
      <text>
        <r>
          <rPr>
            <sz val="11"/>
            <rFont val="楷体_GB2312"/>
            <charset val="134"/>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D20" authorId="0">
      <text>
        <r>
          <rPr>
            <sz val="11"/>
            <rFont val="宋体"/>
            <family val="3"/>
            <charset val="134"/>
          </rPr>
          <t>如：住宅67.6年、商业37.6年</t>
        </r>
        <r>
          <rPr>
            <sz val="9"/>
            <rFont val="宋体"/>
            <family val="3"/>
            <charset val="134"/>
          </rPr>
          <t xml:space="preserve">
</t>
        </r>
      </text>
    </comment>
    <comment ref="E22" authorId="0">
      <text>
        <r>
          <rPr>
            <sz val="11"/>
            <rFont val="宋体"/>
            <family val="3"/>
            <charset val="134"/>
          </rPr>
          <t>有相同面积依据时，仅在土地面积依据处录入</t>
        </r>
        <r>
          <rPr>
            <sz val="12"/>
            <rFont val="宋体"/>
            <family val="3"/>
            <charset val="134"/>
          </rPr>
          <t>。</t>
        </r>
        <r>
          <rPr>
            <sz val="9"/>
            <rFont val="宋体"/>
            <family val="3"/>
            <charset val="134"/>
          </rPr>
          <t xml:space="preserve">
</t>
        </r>
      </text>
    </comment>
    <comment ref="C32" authorId="1">
      <text>
        <r>
          <rPr>
            <sz val="11"/>
            <rFont val="楷体_GB2312"/>
            <charset val="134"/>
          </rPr>
          <t>其他特殊项请在右侧录入</t>
        </r>
      </text>
    </comment>
    <comment ref="C34" authorId="1">
      <text>
        <r>
          <rPr>
            <sz val="11"/>
            <rFont val="宋体"/>
            <family val="3"/>
            <charset val="134"/>
          </rPr>
          <t>廉租房、公租房、限价房、自住房</t>
        </r>
        <r>
          <rPr>
            <sz val="9"/>
            <rFont val="宋体"/>
            <family val="3"/>
            <charset val="134"/>
          </rPr>
          <t xml:space="preserve">
</t>
        </r>
      </text>
    </comment>
    <comment ref="D35" authorId="0">
      <text>
        <r>
          <rPr>
            <sz val="10"/>
            <rFont val="仿宋_GB2312"/>
            <charset val="134"/>
          </rPr>
          <t>委托估价方尚未取得《建筑工程施工许可证》，但已开始进行土方工程建设，并建有数幢临时工程用房。
宗地内有需要移除的树木。</t>
        </r>
        <r>
          <rPr>
            <sz val="9"/>
            <rFont val="宋体"/>
            <family val="3"/>
            <charset val="134"/>
          </rPr>
          <t xml:space="preserve">
</t>
        </r>
        <r>
          <rPr>
            <sz val="10"/>
            <rFont val="仿宋_GB2312"/>
            <charset val="134"/>
          </rPr>
          <t>尚有部分待拆迁建筑物。</t>
        </r>
      </text>
    </comment>
    <comment ref="E36" authorId="0">
      <text>
        <r>
          <rPr>
            <sz val="10"/>
            <rFont val="仿宋_GB2312"/>
            <charset val="134"/>
          </rPr>
          <t>依据该宗地《挂牌出让公告》/《开发补偿协议》，该宗地以“X通一平”的形式供地</t>
        </r>
        <r>
          <rPr>
            <sz val="9"/>
            <rFont val="宋体"/>
            <family val="3"/>
            <charset val="134"/>
          </rPr>
          <t xml:space="preserve">
</t>
        </r>
      </text>
    </comment>
    <comment ref="H36" authorId="0">
      <text>
        <r>
          <rPr>
            <sz val="10"/>
            <rFont val="仿宋_GB2312"/>
            <charset val="134"/>
          </rPr>
          <t>估价结果已将待拆迁建筑物涉及的拆迁安置补偿费作为法定优先受偿款予以扣除。</t>
        </r>
        <r>
          <rPr>
            <sz val="9"/>
            <rFont val="宋体"/>
            <family val="3"/>
            <charset val="134"/>
          </rPr>
          <t xml:space="preserve">
</t>
        </r>
        <r>
          <rPr>
            <sz val="10"/>
            <rFont val="仿宋_GB2312"/>
            <charset val="134"/>
          </rPr>
          <t>估价结果未扣除树木移除的费用。</t>
        </r>
      </text>
    </comment>
    <comment ref="K48" authorId="1">
      <text>
        <r>
          <rPr>
            <sz val="11"/>
            <rFont val="楷体_GB2312"/>
            <charset val="134"/>
          </rPr>
          <t>现房/在建（简单填写进度）/未建</t>
        </r>
        <r>
          <rPr>
            <sz val="9"/>
            <rFont val="宋体"/>
            <family val="3"/>
            <charset val="134"/>
          </rPr>
          <t xml:space="preserve">
</t>
        </r>
      </text>
    </comment>
    <comment ref="K49" authorId="1">
      <text>
        <r>
          <rPr>
            <sz val="11"/>
            <rFont val="楷体_GB2312"/>
            <charset val="134"/>
          </rPr>
          <t>现房/在建（简单填写进度）/未建</t>
        </r>
        <r>
          <rPr>
            <sz val="9"/>
            <rFont val="宋体"/>
            <family val="3"/>
            <charset val="134"/>
          </rPr>
          <t xml:space="preserve">
</t>
        </r>
      </text>
    </comment>
    <comment ref="K50" authorId="1">
      <text>
        <r>
          <rPr>
            <sz val="11"/>
            <rFont val="楷体_GB2312"/>
            <charset val="134"/>
          </rPr>
          <t>现房/在建（简单填写进度）/未建</t>
        </r>
        <r>
          <rPr>
            <sz val="9"/>
            <rFont val="宋体"/>
            <family val="3"/>
            <charset val="134"/>
          </rPr>
          <t xml:space="preserve">
</t>
        </r>
      </text>
    </comment>
    <comment ref="K51"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 ref="K57" authorId="1">
      <text>
        <r>
          <rPr>
            <sz val="11"/>
            <rFont val="楷体_GB2312"/>
            <charset val="134"/>
          </rPr>
          <t>现房/在建（简单填写进度）/未建</t>
        </r>
        <r>
          <rPr>
            <sz val="9"/>
            <rFont val="宋体"/>
            <family val="3"/>
            <charset val="134"/>
          </rPr>
          <t xml:space="preserve">
</t>
        </r>
      </text>
    </comment>
    <comment ref="K58" authorId="1">
      <text>
        <r>
          <rPr>
            <sz val="11"/>
            <rFont val="楷体_GB2312"/>
            <charset val="134"/>
          </rPr>
          <t>现房/在建（简单填写进度）/未建</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0"/>
            <rFont val="宋体"/>
            <family val="3"/>
            <charset val="134"/>
          </rPr>
          <t>项不固定，随情况自定，但需包含有有主用途，如：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rFont val="宋体"/>
            <family val="3"/>
            <charset val="134"/>
          </rPr>
          <t>无值时不得空项，需录入“0”</t>
        </r>
        <r>
          <rPr>
            <sz val="9"/>
            <rFont val="宋体"/>
            <family val="3"/>
            <charset val="134"/>
          </rPr>
          <t xml:space="preserve">
</t>
        </r>
      </text>
    </commen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K5" authorId="0">
      <text>
        <r>
          <rPr>
            <sz val="10"/>
            <rFont val="宋体"/>
            <family val="3"/>
            <charset val="134"/>
          </rPr>
          <t>取值范围：
1.5%-2.5%</t>
        </r>
      </text>
    </comment>
    <comment ref="AL5" authorId="0">
      <text>
        <r>
          <rPr>
            <sz val="10"/>
            <rFont val="宋体"/>
            <family val="3"/>
            <charset val="134"/>
          </rPr>
          <t>取值范围：
0.15%-0.3%</t>
        </r>
      </text>
    </comment>
    <comment ref="AM5" authorId="0">
      <text>
        <r>
          <rPr>
            <sz val="10"/>
            <rFont val="宋体"/>
            <family val="3"/>
            <charset val="134"/>
          </rPr>
          <t>取值范围：1%-3%</t>
        </r>
      </text>
    </comment>
    <comment ref="B44" authorId="2">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93" authorId="1">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71" authorId="1">
      <text>
        <r>
          <rPr>
            <b/>
            <sz val="12"/>
            <rFont val="宋体"/>
            <family val="3"/>
            <charset val="134"/>
          </rPr>
          <t>价值时点所在季度</t>
        </r>
        <r>
          <rPr>
            <sz val="12"/>
            <rFont val="宋体"/>
            <family val="3"/>
            <charset val="134"/>
          </rPr>
          <t xml:space="preserve">
</t>
        </r>
      </text>
    </comment>
    <comment ref="B72" authorId="0">
      <text>
        <r>
          <rPr>
            <sz val="12"/>
            <rFont val="宋体"/>
            <family val="3"/>
            <charset val="134"/>
          </rPr>
          <t>北京市公示数据计算的平均季度涨幅</t>
        </r>
        <r>
          <rPr>
            <sz val="9"/>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rFont val="宋体"/>
            <family val="3"/>
            <charset val="134"/>
          </rPr>
          <t>权重验证</t>
        </r>
        <r>
          <rPr>
            <sz val="9"/>
            <rFont val="宋体"/>
            <family val="3"/>
            <charset val="134"/>
          </rPr>
          <t xml:space="preserve">
</t>
        </r>
      </text>
    </comment>
    <comment ref="C66" authorId="1">
      <text>
        <r>
          <rPr>
            <b/>
            <sz val="12"/>
            <rFont val="宋体"/>
            <family val="3"/>
            <charset val="134"/>
          </rPr>
          <t>价值时点所在季度</t>
        </r>
        <r>
          <rPr>
            <sz val="12"/>
            <rFont val="宋体"/>
            <family val="3"/>
            <charset val="134"/>
          </rPr>
          <t xml:space="preserve">
</t>
        </r>
      </text>
    </comment>
    <comment ref="B67" authorId="0">
      <text>
        <r>
          <rPr>
            <sz val="12"/>
            <rFont val="宋体"/>
            <family val="3"/>
            <charset val="134"/>
          </rPr>
          <t xml:space="preserve">北京市公示数据计算的平均涨幅
</t>
        </r>
      </text>
    </comment>
  </commentList>
</comments>
</file>

<file path=xl/sharedStrings.xml><?xml version="1.0" encoding="utf-8"?>
<sst xmlns="http://schemas.openxmlformats.org/spreadsheetml/2006/main" count="7836" uniqueCount="2740">
  <si>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</si>
  <si>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</si>
  <si>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</si>
  <si>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</si>
  <si>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</si>
  <si>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</si>
  <si>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</si>
  <si>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</si>
  <si>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</si>
  <si>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</si>
  <si>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</si>
  <si>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</si>
  <si>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</si>
  <si>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</si>
  <si>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</si>
  <si>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</si>
  <si>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</si>
  <si>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</si>
  <si>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</si>
  <si>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</si>
  <si>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</si>
  <si>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</si>
  <si>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</si>
  <si>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</si>
  <si>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</si>
  <si>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</si>
  <si>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</si>
  <si>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</si>
  <si>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</si>
  <si>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</si>
  <si>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</si>
  <si>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</si>
  <si>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</si>
  <si>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</si>
  <si>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</si>
  <si>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</si>
  <si>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</si>
  <si>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</si>
  <si>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</si>
  <si>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</si>
  <si>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</si>
  <si>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</si>
  <si>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</si>
  <si>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</si>
  <si>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</si>
  <si>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</si>
  <si>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</si>
  <si>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</si>
  <si>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</si>
  <si>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</si>
  <si>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</si>
  <si>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</si>
  <si>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</si>
  <si>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</si>
  <si>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</si>
  <si>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</si>
  <si>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</si>
  <si>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</si>
  <si>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</si>
  <si>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</si>
  <si>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</si>
  <si>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</si>
  <si>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</si>
  <si>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</si>
  <si>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</si>
  <si>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</si>
  <si>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</si>
  <si>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</si>
  <si>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</si>
  <si>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</si>
  <si>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</si>
  <si>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</si>
  <si>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</si>
  <si>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</si>
  <si>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</si>
  <si>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</si>
  <si>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</si>
  <si>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</si>
  <si>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</si>
  <si>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</si>
  <si>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</si>
  <si>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</si>
  <si>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</si>
  <si>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</si>
  <si>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</si>
  <si>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</si>
  <si>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</si>
  <si>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</si>
  <si>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</si>
  <si>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</si>
  <si>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</si>
  <si>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</si>
  <si>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</si>
  <si>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</si>
  <si>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</si>
  <si>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</si>
  <si>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</si>
  <si>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</si>
  <si>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</si>
  <si>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</si>
  <si>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</si>
  <si>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charset val="134"/>
      </rPr>
      <t>宗地编号</t>
    </r>
    <r>
      <rPr>
        <i/>
        <sz val="10.5"/>
        <color theme="9" tint="-0.249977111117893"/>
        <rFont val="仿宋_GB2312"/>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</si>
  <si>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</si>
  <si>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</si>
  <si>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</si>
  <si>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</si>
  <si>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</si>
  <si>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</si>
  <si>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</si>
  <si>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</si>
  <si>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</si>
  <si>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</si>
  <si>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</si>
  <si>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</si>
  <si>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charset val="134"/>
      </rPr>
      <t>实际</t>
    </r>
    <r>
      <rPr>
        <i/>
        <sz val="10.5"/>
        <color theme="3" tint="0.39994506668294322"/>
        <rFont val="仿宋_GB2312"/>
        <charset val="134"/>
      </rPr>
      <t>（证载）</t>
    </r>
  </si>
  <si>
    <t>设定</t>
  </si>
  <si>
    <t>规划</t>
  </si>
  <si>
    <r>
      <rPr>
        <sz val="10.5"/>
        <color theme="1"/>
        <rFont val="仿宋_GB2312"/>
        <charset val="134"/>
      </rPr>
      <t>实际</t>
    </r>
    <r>
      <rPr>
        <i/>
        <sz val="10.5"/>
        <color theme="3" tint="0.39994506668294322"/>
        <rFont val="仿宋_GB2312"/>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</si>
  <si>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</si>
  <si>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</si>
  <si>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</si>
  <si>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</si>
  <si>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</si>
  <si>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</si>
  <si>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</si>
  <si>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charset val="134"/>
      </rPr>
      <t>1</t>
    </r>
    <r>
      <rPr>
        <sz val="12"/>
        <color indexed="8"/>
        <rFont val="仿宋_GB2312"/>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</si>
  <si>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</si>
  <si>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</si>
  <si>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charset val="134"/>
      </rPr>
      <t>三、参与本次估价工作的评估专业人员：</t>
    </r>
    <r>
      <rPr>
        <i/>
        <sz val="12"/>
        <color theme="3" tint="0.39994506668294322"/>
        <rFont val="仿宋_GB2312"/>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</si>
  <si>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</si>
  <si>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</si>
  <si>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</si>
  <si>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</si>
  <si>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</si>
  <si>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</si>
  <si>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</si>
  <si>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</si>
  <si>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</si>
  <si>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</si>
  <si>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charset val="134"/>
      </rPr>
      <t>请用</t>
    </r>
    <r>
      <rPr>
        <b/>
        <sz val="14"/>
        <color indexed="10"/>
        <rFont val="Arial"/>
        <family val="2"/>
      </rPr>
      <t>EXCEL2010</t>
    </r>
    <r>
      <rPr>
        <b/>
        <sz val="14"/>
        <color indexed="10"/>
        <rFont val="仿宋_GB2312"/>
        <charset val="134"/>
      </rPr>
      <t>以上版本打开，否则个别格式设置会与原表不一致，影响使用</t>
    </r>
  </si>
  <si>
    <r>
      <rPr>
        <b/>
        <sz val="12"/>
        <color indexed="8"/>
        <rFont val="仿宋_GB2312"/>
        <charset val="134"/>
      </rPr>
      <t>录入项</t>
    </r>
  </si>
  <si>
    <r>
      <rPr>
        <sz val="11"/>
        <color indexed="8"/>
        <rFont val="仿宋_GB2312"/>
        <charset val="134"/>
      </rPr>
      <t>无底纹单元格</t>
    </r>
  </si>
  <si>
    <r>
      <rPr>
        <b/>
        <sz val="12"/>
        <color indexed="8"/>
        <rFont val="仿宋_GB2312"/>
        <charset val="134"/>
      </rPr>
      <t>下拉菜单</t>
    </r>
  </si>
  <si>
    <r>
      <rPr>
        <sz val="11"/>
        <color indexed="8"/>
        <rFont val="仿宋_GB2312"/>
        <charset val="134"/>
      </rPr>
      <t>黄色底纹单元格</t>
    </r>
  </si>
  <si>
    <r>
      <rPr>
        <b/>
        <sz val="12"/>
        <color indexed="8"/>
        <rFont val="仿宋_GB2312"/>
        <charset val="134"/>
      </rPr>
      <t>不可更改项</t>
    </r>
  </si>
  <si>
    <r>
      <rPr>
        <sz val="11"/>
        <color indexed="8"/>
        <rFont val="仿宋_GB2312"/>
        <charset val="134"/>
      </rPr>
      <t>灰色底纹单元格</t>
    </r>
  </si>
  <si>
    <r>
      <rPr>
        <b/>
        <sz val="12"/>
        <color indexed="13"/>
        <rFont val="仿宋_GB2312"/>
        <charset val="134"/>
      </rPr>
      <t>错误提示</t>
    </r>
  </si>
  <si>
    <r>
      <rPr>
        <sz val="11"/>
        <color indexed="8"/>
        <rFont val="仿宋_GB2312"/>
        <charset val="134"/>
      </rPr>
      <t>红色底纹黄色字体</t>
    </r>
  </si>
  <si>
    <r>
      <rPr>
        <b/>
        <sz val="12"/>
        <color indexed="10"/>
        <rFont val="仿宋_GB2312"/>
        <charset val="134"/>
      </rPr>
      <t>特别提示</t>
    </r>
  </si>
  <si>
    <t>红色字体</t>
  </si>
  <si>
    <r>
      <rPr>
        <b/>
        <sz val="12"/>
        <color indexed="8"/>
        <rFont val="仿宋_GB2312"/>
        <charset val="134"/>
      </rPr>
      <t>关注批注角标</t>
    </r>
  </si>
  <si>
    <r>
      <rPr>
        <sz val="11"/>
        <color indexed="8"/>
        <rFont val="仿宋_GB2312"/>
        <charset val="134"/>
      </rPr>
      <t>基础表</t>
    </r>
  </si>
  <si>
    <t>项目基本情况</t>
  </si>
  <si>
    <r>
      <rPr>
        <sz val="11"/>
        <color indexed="8"/>
        <rFont val="仿宋_GB2312"/>
        <charset val="134"/>
      </rPr>
      <t>数据表</t>
    </r>
  </si>
  <si>
    <r>
      <rPr>
        <sz val="11"/>
        <color indexed="8"/>
        <rFont val="仿宋_GB2312"/>
        <charset val="134"/>
      </rPr>
      <t>汇总表</t>
    </r>
  </si>
  <si>
    <r>
      <rPr>
        <sz val="11"/>
        <color indexed="8"/>
        <rFont val="仿宋_GB2312"/>
        <charset val="134"/>
      </rPr>
      <t>取费表</t>
    </r>
  </si>
  <si>
    <r>
      <rPr>
        <sz val="11"/>
        <color indexed="8"/>
        <rFont val="仿宋_GB2312"/>
        <charset val="134"/>
      </rPr>
      <t>房地状况</t>
    </r>
  </si>
  <si>
    <r>
      <rPr>
        <sz val="11"/>
        <color indexed="8"/>
        <rFont val="仿宋_GB2312"/>
        <charset val="134"/>
      </rPr>
      <t>结果表</t>
    </r>
  </si>
  <si>
    <r>
      <rPr>
        <sz val="11"/>
        <color indexed="8"/>
        <rFont val="仿宋_GB2312"/>
        <charset val="134"/>
      </rPr>
      <t>方法</t>
    </r>
  </si>
  <si>
    <r>
      <rPr>
        <sz val="11"/>
        <color indexed="8"/>
        <rFont val="仿宋_GB2312"/>
        <charset val="134"/>
      </rPr>
      <t>成本</t>
    </r>
  </si>
  <si>
    <r>
      <rPr>
        <sz val="11"/>
        <color indexed="8"/>
        <rFont val="仿宋_GB2312"/>
        <charset val="134"/>
      </rPr>
      <t>假开</t>
    </r>
  </si>
  <si>
    <r>
      <rPr>
        <sz val="11"/>
        <color indexed="8"/>
        <rFont val="仿宋_GB2312"/>
        <charset val="134"/>
      </rPr>
      <t>收益</t>
    </r>
  </si>
  <si>
    <r>
      <rPr>
        <sz val="11"/>
        <color indexed="8"/>
        <rFont val="仿宋_GB2312"/>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</si>
  <si>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</si>
  <si>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</si>
  <si>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</si>
  <si>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</si>
  <si>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</si>
  <si>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</si>
  <si>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</si>
  <si>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</si>
  <si>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</si>
  <si>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</si>
  <si>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</si>
  <si>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family val="3"/>
        <charset val="134"/>
      </rPr>
      <t>基准地价</t>
    </r>
    <r>
      <rPr>
        <sz val="11"/>
        <color indexed="8"/>
        <rFont val="Arial"/>
        <family val="2"/>
      </rPr>
      <t>-</t>
    </r>
    <r>
      <rPr>
        <sz val="11"/>
        <color indexed="8"/>
        <rFont val="宋体"/>
        <family val="3"/>
        <charset val="134"/>
      </rPr>
      <t>区域</t>
    </r>
  </si>
  <si>
    <t>区片价</t>
  </si>
  <si>
    <t>容积率修正</t>
  </si>
  <si>
    <t>修正</t>
  </si>
  <si>
    <r>
      <rPr>
        <b/>
        <sz val="12"/>
        <color indexed="10"/>
        <rFont val="仿宋_GB2312"/>
        <charset val="134"/>
      </rPr>
      <t>需要新增方法表时，请右键点击所选方法标签，选择</t>
    </r>
    <r>
      <rPr>
        <b/>
        <sz val="12"/>
        <color indexed="10"/>
        <rFont val="Arial"/>
        <family val="2"/>
      </rPr>
      <t>‘</t>
    </r>
    <r>
      <rPr>
        <b/>
        <sz val="12"/>
        <color indexed="10"/>
        <rFont val="仿宋_GB2312"/>
        <charset val="134"/>
      </rPr>
      <t>移动或复制</t>
    </r>
    <r>
      <rPr>
        <b/>
        <sz val="12"/>
        <color indexed="10"/>
        <rFont val="Arial"/>
        <family val="2"/>
      </rPr>
      <t>’</t>
    </r>
    <r>
      <rPr>
        <b/>
        <sz val="12"/>
        <color indexed="10"/>
        <rFont val="仿宋_GB2312"/>
        <charset val="134"/>
      </rPr>
      <t>，勾选建立副本，以保证公示链接无误</t>
    </r>
  </si>
  <si>
    <r>
      <rPr>
        <b/>
        <sz val="12"/>
        <color indexed="10"/>
        <rFont val="仿宋_GB2312"/>
        <charset val="134"/>
      </rPr>
      <t>数据</t>
    </r>
    <r>
      <rPr>
        <b/>
        <sz val="12"/>
        <color indexed="10"/>
        <rFont val="Arial"/>
        <family val="2"/>
      </rPr>
      <t>-</t>
    </r>
    <r>
      <rPr>
        <b/>
        <sz val="12"/>
        <color indexed="10"/>
        <rFont val="仿宋_GB2312"/>
        <charset val="134"/>
      </rPr>
      <t>基础表</t>
    </r>
    <r>
      <rPr>
        <b/>
        <sz val="12"/>
        <color indexed="10"/>
        <rFont val="Arial"/>
        <family val="2"/>
      </rPr>
      <t xml:space="preserve">  </t>
    </r>
    <r>
      <rPr>
        <b/>
        <sz val="12"/>
        <color indexed="10"/>
        <rFont val="仿宋_GB2312"/>
        <charset val="134"/>
      </rPr>
      <t>面积录入特殊说明</t>
    </r>
  </si>
  <si>
    <r>
      <rPr>
        <sz val="11"/>
        <color indexed="8"/>
        <rFont val="Arial"/>
        <family val="2"/>
      </rPr>
      <t>1.</t>
    </r>
    <r>
      <rPr>
        <sz val="11"/>
        <color indexed="8"/>
        <rFont val="仿宋_GB2312"/>
        <charset val="134"/>
      </rPr>
      <t>该表需录入项目全部面积数据以及未进入估价范围的面积值，抵押物面积为计算得出，位于整表的右侧。建筑面积按经营性用途和非经营性用途进行设置</t>
    </r>
  </si>
  <si>
    <r>
      <rPr>
        <sz val="11"/>
        <color indexed="8"/>
        <rFont val="Arial"/>
        <family val="2"/>
      </rPr>
      <t>2.</t>
    </r>
    <r>
      <rPr>
        <sz val="11"/>
        <color indexed="8"/>
        <rFont val="仿宋_GB2312"/>
        <charset val="134"/>
      </rPr>
      <t>在抵押物范围的先录</t>
    </r>
    <r>
      <rPr>
        <sz val="11"/>
        <color indexed="8"/>
        <rFont val="Arial"/>
        <family val="2"/>
      </rPr>
      <t>,</t>
    </r>
    <r>
      <rPr>
        <sz val="11"/>
        <color indexed="8"/>
        <rFont val="仿宋_GB2312"/>
        <charset val="134"/>
      </rPr>
      <t>以便核对</t>
    </r>
  </si>
  <si>
    <r>
      <rPr>
        <sz val="11"/>
        <color indexed="8"/>
        <rFont val="Arial"/>
        <family val="2"/>
      </rPr>
      <t>3.</t>
    </r>
    <r>
      <rPr>
        <sz val="11"/>
        <color indexed="8"/>
        <rFont val="仿宋_GB2312"/>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charset val="134"/>
      </rPr>
      <t>、有线电视</t>
    </r>
    <r>
      <rPr>
        <sz val="11"/>
        <color indexed="8"/>
        <rFont val="Arial"/>
        <family val="2"/>
      </rPr>
      <t>50</t>
    </r>
    <r>
      <rPr>
        <sz val="11"/>
        <color indexed="8"/>
        <rFont val="仿宋_GB2312"/>
        <charset val="134"/>
      </rPr>
      <t>、锅炉房</t>
    </r>
    <r>
      <rPr>
        <sz val="11"/>
        <color indexed="8"/>
        <rFont val="Arial"/>
        <family val="2"/>
      </rPr>
      <t>50</t>
    </r>
    <r>
      <rPr>
        <sz val="11"/>
        <color indexed="8"/>
        <rFont val="仿宋_GB2312"/>
        <charset val="134"/>
      </rPr>
      <t>，则单元格中应录入</t>
    </r>
    <r>
      <rPr>
        <sz val="11"/>
        <color indexed="8"/>
        <rFont val="Arial"/>
        <family val="2"/>
      </rPr>
      <t>“=100+50+50”</t>
    </r>
    <r>
      <rPr>
        <sz val="11"/>
        <color indexed="8"/>
        <rFont val="仿宋_GB2312"/>
        <charset val="134"/>
      </rPr>
      <t>。扣减值设置有单元格进行说明，所以无需批注。</t>
    </r>
  </si>
  <si>
    <r>
      <rPr>
        <sz val="11"/>
        <color indexed="8"/>
        <rFont val="Arial"/>
        <family val="2"/>
      </rPr>
      <t>4.</t>
    </r>
    <r>
      <rPr>
        <sz val="11"/>
        <color indexed="8"/>
        <rFont val="仿宋_GB2312"/>
        <charset val="134"/>
      </rPr>
      <t>未注明用途的计入非经营性用途——</t>
    </r>
    <r>
      <rPr>
        <sz val="11"/>
        <color indexed="8"/>
        <rFont val="Arial"/>
        <family val="2"/>
      </rPr>
      <t>"</t>
    </r>
    <r>
      <rPr>
        <sz val="11"/>
        <color indexed="8"/>
        <rFont val="仿宋_GB2312"/>
        <charset val="134"/>
      </rPr>
      <t>未注明</t>
    </r>
    <r>
      <rPr>
        <sz val="11"/>
        <color indexed="8"/>
        <rFont val="Arial"/>
        <family val="2"/>
      </rPr>
      <t>"</t>
    </r>
    <r>
      <rPr>
        <sz val="11"/>
        <color indexed="8"/>
        <rFont val="仿宋_GB2312"/>
        <charset val="134"/>
      </rPr>
      <t>一项，单独录入，计算时按设备用房处理</t>
    </r>
  </si>
  <si>
    <r>
      <rPr>
        <sz val="11"/>
        <color indexed="8"/>
        <rFont val="Arial"/>
        <family val="2"/>
      </rPr>
      <t>5.</t>
    </r>
    <r>
      <rPr>
        <sz val="11"/>
        <color indexed="8"/>
        <rFont val="仿宋_GB2312"/>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</si>
  <si>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</si>
  <si>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</si>
  <si>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</si>
  <si>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</si>
  <si>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</si>
  <si>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</si>
  <si>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</si>
  <si>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</si>
  <si>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</si>
  <si>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</si>
  <si>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</si>
  <si>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</si>
  <si>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</si>
  <si>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</si>
  <si>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</si>
  <si>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赵雯</t>
  </si>
  <si>
    <t>刘敬东</t>
  </si>
  <si>
    <t>刘俊财</t>
  </si>
  <si>
    <t>宁小鳗</t>
  </si>
  <si>
    <t>估价机构</t>
  </si>
  <si>
    <t>房地产</t>
  </si>
  <si>
    <t>土地</t>
  </si>
  <si>
    <t>证书名称</t>
  </si>
  <si>
    <t>号码</t>
  </si>
  <si>
    <t>资质证书：一级</t>
  </si>
  <si>
    <t>建房估证字[2013]081号</t>
  </si>
  <si>
    <t>资信等级：A级</t>
  </si>
  <si>
    <t>2022A-022</t>
  </si>
  <si>
    <t>用途类型</t>
  </si>
  <si>
    <r>
      <rPr>
        <sz val="11"/>
        <color indexed="8"/>
        <rFont val="仿宋_GB2312"/>
        <charset val="134"/>
      </rPr>
      <t>估价方法</t>
    </r>
  </si>
  <si>
    <t>土地级别</t>
  </si>
  <si>
    <t>估价范围判定</t>
  </si>
  <si>
    <r>
      <rPr>
        <sz val="11"/>
        <color indexed="8"/>
        <rFont val="仿宋_GB2312"/>
        <charset val="134"/>
      </rPr>
      <t>位置</t>
    </r>
  </si>
  <si>
    <r>
      <rPr>
        <sz val="11"/>
        <color indexed="8"/>
        <rFont val="仿宋_GB2312"/>
        <charset val="134"/>
      </rPr>
      <t>主用途</t>
    </r>
  </si>
  <si>
    <r>
      <rPr>
        <sz val="11"/>
        <color indexed="8"/>
        <rFont val="仿宋_GB2312"/>
        <charset val="134"/>
      </rPr>
      <t>法定最高年限</t>
    </r>
  </si>
  <si>
    <r>
      <rPr>
        <sz val="11"/>
        <color indexed="8"/>
        <rFont val="仿宋_GB2312"/>
        <charset val="134"/>
      </rPr>
      <t>地类判定</t>
    </r>
  </si>
  <si>
    <r>
      <rPr>
        <sz val="11"/>
        <color indexed="8"/>
        <rFont val="仿宋_GB2312"/>
        <charset val="134"/>
      </rPr>
      <t>土地年限区间</t>
    </r>
  </si>
  <si>
    <r>
      <rPr>
        <sz val="11"/>
        <color indexed="8"/>
        <rFont val="仿宋_GB2312"/>
        <charset val="134"/>
      </rPr>
      <t>类别</t>
    </r>
  </si>
  <si>
    <r>
      <rPr>
        <sz val="11"/>
        <color indexed="8"/>
        <rFont val="仿宋_GB2312"/>
        <charset val="134"/>
      </rPr>
      <t>居住社区成熟度</t>
    </r>
  </si>
  <si>
    <r>
      <rPr>
        <sz val="11"/>
        <color indexed="8"/>
        <rFont val="仿宋_GB2312"/>
        <charset val="134"/>
      </rPr>
      <t>商业繁华度</t>
    </r>
  </si>
  <si>
    <r>
      <rPr>
        <sz val="11"/>
        <color indexed="8"/>
        <rFont val="仿宋_GB2312"/>
        <charset val="134"/>
      </rPr>
      <t>办公集聚程度</t>
    </r>
  </si>
  <si>
    <r>
      <rPr>
        <sz val="11"/>
        <color indexed="8"/>
        <rFont val="仿宋_GB2312"/>
        <charset val="134"/>
      </rPr>
      <t>产业集聚程度</t>
    </r>
  </si>
  <si>
    <r>
      <rPr>
        <sz val="11"/>
        <color indexed="8"/>
        <rFont val="仿宋_GB2312"/>
        <charset val="134"/>
      </rPr>
      <t>交通便捷度</t>
    </r>
  </si>
  <si>
    <r>
      <rPr>
        <sz val="11"/>
        <color indexed="8"/>
        <rFont val="仿宋_GB2312"/>
        <charset val="134"/>
      </rPr>
      <t>区域土地利用方向</t>
    </r>
  </si>
  <si>
    <t>公共配套设施</t>
  </si>
  <si>
    <t>基础设施水平</t>
  </si>
  <si>
    <r>
      <rPr>
        <sz val="11"/>
        <color indexed="8"/>
        <rFont val="仿宋_GB2312"/>
        <charset val="134"/>
      </rPr>
      <t>环境质量</t>
    </r>
  </si>
  <si>
    <r>
      <rPr>
        <sz val="11"/>
        <color indexed="8"/>
        <rFont val="仿宋_GB2312"/>
        <charset val="134"/>
      </rPr>
      <t>临街状况</t>
    </r>
  </si>
  <si>
    <r>
      <rPr>
        <sz val="11"/>
        <color indexed="8"/>
        <rFont val="仿宋_GB2312"/>
        <charset val="134"/>
      </rPr>
      <t>内部装修维护情况</t>
    </r>
  </si>
  <si>
    <r>
      <rPr>
        <sz val="11"/>
        <color indexed="8"/>
        <rFont val="仿宋_GB2312"/>
        <charset val="134"/>
      </rPr>
      <t>单价内涵</t>
    </r>
  </si>
  <si>
    <t>五等判定</t>
  </si>
  <si>
    <r>
      <rPr>
        <sz val="11"/>
        <color indexed="8"/>
        <rFont val="仿宋_GB2312"/>
        <charset val="134"/>
      </rPr>
      <t>平层住宅</t>
    </r>
  </si>
  <si>
    <r>
      <rPr>
        <sz val="11"/>
        <color indexed="8"/>
        <rFont val="仿宋_GB2312"/>
        <charset val="134"/>
      </rPr>
      <t>剩余法</t>
    </r>
    <r>
      <rPr>
        <sz val="11"/>
        <color indexed="8"/>
        <rFont val="Arial"/>
        <family val="2"/>
      </rPr>
      <t>-</t>
    </r>
    <r>
      <rPr>
        <sz val="11"/>
        <color indexed="8"/>
        <rFont val="仿宋_GB2312"/>
        <charset val="134"/>
      </rPr>
      <t>待开发</t>
    </r>
  </si>
  <si>
    <t>一级</t>
  </si>
  <si>
    <r>
      <rPr>
        <sz val="11"/>
        <color indexed="8"/>
        <rFont val="仿宋_GB2312"/>
        <charset val="134"/>
      </rPr>
      <t>是</t>
    </r>
  </si>
  <si>
    <r>
      <rPr>
        <sz val="11"/>
        <color indexed="8"/>
        <rFont val="仿宋_GB2312"/>
        <charset val="134"/>
      </rPr>
      <t>地上</t>
    </r>
  </si>
  <si>
    <r>
      <rPr>
        <sz val="11"/>
        <color indexed="8"/>
        <rFont val="仿宋_GB2312"/>
        <charset val="134"/>
      </rPr>
      <t>住宅</t>
    </r>
  </si>
  <si>
    <r>
      <rPr>
        <sz val="11"/>
        <color theme="1"/>
        <rFont val="Arial"/>
        <family val="2"/>
      </rPr>
      <t>65-70</t>
    </r>
    <r>
      <rPr>
        <sz val="11"/>
        <color indexed="8"/>
        <rFont val="仿宋_GB2312"/>
        <charset val="134"/>
      </rPr>
      <t>（含）</t>
    </r>
  </si>
  <si>
    <r>
      <rPr>
        <sz val="11"/>
        <color indexed="8"/>
        <rFont val="仿宋_GB2312"/>
        <charset val="134"/>
      </rPr>
      <t>经营性</t>
    </r>
  </si>
  <si>
    <r>
      <rPr>
        <sz val="11"/>
        <color indexed="8"/>
        <rFont val="仿宋_GB2312"/>
        <charset val="134"/>
      </rPr>
      <t>好</t>
    </r>
  </si>
  <si>
    <t>七通</t>
  </si>
  <si>
    <r>
      <rPr>
        <sz val="11"/>
        <color indexed="8"/>
        <rFont val="仿宋_GB2312"/>
        <charset val="134"/>
      </rPr>
      <t>多面临街</t>
    </r>
  </si>
  <si>
    <r>
      <rPr>
        <sz val="11"/>
        <color indexed="8"/>
        <rFont val="仿宋_GB2312"/>
        <charset val="134"/>
      </rPr>
      <t>单位面积地价</t>
    </r>
  </si>
  <si>
    <r>
      <rPr>
        <sz val="11"/>
        <color indexed="8"/>
        <rFont val="楷体_GB2312"/>
        <charset val="134"/>
      </rPr>
      <t>好</t>
    </r>
  </si>
  <si>
    <r>
      <rPr>
        <sz val="11"/>
        <color theme="1"/>
        <rFont val="Arial"/>
        <family val="2"/>
      </rPr>
      <t>LOFT</t>
    </r>
    <r>
      <rPr>
        <sz val="11"/>
        <color indexed="8"/>
        <rFont val="仿宋_GB2312"/>
        <charset val="134"/>
      </rPr>
      <t>住宅</t>
    </r>
  </si>
  <si>
    <r>
      <rPr>
        <sz val="11"/>
        <color indexed="8"/>
        <rFont val="仿宋_GB2312"/>
        <charset val="134"/>
      </rPr>
      <t>剩余法</t>
    </r>
    <r>
      <rPr>
        <sz val="11"/>
        <color indexed="8"/>
        <rFont val="Arial"/>
        <family val="2"/>
      </rPr>
      <t>-</t>
    </r>
    <r>
      <rPr>
        <sz val="11"/>
        <color indexed="8"/>
        <rFont val="仿宋_GB2312"/>
        <charset val="134"/>
      </rPr>
      <t>现房</t>
    </r>
  </si>
  <si>
    <t>二级</t>
  </si>
  <si>
    <r>
      <rPr>
        <sz val="11"/>
        <color indexed="8"/>
        <rFont val="仿宋_GB2312"/>
        <charset val="134"/>
      </rPr>
      <t>否</t>
    </r>
  </si>
  <si>
    <r>
      <rPr>
        <sz val="11"/>
        <color indexed="8"/>
        <rFont val="仿宋_GB2312"/>
        <charset val="134"/>
      </rPr>
      <t>商业</t>
    </r>
  </si>
  <si>
    <r>
      <rPr>
        <sz val="11"/>
        <color theme="1"/>
        <rFont val="Arial"/>
        <family val="2"/>
      </rPr>
      <t>60-65</t>
    </r>
    <r>
      <rPr>
        <sz val="11"/>
        <color indexed="8"/>
        <rFont val="仿宋_GB2312"/>
        <charset val="134"/>
      </rPr>
      <t>（含）</t>
    </r>
  </si>
  <si>
    <r>
      <rPr>
        <sz val="11"/>
        <color indexed="8"/>
        <rFont val="仿宋_GB2312"/>
        <charset val="134"/>
      </rPr>
      <t>非经营性</t>
    </r>
  </si>
  <si>
    <r>
      <rPr>
        <sz val="11"/>
        <color indexed="8"/>
        <rFont val="仿宋_GB2312"/>
        <charset val="134"/>
      </rPr>
      <t>较好</t>
    </r>
  </si>
  <si>
    <t>六通</t>
  </si>
  <si>
    <r>
      <rPr>
        <sz val="11"/>
        <color indexed="8"/>
        <rFont val="仿宋_GB2312"/>
        <charset val="134"/>
      </rPr>
      <t>双面临街</t>
    </r>
  </si>
  <si>
    <r>
      <rPr>
        <sz val="11"/>
        <color indexed="8"/>
        <rFont val="仿宋_GB2312"/>
        <charset val="134"/>
      </rPr>
      <t>楼面地价</t>
    </r>
  </si>
  <si>
    <r>
      <rPr>
        <sz val="11"/>
        <color indexed="8"/>
        <rFont val="楷体_GB2312"/>
        <charset val="134"/>
      </rPr>
      <t>较好</t>
    </r>
  </si>
  <si>
    <r>
      <rPr>
        <sz val="11"/>
        <color indexed="8"/>
        <rFont val="仿宋_GB2312"/>
        <charset val="134"/>
      </rPr>
      <t>普通住宅</t>
    </r>
  </si>
  <si>
    <r>
      <rPr>
        <sz val="11"/>
        <color indexed="8"/>
        <rFont val="仿宋_GB2312"/>
        <charset val="134"/>
      </rPr>
      <t>比较法</t>
    </r>
    <r>
      <rPr>
        <sz val="11"/>
        <color indexed="8"/>
        <rFont val="Arial"/>
        <family val="2"/>
      </rPr>
      <t>-</t>
    </r>
    <r>
      <rPr>
        <sz val="11"/>
        <color indexed="8"/>
        <rFont val="仿宋_GB2312"/>
        <charset val="134"/>
      </rPr>
      <t>住宅、综合</t>
    </r>
  </si>
  <si>
    <t>三级</t>
  </si>
  <si>
    <r>
      <rPr>
        <sz val="11"/>
        <color indexed="8"/>
        <rFont val="仿宋_GB2312"/>
        <charset val="134"/>
      </rPr>
      <t>地下</t>
    </r>
  </si>
  <si>
    <r>
      <rPr>
        <sz val="11"/>
        <color indexed="8"/>
        <rFont val="仿宋_GB2312"/>
        <charset val="134"/>
      </rPr>
      <t>办公</t>
    </r>
  </si>
  <si>
    <r>
      <rPr>
        <sz val="11"/>
        <color theme="1"/>
        <rFont val="Arial"/>
        <family val="2"/>
      </rPr>
      <t>55-60</t>
    </r>
    <r>
      <rPr>
        <sz val="11"/>
        <color indexed="8"/>
        <rFont val="仿宋_GB2312"/>
        <charset val="134"/>
      </rPr>
      <t>（含）</t>
    </r>
  </si>
  <si>
    <r>
      <rPr>
        <sz val="11"/>
        <color indexed="8"/>
        <rFont val="仿宋_GB2312"/>
        <charset val="134"/>
      </rPr>
      <t>一般</t>
    </r>
  </si>
  <si>
    <t>五通</t>
  </si>
  <si>
    <r>
      <rPr>
        <sz val="11"/>
        <color indexed="8"/>
        <rFont val="仿宋_GB2312"/>
        <charset val="134"/>
      </rPr>
      <t>单面临街</t>
    </r>
  </si>
  <si>
    <r>
      <rPr>
        <sz val="11"/>
        <color indexed="8"/>
        <rFont val="楷体_GB2312"/>
        <charset val="134"/>
      </rPr>
      <t>一般</t>
    </r>
  </si>
  <si>
    <r>
      <rPr>
        <sz val="11"/>
        <color indexed="8"/>
        <rFont val="仿宋_GB2312"/>
        <charset val="134"/>
      </rPr>
      <t>公寓</t>
    </r>
  </si>
  <si>
    <r>
      <rPr>
        <sz val="11"/>
        <color indexed="8"/>
        <rFont val="仿宋_GB2312"/>
        <charset val="134"/>
      </rPr>
      <t>比较法</t>
    </r>
    <r>
      <rPr>
        <sz val="11"/>
        <color indexed="8"/>
        <rFont val="Arial"/>
        <family val="2"/>
      </rPr>
      <t>-</t>
    </r>
    <r>
      <rPr>
        <sz val="11"/>
        <color indexed="8"/>
        <rFont val="仿宋_GB2312"/>
        <charset val="134"/>
      </rPr>
      <t>工业</t>
    </r>
  </si>
  <si>
    <t>四级</t>
  </si>
  <si>
    <r>
      <rPr>
        <sz val="11"/>
        <color indexed="8"/>
        <rFont val="仿宋_GB2312"/>
        <charset val="134"/>
      </rPr>
      <t>工业</t>
    </r>
  </si>
  <si>
    <r>
      <rPr>
        <sz val="11"/>
        <color indexed="8"/>
        <rFont val="仿宋_GB2312"/>
        <charset val="134"/>
      </rPr>
      <t>车库</t>
    </r>
  </si>
  <si>
    <r>
      <rPr>
        <sz val="11"/>
        <color theme="1"/>
        <rFont val="Arial"/>
        <family val="2"/>
      </rPr>
      <t>50-55</t>
    </r>
    <r>
      <rPr>
        <sz val="11"/>
        <color indexed="8"/>
        <rFont val="仿宋_GB2312"/>
        <charset val="134"/>
      </rPr>
      <t>（含）</t>
    </r>
  </si>
  <si>
    <r>
      <rPr>
        <sz val="11"/>
        <color indexed="8"/>
        <rFont val="仿宋_GB2312"/>
        <charset val="134"/>
      </rPr>
      <t>较差</t>
    </r>
  </si>
  <si>
    <t>四通</t>
  </si>
  <si>
    <r>
      <rPr>
        <sz val="11"/>
        <color indexed="8"/>
        <rFont val="仿宋_GB2312"/>
        <charset val="134"/>
      </rPr>
      <t>不临街</t>
    </r>
  </si>
  <si>
    <r>
      <rPr>
        <sz val="11"/>
        <color indexed="8"/>
        <rFont val="楷体_GB2312"/>
        <charset val="134"/>
      </rPr>
      <t>较差</t>
    </r>
  </si>
  <si>
    <r>
      <rPr>
        <sz val="11"/>
        <color indexed="8"/>
        <rFont val="仿宋_GB2312"/>
        <charset val="134"/>
      </rPr>
      <t>洋房</t>
    </r>
  </si>
  <si>
    <t>五级</t>
  </si>
  <si>
    <r>
      <rPr>
        <sz val="11"/>
        <color indexed="8"/>
        <rFont val="仿宋_GB2312"/>
        <charset val="134"/>
      </rPr>
      <t>仓储</t>
    </r>
  </si>
  <si>
    <r>
      <rPr>
        <sz val="11"/>
        <color theme="1"/>
        <rFont val="Arial"/>
        <family val="2"/>
      </rPr>
      <t>45-50</t>
    </r>
    <r>
      <rPr>
        <sz val="11"/>
        <color indexed="8"/>
        <rFont val="仿宋_GB2312"/>
        <charset val="134"/>
      </rPr>
      <t>（含）</t>
    </r>
  </si>
  <si>
    <r>
      <rPr>
        <sz val="11"/>
        <color indexed="8"/>
        <rFont val="仿宋_GB2312"/>
        <charset val="134"/>
      </rPr>
      <t>差</t>
    </r>
  </si>
  <si>
    <t>三通</t>
  </si>
  <si>
    <r>
      <rPr>
        <sz val="11"/>
        <color indexed="8"/>
        <rFont val="楷体_GB2312"/>
        <charset val="134"/>
      </rPr>
      <t>差</t>
    </r>
  </si>
  <si>
    <r>
      <rPr>
        <sz val="11"/>
        <color indexed="8"/>
        <rFont val="仿宋_GB2312"/>
        <charset val="134"/>
      </rPr>
      <t>叠拼</t>
    </r>
  </si>
  <si>
    <r>
      <rPr>
        <sz val="11"/>
        <color indexed="8"/>
        <rFont val="仿宋_GB2312"/>
        <charset val="134"/>
      </rPr>
      <t>成本逼近法</t>
    </r>
  </si>
  <si>
    <t>六级</t>
  </si>
  <si>
    <r>
      <rPr>
        <sz val="11"/>
        <color indexed="8"/>
        <rFont val="仿宋_GB2312"/>
        <charset val="134"/>
      </rPr>
      <t>车库</t>
    </r>
    <r>
      <rPr>
        <sz val="11"/>
        <color indexed="8"/>
        <rFont val="Arial"/>
        <family val="2"/>
      </rPr>
      <t>—</t>
    </r>
    <r>
      <rPr>
        <sz val="11"/>
        <color indexed="8"/>
        <rFont val="仿宋_GB2312"/>
        <charset val="134"/>
      </rPr>
      <t>商业</t>
    </r>
  </si>
  <si>
    <r>
      <rPr>
        <sz val="11"/>
        <color theme="1"/>
        <rFont val="Arial"/>
        <family val="2"/>
      </rPr>
      <t>40-45</t>
    </r>
    <r>
      <rPr>
        <sz val="11"/>
        <color indexed="8"/>
        <rFont val="仿宋_GB2312"/>
        <charset val="134"/>
      </rPr>
      <t>（含）</t>
    </r>
  </si>
  <si>
    <r>
      <rPr>
        <sz val="11"/>
        <color indexed="8"/>
        <rFont val="仿宋_GB2312"/>
        <charset val="134"/>
      </rPr>
      <t>联排</t>
    </r>
  </si>
  <si>
    <r>
      <rPr>
        <sz val="11"/>
        <color indexed="8"/>
        <rFont val="仿宋_GB2312"/>
        <charset val="134"/>
      </rPr>
      <t>不动产收益法</t>
    </r>
  </si>
  <si>
    <t>七级</t>
  </si>
  <si>
    <r>
      <rPr>
        <sz val="11"/>
        <color indexed="8"/>
        <rFont val="仿宋_GB2312"/>
        <charset val="134"/>
      </rPr>
      <t>车库</t>
    </r>
    <r>
      <rPr>
        <sz val="11"/>
        <color indexed="8"/>
        <rFont val="Arial"/>
        <family val="2"/>
      </rPr>
      <t>—</t>
    </r>
    <r>
      <rPr>
        <sz val="11"/>
        <color indexed="8"/>
        <rFont val="仿宋_GB2312"/>
        <charset val="134"/>
      </rPr>
      <t>办公</t>
    </r>
  </si>
  <si>
    <t>公共服务</t>
  </si>
  <si>
    <r>
      <rPr>
        <sz val="11"/>
        <color theme="1"/>
        <rFont val="Arial"/>
        <family val="2"/>
      </rPr>
      <t>35-40</t>
    </r>
    <r>
      <rPr>
        <sz val="11"/>
        <color indexed="8"/>
        <rFont val="仿宋_GB2312"/>
        <charset val="134"/>
      </rPr>
      <t>（含）</t>
    </r>
  </si>
  <si>
    <r>
      <rPr>
        <sz val="11"/>
        <color indexed="8"/>
        <rFont val="仿宋_GB2312"/>
        <charset val="134"/>
      </rPr>
      <t>双拼</t>
    </r>
  </si>
  <si>
    <r>
      <rPr>
        <sz val="11"/>
        <color indexed="8"/>
        <rFont val="仿宋_GB2312"/>
        <charset val="134"/>
      </rPr>
      <t>不动产比较法</t>
    </r>
    <r>
      <rPr>
        <sz val="11"/>
        <color indexed="8"/>
        <rFont val="Arial"/>
        <family val="2"/>
      </rPr>
      <t>-</t>
    </r>
    <r>
      <rPr>
        <sz val="11"/>
        <color indexed="8"/>
        <rFont val="仿宋_GB2312"/>
        <charset val="134"/>
      </rPr>
      <t>住宅</t>
    </r>
  </si>
  <si>
    <t>八级</t>
  </si>
  <si>
    <r>
      <rPr>
        <sz val="11"/>
        <color theme="1"/>
        <rFont val="Arial"/>
        <family val="2"/>
      </rPr>
      <t>30-35</t>
    </r>
    <r>
      <rPr>
        <sz val="11"/>
        <color indexed="8"/>
        <rFont val="仿宋_GB2312"/>
        <charset val="134"/>
      </rPr>
      <t>（含）</t>
    </r>
  </si>
  <si>
    <r>
      <rPr>
        <sz val="11"/>
        <color indexed="8"/>
        <rFont val="仿宋_GB2312"/>
        <charset val="134"/>
      </rPr>
      <t>独栋</t>
    </r>
  </si>
  <si>
    <r>
      <rPr>
        <sz val="11"/>
        <color indexed="8"/>
        <rFont val="仿宋_GB2312"/>
        <charset val="134"/>
      </rPr>
      <t>不动产比较法</t>
    </r>
    <r>
      <rPr>
        <sz val="11"/>
        <color indexed="8"/>
        <rFont val="Arial"/>
        <family val="2"/>
      </rPr>
      <t>-</t>
    </r>
    <r>
      <rPr>
        <sz val="11"/>
        <color indexed="8"/>
        <rFont val="仿宋_GB2312"/>
        <charset val="134"/>
      </rPr>
      <t>商业</t>
    </r>
  </si>
  <si>
    <t>九级</t>
  </si>
  <si>
    <r>
      <rPr>
        <sz val="11"/>
        <color theme="1"/>
        <rFont val="Arial"/>
        <family val="2"/>
      </rPr>
      <t>25-30</t>
    </r>
    <r>
      <rPr>
        <sz val="11"/>
        <color indexed="8"/>
        <rFont val="仿宋_GB2312"/>
        <charset val="134"/>
      </rPr>
      <t>（含）</t>
    </r>
  </si>
  <si>
    <r>
      <rPr>
        <sz val="11"/>
        <color indexed="8"/>
        <rFont val="仿宋_GB2312"/>
        <charset val="134"/>
      </rPr>
      <t>底商</t>
    </r>
  </si>
  <si>
    <r>
      <rPr>
        <sz val="11"/>
        <color indexed="8"/>
        <rFont val="仿宋_GB2312"/>
        <charset val="134"/>
      </rPr>
      <t>不动产比较法</t>
    </r>
    <r>
      <rPr>
        <sz val="11"/>
        <color indexed="8"/>
        <rFont val="Arial"/>
        <family val="2"/>
      </rPr>
      <t>-</t>
    </r>
    <r>
      <rPr>
        <sz val="11"/>
        <color indexed="8"/>
        <rFont val="仿宋_GB2312"/>
        <charset val="134"/>
      </rPr>
      <t>办公</t>
    </r>
  </si>
  <si>
    <t>十级</t>
  </si>
  <si>
    <r>
      <rPr>
        <sz val="11"/>
        <color theme="1"/>
        <rFont val="Arial"/>
        <family val="2"/>
      </rPr>
      <t>20-25</t>
    </r>
    <r>
      <rPr>
        <sz val="11"/>
        <color indexed="8"/>
        <rFont val="仿宋_GB2312"/>
        <charset val="134"/>
      </rPr>
      <t>（含）</t>
    </r>
  </si>
  <si>
    <r>
      <rPr>
        <sz val="11"/>
        <color indexed="8"/>
        <rFont val="仿宋_GB2312"/>
        <charset val="134"/>
      </rPr>
      <t>独立商业</t>
    </r>
  </si>
  <si>
    <r>
      <rPr>
        <sz val="11"/>
        <color indexed="8"/>
        <rFont val="仿宋_GB2312"/>
        <charset val="134"/>
      </rPr>
      <t>不动产比较法</t>
    </r>
    <r>
      <rPr>
        <sz val="11"/>
        <color indexed="8"/>
        <rFont val="Arial"/>
        <family val="2"/>
      </rPr>
      <t>-</t>
    </r>
    <r>
      <rPr>
        <sz val="11"/>
        <color indexed="8"/>
        <rFont val="仿宋_GB2312"/>
        <charset val="134"/>
      </rPr>
      <t>工业</t>
    </r>
  </si>
  <si>
    <t>十一级</t>
  </si>
  <si>
    <r>
      <rPr>
        <sz val="11"/>
        <color theme="1"/>
        <rFont val="Arial"/>
        <family val="2"/>
      </rPr>
      <t>15-20</t>
    </r>
    <r>
      <rPr>
        <sz val="11"/>
        <color indexed="8"/>
        <rFont val="仿宋_GB2312"/>
        <charset val="134"/>
      </rPr>
      <t>（含）</t>
    </r>
  </si>
  <si>
    <r>
      <rPr>
        <sz val="11"/>
        <color indexed="8"/>
        <rFont val="仿宋_GB2312"/>
        <charset val="134"/>
      </rPr>
      <t>商业街</t>
    </r>
  </si>
  <si>
    <r>
      <rPr>
        <sz val="11"/>
        <color indexed="8"/>
        <rFont val="仿宋_GB2312"/>
        <charset val="134"/>
      </rPr>
      <t>不动产比较法</t>
    </r>
    <r>
      <rPr>
        <sz val="11"/>
        <color indexed="8"/>
        <rFont val="Arial"/>
        <family val="2"/>
      </rPr>
      <t>-</t>
    </r>
    <r>
      <rPr>
        <sz val="11"/>
        <color indexed="8"/>
        <rFont val="仿宋_GB2312"/>
        <charset val="134"/>
      </rPr>
      <t>车位</t>
    </r>
  </si>
  <si>
    <t>十二级</t>
  </si>
  <si>
    <r>
      <rPr>
        <sz val="11"/>
        <color theme="1"/>
        <rFont val="Arial"/>
        <family val="2"/>
      </rPr>
      <t>10-15</t>
    </r>
    <r>
      <rPr>
        <sz val="11"/>
        <color indexed="8"/>
        <rFont val="仿宋_GB2312"/>
        <charset val="134"/>
      </rPr>
      <t>（含）</t>
    </r>
  </si>
  <si>
    <r>
      <rPr>
        <sz val="11"/>
        <color indexed="8"/>
        <rFont val="仿宋_GB2312"/>
        <charset val="134"/>
      </rPr>
      <t>酒店</t>
    </r>
  </si>
  <si>
    <r>
      <rPr>
        <sz val="11"/>
        <color indexed="8"/>
        <rFont val="仿宋_GB2312"/>
        <charset val="134"/>
      </rPr>
      <t>不动产比较法</t>
    </r>
    <r>
      <rPr>
        <sz val="11"/>
        <color indexed="8"/>
        <rFont val="Arial"/>
        <family val="2"/>
      </rPr>
      <t>-</t>
    </r>
    <r>
      <rPr>
        <sz val="11"/>
        <color indexed="8"/>
        <rFont val="仿宋_GB2312"/>
        <charset val="134"/>
      </rPr>
      <t>仓储</t>
    </r>
  </si>
  <si>
    <r>
      <rPr>
        <sz val="11"/>
        <color theme="1"/>
        <rFont val="Arial"/>
        <family val="2"/>
      </rPr>
      <t>5-10</t>
    </r>
    <r>
      <rPr>
        <sz val="11"/>
        <color indexed="8"/>
        <rFont val="仿宋_GB2312"/>
        <charset val="134"/>
      </rPr>
      <t>（含）</t>
    </r>
  </si>
  <si>
    <r>
      <rPr>
        <sz val="11"/>
        <color indexed="8"/>
        <rFont val="仿宋_GB2312"/>
        <charset val="134"/>
      </rPr>
      <t>标准厂房</t>
    </r>
  </si>
  <si>
    <r>
      <rPr>
        <sz val="11"/>
        <color indexed="8"/>
        <rFont val="宋体"/>
        <family val="3"/>
        <charset val="134"/>
      </rPr>
      <t>不动产收益法</t>
    </r>
    <r>
      <rPr>
        <sz val="11"/>
        <color indexed="8"/>
        <rFont val="Arial"/>
        <family val="2"/>
      </rPr>
      <t>-</t>
    </r>
    <r>
      <rPr>
        <sz val="11"/>
        <color indexed="8"/>
        <rFont val="宋体"/>
        <family val="3"/>
        <charset val="134"/>
      </rPr>
      <t>商业</t>
    </r>
  </si>
  <si>
    <r>
      <rPr>
        <sz val="11"/>
        <color theme="1"/>
        <rFont val="Arial"/>
        <family val="2"/>
      </rPr>
      <t>0-5</t>
    </r>
    <r>
      <rPr>
        <sz val="11"/>
        <color indexed="8"/>
        <rFont val="仿宋_GB2312"/>
        <charset val="134"/>
      </rPr>
      <t>（含）</t>
    </r>
  </si>
  <si>
    <r>
      <rPr>
        <sz val="11"/>
        <color indexed="8"/>
        <rFont val="仿宋_GB2312"/>
        <charset val="134"/>
      </rPr>
      <t>特殊厂房</t>
    </r>
  </si>
  <si>
    <r>
      <rPr>
        <sz val="11"/>
        <color indexed="8"/>
        <rFont val="宋体"/>
        <family val="3"/>
        <charset val="134"/>
      </rPr>
      <t>不动产收益法</t>
    </r>
    <r>
      <rPr>
        <sz val="11"/>
        <color indexed="8"/>
        <rFont val="Arial"/>
        <family val="2"/>
      </rPr>
      <t>-</t>
    </r>
    <r>
      <rPr>
        <sz val="11"/>
        <color indexed="8"/>
        <rFont val="宋体"/>
        <family val="3"/>
        <charset val="134"/>
      </rPr>
      <t>办公</t>
    </r>
  </si>
  <si>
    <r>
      <rPr>
        <sz val="11"/>
        <color indexed="8"/>
        <rFont val="仿宋_GB2312"/>
        <charset val="134"/>
      </rPr>
      <t>办公楼</t>
    </r>
  </si>
  <si>
    <r>
      <rPr>
        <sz val="11"/>
        <color indexed="8"/>
        <rFont val="宋体"/>
        <family val="3"/>
        <charset val="134"/>
      </rPr>
      <t>不动产收益法</t>
    </r>
    <r>
      <rPr>
        <sz val="11"/>
        <color indexed="8"/>
        <rFont val="Arial"/>
        <family val="2"/>
      </rPr>
      <t>-</t>
    </r>
    <r>
      <rPr>
        <sz val="11"/>
        <color indexed="8"/>
        <rFont val="宋体"/>
        <family val="3"/>
        <charset val="134"/>
      </rPr>
      <t>车库</t>
    </r>
  </si>
  <si>
    <r>
      <rPr>
        <sz val="11"/>
        <color indexed="8"/>
        <rFont val="仿宋_GB2312"/>
        <charset val="134"/>
      </rPr>
      <t>宿舍</t>
    </r>
  </si>
  <si>
    <t>基准地价（汇总）</t>
  </si>
  <si>
    <r>
      <rPr>
        <sz val="11"/>
        <color indexed="8"/>
        <rFont val="仿宋_GB2312"/>
        <charset val="134"/>
      </rPr>
      <t>食堂</t>
    </r>
  </si>
  <si>
    <t>收益还原法</t>
  </si>
  <si>
    <r>
      <rPr>
        <sz val="11"/>
        <color indexed="8"/>
        <rFont val="仿宋_GB2312"/>
        <charset val="134"/>
      </rPr>
      <t>戊类库房</t>
    </r>
  </si>
  <si>
    <r>
      <rPr>
        <sz val="11"/>
        <color theme="1"/>
        <rFont val="宋体"/>
        <family val="3"/>
        <charset val="134"/>
      </rPr>
      <t>不动产收益法</t>
    </r>
    <r>
      <rPr>
        <sz val="11"/>
        <color theme="1"/>
        <rFont val="Arial"/>
        <family val="2"/>
      </rPr>
      <t>-</t>
    </r>
    <r>
      <rPr>
        <sz val="11"/>
        <color theme="1"/>
        <rFont val="宋体"/>
        <family val="3"/>
        <charset val="134"/>
      </rPr>
      <t>酒店模型</t>
    </r>
  </si>
  <si>
    <r>
      <rPr>
        <sz val="11"/>
        <color indexed="8"/>
        <rFont val="仿宋_GB2312"/>
        <charset val="134"/>
      </rPr>
      <t>燃品库房</t>
    </r>
  </si>
  <si>
    <t>*</t>
  </si>
  <si>
    <r>
      <rPr>
        <sz val="11"/>
        <color indexed="8"/>
        <rFont val="仿宋_GB2312"/>
        <charset val="134"/>
      </rPr>
      <t>非燃品库房</t>
    </r>
  </si>
  <si>
    <r>
      <rPr>
        <sz val="11"/>
        <color indexed="8"/>
        <rFont val="仿宋_GB2312"/>
        <charset val="134"/>
      </rPr>
      <t>限价商品房</t>
    </r>
  </si>
  <si>
    <r>
      <rPr>
        <sz val="11"/>
        <color indexed="8"/>
        <rFont val="仿宋_GB2312"/>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</si>
  <si>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</si>
  <si>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</si>
  <si>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</si>
  <si>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</si>
  <si>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</si>
  <si>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</si>
  <si>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</si>
  <si>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</si>
  <si>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</si>
  <si>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</si>
  <si>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</si>
  <si>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</si>
  <si>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</si>
  <si>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</si>
  <si>
    <r>
      <rPr>
        <sz val="11"/>
        <color theme="1"/>
        <rFont val="Arial"/>
        <family val="2"/>
      </rP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</si>
  <si>
    <t>土地年期修正</t>
  </si>
  <si>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</si>
  <si>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</si>
  <si>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</si>
  <si>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</si>
  <si>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</si>
  <si>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</si>
  <si>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</si>
  <si>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</si>
  <si>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</si>
  <si>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</si>
  <si>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</si>
  <si>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</si>
  <si>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</si>
  <si>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</si>
  <si>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</si>
  <si>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</si>
  <si>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</si>
  <si>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</si>
  <si>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</si>
  <si>
    <t>出让年限</t>
  </si>
  <si>
    <t>报酬率</t>
  </si>
  <si>
    <t>地价贡献率（参考下表）</t>
  </si>
  <si>
    <t>房价修正系数</t>
  </si>
  <si>
    <t>估价对象</t>
  </si>
  <si>
    <t>案例A</t>
  </si>
  <si>
    <t>案例B</t>
  </si>
  <si>
    <t>案例C</t>
  </si>
  <si>
    <t>推导公式</t>
  </si>
  <si>
    <t>1.建+50年地价×20年年期修正系数＝20年房价</t>
  </si>
  <si>
    <t>2.建+50年地价＝50年房价</t>
  </si>
  <si>
    <t>1、2步得出</t>
  </si>
  <si>
    <t>3.50年房价－50年地价+50年地价×20年年期修正系数＝20年房价</t>
  </si>
  <si>
    <t>4.20年房价＝50年房价×20年房价修正系数</t>
  </si>
  <si>
    <t>4步代入3步</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</si>
  <si>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</si>
  <si>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</si>
  <si>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</si>
  <si>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</si>
  <si>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</si>
  <si>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</si>
  <si>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综合地价贡献率</t>
  </si>
  <si>
    <t>收益法地价房价比</t>
  </si>
  <si>
    <t>地价售价比</t>
  </si>
  <si>
    <t>20%-30%</t>
  </si>
  <si>
    <t>15%-40%</t>
  </si>
  <si>
    <t>8000地价，20000售价；地价950，售价6500</t>
  </si>
  <si>
    <t>住宅</t>
  </si>
  <si>
    <t>60%-70%</t>
  </si>
  <si>
    <t>65%-75%</t>
  </si>
  <si>
    <t>50%-65%</t>
  </si>
  <si>
    <t>当前北京市基本控制在50%-65%</t>
  </si>
  <si>
    <t>商业/办公</t>
  </si>
  <si>
    <t>50%-60%</t>
  </si>
  <si>
    <t>70%-80%</t>
  </si>
  <si>
    <t>15000地价，30000售价</t>
  </si>
  <si>
    <t>车库/仓储</t>
  </si>
  <si>
    <t>35%-45%</t>
  </si>
  <si>
    <t>四级或五级地，地价2500-3000熟地价，售价5500-8000</t>
  </si>
  <si>
    <t>估价项目名称</t>
  </si>
  <si>
    <t>报告编号</t>
  </si>
  <si>
    <t>现场勘查日</t>
  </si>
  <si>
    <t>估价期日</t>
  </si>
  <si>
    <t>签字估价师</t>
  </si>
  <si>
    <t xml:space="preserve">估价委托人  </t>
  </si>
  <si>
    <r>
      <rPr>
        <sz val="12"/>
        <color indexed="8"/>
        <rFont val="仿宋_GB2312"/>
        <charset val="134"/>
      </rPr>
      <t>金融机构</t>
    </r>
    <r>
      <rPr>
        <sz val="10"/>
        <color indexed="8"/>
        <rFont val="仿宋_GB2312"/>
        <charset val="134"/>
      </rPr>
      <t>(贷款方)</t>
    </r>
  </si>
  <si>
    <t>借款方</t>
  </si>
  <si>
    <t>抵押结果包含：</t>
  </si>
  <si>
    <t>价值类型</t>
  </si>
  <si>
    <t>项目所在城市</t>
  </si>
  <si>
    <t>其他：</t>
  </si>
  <si>
    <t>坐落</t>
  </si>
  <si>
    <t>不动产权利人</t>
  </si>
  <si>
    <t>企业</t>
  </si>
  <si>
    <t>证载土地用途</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</si>
  <si>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</si>
  <si>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</si>
  <si>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</si>
  <si>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</si>
  <si>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</si>
  <si>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一致</t>
  </si>
  <si>
    <t>符合</t>
  </si>
  <si>
    <t>商业</t>
  </si>
  <si>
    <t>办公</t>
  </si>
  <si>
    <t>车库</t>
  </si>
  <si>
    <t>仓储</t>
  </si>
  <si>
    <t>土地性质</t>
  </si>
  <si>
    <t>出让</t>
  </si>
  <si>
    <t>剩余年限</t>
  </si>
  <si>
    <t>设定估价对象土地年限</t>
  </si>
  <si>
    <t>面积指标</t>
  </si>
  <si>
    <t>建筑面积</t>
  </si>
  <si>
    <t>面积依据</t>
  </si>
  <si>
    <t>《建设工程规划许可证》[]、《出让合同》[]</t>
  </si>
  <si>
    <t>土地面积</t>
  </si>
  <si>
    <t>权利状况（抵押）</t>
  </si>
  <si>
    <t>是否抵押</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</si>
  <si>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</si>
  <si>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</si>
  <si>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</si>
  <si>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</si>
  <si>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</si>
  <si>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</si>
  <si>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</si>
  <si>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</si>
  <si>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</si>
  <si>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</si>
  <si>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</si>
  <si>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</si>
  <si>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</si>
  <si>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</si>
  <si>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</si>
  <si>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</si>
  <si>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特殊细项</t>
  </si>
  <si>
    <t>是否配建</t>
  </si>
  <si>
    <t>配建类型</t>
  </si>
  <si>
    <t>宗地现状</t>
  </si>
  <si>
    <t>宗地内平整情况设定为：</t>
  </si>
  <si>
    <t>闲置情况</t>
  </si>
  <si>
    <t>约定的动工日期</t>
  </si>
  <si>
    <t>超过约定</t>
  </si>
  <si>
    <t>年</t>
  </si>
  <si>
    <t>红线外市政</t>
  </si>
  <si>
    <t>一通</t>
  </si>
  <si>
    <t>二通</t>
  </si>
  <si>
    <t>北京市</t>
  </si>
  <si>
    <t>区片编号</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</si>
  <si>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</si>
  <si>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</si>
  <si>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</si>
  <si>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</si>
  <si>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</si>
  <si>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</si>
  <si>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</si>
  <si>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</si>
  <si>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</si>
  <si>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</si>
  <si>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</si>
  <si>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</si>
  <si>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</si>
  <si>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</si>
  <si>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</si>
  <si>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</si>
  <si>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</si>
  <si>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</si>
  <si>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</si>
  <si>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</si>
  <si>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charset val="134"/>
      </rPr>
      <t>数据基础表</t>
    </r>
  </si>
  <si>
    <r>
      <rPr>
        <b/>
        <sz val="16"/>
        <color indexed="10"/>
        <rFont val="仿宋_GB2312"/>
        <charset val="134"/>
      </rPr>
      <t>抵押物清单</t>
    </r>
  </si>
  <si>
    <r>
      <rPr>
        <sz val="10"/>
        <color indexed="8"/>
        <rFont val="仿宋_GB2312"/>
        <charset val="134"/>
      </rPr>
      <t>土地面积</t>
    </r>
  </si>
  <si>
    <r>
      <rPr>
        <sz val="10"/>
        <color indexed="8"/>
        <rFont val="仿宋_GB2312"/>
        <charset val="134"/>
      </rPr>
      <t>建筑面积</t>
    </r>
  </si>
  <si>
    <r>
      <rPr>
        <sz val="10"/>
        <color indexed="8"/>
        <rFont val="仿宋_GB2312"/>
        <charset val="134"/>
      </rPr>
      <t>人防是否参与分摊</t>
    </r>
  </si>
  <si>
    <r>
      <rPr>
        <sz val="10"/>
        <color indexed="8"/>
        <rFont val="仿宋_GB2312"/>
        <charset val="134"/>
      </rPr>
      <t>测绘分摊土地面积</t>
    </r>
  </si>
  <si>
    <r>
      <rPr>
        <sz val="10"/>
        <color theme="1"/>
        <rFont val="仿宋_GB2312"/>
        <charset val="134"/>
      </rPr>
      <t>计容建筑面积</t>
    </r>
  </si>
  <si>
    <t>计容部位</t>
  </si>
  <si>
    <r>
      <rPr>
        <sz val="10"/>
        <color indexed="8"/>
        <rFont val="仿宋_GB2312"/>
        <charset val="134"/>
      </rPr>
      <t>建筑面积合计</t>
    </r>
  </si>
  <si>
    <r>
      <rPr>
        <sz val="10"/>
        <color indexed="8"/>
        <rFont val="仿宋_GB2312"/>
        <charset val="134"/>
      </rPr>
      <t>（分摊）土地面积</t>
    </r>
  </si>
  <si>
    <r>
      <rPr>
        <sz val="10"/>
        <color indexed="8"/>
        <rFont val="仿宋_GB2312"/>
        <charset val="134"/>
      </rPr>
      <t>土地使用权证号</t>
    </r>
  </si>
  <si>
    <r>
      <rPr>
        <sz val="10"/>
        <color indexed="8"/>
        <rFont val="仿宋_GB2312"/>
        <charset val="134"/>
      </rPr>
      <t>建筑面积依据</t>
    </r>
  </si>
  <si>
    <r>
      <rPr>
        <sz val="10"/>
        <color indexed="8"/>
        <rFont val="仿宋_GB2312"/>
        <charset val="134"/>
      </rPr>
      <t>建设内容</t>
    </r>
    <r>
      <rPr>
        <sz val="10"/>
        <color indexed="8"/>
        <rFont val="Arial"/>
        <family val="2"/>
      </rPr>
      <t>/</t>
    </r>
    <r>
      <rPr>
        <sz val="10"/>
        <color indexed="8"/>
        <rFont val="仿宋_GB2312"/>
        <charset val="134"/>
      </rPr>
      <t>楼号</t>
    </r>
  </si>
  <si>
    <r>
      <rPr>
        <sz val="10"/>
        <color indexed="8"/>
        <rFont val="仿宋_GB2312"/>
        <charset val="134"/>
      </rPr>
      <t>是否为抵押范围</t>
    </r>
  </si>
  <si>
    <r>
      <rPr>
        <sz val="10"/>
        <color indexed="8"/>
        <rFont val="仿宋_GB2312"/>
        <charset val="134"/>
      </rPr>
      <t>楼基面积</t>
    </r>
  </si>
  <si>
    <r>
      <rPr>
        <sz val="10"/>
        <color indexed="8"/>
        <rFont val="仿宋_GB2312"/>
        <charset val="134"/>
      </rPr>
      <t>建筑面积（含人防）</t>
    </r>
  </si>
  <si>
    <r>
      <rPr>
        <sz val="10"/>
        <color indexed="8"/>
        <rFont val="仿宋_GB2312"/>
        <charset val="134"/>
      </rPr>
      <t>不在估价范围内的项目</t>
    </r>
  </si>
  <si>
    <r>
      <rPr>
        <sz val="10"/>
        <color indexed="8"/>
        <rFont val="仿宋_GB2312"/>
        <charset val="134"/>
      </rPr>
      <t>抵押物</t>
    </r>
  </si>
  <si>
    <r>
      <rPr>
        <sz val="10"/>
        <color indexed="8"/>
        <rFont val="仿宋_GB2312"/>
        <charset val="134"/>
      </rPr>
      <t>合计</t>
    </r>
  </si>
  <si>
    <r>
      <rPr>
        <sz val="10"/>
        <color indexed="8"/>
        <rFont val="仿宋_GB2312"/>
        <charset val="134"/>
      </rPr>
      <t>经营性用途（预留</t>
    </r>
    <r>
      <rPr>
        <sz val="10"/>
        <color indexed="8"/>
        <rFont val="Arial"/>
        <family val="2"/>
      </rPr>
      <t>10</t>
    </r>
    <r>
      <rPr>
        <sz val="10"/>
        <color indexed="8"/>
        <rFont val="仿宋_GB2312"/>
        <charset val="134"/>
      </rPr>
      <t>格</t>
    </r>
    <r>
      <rPr>
        <sz val="10"/>
        <color indexed="8"/>
        <rFont val="Arial"/>
        <family val="2"/>
      </rPr>
      <t>)</t>
    </r>
  </si>
  <si>
    <r>
      <rPr>
        <sz val="10"/>
        <color indexed="8"/>
        <rFont val="仿宋_GB2312"/>
        <charset val="134"/>
      </rPr>
      <t>非经营性用途（共设</t>
    </r>
    <r>
      <rPr>
        <sz val="10"/>
        <color indexed="8"/>
        <rFont val="Arial"/>
        <family val="2"/>
      </rPr>
      <t>8</t>
    </r>
    <r>
      <rPr>
        <sz val="10"/>
        <color indexed="8"/>
        <rFont val="仿宋_GB2312"/>
        <charset val="134"/>
      </rPr>
      <t>格，固定）</t>
    </r>
  </si>
  <si>
    <t>人防</t>
  </si>
  <si>
    <r>
      <rPr>
        <sz val="10"/>
        <color indexed="8"/>
        <rFont val="仿宋_GB2312"/>
        <charset val="134"/>
      </rPr>
      <t>文字说明</t>
    </r>
  </si>
  <si>
    <r>
      <rPr>
        <sz val="10"/>
        <color indexed="8"/>
        <rFont val="仿宋_GB2312"/>
        <charset val="134"/>
      </rPr>
      <t>小计</t>
    </r>
  </si>
  <si>
    <t>地上</t>
  </si>
  <si>
    <r>
      <rPr>
        <sz val="10"/>
        <color indexed="8"/>
        <rFont val="仿宋_GB2312"/>
        <charset val="134"/>
      </rPr>
      <t>地上</t>
    </r>
  </si>
  <si>
    <r>
      <rPr>
        <sz val="10"/>
        <color indexed="8"/>
        <rFont val="仿宋_GB2312"/>
        <charset val="134"/>
      </rPr>
      <t>地下</t>
    </r>
  </si>
  <si>
    <r>
      <rPr>
        <sz val="10"/>
        <color indexed="8"/>
        <rFont val="仿宋_GB2312"/>
        <charset val="134"/>
      </rPr>
      <t>没有请明确为</t>
    </r>
    <r>
      <rPr>
        <sz val="10"/>
        <color indexed="8"/>
        <rFont val="Arial"/>
        <family val="2"/>
      </rPr>
      <t>“</t>
    </r>
    <r>
      <rPr>
        <sz val="10"/>
        <color indexed="8"/>
        <rFont val="仿宋_GB2312"/>
        <charset val="134"/>
      </rPr>
      <t>无</t>
    </r>
    <r>
      <rPr>
        <sz val="10"/>
        <color indexed="8"/>
        <rFont val="Arial"/>
        <family val="2"/>
      </rPr>
      <t>”</t>
    </r>
  </si>
  <si>
    <r>
      <rPr>
        <sz val="10"/>
        <color indexed="8"/>
        <rFont val="仿宋_GB2312"/>
        <charset val="134"/>
      </rPr>
      <t>经营性用途</t>
    </r>
  </si>
  <si>
    <r>
      <rPr>
        <sz val="10"/>
        <color indexed="8"/>
        <rFont val="仿宋_GB2312"/>
        <charset val="134"/>
      </rPr>
      <t>非经营性用途</t>
    </r>
  </si>
  <si>
    <t>物业管理用房</t>
  </si>
  <si>
    <r>
      <rPr>
        <sz val="10"/>
        <color indexed="8"/>
        <rFont val="仿宋_GB2312"/>
        <charset val="134"/>
      </rPr>
      <t>物业管理用房</t>
    </r>
  </si>
  <si>
    <t>设备及其他</t>
  </si>
  <si>
    <r>
      <rPr>
        <sz val="10"/>
        <color indexed="8"/>
        <rFont val="仿宋_GB2312"/>
        <charset val="134"/>
      </rPr>
      <t>设备及其他</t>
    </r>
  </si>
  <si>
    <r>
      <rPr>
        <sz val="10"/>
        <color indexed="8"/>
        <rFont val="仿宋_GB2312"/>
        <charset val="134"/>
      </rPr>
      <t>未注明</t>
    </r>
  </si>
  <si>
    <t>（住宅）</t>
  </si>
  <si>
    <t>（住宅、计出让金）</t>
  </si>
  <si>
    <r>
      <rPr>
        <sz val="10"/>
        <color indexed="8"/>
        <rFont val="仿宋_GB2312"/>
        <charset val="134"/>
      </rPr>
      <t>总值</t>
    </r>
  </si>
  <si>
    <r>
      <rPr>
        <sz val="10"/>
        <color indexed="8"/>
        <rFont val="仿宋_GB2312"/>
        <charset val="134"/>
      </rPr>
      <t>扣减值</t>
    </r>
  </si>
  <si>
    <t>是</t>
  </si>
  <si>
    <r>
      <rPr>
        <b/>
        <sz val="14"/>
        <color indexed="10"/>
        <rFont val="仿宋_GB2312"/>
        <charset val="134"/>
      </rPr>
      <t>数据汇总表</t>
    </r>
  </si>
  <si>
    <r>
      <rPr>
        <b/>
        <sz val="11"/>
        <color indexed="8"/>
        <rFont val="仿宋_GB2312"/>
        <charset val="134"/>
      </rPr>
      <t>估价对象</t>
    </r>
  </si>
  <si>
    <r>
      <rPr>
        <b/>
        <sz val="11"/>
        <color indexed="8"/>
        <rFont val="仿宋_GB2312"/>
        <charset val="134"/>
      </rPr>
      <t>土地面积</t>
    </r>
  </si>
  <si>
    <r>
      <rPr>
        <b/>
        <sz val="11"/>
        <rFont val="仿宋_GB2312"/>
        <charset val="134"/>
      </rPr>
      <t>建筑面积</t>
    </r>
  </si>
  <si>
    <r>
      <rPr>
        <b/>
        <sz val="11"/>
        <color indexed="8"/>
        <rFont val="楷体_GB2312"/>
        <charset val="134"/>
      </rPr>
      <t>容积率</t>
    </r>
  </si>
  <si>
    <r>
      <rPr>
        <b/>
        <sz val="11"/>
        <color indexed="8"/>
        <rFont val="仿宋_GB2312"/>
        <charset val="134"/>
      </rPr>
      <t>面积总计</t>
    </r>
  </si>
  <si>
    <r>
      <rPr>
        <sz val="11"/>
        <color indexed="8"/>
        <rFont val="楷体_GB2312"/>
        <charset val="134"/>
      </rPr>
      <t>项目</t>
    </r>
  </si>
  <si>
    <r>
      <rPr>
        <sz val="11"/>
        <color indexed="8"/>
        <rFont val="楷体_GB2312"/>
        <charset val="134"/>
      </rPr>
      <t>总</t>
    </r>
  </si>
  <si>
    <r>
      <rPr>
        <sz val="11"/>
        <color indexed="8"/>
        <rFont val="楷体_GB2312"/>
        <charset val="134"/>
      </rPr>
      <t>地上</t>
    </r>
  </si>
  <si>
    <r>
      <rPr>
        <sz val="11"/>
        <color indexed="8"/>
        <rFont val="Arial"/>
        <family val="2"/>
      </rPr>
      <t>1.</t>
    </r>
    <r>
      <rPr>
        <sz val="11"/>
        <color indexed="8"/>
        <rFont val="仿宋_GB2312"/>
        <charset val="134"/>
      </rPr>
      <t>其中：</t>
    </r>
  </si>
  <si>
    <r>
      <rPr>
        <sz val="11"/>
        <color indexed="8"/>
        <rFont val="楷体_GB2312"/>
        <charset val="134"/>
      </rPr>
      <t>估价对象</t>
    </r>
  </si>
  <si>
    <r>
      <rPr>
        <sz val="11"/>
        <color indexed="8"/>
        <rFont val="仿宋_GB2312"/>
        <charset val="134"/>
      </rPr>
      <t>非住宅</t>
    </r>
  </si>
  <si>
    <r>
      <rPr>
        <b/>
        <sz val="11"/>
        <color indexed="8"/>
        <rFont val="仿宋_GB2312"/>
        <charset val="134"/>
      </rPr>
      <t>建筑面积</t>
    </r>
  </si>
  <si>
    <t>自定义容积率</t>
  </si>
  <si>
    <r>
      <rPr>
        <sz val="11"/>
        <color indexed="8"/>
        <rFont val="Arial"/>
        <family val="2"/>
      </rPr>
      <t>2.</t>
    </r>
    <r>
      <rPr>
        <sz val="11"/>
        <color indexed="8"/>
        <rFont val="仿宋_GB2312"/>
        <charset val="134"/>
      </rPr>
      <t>其中：</t>
    </r>
  </si>
  <si>
    <r>
      <rPr>
        <sz val="11"/>
        <color indexed="8"/>
        <rFont val="仿宋_GB2312"/>
        <charset val="134"/>
      </rPr>
      <t>计出让部分</t>
    </r>
  </si>
  <si>
    <r>
      <rPr>
        <sz val="11"/>
        <color indexed="8"/>
        <rFont val="仿宋_GB2312"/>
        <charset val="134"/>
      </rPr>
      <t>地上经营性用途</t>
    </r>
  </si>
  <si>
    <r>
      <rPr>
        <sz val="11"/>
        <color indexed="8"/>
        <rFont val="仿宋_GB2312"/>
        <charset val="134"/>
      </rPr>
      <t>地上其他</t>
    </r>
  </si>
  <si>
    <r>
      <rPr>
        <sz val="11"/>
        <color indexed="8"/>
        <rFont val="仿宋_GB2312"/>
        <charset val="134"/>
      </rPr>
      <t>地下商业</t>
    </r>
  </si>
  <si>
    <t>地下办公（含物业）</t>
  </si>
  <si>
    <r>
      <rPr>
        <sz val="11"/>
        <color indexed="8"/>
        <rFont val="仿宋_GB2312"/>
        <charset val="134"/>
      </rPr>
      <t>地下仓储</t>
    </r>
  </si>
  <si>
    <r>
      <rPr>
        <sz val="11"/>
        <color indexed="8"/>
        <rFont val="仿宋_GB2312"/>
        <charset val="134"/>
      </rPr>
      <t>地下车库</t>
    </r>
    <r>
      <rPr>
        <sz val="9"/>
        <color indexed="8"/>
        <rFont val="仿宋_GB2312"/>
        <charset val="134"/>
      </rPr>
      <t>（除商业、办公）</t>
    </r>
  </si>
  <si>
    <r>
      <rPr>
        <sz val="11"/>
        <color indexed="8"/>
        <rFont val="仿宋_GB2312"/>
        <charset val="134"/>
      </rPr>
      <t>地下车库</t>
    </r>
    <r>
      <rPr>
        <sz val="11"/>
        <color indexed="8"/>
        <rFont val="Arial"/>
        <family val="2"/>
      </rPr>
      <t>-</t>
    </r>
    <r>
      <rPr>
        <sz val="11"/>
        <color indexed="8"/>
        <rFont val="仿宋_GB2312"/>
        <charset val="134"/>
      </rPr>
      <t>商业</t>
    </r>
  </si>
  <si>
    <r>
      <rPr>
        <sz val="11"/>
        <color indexed="8"/>
        <rFont val="仿宋_GB2312"/>
        <charset val="134"/>
      </rPr>
      <t>地下车库</t>
    </r>
    <r>
      <rPr>
        <sz val="11"/>
        <color indexed="8"/>
        <rFont val="Arial"/>
        <family val="2"/>
      </rPr>
      <t>-</t>
    </r>
    <r>
      <rPr>
        <sz val="11"/>
        <color indexed="8"/>
        <rFont val="仿宋_GB2312"/>
        <charset val="134"/>
      </rPr>
      <t>办公</t>
    </r>
  </si>
  <si>
    <r>
      <rPr>
        <sz val="11"/>
        <color indexed="8"/>
        <rFont val="仿宋_GB2312"/>
        <charset val="134"/>
      </rPr>
      <t>小计</t>
    </r>
  </si>
  <si>
    <r>
      <rPr>
        <b/>
        <sz val="11"/>
        <color indexed="8"/>
        <rFont val="仿宋_GB2312"/>
        <charset val="134"/>
      </rPr>
      <t>分摊非经营性用途用房</t>
    </r>
  </si>
  <si>
    <t>分摊非经营性用途用房</t>
  </si>
  <si>
    <r>
      <rPr>
        <sz val="11"/>
        <color indexed="8"/>
        <rFont val="Arial"/>
        <family val="2"/>
      </rPr>
      <t>3.</t>
    </r>
    <r>
      <rPr>
        <sz val="11"/>
        <color indexed="8"/>
        <rFont val="仿宋_GB2312"/>
        <charset val="134"/>
      </rPr>
      <t>其中：</t>
    </r>
  </si>
  <si>
    <r>
      <rPr>
        <b/>
        <sz val="11"/>
        <color indexed="8"/>
        <rFont val="仿宋_GB2312"/>
        <charset val="134"/>
      </rPr>
      <t>分摊原则：</t>
    </r>
  </si>
  <si>
    <t>按面积比例</t>
  </si>
  <si>
    <t>按面积比例分摊</t>
  </si>
  <si>
    <t>自定义分摊</t>
  </si>
  <si>
    <t>面积加总（含分摊非经营）</t>
  </si>
  <si>
    <r>
      <rPr>
        <sz val="11"/>
        <rFont val="仿宋_GB2312"/>
        <charset val="134"/>
      </rPr>
      <t>合计</t>
    </r>
  </si>
  <si>
    <r>
      <rPr>
        <sz val="11"/>
        <color indexed="8"/>
        <rFont val="仿宋_GB2312"/>
        <charset val="134"/>
      </rPr>
      <t>土地面积</t>
    </r>
  </si>
  <si>
    <r>
      <rPr>
        <sz val="11"/>
        <color indexed="8"/>
        <rFont val="仿宋_GB2312"/>
        <charset val="134"/>
      </rPr>
      <t>建筑面积</t>
    </r>
  </si>
  <si>
    <t>设备</t>
  </si>
  <si>
    <t>公共配套(住宅)</t>
  </si>
  <si>
    <t>合</t>
  </si>
  <si>
    <t>厂房</t>
  </si>
  <si>
    <r>
      <rPr>
        <sz val="11"/>
        <color indexed="8"/>
        <rFont val="仿宋_GB2312"/>
        <charset val="134"/>
      </rPr>
      <t>设备及其他</t>
    </r>
  </si>
  <si>
    <t>公共配套及物业（住宅）</t>
  </si>
  <si>
    <r>
      <rPr>
        <b/>
        <sz val="11"/>
        <color indexed="8"/>
        <rFont val="仿宋_GB2312"/>
        <charset val="134"/>
      </rPr>
      <t>合计</t>
    </r>
  </si>
  <si>
    <t>总计</t>
  </si>
  <si>
    <t>住宅用房合计</t>
  </si>
  <si>
    <r>
      <rPr>
        <b/>
        <sz val="14"/>
        <color indexed="10"/>
        <rFont val="楷体_GB2312"/>
        <charset val="134"/>
      </rPr>
      <t>数据取费表</t>
    </r>
  </si>
  <si>
    <r>
      <rPr>
        <b/>
        <sz val="11"/>
        <color indexed="8"/>
        <rFont val="楷体_GB2312"/>
        <charset val="134"/>
      </rPr>
      <t>价值时点</t>
    </r>
    <r>
      <rPr>
        <b/>
        <sz val="11"/>
        <color indexed="8"/>
        <rFont val="Arial"/>
        <family val="2"/>
      </rPr>
      <t>/</t>
    </r>
    <r>
      <rPr>
        <b/>
        <sz val="11"/>
        <color indexed="8"/>
        <rFont val="楷体_GB2312"/>
        <charset val="134"/>
      </rPr>
      <t>估价期日</t>
    </r>
  </si>
  <si>
    <r>
      <rPr>
        <b/>
        <sz val="11"/>
        <color indexed="8"/>
        <rFont val="楷体_GB2312"/>
        <charset val="134"/>
      </rPr>
      <t>综合取费</t>
    </r>
  </si>
  <si>
    <t>土地使用年期</t>
  </si>
  <si>
    <t>建安费用</t>
  </si>
  <si>
    <r>
      <rPr>
        <sz val="11"/>
        <color indexed="8"/>
        <rFont val="楷体_GB2312"/>
        <charset val="134"/>
      </rPr>
      <t>无租约</t>
    </r>
    <r>
      <rPr>
        <sz val="11"/>
        <color indexed="8"/>
        <rFont val="Arial"/>
        <family val="2"/>
      </rPr>
      <t>/</t>
    </r>
    <r>
      <rPr>
        <sz val="11"/>
        <color indexed="8"/>
        <rFont val="楷体_GB2312"/>
        <charset val="134"/>
      </rPr>
      <t>租期内</t>
    </r>
  </si>
  <si>
    <r>
      <rPr>
        <sz val="11"/>
        <color indexed="8"/>
        <rFont val="楷体_GB2312"/>
        <charset val="134"/>
      </rPr>
      <t>租期外</t>
    </r>
  </si>
  <si>
    <r>
      <rPr>
        <sz val="11"/>
        <color indexed="8"/>
        <rFont val="楷体_GB2312"/>
        <charset val="134"/>
      </rPr>
      <t>收益期</t>
    </r>
  </si>
  <si>
    <r>
      <rPr>
        <sz val="11"/>
        <color indexed="8"/>
        <rFont val="楷体_GB2312"/>
        <charset val="134"/>
      </rPr>
      <t>类别</t>
    </r>
  </si>
  <si>
    <r>
      <rPr>
        <sz val="11"/>
        <color indexed="8"/>
        <rFont val="楷体_GB2312"/>
        <charset val="134"/>
      </rPr>
      <t>地类判定</t>
    </r>
  </si>
  <si>
    <r>
      <rPr>
        <sz val="11"/>
        <rFont val="楷体_GB2312"/>
        <charset val="134"/>
      </rPr>
      <t>法定最高</t>
    </r>
    <r>
      <rPr>
        <sz val="11"/>
        <rFont val="Arial"/>
        <family val="2"/>
      </rPr>
      <t>/</t>
    </r>
    <r>
      <rPr>
        <sz val="11"/>
        <rFont val="楷体_GB2312"/>
        <charset val="134"/>
      </rPr>
      <t>出让年限</t>
    </r>
  </si>
  <si>
    <r>
      <rPr>
        <sz val="11"/>
        <color indexed="8"/>
        <rFont val="楷体_GB2312"/>
        <charset val="134"/>
      </rPr>
      <t>终止日期</t>
    </r>
  </si>
  <si>
    <r>
      <rPr>
        <sz val="11"/>
        <color indexed="8"/>
        <rFont val="楷体_GB2312"/>
        <charset val="134"/>
      </rPr>
      <t>剩余土地使用年限</t>
    </r>
  </si>
  <si>
    <r>
      <rPr>
        <sz val="11"/>
        <color indexed="8"/>
        <rFont val="楷体_GB2312"/>
        <charset val="134"/>
      </rPr>
      <t>年期修正系数</t>
    </r>
  </si>
  <si>
    <r>
      <rPr>
        <sz val="11"/>
        <color indexed="8"/>
        <rFont val="楷体_GB2312"/>
        <charset val="134"/>
      </rPr>
      <t>还原率</t>
    </r>
    <r>
      <rPr>
        <sz val="11"/>
        <color indexed="8"/>
        <rFont val="Arial"/>
        <family val="2"/>
      </rPr>
      <t>-</t>
    </r>
    <r>
      <rPr>
        <sz val="11"/>
        <color indexed="8"/>
        <rFont val="楷体_GB2312"/>
        <charset val="134"/>
      </rPr>
      <t>土地</t>
    </r>
  </si>
  <si>
    <r>
      <rPr>
        <sz val="11"/>
        <color indexed="8"/>
        <rFont val="楷体_GB2312"/>
        <charset val="134"/>
      </rPr>
      <t>还原率</t>
    </r>
    <r>
      <rPr>
        <sz val="11"/>
        <color indexed="8"/>
        <rFont val="Arial"/>
        <family val="2"/>
      </rPr>
      <t>-</t>
    </r>
    <r>
      <rPr>
        <sz val="11"/>
        <color indexed="8"/>
        <rFont val="楷体_GB2312"/>
        <charset val="134"/>
      </rPr>
      <t>综合</t>
    </r>
  </si>
  <si>
    <r>
      <rPr>
        <sz val="11"/>
        <color indexed="8"/>
        <rFont val="楷体_GB2312"/>
        <charset val="134"/>
      </rPr>
      <t>资本化率</t>
    </r>
    <r>
      <rPr>
        <sz val="11"/>
        <color indexed="8"/>
        <rFont val="Arial"/>
        <family val="2"/>
      </rPr>
      <t>-</t>
    </r>
    <r>
      <rPr>
        <sz val="11"/>
        <color indexed="8"/>
        <rFont val="楷体_GB2312"/>
        <charset val="134"/>
      </rPr>
      <t>建筑物</t>
    </r>
  </si>
  <si>
    <r>
      <rPr>
        <sz val="11"/>
        <color indexed="8"/>
        <rFont val="楷体_GB2312"/>
        <charset val="134"/>
      </rPr>
      <t>建筑面积</t>
    </r>
  </si>
  <si>
    <r>
      <rPr>
        <sz val="11"/>
        <color indexed="8"/>
        <rFont val="楷体_GB2312"/>
        <charset val="134"/>
      </rPr>
      <t>单方造价</t>
    </r>
  </si>
  <si>
    <r>
      <rPr>
        <sz val="11"/>
        <color indexed="8"/>
        <rFont val="楷体_GB2312"/>
        <charset val="134"/>
      </rPr>
      <t>建安总额</t>
    </r>
  </si>
  <si>
    <t>工程进度</t>
  </si>
  <si>
    <r>
      <rPr>
        <sz val="11"/>
        <color indexed="8"/>
        <rFont val="楷体_GB2312"/>
        <charset val="134"/>
      </rPr>
      <t>在建建安</t>
    </r>
  </si>
  <si>
    <r>
      <rPr>
        <sz val="11"/>
        <color indexed="8"/>
        <rFont val="楷体_GB2312"/>
        <charset val="134"/>
      </rPr>
      <t>续建建安</t>
    </r>
  </si>
  <si>
    <r>
      <rPr>
        <sz val="11"/>
        <color indexed="8"/>
        <rFont val="楷体_GB2312"/>
        <charset val="134"/>
      </rPr>
      <t>利润</t>
    </r>
  </si>
  <si>
    <r>
      <rPr>
        <sz val="11"/>
        <color indexed="8"/>
        <rFont val="楷体_GB2312"/>
        <charset val="134"/>
      </rPr>
      <t>分摊土地面积（经营性）</t>
    </r>
  </si>
  <si>
    <t>建筑面积（分摊设备）</t>
  </si>
  <si>
    <r>
      <rPr>
        <sz val="11"/>
        <color indexed="8"/>
        <rFont val="楷体_GB2312"/>
        <charset val="134"/>
      </rPr>
      <t>总建安（分摊非经营）</t>
    </r>
  </si>
  <si>
    <r>
      <rPr>
        <sz val="11"/>
        <color indexed="8"/>
        <rFont val="楷体_GB2312"/>
        <charset val="134"/>
      </rPr>
      <t>租金</t>
    </r>
  </si>
  <si>
    <r>
      <rPr>
        <sz val="11"/>
        <color indexed="8"/>
        <rFont val="楷体_GB2312"/>
        <charset val="134"/>
      </rPr>
      <t>年租金增长率</t>
    </r>
  </si>
  <si>
    <r>
      <rPr>
        <sz val="11"/>
        <color indexed="8"/>
        <rFont val="楷体_GB2312"/>
        <charset val="134"/>
      </rPr>
      <t>空置率</t>
    </r>
  </si>
  <si>
    <r>
      <rPr>
        <sz val="11"/>
        <color indexed="8"/>
        <rFont val="楷体_GB2312"/>
        <charset val="134"/>
      </rPr>
      <t>成新度</t>
    </r>
  </si>
  <si>
    <t>收益年期(总)</t>
  </si>
  <si>
    <r>
      <rPr>
        <sz val="11"/>
        <color indexed="8"/>
        <rFont val="楷体_GB2312"/>
        <charset val="134"/>
      </rPr>
      <t>剩余租赁期</t>
    </r>
  </si>
  <si>
    <r>
      <rPr>
        <sz val="11"/>
        <color indexed="8"/>
        <rFont val="楷体_GB2312"/>
        <charset val="134"/>
      </rPr>
      <t>租赁期外收益期</t>
    </r>
  </si>
  <si>
    <t>车位数/套数/收益面积</t>
  </si>
  <si>
    <r>
      <rPr>
        <sz val="11"/>
        <color indexed="8"/>
        <rFont val="楷体_GB2312"/>
        <charset val="134"/>
      </rPr>
      <t>天</t>
    </r>
    <r>
      <rPr>
        <sz val="11"/>
        <color indexed="8"/>
        <rFont val="Arial"/>
        <family val="2"/>
      </rPr>
      <t>/</t>
    </r>
    <r>
      <rPr>
        <sz val="11"/>
        <color indexed="8"/>
        <rFont val="楷体_GB2312"/>
        <charset val="134"/>
      </rPr>
      <t>月</t>
    </r>
    <r>
      <rPr>
        <sz val="11"/>
        <color indexed="8"/>
        <rFont val="Arial"/>
        <family val="2"/>
      </rPr>
      <t>/</t>
    </r>
    <r>
      <rPr>
        <sz val="11"/>
        <color indexed="8"/>
        <rFont val="楷体_GB2312"/>
        <charset val="134"/>
      </rPr>
      <t>年</t>
    </r>
  </si>
  <si>
    <r>
      <rPr>
        <sz val="11"/>
        <color indexed="8"/>
        <rFont val="楷体_GB2312"/>
        <charset val="134"/>
      </rPr>
      <t>房产税</t>
    </r>
    <r>
      <rPr>
        <sz val="11"/>
        <color indexed="8"/>
        <rFont val="Arial"/>
        <family val="2"/>
      </rPr>
      <t>-</t>
    </r>
    <r>
      <rPr>
        <sz val="11"/>
        <color indexed="8"/>
        <rFont val="楷体_GB2312"/>
        <charset val="134"/>
      </rPr>
      <t>按票据</t>
    </r>
  </si>
  <si>
    <r>
      <rPr>
        <sz val="11"/>
        <color indexed="8"/>
        <rFont val="楷体_GB2312"/>
        <charset val="134"/>
      </rPr>
      <t>维修费率</t>
    </r>
  </si>
  <si>
    <r>
      <rPr>
        <sz val="11"/>
        <color indexed="8"/>
        <rFont val="楷体_GB2312"/>
        <charset val="134"/>
      </rPr>
      <t>保险费率</t>
    </r>
  </si>
  <si>
    <r>
      <rPr>
        <sz val="11"/>
        <color indexed="8"/>
        <rFont val="楷体_GB2312"/>
        <charset val="134"/>
      </rPr>
      <t>管理费率</t>
    </r>
  </si>
  <si>
    <t>请选择所对应的收益法</t>
  </si>
  <si>
    <t>成本逼近法有限年期修正</t>
  </si>
  <si>
    <t>不动产收益法</t>
  </si>
  <si>
    <t>非经营性</t>
  </si>
  <si>
    <t>公共配套</t>
  </si>
  <si>
    <r>
      <rPr>
        <b/>
        <sz val="11"/>
        <color indexed="8"/>
        <rFont val="楷体_GB2312"/>
        <charset val="134"/>
      </rPr>
      <t>合计</t>
    </r>
  </si>
  <si>
    <r>
      <rPr>
        <b/>
        <sz val="11"/>
        <color indexed="8"/>
        <rFont val="楷体_GB2312"/>
        <charset val="134"/>
      </rPr>
      <t>开发期</t>
    </r>
  </si>
  <si>
    <r>
      <rPr>
        <sz val="11"/>
        <rFont val="楷体_GB2312"/>
        <charset val="134"/>
      </rPr>
      <t>土地开发期</t>
    </r>
  </si>
  <si>
    <t>★默认为已完成的土地开发期★</t>
  </si>
  <si>
    <r>
      <rPr>
        <sz val="11"/>
        <rFont val="楷体_GB2312"/>
        <charset val="134"/>
      </rPr>
      <t>建设期</t>
    </r>
  </si>
  <si>
    <t>包含未完成的红线外市政工程时间（如现状三通，开发完成后七通）</t>
  </si>
  <si>
    <r>
      <rPr>
        <sz val="11"/>
        <color indexed="8"/>
        <rFont val="楷体_GB2312"/>
        <charset val="134"/>
      </rPr>
      <t>已建工期</t>
    </r>
  </si>
  <si>
    <r>
      <rPr>
        <sz val="11"/>
        <rFont val="楷体_GB2312"/>
        <charset val="134"/>
      </rPr>
      <t>项目开发期</t>
    </r>
  </si>
  <si>
    <r>
      <rPr>
        <sz val="11"/>
        <color indexed="8"/>
        <rFont val="楷体_GB2312"/>
        <charset val="134"/>
      </rPr>
      <t>项目已运行</t>
    </r>
  </si>
  <si>
    <r>
      <rPr>
        <sz val="11"/>
        <rFont val="楷体_GB2312"/>
        <charset val="134"/>
      </rPr>
      <t>续建工期</t>
    </r>
  </si>
  <si>
    <r>
      <rPr>
        <b/>
        <sz val="11"/>
        <color indexed="8"/>
        <rFont val="楷体_GB2312"/>
        <charset val="134"/>
      </rPr>
      <t>其他取费</t>
    </r>
  </si>
  <si>
    <r>
      <rPr>
        <sz val="11"/>
        <color indexed="8"/>
        <rFont val="楷体_GB2312"/>
        <charset val="134"/>
      </rPr>
      <t>取值</t>
    </r>
  </si>
  <si>
    <r>
      <rPr>
        <sz val="11"/>
        <color indexed="8"/>
        <rFont val="楷体_GB2312"/>
        <charset val="134"/>
      </rPr>
      <t>备注</t>
    </r>
  </si>
  <si>
    <r>
      <rPr>
        <sz val="11"/>
        <color indexed="8"/>
        <rFont val="楷体_GB2312"/>
        <charset val="134"/>
      </rPr>
      <t>城市基础设施建设费</t>
    </r>
    <r>
      <rPr>
        <sz val="11"/>
        <color indexed="8"/>
        <rFont val="Arial"/>
        <family val="2"/>
      </rPr>
      <t>-</t>
    </r>
    <r>
      <rPr>
        <sz val="11"/>
        <color indexed="8"/>
        <rFont val="楷体_GB2312"/>
        <charset val="134"/>
      </rPr>
      <t>住宅</t>
    </r>
  </si>
  <si>
    <t>★外省请录依据文件名称★：</t>
  </si>
  <si>
    <r>
      <rPr>
        <sz val="11"/>
        <color indexed="8"/>
        <rFont val="楷体_GB2312"/>
        <charset val="134"/>
      </rPr>
      <t>城市基础设施建设费</t>
    </r>
    <r>
      <rPr>
        <sz val="11"/>
        <color indexed="8"/>
        <rFont val="Arial"/>
        <family val="2"/>
      </rPr>
      <t>-</t>
    </r>
    <r>
      <rPr>
        <sz val="11"/>
        <color indexed="8"/>
        <rFont val="楷体_GB2312"/>
        <charset val="134"/>
      </rPr>
      <t>非住宅</t>
    </r>
  </si>
  <si>
    <r>
      <rPr>
        <sz val="11"/>
        <color indexed="8"/>
        <rFont val="楷体_GB2312"/>
        <charset val="134"/>
      </rPr>
      <t>城市基础设施建设费</t>
    </r>
    <r>
      <rPr>
        <sz val="11"/>
        <color indexed="8"/>
        <rFont val="Arial"/>
        <family val="2"/>
      </rPr>
      <t>-</t>
    </r>
    <r>
      <rPr>
        <sz val="11"/>
        <color indexed="8"/>
        <rFont val="楷体_GB2312"/>
        <charset val="134"/>
      </rPr>
      <t>凭票据已缴纳</t>
    </r>
    <r>
      <rPr>
        <sz val="11"/>
        <color rgb="FFFF0000"/>
        <rFont val="楷体_GB2312"/>
        <charset val="134"/>
      </rPr>
      <t>（万元）</t>
    </r>
  </si>
  <si>
    <t>总额</t>
  </si>
  <si>
    <r>
      <rPr>
        <sz val="11"/>
        <color indexed="8"/>
        <rFont val="楷体_GB2312"/>
        <charset val="134"/>
      </rPr>
      <t>红线外市政基础设施（总）</t>
    </r>
  </si>
  <si>
    <r>
      <rPr>
        <sz val="11"/>
        <color indexed="8"/>
        <rFont val="楷体_GB2312"/>
        <charset val="134"/>
      </rPr>
      <t>红线外市政基础设施（现状）</t>
    </r>
  </si>
  <si>
    <r>
      <rPr>
        <sz val="11"/>
        <color indexed="8"/>
        <rFont val="楷体_GB2312"/>
        <charset val="134"/>
      </rPr>
      <t>红线外市政基础设施（待完成）</t>
    </r>
  </si>
  <si>
    <r>
      <rPr>
        <sz val="11"/>
        <color indexed="8"/>
        <rFont val="楷体_GB2312"/>
        <charset val="134"/>
      </rPr>
      <t>勘察设计和前期工程费</t>
    </r>
  </si>
  <si>
    <r>
      <rPr>
        <sz val="10"/>
        <color rgb="FFFF0000"/>
        <rFont val="楷体_GB2312"/>
        <charset val="134"/>
      </rPr>
      <t>范围：</t>
    </r>
    <r>
      <rPr>
        <sz val="10"/>
        <color rgb="FFFF0000"/>
        <rFont val="Arial"/>
        <family val="2"/>
      </rPr>
      <t>3%-5%</t>
    </r>
  </si>
  <si>
    <r>
      <rPr>
        <sz val="11"/>
        <color indexed="8"/>
        <rFont val="楷体_GB2312"/>
        <charset val="134"/>
      </rPr>
      <t>公共配套设施费用</t>
    </r>
  </si>
  <si>
    <r>
      <rPr>
        <sz val="10"/>
        <color rgb="FFFF0000"/>
        <rFont val="楷体_GB2312"/>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</si>
  <si>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</si>
  <si>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楷体_GB2312"/>
        <charset val="134"/>
      </rPr>
      <t>红线内市政基础设施</t>
    </r>
  </si>
  <si>
    <r>
      <rPr>
        <sz val="10"/>
        <color rgb="FFFF0000"/>
        <rFont val="楷体_GB2312"/>
        <charset val="134"/>
      </rPr>
      <t>变化</t>
    </r>
  </si>
  <si>
    <r>
      <rPr>
        <sz val="11"/>
        <color indexed="8"/>
        <rFont val="楷体_GB2312"/>
        <charset val="134"/>
      </rPr>
      <t>建造成本中相关税费</t>
    </r>
  </si>
  <si>
    <r>
      <rPr>
        <sz val="10"/>
        <color rgb="FFFF0000"/>
        <rFont val="楷体_GB2312"/>
        <charset val="134"/>
      </rPr>
      <t>定值：</t>
    </r>
    <r>
      <rPr>
        <sz val="10"/>
        <color rgb="FFFF0000"/>
        <rFont val="Arial"/>
        <family val="2"/>
      </rPr>
      <t>1.5%</t>
    </r>
  </si>
  <si>
    <r>
      <rPr>
        <sz val="11"/>
        <color indexed="8"/>
        <rFont val="楷体_GB2312"/>
        <charset val="134"/>
      </rPr>
      <t>管理费用</t>
    </r>
  </si>
  <si>
    <r>
      <rPr>
        <sz val="10"/>
        <color rgb="FFFF0000"/>
        <rFont val="楷体_GB2312"/>
        <charset val="134"/>
      </rPr>
      <t>范围：</t>
    </r>
    <r>
      <rPr>
        <sz val="10"/>
        <color rgb="FFFF0000"/>
        <rFont val="Arial"/>
        <family val="2"/>
      </rPr>
      <t>1%-3%</t>
    </r>
  </si>
  <si>
    <r>
      <rPr>
        <sz val="11"/>
        <color indexed="8"/>
        <rFont val="楷体_GB2312"/>
        <charset val="134"/>
      </rPr>
      <t>销售费用</t>
    </r>
  </si>
  <si>
    <t>一年期存款利率</t>
  </si>
  <si>
    <t>利息：取LPR</t>
  </si>
  <si>
    <r>
      <rPr>
        <sz val="11"/>
        <color indexed="8"/>
        <rFont val="楷体_GB2312"/>
        <charset val="134"/>
      </rPr>
      <t>销售税费</t>
    </r>
    <r>
      <rPr>
        <sz val="11"/>
        <color indexed="8"/>
        <rFont val="Arial"/>
        <family val="2"/>
      </rPr>
      <t>/</t>
    </r>
    <r>
      <rPr>
        <sz val="11"/>
        <color indexed="8"/>
        <rFont val="楷体_GB2312"/>
        <charset val="134"/>
      </rPr>
      <t>两税两费</t>
    </r>
  </si>
  <si>
    <r>
      <rPr>
        <sz val="11"/>
        <color indexed="8"/>
        <rFont val="楷体_GB2312"/>
        <charset val="134"/>
      </rPr>
      <t>增值税</t>
    </r>
  </si>
  <si>
    <r>
      <rPr>
        <sz val="11"/>
        <color indexed="8"/>
        <rFont val="楷体_GB2312"/>
        <charset val="134"/>
      </rPr>
      <t>附加税合计</t>
    </r>
  </si>
  <si>
    <r>
      <rPr>
        <sz val="11"/>
        <color indexed="8"/>
        <rFont val="楷体_GB2312"/>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</si>
  <si>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</si>
  <si>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楷体_GB2312"/>
        <charset val="134"/>
      </rPr>
      <t>教育费附加</t>
    </r>
  </si>
  <si>
    <r>
      <rPr>
        <sz val="11"/>
        <color rgb="FFFF0000"/>
        <rFont val="楷体_GB2312"/>
        <charset val="134"/>
      </rPr>
      <t>北京：</t>
    </r>
    <r>
      <rPr>
        <sz val="11"/>
        <color rgb="FFFF0000"/>
        <rFont val="Arial"/>
        <family val="2"/>
      </rPr>
      <t>3%</t>
    </r>
  </si>
  <si>
    <r>
      <rPr>
        <sz val="11"/>
        <color indexed="8"/>
        <rFont val="楷体_GB2312"/>
        <charset val="134"/>
      </rPr>
      <t>地方教育费附加</t>
    </r>
  </si>
  <si>
    <r>
      <rPr>
        <sz val="11"/>
        <color rgb="FFFF0000"/>
        <rFont val="楷体_GB2312"/>
        <charset val="134"/>
      </rPr>
      <t>北京：</t>
    </r>
    <r>
      <rPr>
        <sz val="11"/>
        <color rgb="FFFF0000"/>
        <rFont val="Arial"/>
        <family val="2"/>
      </rPr>
      <t>2%</t>
    </r>
  </si>
  <si>
    <r>
      <rPr>
        <sz val="11"/>
        <color indexed="8"/>
        <rFont val="楷体_GB2312"/>
        <charset val="134"/>
      </rPr>
      <t>其他税种</t>
    </r>
  </si>
  <si>
    <t>★请录依据文件名称★：</t>
  </si>
  <si>
    <r>
      <rPr>
        <sz val="11"/>
        <color indexed="8"/>
        <rFont val="楷体_GB2312"/>
        <charset val="134"/>
      </rPr>
      <t>契税</t>
    </r>
  </si>
  <si>
    <r>
      <rPr>
        <sz val="11"/>
        <color indexed="8"/>
        <rFont val="楷体_GB2312"/>
        <charset val="134"/>
      </rPr>
      <t>印花税</t>
    </r>
  </si>
  <si>
    <r>
      <rPr>
        <sz val="11"/>
        <color rgb="FFFF0000"/>
        <rFont val="楷体_GB2312"/>
        <charset val="134"/>
      </rPr>
      <t>北京：</t>
    </r>
    <r>
      <rPr>
        <sz val="11"/>
        <color rgb="FFFF0000"/>
        <rFont val="Arial"/>
        <family val="2"/>
      </rPr>
      <t>0.05%</t>
    </r>
  </si>
  <si>
    <r>
      <rPr>
        <sz val="11"/>
        <color indexed="8"/>
        <rFont val="楷体_GB2312"/>
        <charset val="134"/>
      </rPr>
      <t>房产税</t>
    </r>
    <r>
      <rPr>
        <sz val="11"/>
        <color indexed="8"/>
        <rFont val="Arial"/>
        <family val="2"/>
      </rPr>
      <t>-</t>
    </r>
    <r>
      <rPr>
        <sz val="11"/>
        <color indexed="8"/>
        <rFont val="楷体_GB2312"/>
        <charset val="134"/>
      </rPr>
      <t>按原值计税</t>
    </r>
  </si>
  <si>
    <r>
      <rPr>
        <sz val="11"/>
        <color indexed="8"/>
        <rFont val="楷体_GB2312"/>
        <charset val="134"/>
      </rPr>
      <t>房产税</t>
    </r>
    <r>
      <rPr>
        <sz val="11"/>
        <color indexed="8"/>
        <rFont val="Arial"/>
        <family val="2"/>
      </rPr>
      <t>-</t>
    </r>
    <r>
      <rPr>
        <sz val="11"/>
        <color indexed="8"/>
        <rFont val="楷体_GB2312"/>
        <charset val="134"/>
      </rPr>
      <t>按租金计税</t>
    </r>
  </si>
  <si>
    <r>
      <rPr>
        <sz val="11"/>
        <color indexed="8"/>
        <rFont val="楷体_GB2312"/>
        <charset val="134"/>
      </rPr>
      <t>土地使用税</t>
    </r>
  </si>
  <si>
    <r>
      <rPr>
        <sz val="11"/>
        <color indexed="8"/>
        <rFont val="楷体_GB2312"/>
        <charset val="134"/>
      </rPr>
      <t>城镇土地纳税等级分级范围</t>
    </r>
  </si>
  <si>
    <t>北京</t>
  </si>
  <si>
    <r>
      <rPr>
        <sz val="11"/>
        <color indexed="10"/>
        <rFont val="宋体"/>
        <family val="3"/>
        <charset val="134"/>
      </rPr>
      <t>★</t>
    </r>
    <r>
      <rPr>
        <sz val="11"/>
        <color indexed="10"/>
        <rFont val="楷体_GB2312"/>
        <charset val="134"/>
      </rPr>
      <t>其他省市请录依据文件名称★：</t>
    </r>
  </si>
  <si>
    <t>房地产修正因素</t>
  </si>
  <si>
    <t>住宅、办公及商业</t>
  </si>
  <si>
    <t>区位状况</t>
  </si>
  <si>
    <t>居住社区成熟度</t>
  </si>
  <si>
    <r>
      <rPr>
        <sz val="11"/>
        <color theme="9" tint="-0.249977111117893"/>
        <rFont val="仿宋_GB2312"/>
        <charset val="134"/>
      </rPr>
      <t>估价对象周边居住用地比例、居住小区规模和社区发展完善程度，综合评价居住社区成熟度一般</t>
    </r>
  </si>
  <si>
    <t>产业集聚程度</t>
  </si>
  <si>
    <r>
      <rPr>
        <sz val="11"/>
        <color theme="9" tint="-0.249977111117893"/>
        <rFont val="仿宋_GB2312"/>
        <charset val="134"/>
      </rPr>
      <t>估价对象位于</t>
    </r>
    <r>
      <rPr>
        <sz val="11"/>
        <color theme="9" tint="-0.249977111117893"/>
        <rFont val="Arial"/>
        <family val="2"/>
      </rPr>
      <t>XX</t>
    </r>
    <r>
      <rPr>
        <sz val="11"/>
        <color theme="9" tint="-0.249977111117893"/>
        <rFont val="仿宋_GB2312"/>
        <charset val="134"/>
      </rPr>
      <t>开发区，园区建设成熟度</t>
    </r>
    <r>
      <rPr>
        <sz val="11"/>
        <color theme="9" tint="-0.249977111117893"/>
        <rFont val="Arial"/>
        <family val="2"/>
      </rPr>
      <t>XX</t>
    </r>
    <r>
      <rPr>
        <sz val="11"/>
        <color theme="9" tint="-0.249977111117893"/>
        <rFont val="仿宋_GB2312"/>
        <charset val="134"/>
      </rPr>
      <t>，产业集聚程度</t>
    </r>
    <r>
      <rPr>
        <sz val="11"/>
        <color theme="9" tint="-0.249977111117893"/>
        <rFont val="Arial"/>
        <family val="2"/>
      </rPr>
      <t>XX</t>
    </r>
  </si>
  <si>
    <t>商业繁华度</t>
  </si>
  <si>
    <r>
      <rPr>
        <sz val="11"/>
        <color theme="9" tint="-0.249977111117893"/>
        <rFont val="仿宋_GB2312"/>
        <charset val="134"/>
      </rPr>
      <t>估价对象位于</t>
    </r>
    <r>
      <rPr>
        <sz val="11"/>
        <color theme="9" tint="-0.249977111117893"/>
        <rFont val="Arial"/>
        <family val="2"/>
      </rPr>
      <t>XX</t>
    </r>
    <r>
      <rPr>
        <sz val="11"/>
        <color theme="9" tint="-0.249977111117893"/>
        <rFont val="仿宋_GB2312"/>
        <charset val="134"/>
      </rPr>
      <t>商圈，周边商业氛围成熟，人流量大，商业繁华度好</t>
    </r>
  </si>
  <si>
    <t>交通便捷度</t>
  </si>
  <si>
    <r>
      <rPr>
        <sz val="11"/>
        <color theme="9" tint="-0.249977111117893"/>
        <rFont val="仿宋_GB2312"/>
        <charset val="134"/>
      </rPr>
      <t>估价对象周边道路状况、公共交通通达情况、停车便捷程度，综合评价交通便捷度较好</t>
    </r>
  </si>
  <si>
    <t>办公集聚程度</t>
  </si>
  <si>
    <r>
      <rPr>
        <sz val="11"/>
        <color theme="9" tint="-0.249977111117893"/>
        <rFont val="仿宋_GB2312"/>
        <charset val="134"/>
      </rPr>
      <t>估价对象位于</t>
    </r>
    <r>
      <rPr>
        <sz val="11"/>
        <color theme="9" tint="-0.249977111117893"/>
        <rFont val="Arial"/>
        <family val="2"/>
      </rPr>
      <t>XX</t>
    </r>
    <r>
      <rPr>
        <sz val="11"/>
        <color theme="9" tint="-0.249977111117893"/>
        <rFont val="仿宋_GB2312"/>
        <charset val="134"/>
      </rPr>
      <t>商圈，周边办公楼项目较多，入驻率高，办公集聚程度较好</t>
    </r>
  </si>
  <si>
    <r>
      <rPr>
        <sz val="11"/>
        <color theme="9" tint="-0.249977111117893"/>
        <rFont val="仿宋_GB2312"/>
        <charset val="134"/>
      </rPr>
      <t>估价对象所在区域公共配套设施齐备情况</t>
    </r>
  </si>
  <si>
    <r>
      <rPr>
        <sz val="11"/>
        <color theme="9" tint="-0.249977111117893"/>
        <rFont val="仿宋_GB2312"/>
        <charset val="134"/>
      </rPr>
      <t>估价对象所在区域基础设施水平</t>
    </r>
  </si>
  <si>
    <t>环境状况</t>
  </si>
  <si>
    <r>
      <rPr>
        <sz val="11"/>
        <color theme="9" tint="-0.249977111117893"/>
        <rFont val="仿宋_GB2312"/>
        <charset val="134"/>
      </rPr>
      <t>该园区内是否有污染型企业，绿化情况，卫生条件，整体环境状况判断</t>
    </r>
  </si>
  <si>
    <t>自然及人文环境</t>
  </si>
  <si>
    <r>
      <rPr>
        <sz val="11"/>
        <color theme="9" tint="-0.249977111117893"/>
        <rFont val="仿宋_GB2312"/>
        <charset val="134"/>
      </rPr>
      <t>区域自然环境：；人文环境；综合评价环境状况一般</t>
    </r>
  </si>
  <si>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</si>
  <si>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</si>
  <si>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</si>
  <si>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</si>
  <si>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</si>
  <si>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</si>
  <si>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</si>
  <si>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</si>
  <si>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</si>
  <si>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</si>
  <si>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</si>
  <si>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</si>
  <si>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</si>
  <si>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</si>
  <si>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</si>
  <si>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</si>
  <si>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</si>
  <si>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</si>
  <si>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</si>
  <si>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</si>
  <si>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</si>
  <si>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</si>
  <si>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</si>
  <si>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</si>
  <si>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</si>
  <si>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</si>
  <si>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</si>
  <si>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</si>
  <si>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</si>
  <si>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</si>
  <si>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</si>
  <si>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</si>
  <si>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</si>
  <si>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</si>
  <si>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估价对象状态</t>
  </si>
  <si>
    <r>
      <rPr>
        <sz val="10"/>
        <color indexed="8"/>
        <rFont val="仿宋_GB2312"/>
        <charset val="134"/>
      </rPr>
      <t>权重确定打分评价体系</t>
    </r>
  </si>
  <si>
    <r>
      <rPr>
        <sz val="11"/>
        <color indexed="8"/>
        <rFont val="仿宋_GB2312"/>
        <charset val="134"/>
      </rPr>
      <t>评价因素</t>
    </r>
  </si>
  <si>
    <r>
      <rPr>
        <sz val="11"/>
        <color indexed="8"/>
        <rFont val="仿宋_GB2312"/>
        <charset val="134"/>
      </rPr>
      <t>标准分值</t>
    </r>
  </si>
  <si>
    <t>比较法-工业</t>
  </si>
  <si>
    <t>剩余法-待开发</t>
  </si>
  <si>
    <r>
      <rPr>
        <sz val="10"/>
        <color indexed="8"/>
        <rFont val="仿宋_GB2312"/>
        <charset val="134"/>
      </rPr>
      <t>打分考虑因素</t>
    </r>
  </si>
  <si>
    <r>
      <rPr>
        <sz val="11"/>
        <color indexed="8"/>
        <rFont val="仿宋_GB2312"/>
        <charset val="134"/>
      </rPr>
      <t>估价方法的代表性</t>
    </r>
  </si>
  <si>
    <r>
      <rPr>
        <sz val="10"/>
        <color indexed="8"/>
        <rFont val="Arial"/>
        <family val="2"/>
      </rPr>
      <t>1.</t>
    </r>
    <r>
      <rPr>
        <sz val="10"/>
        <color indexed="8"/>
        <rFont val="仿宋_GB2312"/>
        <charset val="134"/>
      </rPr>
      <t>估价方法选取分析</t>
    </r>
    <r>
      <rPr>
        <b/>
        <sz val="10"/>
        <color indexed="8"/>
        <rFont val="仿宋_GB2312"/>
        <charset val="134"/>
      </rPr>
      <t>充分、合理</t>
    </r>
    <r>
      <rPr>
        <sz val="10"/>
        <color indexed="8"/>
        <rFont val="仿宋_GB2312"/>
        <charset val="134"/>
      </rPr>
      <t>，取</t>
    </r>
    <r>
      <rPr>
        <sz val="10"/>
        <color indexed="8"/>
        <rFont val="Arial"/>
        <family val="2"/>
      </rPr>
      <t>20</t>
    </r>
    <r>
      <rPr>
        <sz val="10"/>
        <color indexed="8"/>
        <rFont val="仿宋_GB2312"/>
        <charset val="134"/>
      </rPr>
      <t>～</t>
    </r>
    <r>
      <rPr>
        <sz val="10"/>
        <color indexed="8"/>
        <rFont val="Arial"/>
        <family val="2"/>
      </rPr>
      <t>25</t>
    </r>
    <r>
      <rPr>
        <sz val="10"/>
        <color indexed="8"/>
        <rFont val="仿宋_GB2312"/>
        <charset val="134"/>
      </rPr>
      <t>分；</t>
    </r>
  </si>
  <si>
    <r>
      <rPr>
        <sz val="10"/>
        <color indexed="8"/>
        <rFont val="Arial"/>
        <family val="2"/>
      </rPr>
      <t>2.</t>
    </r>
    <r>
      <rPr>
        <sz val="10"/>
        <color indexed="8"/>
        <rFont val="仿宋_GB2312"/>
        <charset val="134"/>
      </rPr>
      <t>估价方法选取分析</t>
    </r>
    <r>
      <rPr>
        <b/>
        <sz val="10"/>
        <color indexed="8"/>
        <rFont val="仿宋_GB2312"/>
        <charset val="134"/>
      </rPr>
      <t>较充分、合理</t>
    </r>
    <r>
      <rPr>
        <sz val="10"/>
        <color indexed="8"/>
        <rFont val="仿宋_GB2312"/>
        <charset val="134"/>
      </rPr>
      <t>，取</t>
    </r>
    <r>
      <rPr>
        <sz val="10"/>
        <color indexed="8"/>
        <rFont val="Arial"/>
        <family val="2"/>
      </rPr>
      <t>10</t>
    </r>
    <r>
      <rPr>
        <sz val="10"/>
        <color indexed="8"/>
        <rFont val="仿宋_GB2312"/>
        <charset val="134"/>
      </rPr>
      <t>～</t>
    </r>
    <r>
      <rPr>
        <sz val="10"/>
        <color indexed="8"/>
        <rFont val="Arial"/>
        <family val="2"/>
      </rPr>
      <t>19</t>
    </r>
    <r>
      <rPr>
        <sz val="10"/>
        <color indexed="8"/>
        <rFont val="仿宋_GB2312"/>
        <charset val="134"/>
      </rPr>
      <t>分；</t>
    </r>
  </si>
  <si>
    <r>
      <rPr>
        <sz val="10"/>
        <color indexed="8"/>
        <rFont val="Arial"/>
        <family val="2"/>
      </rPr>
      <t>3.</t>
    </r>
    <r>
      <rPr>
        <sz val="10"/>
        <color indexed="8"/>
        <rFont val="仿宋_GB2312"/>
        <charset val="134"/>
      </rPr>
      <t>估价方法选取分析</t>
    </r>
    <r>
      <rPr>
        <b/>
        <sz val="10"/>
        <color indexed="8"/>
        <rFont val="仿宋_GB2312"/>
        <charset val="134"/>
      </rPr>
      <t>较不充分</t>
    </r>
    <r>
      <rPr>
        <sz val="10"/>
        <color indexed="8"/>
        <rFont val="仿宋_GB2312"/>
        <charset val="134"/>
      </rPr>
      <t>，取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</si>
  <si>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估价方法所要求的估价资料的完整性</t>
    </r>
  </si>
  <si>
    <r>
      <rPr>
        <sz val="10"/>
        <color indexed="8"/>
        <rFont val="Arial"/>
        <family val="2"/>
      </rPr>
      <t>1.</t>
    </r>
    <r>
      <rPr>
        <sz val="10"/>
        <color indexed="8"/>
        <rFont val="仿宋_GB2312"/>
        <charset val="134"/>
      </rPr>
      <t>估价资料</t>
    </r>
    <r>
      <rPr>
        <b/>
        <sz val="10"/>
        <color indexed="8"/>
        <rFont val="仿宋_GB2312"/>
        <charset val="134"/>
      </rPr>
      <t>完整</t>
    </r>
    <r>
      <rPr>
        <sz val="10"/>
        <color indexed="8"/>
        <rFont val="仿宋_GB2312"/>
        <charset val="134"/>
      </rPr>
      <t>，来源依据充分，取</t>
    </r>
    <r>
      <rPr>
        <sz val="10"/>
        <color indexed="8"/>
        <rFont val="Arial"/>
        <family val="2"/>
      </rPr>
      <t>10</t>
    </r>
    <r>
      <rPr>
        <sz val="10"/>
        <color indexed="8"/>
        <rFont val="仿宋_GB2312"/>
        <charset val="134"/>
      </rPr>
      <t>～</t>
    </r>
    <r>
      <rPr>
        <sz val="10"/>
        <color indexed="8"/>
        <rFont val="Arial"/>
        <family val="2"/>
      </rPr>
      <t>15</t>
    </r>
    <r>
      <rPr>
        <sz val="10"/>
        <color indexed="8"/>
        <rFont val="仿宋_GB2312"/>
        <charset val="134"/>
      </rPr>
      <t>分；</t>
    </r>
  </si>
  <si>
    <r>
      <rPr>
        <sz val="10"/>
        <color indexed="8"/>
        <rFont val="Arial"/>
        <family val="2"/>
      </rPr>
      <t>2.</t>
    </r>
    <r>
      <rPr>
        <sz val="10"/>
        <color indexed="8"/>
        <rFont val="仿宋_GB2312"/>
        <charset val="134"/>
      </rPr>
      <t>估价资料有</t>
    </r>
    <r>
      <rPr>
        <b/>
        <sz val="10"/>
        <color indexed="8"/>
        <rFont val="仿宋_GB2312"/>
        <charset val="134"/>
      </rPr>
      <t>欠缺</t>
    </r>
    <r>
      <rPr>
        <sz val="10"/>
        <color indexed="8"/>
        <rFont val="仿宋_GB2312"/>
        <charset val="134"/>
      </rPr>
      <t>，来源依据较不充分，取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</si>
  <si>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参数选取的客观性</t>
    </r>
  </si>
  <si>
    <r>
      <rPr>
        <sz val="10"/>
        <color indexed="8"/>
        <rFont val="Arial"/>
        <family val="2"/>
      </rPr>
      <t>1.</t>
    </r>
    <r>
      <rPr>
        <sz val="10"/>
        <color indexed="8"/>
        <rFont val="仿宋_GB2312"/>
        <charset val="134"/>
      </rPr>
      <t>参数从</t>
    </r>
    <r>
      <rPr>
        <b/>
        <sz val="10"/>
        <color indexed="8"/>
        <rFont val="仿宋_GB2312"/>
        <charset val="134"/>
      </rPr>
      <t>市场上获取</t>
    </r>
    <r>
      <rPr>
        <sz val="10"/>
        <color indexed="8"/>
        <rFont val="仿宋_GB2312"/>
        <charset val="134"/>
      </rPr>
      <t>，或从权威机构发布的信息上获取，取</t>
    </r>
    <r>
      <rPr>
        <sz val="10"/>
        <color indexed="8"/>
        <rFont val="Arial"/>
        <family val="2"/>
      </rPr>
      <t>10</t>
    </r>
    <r>
      <rPr>
        <sz val="10"/>
        <color indexed="8"/>
        <rFont val="仿宋_GB2312"/>
        <charset val="134"/>
      </rPr>
      <t>～</t>
    </r>
    <r>
      <rPr>
        <sz val="10"/>
        <color indexed="8"/>
        <rFont val="Arial"/>
        <family val="2"/>
      </rPr>
      <t>15</t>
    </r>
    <r>
      <rPr>
        <sz val="10"/>
        <color indexed="8"/>
        <rFont val="仿宋_GB2312"/>
        <charset val="134"/>
      </rPr>
      <t>分；</t>
    </r>
  </si>
  <si>
    <r>
      <rPr>
        <sz val="10"/>
        <color indexed="8"/>
        <rFont val="Arial"/>
        <family val="2"/>
      </rPr>
      <t>2.</t>
    </r>
    <r>
      <rPr>
        <sz val="10"/>
        <color indexed="8"/>
        <rFont val="仿宋_GB2312"/>
        <charset val="134"/>
      </rPr>
      <t>部分参数为</t>
    </r>
    <r>
      <rPr>
        <b/>
        <sz val="10"/>
        <color indexed="8"/>
        <rFont val="仿宋_GB2312"/>
        <charset val="134"/>
      </rPr>
      <t>自行分析</t>
    </r>
    <r>
      <rPr>
        <sz val="10"/>
        <color indexed="8"/>
        <rFont val="仿宋_GB2312"/>
        <charset val="134"/>
      </rPr>
      <t>取得，理由较充分，取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</si>
  <si>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参数确定的时效性</t>
    </r>
  </si>
  <si>
    <r>
      <rPr>
        <sz val="10"/>
        <color indexed="8"/>
        <rFont val="Arial"/>
        <family val="2"/>
      </rPr>
      <t>1.</t>
    </r>
    <r>
      <rPr>
        <sz val="10"/>
        <color indexed="8"/>
        <rFont val="仿宋_GB2312"/>
        <charset val="134"/>
      </rPr>
      <t>参数在规定的时效范围内，且距估价期日</t>
    </r>
    <r>
      <rPr>
        <b/>
        <sz val="10"/>
        <color indexed="8"/>
        <rFont val="仿宋_GB2312"/>
        <charset val="134"/>
      </rPr>
      <t>未超过</t>
    </r>
    <r>
      <rPr>
        <b/>
        <sz val="10"/>
        <color indexed="8"/>
        <rFont val="Arial"/>
        <family val="2"/>
      </rPr>
      <t>1</t>
    </r>
    <r>
      <rPr>
        <b/>
        <sz val="10"/>
        <color indexed="8"/>
        <rFont val="仿宋_GB2312"/>
        <charset val="134"/>
      </rPr>
      <t>年</t>
    </r>
    <r>
      <rPr>
        <sz val="10"/>
        <color indexed="8"/>
        <rFont val="仿宋_GB2312"/>
        <charset val="134"/>
      </rPr>
      <t>，取</t>
    </r>
    <r>
      <rPr>
        <sz val="10"/>
        <color indexed="8"/>
        <rFont val="Arial"/>
        <family val="2"/>
      </rPr>
      <t>10</t>
    </r>
    <r>
      <rPr>
        <sz val="10"/>
        <color indexed="8"/>
        <rFont val="仿宋_GB2312"/>
        <charset val="134"/>
      </rPr>
      <t>～</t>
    </r>
    <r>
      <rPr>
        <sz val="10"/>
        <color indexed="8"/>
        <rFont val="Arial"/>
        <family val="2"/>
      </rPr>
      <t>15</t>
    </r>
    <r>
      <rPr>
        <sz val="10"/>
        <color indexed="8"/>
        <rFont val="仿宋_GB2312"/>
        <charset val="134"/>
      </rPr>
      <t>分；</t>
    </r>
  </si>
  <si>
    <r>
      <rPr>
        <sz val="10"/>
        <color indexed="8"/>
        <rFont val="Arial"/>
        <family val="2"/>
      </rPr>
      <t>2.</t>
    </r>
    <r>
      <rPr>
        <sz val="10"/>
        <color indexed="8"/>
        <rFont val="仿宋_GB2312"/>
        <charset val="134"/>
      </rPr>
      <t>参数在规定的时效范围内，但距估价期日</t>
    </r>
    <r>
      <rPr>
        <b/>
        <sz val="10"/>
        <color indexed="8"/>
        <rFont val="仿宋_GB2312"/>
        <charset val="134"/>
      </rPr>
      <t>超过</t>
    </r>
    <r>
      <rPr>
        <b/>
        <sz val="10"/>
        <color indexed="8"/>
        <rFont val="Arial"/>
        <family val="2"/>
      </rPr>
      <t>1</t>
    </r>
    <r>
      <rPr>
        <b/>
        <sz val="10"/>
        <color indexed="8"/>
        <rFont val="仿宋_GB2312"/>
        <charset val="134"/>
      </rPr>
      <t>年</t>
    </r>
    <r>
      <rPr>
        <sz val="10"/>
        <color indexed="8"/>
        <rFont val="仿宋_GB2312"/>
        <charset val="134"/>
      </rPr>
      <t>，取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</si>
  <si>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估价结果的现势性</t>
    </r>
  </si>
  <si>
    <r>
      <rPr>
        <sz val="10"/>
        <color indexed="8"/>
        <rFont val="Arial"/>
        <family val="2"/>
      </rPr>
      <t>1.</t>
    </r>
    <r>
      <rPr>
        <sz val="10"/>
        <color indexed="8"/>
        <rFont val="仿宋_GB2312"/>
        <charset val="134"/>
      </rPr>
      <t>估价结果与同类用途房地产市场</t>
    </r>
    <r>
      <rPr>
        <b/>
        <sz val="10"/>
        <color indexed="8"/>
        <rFont val="仿宋_GB2312"/>
        <charset val="134"/>
      </rPr>
      <t>价格水平一致</t>
    </r>
    <r>
      <rPr>
        <sz val="10"/>
        <color indexed="8"/>
        <rFont val="仿宋_GB2312"/>
        <charset val="134"/>
      </rPr>
      <t>，且考虑了房地产市场发展趋势，取</t>
    </r>
    <r>
      <rPr>
        <sz val="10"/>
        <color indexed="8"/>
        <rFont val="Arial"/>
        <family val="2"/>
      </rPr>
      <t>20</t>
    </r>
    <r>
      <rPr>
        <sz val="10"/>
        <color indexed="8"/>
        <rFont val="仿宋_GB2312"/>
        <charset val="134"/>
      </rPr>
      <t>～</t>
    </r>
    <r>
      <rPr>
        <sz val="10"/>
        <color indexed="8"/>
        <rFont val="Arial"/>
        <family val="2"/>
      </rPr>
      <t>30</t>
    </r>
    <r>
      <rPr>
        <sz val="10"/>
        <color indexed="8"/>
        <rFont val="仿宋_GB2312"/>
        <charset val="134"/>
      </rPr>
      <t>分；</t>
    </r>
  </si>
  <si>
    <r>
      <rPr>
        <sz val="10"/>
        <color indexed="8"/>
        <rFont val="Arial"/>
        <family val="2"/>
      </rPr>
      <t>2.</t>
    </r>
    <r>
      <rPr>
        <sz val="10"/>
        <color indexed="8"/>
        <rFont val="仿宋_GB2312"/>
        <charset val="134"/>
      </rPr>
      <t>估价结果与同类用途房地产价格</t>
    </r>
    <r>
      <rPr>
        <b/>
        <sz val="10"/>
        <color indexed="8"/>
        <rFont val="仿宋_GB2312"/>
        <charset val="134"/>
      </rPr>
      <t>水平基本一致</t>
    </r>
    <r>
      <rPr>
        <sz val="10"/>
        <color indexed="8"/>
        <rFont val="仿宋_GB2312"/>
        <charset val="134"/>
      </rPr>
      <t>，且适当考虑了房地产市场发展趋势，取</t>
    </r>
    <r>
      <rPr>
        <sz val="10"/>
        <color indexed="8"/>
        <rFont val="Arial"/>
        <family val="2"/>
      </rPr>
      <t>10</t>
    </r>
    <r>
      <rPr>
        <sz val="10"/>
        <color indexed="8"/>
        <rFont val="仿宋_GB2312"/>
        <charset val="134"/>
      </rPr>
      <t>～</t>
    </r>
    <r>
      <rPr>
        <sz val="10"/>
        <color indexed="8"/>
        <rFont val="Arial"/>
        <family val="2"/>
      </rPr>
      <t>19</t>
    </r>
    <r>
      <rPr>
        <sz val="10"/>
        <color indexed="8"/>
        <rFont val="仿宋_GB2312"/>
        <charset val="134"/>
      </rPr>
      <t>分；</t>
    </r>
  </si>
  <si>
    <r>
      <rPr>
        <sz val="10"/>
        <color indexed="8"/>
        <rFont val="Arial"/>
        <family val="2"/>
      </rPr>
      <t>3.</t>
    </r>
    <r>
      <rPr>
        <sz val="10"/>
        <color indexed="8"/>
        <rFont val="仿宋_GB2312"/>
        <charset val="134"/>
      </rPr>
      <t>估价结果与同类用途房地产</t>
    </r>
    <r>
      <rPr>
        <b/>
        <sz val="10"/>
        <color indexed="8"/>
        <rFont val="仿宋_GB2312"/>
        <charset val="134"/>
      </rPr>
      <t>价格水平有一定差距</t>
    </r>
    <r>
      <rPr>
        <sz val="10"/>
        <color indexed="8"/>
        <rFont val="仿宋_GB2312"/>
        <charset val="134"/>
      </rPr>
      <t>，且适当考虑房地产市场发展趋势，取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</si>
  <si>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b/>
        <sz val="11"/>
        <color indexed="8"/>
        <rFont val="仿宋_GB2312"/>
        <charset val="134"/>
      </rPr>
      <t>分值</t>
    </r>
  </si>
  <si>
    <r>
      <rPr>
        <b/>
        <sz val="11"/>
        <color indexed="8"/>
        <rFont val="仿宋_GB2312"/>
        <charset val="134"/>
      </rPr>
      <t>权重</t>
    </r>
  </si>
  <si>
    <t>★此处仍为计算过程，权重结果非最终结果，总价和单价分别为各自权重值，无直接关联★</t>
  </si>
  <si>
    <r>
      <rPr>
        <b/>
        <sz val="11"/>
        <color indexed="8"/>
        <rFont val="仿宋_GB2312"/>
        <charset val="134"/>
      </rPr>
      <t>各方法结果</t>
    </r>
  </si>
  <si>
    <r>
      <rPr>
        <sz val="11"/>
        <color indexed="8"/>
        <rFont val="仿宋_GB2312"/>
        <charset val="134"/>
      </rPr>
      <t>总价</t>
    </r>
  </si>
  <si>
    <r>
      <rPr>
        <b/>
        <sz val="11"/>
        <color indexed="8"/>
        <rFont val="仿宋_GB2312"/>
        <charset val="134"/>
      </rPr>
      <t>权重结果</t>
    </r>
  </si>
  <si>
    <r>
      <rPr>
        <sz val="10"/>
        <color indexed="8"/>
        <rFont val="仿宋_GB2312"/>
        <charset val="134"/>
      </rPr>
      <t>万元</t>
    </r>
  </si>
  <si>
    <r>
      <rPr>
        <sz val="10"/>
        <color indexed="8"/>
        <rFont val="仿宋_GB2312"/>
        <charset val="134"/>
      </rPr>
      <t>元</t>
    </r>
    <r>
      <rPr>
        <sz val="10"/>
        <color indexed="8"/>
        <rFont val="Arial"/>
        <family val="2"/>
      </rPr>
      <t>/</t>
    </r>
    <r>
      <rPr>
        <sz val="10"/>
        <color indexed="8"/>
        <rFont val="仿宋_GB2312"/>
        <charset val="134"/>
      </rPr>
      <t>平方米</t>
    </r>
  </si>
  <si>
    <r>
      <rPr>
        <b/>
        <sz val="11"/>
        <color indexed="8"/>
        <rFont val="仿宋_GB2312"/>
        <charset val="134"/>
      </rPr>
      <t>各方法结果差值</t>
    </r>
  </si>
  <si>
    <r>
      <rPr>
        <sz val="10"/>
        <color indexed="8"/>
        <rFont val="仿宋_GB2312"/>
        <charset val="134"/>
      </rPr>
      <t>万元</t>
    </r>
    <r>
      <rPr>
        <sz val="10"/>
        <color indexed="8"/>
        <rFont val="Arial"/>
        <family val="2"/>
      </rPr>
      <t>/</t>
    </r>
    <r>
      <rPr>
        <sz val="10"/>
        <color indexed="8"/>
        <rFont val="仿宋_GB2312"/>
        <charset val="134"/>
      </rPr>
      <t>亩</t>
    </r>
  </si>
  <si>
    <r>
      <rPr>
        <b/>
        <sz val="11"/>
        <color indexed="8"/>
        <rFont val="仿宋_GB2312"/>
        <charset val="134"/>
      </rPr>
      <t>扣减项</t>
    </r>
    <r>
      <rPr>
        <b/>
        <sz val="11"/>
        <color indexed="8"/>
        <rFont val="Arial"/>
        <family val="2"/>
      </rPr>
      <t>(</t>
    </r>
    <r>
      <rPr>
        <b/>
        <sz val="11"/>
        <color indexed="8"/>
        <rFont val="仿宋_GB2312"/>
        <charset val="134"/>
      </rPr>
      <t>出让金、平整费用等</t>
    </r>
    <r>
      <rPr>
        <b/>
        <sz val="11"/>
        <color indexed="8"/>
        <rFont val="Arial"/>
        <family val="2"/>
      </rPr>
      <t>)</t>
    </r>
  </si>
  <si>
    <r>
      <rPr>
        <sz val="11"/>
        <color indexed="10"/>
        <rFont val="仿宋_GB2312"/>
        <charset val="134"/>
      </rPr>
      <t>扣减项</t>
    </r>
  </si>
  <si>
    <r>
      <rPr>
        <sz val="11"/>
        <color indexed="10"/>
        <rFont val="仿宋_GB2312"/>
        <charset val="134"/>
      </rPr>
      <t>面积</t>
    </r>
  </si>
  <si>
    <r>
      <rPr>
        <sz val="11"/>
        <color indexed="10"/>
        <rFont val="仿宋_GB2312"/>
        <charset val="134"/>
      </rPr>
      <t>单价</t>
    </r>
  </si>
  <si>
    <r>
      <rPr>
        <sz val="11"/>
        <color indexed="10"/>
        <rFont val="仿宋_GB2312"/>
        <charset val="134"/>
      </rPr>
      <t>总值</t>
    </r>
  </si>
  <si>
    <r>
      <rPr>
        <sz val="11"/>
        <color indexed="10"/>
        <rFont val="仿宋_GB2312"/>
        <charset val="134"/>
      </rPr>
      <t>合计</t>
    </r>
  </si>
  <si>
    <t>★合计部分请自行录入公式，很重要，与C32结果相关★</t>
  </si>
  <si>
    <t>★此线以下显示的为最终结果★</t>
  </si>
  <si>
    <r>
      <rPr>
        <b/>
        <sz val="11"/>
        <color indexed="8"/>
        <rFont val="仿宋_GB2312"/>
        <charset val="134"/>
      </rPr>
      <t>土地价格</t>
    </r>
  </si>
  <si>
    <r>
      <rPr>
        <b/>
        <sz val="11"/>
        <color indexed="8"/>
        <rFont val="仿宋_GB2312"/>
        <charset val="134"/>
      </rPr>
      <t>总价</t>
    </r>
  </si>
  <si>
    <r>
      <rPr>
        <b/>
        <sz val="10"/>
        <color indexed="8"/>
        <rFont val="仿宋_GB2312"/>
        <charset val="134"/>
      </rPr>
      <t>万元</t>
    </r>
  </si>
  <si>
    <r>
      <rPr>
        <b/>
        <sz val="8"/>
        <color indexed="8"/>
        <rFont val="仿宋_GB2312"/>
        <charset val="134"/>
      </rPr>
      <t>权重结果</t>
    </r>
    <r>
      <rPr>
        <b/>
        <sz val="8"/>
        <color indexed="8"/>
        <rFont val="Arial"/>
        <family val="2"/>
      </rPr>
      <t>-</t>
    </r>
    <r>
      <rPr>
        <b/>
        <sz val="8"/>
        <color indexed="8"/>
        <rFont val="仿宋_GB2312"/>
        <charset val="134"/>
      </rPr>
      <t>扣减项</t>
    </r>
  </si>
  <si>
    <r>
      <rPr>
        <b/>
        <sz val="11"/>
        <color indexed="8"/>
        <rFont val="仿宋_GB2312"/>
        <charset val="134"/>
      </rPr>
      <t>楼面地价</t>
    </r>
  </si>
  <si>
    <r>
      <rPr>
        <b/>
        <sz val="10"/>
        <color indexed="8"/>
        <rFont val="仿宋_GB2312"/>
        <charset val="134"/>
      </rPr>
      <t>元</t>
    </r>
    <r>
      <rPr>
        <b/>
        <sz val="10"/>
        <color indexed="8"/>
        <rFont val="Arial"/>
        <family val="2"/>
      </rPr>
      <t>/</t>
    </r>
    <r>
      <rPr>
        <b/>
        <sz val="10"/>
        <color indexed="8"/>
        <rFont val="仿宋_GB2312"/>
        <charset val="134"/>
      </rPr>
      <t>平方米</t>
    </r>
  </si>
  <si>
    <r>
      <rPr>
        <b/>
        <sz val="11"/>
        <color indexed="8"/>
        <rFont val="仿宋_GB2312"/>
        <charset val="134"/>
      </rPr>
      <t>优先受偿情况</t>
    </r>
  </si>
  <si>
    <r>
      <rPr>
        <sz val="11"/>
        <color indexed="8"/>
        <rFont val="仿宋_GB2312"/>
        <charset val="134"/>
      </rPr>
      <t>已抵押担保数额</t>
    </r>
  </si>
  <si>
    <r>
      <rPr>
        <b/>
        <sz val="11"/>
        <color indexed="8"/>
        <rFont val="仿宋_GB2312"/>
        <charset val="134"/>
      </rPr>
      <t>单位面积地价</t>
    </r>
  </si>
  <si>
    <r>
      <rPr>
        <sz val="11"/>
        <color indexed="8"/>
        <rFont val="仿宋_GB2312"/>
        <charset val="134"/>
      </rPr>
      <t>拖欠工程款</t>
    </r>
  </si>
  <si>
    <r>
      <rPr>
        <b/>
        <sz val="10"/>
        <color indexed="8"/>
        <rFont val="仿宋_GB2312"/>
        <charset val="134"/>
      </rPr>
      <t>万元</t>
    </r>
    <r>
      <rPr>
        <b/>
        <sz val="10"/>
        <color indexed="8"/>
        <rFont val="Arial"/>
        <family val="2"/>
      </rPr>
      <t>/</t>
    </r>
    <r>
      <rPr>
        <b/>
        <sz val="10"/>
        <color indexed="8"/>
        <rFont val="仿宋_GB2312"/>
        <charset val="134"/>
      </rPr>
      <t>亩</t>
    </r>
  </si>
  <si>
    <r>
      <rPr>
        <sz val="11"/>
        <color indexed="8"/>
        <rFont val="仿宋_GB2312"/>
        <charset val="134"/>
      </rPr>
      <t>其他</t>
    </r>
  </si>
  <si>
    <r>
      <rPr>
        <sz val="11"/>
        <color indexed="8"/>
        <rFont val="仿宋_GB2312"/>
        <charset val="134"/>
      </rPr>
      <t>补交地价款</t>
    </r>
  </si>
  <si>
    <r>
      <rPr>
        <sz val="9"/>
        <color indexed="8"/>
        <rFont val="仿宋_GB2312"/>
        <charset val="134"/>
      </rPr>
      <t>土地面积</t>
    </r>
    <r>
      <rPr>
        <sz val="9"/>
        <color indexed="8"/>
        <rFont val="Arial"/>
        <family val="2"/>
      </rPr>
      <t>/</t>
    </r>
    <r>
      <rPr>
        <sz val="9"/>
        <color indexed="8"/>
        <rFont val="仿宋_GB2312"/>
        <charset val="134"/>
      </rPr>
      <t>㎡</t>
    </r>
  </si>
  <si>
    <r>
      <rPr>
        <sz val="9"/>
        <color indexed="8"/>
        <rFont val="仿宋_GB2312"/>
        <charset val="134"/>
      </rPr>
      <t>规划建筑面积</t>
    </r>
    <r>
      <rPr>
        <sz val="9"/>
        <color indexed="8"/>
        <rFont val="Arial"/>
        <family val="2"/>
      </rPr>
      <t>/</t>
    </r>
    <r>
      <rPr>
        <sz val="9"/>
        <color indexed="8"/>
        <rFont val="仿宋_GB2312"/>
        <charset val="134"/>
      </rPr>
      <t>㎡</t>
    </r>
  </si>
  <si>
    <r>
      <rPr>
        <sz val="9"/>
        <color indexed="8"/>
        <rFont val="仿宋_GB2312"/>
        <charset val="134"/>
      </rPr>
      <t>单位面积地价</t>
    </r>
    <r>
      <rPr>
        <sz val="9"/>
        <color indexed="8"/>
        <rFont val="Arial"/>
        <family val="2"/>
      </rPr>
      <t>/</t>
    </r>
  </si>
  <si>
    <r>
      <rPr>
        <sz val="9"/>
        <color indexed="8"/>
        <rFont val="仿宋_GB2312"/>
        <charset val="134"/>
      </rPr>
      <t>楼面地价</t>
    </r>
    <r>
      <rPr>
        <sz val="9"/>
        <color indexed="8"/>
        <rFont val="Arial"/>
        <family val="2"/>
      </rPr>
      <t>/</t>
    </r>
    <r>
      <rPr>
        <sz val="9"/>
        <color indexed="8"/>
        <rFont val="仿宋_GB2312"/>
        <charset val="134"/>
      </rPr>
      <t>元</t>
    </r>
    <r>
      <rPr>
        <sz val="9"/>
        <color indexed="8"/>
        <rFont val="Arial"/>
        <family val="2"/>
      </rPr>
      <t>/</t>
    </r>
    <r>
      <rPr>
        <sz val="9"/>
        <color indexed="8"/>
        <rFont val="仿宋_GB2312"/>
        <charset val="134"/>
      </rPr>
      <t>㎡</t>
    </r>
  </si>
  <si>
    <r>
      <rPr>
        <sz val="9"/>
        <color indexed="8"/>
        <rFont val="仿宋_GB2312"/>
        <charset val="134"/>
      </rPr>
      <t>总地价</t>
    </r>
    <r>
      <rPr>
        <sz val="9"/>
        <color indexed="8"/>
        <rFont val="Arial"/>
        <family val="2"/>
      </rPr>
      <t>/</t>
    </r>
    <r>
      <rPr>
        <sz val="9"/>
        <color indexed="8"/>
        <rFont val="仿宋_GB2312"/>
        <charset val="134"/>
      </rPr>
      <t>万元</t>
    </r>
  </si>
  <si>
    <r>
      <rPr>
        <b/>
        <sz val="11"/>
        <color indexed="8"/>
        <rFont val="仿宋_GB2312"/>
        <charset val="134"/>
      </rPr>
      <t>补交地价款</t>
    </r>
  </si>
  <si>
    <r>
      <rPr>
        <sz val="11"/>
        <color indexed="10"/>
        <rFont val="仿宋_GB2312"/>
        <charset val="134"/>
      </rPr>
      <t>税费</t>
    </r>
  </si>
  <si>
    <r>
      <rPr>
        <sz val="9"/>
        <color indexed="8"/>
        <rFont val="仿宋_GB2312"/>
        <charset val="134"/>
      </rPr>
      <t>元</t>
    </r>
    <r>
      <rPr>
        <sz val="9"/>
        <color indexed="8"/>
        <rFont val="Arial"/>
        <family val="2"/>
      </rPr>
      <t>/</t>
    </r>
    <r>
      <rPr>
        <sz val="9"/>
        <color indexed="8"/>
        <rFont val="仿宋_GB2312"/>
        <charset val="134"/>
      </rPr>
      <t>㎡</t>
    </r>
  </si>
  <si>
    <r>
      <rPr>
        <sz val="10"/>
        <color indexed="8"/>
        <rFont val="Arial"/>
        <family val="2"/>
      </rPr>
      <t>(</t>
    </r>
    <r>
      <rPr>
        <sz val="10"/>
        <color indexed="8"/>
        <rFont val="仿宋_GB2312"/>
        <charset val="134"/>
      </rPr>
      <t>列示计算过程</t>
    </r>
    <r>
      <rPr>
        <sz val="10"/>
        <color indexed="8"/>
        <rFont val="Arial"/>
        <family val="2"/>
      </rPr>
      <t>,</t>
    </r>
  </si>
  <si>
    <r>
      <rPr>
        <sz val="10"/>
        <color indexed="8"/>
        <rFont val="仿宋_GB2312"/>
        <charset val="134"/>
      </rPr>
      <t>不固定格式</t>
    </r>
    <r>
      <rPr>
        <sz val="10"/>
        <color indexed="8"/>
        <rFont val="Arial"/>
        <family val="2"/>
      </rPr>
      <t>)</t>
    </r>
  </si>
  <si>
    <r>
      <rPr>
        <b/>
        <sz val="14"/>
        <color indexed="10"/>
        <rFont val="仿宋_GB2312"/>
        <charset val="134"/>
      </rPr>
      <t>最终结果</t>
    </r>
  </si>
  <si>
    <r>
      <rPr>
        <b/>
        <sz val="12"/>
        <color indexed="8"/>
        <rFont val="仿宋_GB2312"/>
        <charset val="134"/>
      </rPr>
      <t>项目</t>
    </r>
  </si>
  <si>
    <r>
      <rPr>
        <b/>
        <sz val="12"/>
        <color indexed="8"/>
        <rFont val="仿宋_GB2312"/>
        <charset val="134"/>
      </rPr>
      <t>总额</t>
    </r>
  </si>
  <si>
    <r>
      <rPr>
        <b/>
        <sz val="12"/>
        <color indexed="8"/>
        <rFont val="仿宋_GB2312"/>
        <charset val="134"/>
      </rPr>
      <t>楼面地价</t>
    </r>
  </si>
  <si>
    <r>
      <rPr>
        <b/>
        <sz val="12"/>
        <color indexed="8"/>
        <rFont val="仿宋_GB2312"/>
        <charset val="134"/>
      </rPr>
      <t>单位面积地价</t>
    </r>
  </si>
  <si>
    <r>
      <rPr>
        <b/>
        <sz val="12"/>
        <color indexed="8"/>
        <rFont val="仿宋_GB2312"/>
        <charset val="134"/>
      </rPr>
      <t>每亩价格</t>
    </r>
  </si>
  <si>
    <r>
      <rPr>
        <b/>
        <sz val="11"/>
        <color indexed="8"/>
        <rFont val="Arial"/>
        <family val="2"/>
      </rPr>
      <t>1.</t>
    </r>
    <r>
      <rPr>
        <b/>
        <sz val="11"/>
        <color indexed="8"/>
        <rFont val="仿宋_GB2312"/>
        <charset val="134"/>
      </rPr>
      <t>土地价格</t>
    </r>
  </si>
  <si>
    <r>
      <rPr>
        <sz val="12"/>
        <color indexed="8"/>
        <rFont val="仿宋_GB2312"/>
        <charset val="134"/>
      </rPr>
      <t>估价方法</t>
    </r>
  </si>
  <si>
    <r>
      <rPr>
        <sz val="12"/>
        <color indexed="8"/>
        <rFont val="仿宋_GB2312"/>
        <charset val="134"/>
      </rPr>
      <t>估价结果</t>
    </r>
    <r>
      <rPr>
        <sz val="12"/>
        <color indexed="8"/>
        <rFont val="Arial"/>
        <family val="2"/>
      </rPr>
      <t>/</t>
    </r>
    <r>
      <rPr>
        <sz val="12"/>
        <color indexed="8"/>
        <rFont val="仿宋_GB2312"/>
        <charset val="134"/>
      </rPr>
      <t>万元</t>
    </r>
  </si>
  <si>
    <r>
      <rPr>
        <sz val="12"/>
        <color indexed="8"/>
        <rFont val="仿宋_GB2312"/>
        <charset val="134"/>
      </rPr>
      <t>权重</t>
    </r>
  </si>
  <si>
    <r>
      <rPr>
        <sz val="12"/>
        <color indexed="8"/>
        <rFont val="仿宋_GB2312"/>
        <charset val="134"/>
      </rPr>
      <t>测算结果</t>
    </r>
    <r>
      <rPr>
        <sz val="12"/>
        <color indexed="8"/>
        <rFont val="Arial"/>
        <family val="2"/>
      </rPr>
      <t>/</t>
    </r>
    <r>
      <rPr>
        <sz val="12"/>
        <color indexed="8"/>
        <rFont val="仿宋_GB2312"/>
        <charset val="134"/>
      </rPr>
      <t>万元</t>
    </r>
  </si>
  <si>
    <r>
      <rPr>
        <sz val="12"/>
        <color indexed="8"/>
        <rFont val="仿宋_GB2312"/>
        <charset val="134"/>
      </rPr>
      <t>最终结果</t>
    </r>
    <r>
      <rPr>
        <sz val="12"/>
        <color indexed="8"/>
        <rFont val="Arial"/>
        <family val="2"/>
      </rPr>
      <t>/</t>
    </r>
    <r>
      <rPr>
        <sz val="12"/>
        <color indexed="8"/>
        <rFont val="仿宋_GB2312"/>
        <charset val="134"/>
      </rPr>
      <t>万元</t>
    </r>
  </si>
  <si>
    <t>2.估价师知悉的法定优先受偿款</t>
  </si>
  <si>
    <r>
      <rPr>
        <b/>
        <u/>
        <sz val="12"/>
        <color indexed="8"/>
        <rFont val="仿宋_GB2312"/>
        <charset val="134"/>
      </rPr>
      <t>测算中的特殊事项处理：</t>
    </r>
  </si>
  <si>
    <r>
      <rPr>
        <b/>
        <u/>
        <sz val="12"/>
        <color indexed="8"/>
        <rFont val="仿宋_GB2312"/>
        <charset val="134"/>
      </rPr>
      <t>无</t>
    </r>
  </si>
  <si>
    <r>
      <rPr>
        <b/>
        <sz val="10"/>
        <color indexed="8"/>
        <rFont val="仿宋_GB2312"/>
        <charset val="134"/>
      </rPr>
      <t>测算人员：</t>
    </r>
    <r>
      <rPr>
        <b/>
        <sz val="10"/>
        <color indexed="8"/>
        <rFont val="Arial"/>
        <family val="2"/>
      </rPr>
      <t xml:space="preserve">      </t>
    </r>
  </si>
  <si>
    <r>
      <rPr>
        <sz val="10"/>
        <color indexed="8"/>
        <rFont val="Arial"/>
        <family val="2"/>
      </rPr>
      <t xml:space="preserve"> </t>
    </r>
    <r>
      <rPr>
        <sz val="10"/>
        <color indexed="8"/>
        <rFont val="仿宋_GB2312"/>
        <charset val="134"/>
      </rPr>
      <t>日期：</t>
    </r>
    <r>
      <rPr>
        <sz val="10"/>
        <color indexed="8"/>
        <rFont val="Arial"/>
        <family val="2"/>
      </rPr>
      <t xml:space="preserve">  </t>
    </r>
    <r>
      <rPr>
        <sz val="10"/>
        <color indexed="8"/>
        <rFont val="仿宋_GB2312"/>
        <charset val="134"/>
      </rPr>
      <t>年</t>
    </r>
    <r>
      <rPr>
        <sz val="10"/>
        <color indexed="8"/>
        <rFont val="Arial"/>
        <family val="2"/>
      </rPr>
      <t xml:space="preserve">  </t>
    </r>
    <r>
      <rPr>
        <sz val="10"/>
        <color indexed="8"/>
        <rFont val="仿宋_GB2312"/>
        <charset val="134"/>
      </rPr>
      <t>月</t>
    </r>
    <r>
      <rPr>
        <sz val="10"/>
        <color indexed="8"/>
        <rFont val="Arial"/>
        <family val="2"/>
      </rPr>
      <t xml:space="preserve">  </t>
    </r>
    <r>
      <rPr>
        <sz val="10"/>
        <color indexed="8"/>
        <rFont val="仿宋_GB2312"/>
        <charset val="134"/>
      </rPr>
      <t>日</t>
    </r>
  </si>
  <si>
    <r>
      <rPr>
        <b/>
        <sz val="10"/>
        <color indexed="8"/>
        <rFont val="仿宋_GB2312"/>
        <charset val="134"/>
      </rPr>
      <t>初审意见：</t>
    </r>
    <r>
      <rPr>
        <b/>
        <sz val="10"/>
        <color indexed="8"/>
        <rFont val="Arial"/>
        <family val="2"/>
      </rPr>
      <t xml:space="preserve">      </t>
    </r>
  </si>
  <si>
    <r>
      <rPr>
        <sz val="10"/>
        <color indexed="8"/>
        <rFont val="仿宋_GB2312"/>
        <charset val="134"/>
      </rPr>
      <t>签字：</t>
    </r>
    <r>
      <rPr>
        <sz val="10"/>
        <color indexed="8"/>
        <rFont val="Arial"/>
        <family val="2"/>
      </rPr>
      <t xml:space="preserve">                    </t>
    </r>
    <r>
      <rPr>
        <sz val="10"/>
        <color indexed="8"/>
        <rFont val="仿宋_GB2312"/>
        <charset val="134"/>
      </rPr>
      <t>日期：</t>
    </r>
    <r>
      <rPr>
        <sz val="10"/>
        <color indexed="8"/>
        <rFont val="Arial"/>
        <family val="2"/>
      </rPr>
      <t xml:space="preserve">  </t>
    </r>
    <r>
      <rPr>
        <sz val="10"/>
        <color indexed="8"/>
        <rFont val="仿宋_GB2312"/>
        <charset val="134"/>
      </rPr>
      <t>年</t>
    </r>
    <r>
      <rPr>
        <sz val="10"/>
        <color indexed="8"/>
        <rFont val="Arial"/>
        <family val="2"/>
      </rPr>
      <t xml:space="preserve">  </t>
    </r>
    <r>
      <rPr>
        <sz val="10"/>
        <color indexed="8"/>
        <rFont val="仿宋_GB2312"/>
        <charset val="134"/>
      </rPr>
      <t>月</t>
    </r>
    <r>
      <rPr>
        <sz val="10"/>
        <color indexed="8"/>
        <rFont val="Arial"/>
        <family val="2"/>
      </rPr>
      <t xml:space="preserve">  </t>
    </r>
    <r>
      <rPr>
        <sz val="10"/>
        <color indexed="8"/>
        <rFont val="仿宋_GB2312"/>
        <charset val="134"/>
      </rPr>
      <t>日</t>
    </r>
  </si>
  <si>
    <r>
      <rPr>
        <b/>
        <sz val="10"/>
        <color indexed="8"/>
        <rFont val="仿宋_GB2312"/>
        <charset val="134"/>
      </rPr>
      <t>终审意见：</t>
    </r>
    <r>
      <rPr>
        <b/>
        <sz val="10"/>
        <color indexed="8"/>
        <rFont val="Arial"/>
        <family val="2"/>
      </rPr>
      <t xml:space="preserve">      </t>
    </r>
  </si>
  <si>
    <r>
      <rPr>
        <b/>
        <sz val="14"/>
        <color indexed="10"/>
        <rFont val="仿宋_GB2312"/>
        <charset val="134"/>
      </rPr>
      <t>抵押净值计算</t>
    </r>
  </si>
  <si>
    <r>
      <rPr>
        <b/>
        <sz val="10"/>
        <color indexed="8"/>
        <rFont val="仿宋_GB2312"/>
        <charset val="134"/>
      </rPr>
      <t>净值计算基数</t>
    </r>
    <r>
      <rPr>
        <b/>
        <sz val="10"/>
        <color indexed="8"/>
        <rFont val="Arial"/>
        <family val="2"/>
      </rPr>
      <t>“</t>
    </r>
    <r>
      <rPr>
        <b/>
        <sz val="10"/>
        <color indexed="8"/>
        <rFont val="仿宋_GB2312"/>
        <charset val="134"/>
      </rPr>
      <t>房地产销售收入</t>
    </r>
    <r>
      <rPr>
        <b/>
        <sz val="10"/>
        <color indexed="8"/>
        <rFont val="Arial"/>
        <family val="2"/>
      </rPr>
      <t>”</t>
    </r>
  </si>
  <si>
    <r>
      <rPr>
        <sz val="10"/>
        <color indexed="8"/>
        <rFont val="仿宋_GB2312"/>
        <charset val="134"/>
      </rPr>
      <t>按评估值的</t>
    </r>
  </si>
  <si>
    <r>
      <rPr>
        <sz val="10"/>
        <color indexed="8"/>
        <rFont val="仿宋_GB2312"/>
        <charset val="134"/>
      </rPr>
      <t>计算</t>
    </r>
  </si>
  <si>
    <r>
      <rPr>
        <b/>
        <sz val="10"/>
        <color indexed="8"/>
        <rFont val="仿宋_GB2312"/>
        <charset val="134"/>
      </rPr>
      <t>处置时需缴纳的相关税费</t>
    </r>
  </si>
  <si>
    <r>
      <rPr>
        <b/>
        <sz val="10"/>
        <color indexed="8"/>
        <rFont val="仿宋_GB2312"/>
        <charset val="134"/>
      </rPr>
      <t>预计处置时需缴纳的各项地价、税费清单计算明细表</t>
    </r>
  </si>
  <si>
    <r>
      <rPr>
        <b/>
        <sz val="10"/>
        <color indexed="8"/>
        <rFont val="仿宋_GB2312"/>
        <charset val="134"/>
      </rPr>
      <t>税（费）种</t>
    </r>
  </si>
  <si>
    <r>
      <rPr>
        <sz val="10"/>
        <color indexed="8"/>
        <rFont val="仿宋_GB2312"/>
        <charset val="134"/>
      </rPr>
      <t>金额</t>
    </r>
  </si>
  <si>
    <r>
      <rPr>
        <sz val="10"/>
        <color indexed="8"/>
        <rFont val="仿宋_GB2312"/>
        <charset val="134"/>
      </rPr>
      <t>计算方法</t>
    </r>
  </si>
  <si>
    <r>
      <rPr>
        <b/>
        <sz val="10"/>
        <color indexed="8"/>
        <rFont val="仿宋_GB2312"/>
        <charset val="134"/>
      </rPr>
      <t>税（费）率</t>
    </r>
  </si>
  <si>
    <r>
      <rPr>
        <sz val="10"/>
        <color indexed="8"/>
        <rFont val="仿宋_GB2312"/>
        <charset val="134"/>
      </rPr>
      <t>备注</t>
    </r>
  </si>
  <si>
    <r>
      <rPr>
        <b/>
        <sz val="10"/>
        <color indexed="8"/>
        <rFont val="仿宋_GB2312"/>
        <charset val="134"/>
      </rPr>
      <t>估价对象基本情况</t>
    </r>
  </si>
  <si>
    <r>
      <rPr>
        <sz val="10"/>
        <color indexed="8"/>
        <rFont val="Arial"/>
        <family val="2"/>
      </rPr>
      <t>1.</t>
    </r>
    <r>
      <rPr>
        <sz val="10"/>
        <color indexed="8"/>
        <rFont val="仿宋_GB2312"/>
        <charset val="134"/>
      </rPr>
      <t>增值税及附加</t>
    </r>
  </si>
  <si>
    <r>
      <rPr>
        <sz val="10"/>
        <color indexed="10"/>
        <rFont val="仿宋_GB2312"/>
        <charset val="134"/>
      </rPr>
      <t>属于免缴时请录入面缴类别</t>
    </r>
  </si>
  <si>
    <r>
      <rPr>
        <b/>
        <sz val="10"/>
        <color indexed="8"/>
        <rFont val="仿宋_GB2312"/>
        <charset val="134"/>
      </rPr>
      <t>估价对象</t>
    </r>
  </si>
  <si>
    <r>
      <rPr>
        <sz val="10"/>
        <color indexed="8"/>
        <rFont val="仿宋_GB2312"/>
        <charset val="134"/>
      </rPr>
      <t>情况</t>
    </r>
    <r>
      <rPr>
        <sz val="10"/>
        <color indexed="8"/>
        <rFont val="Arial"/>
        <family val="2"/>
      </rPr>
      <t>1</t>
    </r>
    <r>
      <rPr>
        <sz val="10"/>
        <color indexed="8"/>
        <rFont val="仿宋_GB2312"/>
        <charset val="134"/>
      </rPr>
      <t>：</t>
    </r>
  </si>
  <si>
    <r>
      <rPr>
        <sz val="10"/>
        <color indexed="8"/>
        <rFont val="仿宋_GB2312"/>
        <charset val="134"/>
      </rPr>
      <t>个人购买的</t>
    </r>
    <r>
      <rPr>
        <sz val="10"/>
        <color indexed="8"/>
        <rFont val="Arial"/>
        <family val="2"/>
      </rPr>
      <t>2</t>
    </r>
    <r>
      <rPr>
        <sz val="10"/>
        <color indexed="8"/>
        <rFont val="仿宋_GB2312"/>
        <charset val="134"/>
      </rPr>
      <t>年以上的普通住宅（北上广深）</t>
    </r>
  </si>
  <si>
    <r>
      <rPr>
        <sz val="10"/>
        <color indexed="8"/>
        <rFont val="仿宋_GB2312"/>
        <charset val="134"/>
      </rPr>
      <t>免征</t>
    </r>
  </si>
  <si>
    <t>北京普宅标准：</t>
  </si>
  <si>
    <r>
      <rPr>
        <b/>
        <sz val="10"/>
        <color indexed="8"/>
        <rFont val="仿宋_GB2312"/>
        <charset val="134"/>
      </rPr>
      <t>价值时点</t>
    </r>
  </si>
  <si>
    <r>
      <rPr>
        <sz val="10"/>
        <color indexed="8"/>
        <rFont val="仿宋_GB2312"/>
        <charset val="134"/>
      </rPr>
      <t>个人购买的</t>
    </r>
    <r>
      <rPr>
        <sz val="10"/>
        <color indexed="8"/>
        <rFont val="Arial"/>
        <family val="2"/>
      </rPr>
      <t>2</t>
    </r>
    <r>
      <rPr>
        <sz val="10"/>
        <color indexed="8"/>
        <rFont val="仿宋_GB2312"/>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</si>
  <si>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</si>
  <si>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indexed="8"/>
        <rFont val="仿宋_GB2312"/>
        <charset val="134"/>
      </rPr>
      <t>评估总值</t>
    </r>
  </si>
  <si>
    <r>
      <rPr>
        <sz val="10"/>
        <color indexed="8"/>
        <rFont val="仿宋_GB2312"/>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</si>
  <si>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</si>
  <si>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t>土地抵押价格</t>
  </si>
  <si>
    <r>
      <rPr>
        <sz val="10"/>
        <color indexed="8"/>
        <rFont val="仿宋_GB2312"/>
        <charset val="134"/>
      </rPr>
      <t>情况</t>
    </r>
    <r>
      <rPr>
        <sz val="10"/>
        <color indexed="8"/>
        <rFont val="Arial"/>
        <family val="2"/>
      </rPr>
      <t>2</t>
    </r>
    <r>
      <rPr>
        <sz val="10"/>
        <color indexed="8"/>
        <rFont val="仿宋_GB2312"/>
        <charset val="134"/>
      </rPr>
      <t>：</t>
    </r>
  </si>
  <si>
    <r>
      <rPr>
        <sz val="10"/>
        <color indexed="8"/>
        <rFont val="仿宋_GB2312"/>
        <charset val="134"/>
      </rPr>
      <t>个人购买的不足</t>
    </r>
    <r>
      <rPr>
        <sz val="10"/>
        <color indexed="8"/>
        <rFont val="Arial"/>
        <family val="2"/>
      </rPr>
      <t>2</t>
    </r>
    <r>
      <rPr>
        <sz val="10"/>
        <color indexed="8"/>
        <rFont val="仿宋_GB2312"/>
        <charset val="134"/>
      </rPr>
      <t>年的住宅</t>
    </r>
  </si>
  <si>
    <r>
      <rPr>
        <sz val="10"/>
        <color indexed="8"/>
        <rFont val="仿宋_GB2312"/>
        <charset val="134"/>
      </rPr>
      <t>全额计税</t>
    </r>
  </si>
  <si>
    <r>
      <rPr>
        <sz val="10"/>
        <color indexed="8"/>
        <rFont val="仿宋_GB2312"/>
        <charset val="134"/>
      </rPr>
      <t>情况</t>
    </r>
    <r>
      <rPr>
        <sz val="10"/>
        <color indexed="8"/>
        <rFont val="Arial"/>
        <family val="2"/>
      </rPr>
      <t>3</t>
    </r>
    <r>
      <rPr>
        <sz val="10"/>
        <color indexed="8"/>
        <rFont val="仿宋_GB2312"/>
        <charset val="134"/>
      </rPr>
      <t>：</t>
    </r>
  </si>
  <si>
    <r>
      <rPr>
        <sz val="10"/>
        <color indexed="8"/>
        <rFont val="仿宋_GB2312"/>
        <charset val="134"/>
      </rPr>
      <t>除情况</t>
    </r>
    <r>
      <rPr>
        <sz val="10"/>
        <color indexed="8"/>
        <rFont val="Arial"/>
        <family val="2"/>
      </rPr>
      <t>1</t>
    </r>
    <r>
      <rPr>
        <sz val="10"/>
        <color indexed="8"/>
        <rFont val="仿宋_GB2312"/>
        <charset val="134"/>
      </rPr>
      <t>、</t>
    </r>
    <r>
      <rPr>
        <sz val="10"/>
        <color indexed="8"/>
        <rFont val="Arial"/>
        <family val="2"/>
      </rPr>
      <t>2</t>
    </r>
    <r>
      <rPr>
        <sz val="10"/>
        <color indexed="8"/>
        <rFont val="仿宋_GB2312"/>
        <charset val="134"/>
      </rPr>
      <t>以外的自建房</t>
    </r>
  </si>
  <si>
    <r>
      <rPr>
        <b/>
        <sz val="10"/>
        <color indexed="8"/>
        <rFont val="仿宋_GB2312"/>
        <charset val="134"/>
      </rPr>
      <t>序号</t>
    </r>
  </si>
  <si>
    <r>
      <rPr>
        <b/>
        <sz val="10"/>
        <color indexed="8"/>
        <rFont val="仿宋_GB2312"/>
        <charset val="134"/>
      </rPr>
      <t>金额（元）</t>
    </r>
  </si>
  <si>
    <r>
      <rPr>
        <b/>
        <sz val="10"/>
        <color indexed="8"/>
        <rFont val="仿宋_GB2312"/>
        <charset val="134"/>
      </rPr>
      <t>计算方法</t>
    </r>
  </si>
  <si>
    <r>
      <rPr>
        <sz val="10"/>
        <color indexed="8"/>
        <rFont val="仿宋_GB2312"/>
        <charset val="134"/>
      </rPr>
      <t>情况</t>
    </r>
    <r>
      <rPr>
        <sz val="10"/>
        <color indexed="8"/>
        <rFont val="Arial"/>
        <family val="2"/>
      </rPr>
      <t>4</t>
    </r>
    <r>
      <rPr>
        <sz val="10"/>
        <color indexed="8"/>
        <rFont val="仿宋_GB2312"/>
        <charset val="134"/>
      </rPr>
      <t>：</t>
    </r>
  </si>
  <si>
    <r>
      <rPr>
        <sz val="10"/>
        <color indexed="8"/>
        <rFont val="仿宋_GB2312"/>
        <charset val="134"/>
      </rPr>
      <t>除情况</t>
    </r>
    <r>
      <rPr>
        <sz val="10"/>
        <color indexed="8"/>
        <rFont val="Arial"/>
        <family val="2"/>
      </rPr>
      <t>1</t>
    </r>
    <r>
      <rPr>
        <sz val="10"/>
        <color indexed="8"/>
        <rFont val="仿宋_GB2312"/>
        <charset val="134"/>
      </rPr>
      <t>、</t>
    </r>
    <r>
      <rPr>
        <sz val="10"/>
        <color indexed="8"/>
        <rFont val="Arial"/>
        <family val="2"/>
      </rPr>
      <t>3</t>
    </r>
    <r>
      <rPr>
        <sz val="10"/>
        <color indexed="8"/>
        <rFont val="仿宋_GB2312"/>
        <charset val="134"/>
      </rPr>
      <t>以外的非自建房</t>
    </r>
  </si>
  <si>
    <r>
      <rPr>
        <sz val="10"/>
        <color indexed="8"/>
        <rFont val="仿宋_GB2312"/>
        <charset val="134"/>
      </rPr>
      <t>差额计税</t>
    </r>
  </si>
  <si>
    <r>
      <rPr>
        <sz val="10"/>
        <color indexed="8"/>
        <rFont val="仿宋_GB2312"/>
        <charset val="134"/>
      </rPr>
      <t>增值税及附加</t>
    </r>
  </si>
  <si>
    <r>
      <rPr>
        <sz val="10"/>
        <color indexed="8"/>
        <rFont val="Arial"/>
        <family val="2"/>
      </rPr>
      <t>2.</t>
    </r>
    <r>
      <rPr>
        <sz val="10"/>
        <color indexed="8"/>
        <rFont val="仿宋_GB2312"/>
        <charset val="134"/>
      </rPr>
      <t>印花税</t>
    </r>
  </si>
  <si>
    <r>
      <rPr>
        <sz val="10"/>
        <color indexed="8"/>
        <rFont val="仿宋_GB2312"/>
        <charset val="134"/>
      </rPr>
      <t>销售额</t>
    </r>
    <r>
      <rPr>
        <sz val="10"/>
        <color indexed="8"/>
        <rFont val="Arial"/>
        <family val="2"/>
      </rPr>
      <t>×</t>
    </r>
    <r>
      <rPr>
        <sz val="10"/>
        <color indexed="8"/>
        <rFont val="仿宋_GB2312"/>
        <charset val="134"/>
      </rPr>
      <t>税（费）率</t>
    </r>
  </si>
  <si>
    <r>
      <rPr>
        <sz val="10"/>
        <color indexed="8"/>
        <rFont val="仿宋_GB2312"/>
        <charset val="134"/>
      </rPr>
      <t>印花税</t>
    </r>
  </si>
  <si>
    <r>
      <rPr>
        <sz val="10"/>
        <color indexed="8"/>
        <rFont val="Arial"/>
        <family val="2"/>
      </rPr>
      <t>3.</t>
    </r>
    <r>
      <rPr>
        <sz val="10"/>
        <color indexed="8"/>
        <rFont val="仿宋_GB2312"/>
        <charset val="134"/>
      </rPr>
      <t>土地增值税</t>
    </r>
  </si>
  <si>
    <r>
      <rPr>
        <sz val="10"/>
        <color indexed="8"/>
        <rFont val="仿宋_GB2312"/>
        <charset val="134"/>
      </rPr>
      <t>增值额</t>
    </r>
    <r>
      <rPr>
        <sz val="10"/>
        <color indexed="8"/>
        <rFont val="Arial"/>
        <family val="2"/>
      </rPr>
      <t>×</t>
    </r>
    <r>
      <rPr>
        <sz val="10"/>
        <color indexed="8"/>
        <rFont val="仿宋_GB2312"/>
        <charset val="134"/>
      </rPr>
      <t>税（费）率</t>
    </r>
  </si>
  <si>
    <r>
      <rPr>
        <sz val="10"/>
        <color indexed="8"/>
        <rFont val="仿宋_GB2312"/>
        <charset val="134"/>
      </rPr>
      <t>土地增值税</t>
    </r>
  </si>
  <si>
    <r>
      <rPr>
        <sz val="10"/>
        <color indexed="8"/>
        <rFont val="仿宋_GB2312"/>
        <charset val="134"/>
      </rPr>
      <t>个人住宅</t>
    </r>
  </si>
  <si>
    <r>
      <rPr>
        <sz val="10"/>
        <color indexed="8"/>
        <rFont val="仿宋_GB2312"/>
        <charset val="134"/>
      </rPr>
      <t>除情况</t>
    </r>
    <r>
      <rPr>
        <sz val="10"/>
        <color indexed="8"/>
        <rFont val="Arial"/>
        <family val="2"/>
      </rPr>
      <t>1</t>
    </r>
    <r>
      <rPr>
        <sz val="10"/>
        <color indexed="8"/>
        <rFont val="仿宋_GB2312"/>
        <charset val="134"/>
      </rPr>
      <t>以外的其他情形</t>
    </r>
  </si>
  <si>
    <r>
      <rPr>
        <sz val="10"/>
        <color indexed="8"/>
        <rFont val="Arial"/>
        <family val="2"/>
      </rPr>
      <t>4.</t>
    </r>
    <r>
      <rPr>
        <sz val="10"/>
        <color indexed="8"/>
        <rFont val="仿宋_GB2312"/>
        <charset val="134"/>
      </rPr>
      <t>个人所得税</t>
    </r>
  </si>
  <si>
    <t>北京标准</t>
  </si>
  <si>
    <r>
      <rPr>
        <sz val="10"/>
        <color indexed="8"/>
        <rFont val="仿宋_GB2312"/>
        <charset val="134"/>
      </rPr>
      <t>小写</t>
    </r>
  </si>
  <si>
    <r>
      <rPr>
        <sz val="10"/>
        <color indexed="8"/>
        <rFont val="仿宋_GB2312"/>
        <charset val="134"/>
      </rPr>
      <t>大写</t>
    </r>
  </si>
  <si>
    <r>
      <rPr>
        <b/>
        <sz val="10"/>
        <color indexed="8"/>
        <rFont val="仿宋_GB2312"/>
        <charset val="134"/>
      </rPr>
      <t>销售不动产增值税及附加计算</t>
    </r>
  </si>
  <si>
    <r>
      <rPr>
        <sz val="10"/>
        <color indexed="8"/>
        <rFont val="仿宋_GB2312"/>
        <charset val="134"/>
      </rPr>
      <t>抵押净值</t>
    </r>
  </si>
  <si>
    <r>
      <rPr>
        <b/>
        <sz val="10"/>
        <rFont val="仿宋_GB2312"/>
        <charset val="134"/>
      </rPr>
      <t>项目</t>
    </r>
  </si>
  <si>
    <r>
      <rPr>
        <b/>
        <sz val="10"/>
        <rFont val="仿宋_GB2312"/>
        <charset val="134"/>
      </rPr>
      <t>系数</t>
    </r>
  </si>
  <si>
    <t>1.</t>
  </si>
  <si>
    <r>
      <rPr>
        <b/>
        <sz val="10"/>
        <rFont val="仿宋_GB2312"/>
        <charset val="134"/>
      </rPr>
      <t>销售额</t>
    </r>
  </si>
  <si>
    <r>
      <rPr>
        <sz val="10"/>
        <color indexed="8"/>
        <rFont val="仿宋_GB2312"/>
        <charset val="134"/>
      </rPr>
      <t>抵押净值单价</t>
    </r>
  </si>
  <si>
    <r>
      <rPr>
        <sz val="10"/>
        <color indexed="8"/>
        <rFont val="宋体"/>
        <family val="3"/>
        <charset val="134"/>
      </rPr>
      <t>（</t>
    </r>
    <r>
      <rPr>
        <sz val="10"/>
        <color indexed="8"/>
        <rFont val="Arial"/>
        <family val="2"/>
      </rPr>
      <t>1</t>
    </r>
    <r>
      <rPr>
        <sz val="10"/>
        <color indexed="8"/>
        <rFont val="宋体"/>
        <family val="3"/>
        <charset val="134"/>
      </rPr>
      <t>）</t>
    </r>
  </si>
  <si>
    <r>
      <rPr>
        <sz val="10"/>
        <rFont val="仿宋_GB2312"/>
        <charset val="134"/>
      </rPr>
      <t>全部价款</t>
    </r>
  </si>
  <si>
    <r>
      <rPr>
        <sz val="10"/>
        <color indexed="8"/>
        <rFont val="宋体"/>
        <family val="3"/>
        <charset val="134"/>
      </rPr>
      <t>（</t>
    </r>
    <r>
      <rPr>
        <sz val="10"/>
        <color indexed="8"/>
        <rFont val="Arial"/>
        <family val="2"/>
      </rPr>
      <t>2</t>
    </r>
    <r>
      <rPr>
        <sz val="10"/>
        <color indexed="8"/>
        <rFont val="宋体"/>
        <family val="3"/>
        <charset val="134"/>
      </rPr>
      <t>）</t>
    </r>
  </si>
  <si>
    <r>
      <rPr>
        <sz val="10"/>
        <rFont val="仿宋_GB2312"/>
        <charset val="134"/>
      </rPr>
      <t>价外费用</t>
    </r>
  </si>
  <si>
    <t>其他处置费用</t>
  </si>
  <si>
    <t>律师费</t>
  </si>
  <si>
    <t>2.</t>
  </si>
  <si>
    <r>
      <rPr>
        <b/>
        <sz val="10"/>
        <rFont val="仿宋_GB2312"/>
        <charset val="134"/>
      </rPr>
      <t>原购房价</t>
    </r>
    <r>
      <rPr>
        <b/>
        <sz val="10"/>
        <rFont val="Arial"/>
        <family val="2"/>
      </rPr>
      <t>/</t>
    </r>
    <r>
      <rPr>
        <b/>
        <sz val="10"/>
        <rFont val="仿宋_GB2312"/>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</si>
  <si>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</si>
  <si>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t>诉讼费</t>
  </si>
  <si>
    <r>
      <rPr>
        <sz val="10"/>
        <color indexed="8"/>
        <rFont val="楷体_GB2312"/>
        <charset val="134"/>
      </rPr>
      <t>最低</t>
    </r>
    <r>
      <rPr>
        <sz val="10"/>
        <color indexed="8"/>
        <rFont val="Arial"/>
        <family val="2"/>
      </rPr>
      <t>50</t>
    </r>
    <r>
      <rPr>
        <sz val="10"/>
        <color indexed="8"/>
        <rFont val="楷体_GB2312"/>
        <charset val="134"/>
      </rPr>
      <t>元</t>
    </r>
  </si>
  <si>
    <t>3.</t>
  </si>
  <si>
    <r>
      <rPr>
        <b/>
        <sz val="10"/>
        <rFont val="仿宋_GB2312"/>
        <charset val="134"/>
      </rPr>
      <t>纳税基数</t>
    </r>
  </si>
  <si>
    <t>执行费</t>
  </si>
  <si>
    <t>4.</t>
  </si>
  <si>
    <r>
      <rPr>
        <b/>
        <sz val="10"/>
        <rFont val="仿宋_GB2312"/>
        <charset val="134"/>
      </rPr>
      <t>纳税额</t>
    </r>
  </si>
  <si>
    <t>诉讼保全费</t>
  </si>
  <si>
    <r>
      <rPr>
        <sz val="10"/>
        <color indexed="8"/>
        <rFont val="楷体_GB2312"/>
        <charset val="134"/>
      </rPr>
      <t>最高</t>
    </r>
    <r>
      <rPr>
        <sz val="10"/>
        <color indexed="8"/>
        <rFont val="Arial"/>
        <family val="2"/>
      </rPr>
      <t>5000</t>
    </r>
    <r>
      <rPr>
        <sz val="10"/>
        <color indexed="8"/>
        <rFont val="楷体_GB2312"/>
        <charset val="134"/>
      </rPr>
      <t>元</t>
    </r>
  </si>
  <si>
    <t>评估费</t>
  </si>
  <si>
    <r>
      <rPr>
        <b/>
        <sz val="10"/>
        <rFont val="仿宋_GB2312"/>
        <charset val="134"/>
      </rPr>
      <t>土地增值税（转让取得）</t>
    </r>
  </si>
  <si>
    <t>拍卖费</t>
  </si>
  <si>
    <t>小计</t>
  </si>
  <si>
    <r>
      <rPr>
        <b/>
        <sz val="10"/>
        <rFont val="仿宋_GB2312"/>
        <charset val="134"/>
      </rPr>
      <t>转让收入</t>
    </r>
  </si>
  <si>
    <r>
      <rPr>
        <b/>
        <sz val="10"/>
        <color indexed="8"/>
        <rFont val="仿宋_GB2312"/>
        <charset val="134"/>
      </rPr>
      <t>扣除项合计</t>
    </r>
  </si>
  <si>
    <r>
      <rPr>
        <sz val="10"/>
        <rFont val="仿宋_GB2312"/>
        <charset val="134"/>
      </rPr>
      <t>原购房价及相关税费</t>
    </r>
  </si>
  <si>
    <r>
      <rPr>
        <sz val="10"/>
        <color indexed="8"/>
        <rFont val="Arial"/>
        <family val="2"/>
      </rPr>
      <t>1</t>
    </r>
    <r>
      <rPr>
        <sz val="10"/>
        <color indexed="8"/>
        <rFont val="宋体"/>
        <family val="3"/>
        <charset val="134"/>
      </rPr>
      <t>）</t>
    </r>
  </si>
  <si>
    <r>
      <rPr>
        <sz val="10"/>
        <rFont val="仿宋_GB2312"/>
        <charset val="134"/>
      </rPr>
      <t>原购房价</t>
    </r>
  </si>
  <si>
    <r>
      <rPr>
        <sz val="11"/>
        <color indexed="8"/>
        <rFont val="仿宋_GB2312"/>
        <charset val="134"/>
      </rPr>
      <t>原购房价依据</t>
    </r>
  </si>
  <si>
    <r>
      <rPr>
        <sz val="11"/>
        <color indexed="8"/>
        <rFont val="仿宋_GB2312"/>
        <charset val="134"/>
      </rPr>
      <t>已购年限</t>
    </r>
  </si>
  <si>
    <r>
      <rPr>
        <sz val="10"/>
        <color indexed="8"/>
        <rFont val="Arial"/>
        <family val="2"/>
      </rPr>
      <t>2</t>
    </r>
    <r>
      <rPr>
        <sz val="10"/>
        <color indexed="8"/>
        <rFont val="宋体"/>
        <family val="3"/>
        <charset val="134"/>
      </rPr>
      <t>）</t>
    </r>
  </si>
  <si>
    <r>
      <rPr>
        <sz val="10"/>
        <rFont val="仿宋_GB2312"/>
        <charset val="134"/>
      </rPr>
      <t>加计扣减项</t>
    </r>
  </si>
  <si>
    <r>
      <rPr>
        <sz val="10"/>
        <color indexed="8"/>
        <rFont val="仿宋_GB2312"/>
        <charset val="134"/>
      </rPr>
      <t>有购房发票的可按发票所载金额并</t>
    </r>
    <r>
      <rPr>
        <b/>
        <sz val="10"/>
        <color indexed="8"/>
        <rFont val="仿宋_GB2312"/>
        <charset val="134"/>
      </rPr>
      <t>从购买年度起至转让年度止</t>
    </r>
    <r>
      <rPr>
        <sz val="10"/>
        <color indexed="8"/>
        <rFont val="仿宋_GB2312"/>
        <charset val="134"/>
      </rPr>
      <t>每年加计</t>
    </r>
    <r>
      <rPr>
        <sz val="10"/>
        <color indexed="8"/>
        <rFont val="Arial"/>
        <family val="2"/>
      </rPr>
      <t>5%</t>
    </r>
    <r>
      <rPr>
        <sz val="10"/>
        <color indexed="8"/>
        <rFont val="仿宋_GB2312"/>
        <charset val="134"/>
      </rPr>
      <t>计算</t>
    </r>
  </si>
  <si>
    <r>
      <rPr>
        <sz val="10"/>
        <color indexed="8"/>
        <rFont val="Arial"/>
        <family val="2"/>
      </rPr>
      <t>3</t>
    </r>
    <r>
      <rPr>
        <sz val="10"/>
        <color indexed="8"/>
        <rFont val="宋体"/>
        <family val="3"/>
        <charset val="134"/>
      </rPr>
      <t>）</t>
    </r>
  </si>
  <si>
    <r>
      <rPr>
        <sz val="10"/>
        <rFont val="仿宋_GB2312"/>
        <charset val="134"/>
      </rPr>
      <t>相关税费</t>
    </r>
  </si>
  <si>
    <r>
      <rPr>
        <sz val="10"/>
        <color indexed="8"/>
        <rFont val="仿宋_GB2312"/>
        <charset val="134"/>
      </rPr>
      <t>含契税及印花税</t>
    </r>
  </si>
  <si>
    <r>
      <rPr>
        <sz val="10"/>
        <rFont val="仿宋_GB2312"/>
        <charset val="134"/>
      </rPr>
      <t>转让税金支出</t>
    </r>
  </si>
  <si>
    <t>不含增值税，仅附加税</t>
  </si>
  <si>
    <r>
      <rPr>
        <b/>
        <sz val="10"/>
        <rFont val="仿宋_GB2312"/>
        <charset val="134"/>
      </rPr>
      <t>增值额</t>
    </r>
  </si>
  <si>
    <r>
      <rPr>
        <b/>
        <sz val="10"/>
        <rFont val="仿宋_GB2312"/>
        <charset val="134"/>
      </rPr>
      <t>增值额与扣除项比率</t>
    </r>
  </si>
  <si>
    <t>5.</t>
  </si>
  <si>
    <r>
      <rPr>
        <b/>
        <sz val="10"/>
        <rFont val="仿宋_GB2312"/>
        <charset val="134"/>
      </rPr>
      <t>应纳增值税税额</t>
    </r>
  </si>
  <si>
    <r>
      <rPr>
        <b/>
        <sz val="10"/>
        <rFont val="仿宋_GB2312"/>
        <charset val="134"/>
      </rPr>
      <t>土地增值税（自行开发建设）</t>
    </r>
  </si>
  <si>
    <r>
      <rPr>
        <sz val="10"/>
        <rFont val="仿宋_GB2312"/>
        <charset val="134"/>
      </rPr>
      <t>土地取得成本</t>
    </r>
  </si>
  <si>
    <r>
      <rPr>
        <sz val="10"/>
        <rFont val="仿宋_GB2312"/>
        <charset val="134"/>
      </rPr>
      <t>土地取得费用</t>
    </r>
  </si>
  <si>
    <r>
      <rPr>
        <sz val="10"/>
        <color indexed="8"/>
        <rFont val="仿宋_GB2312"/>
        <charset val="134"/>
      </rPr>
      <t>依据出让合同</t>
    </r>
  </si>
  <si>
    <r>
      <rPr>
        <sz val="9"/>
        <color indexed="8"/>
        <rFont val="仿宋_GB2312"/>
        <charset val="134"/>
      </rPr>
      <t>出让价款内涵：</t>
    </r>
  </si>
  <si>
    <t>★取得土地使用权所支付的金额，是指纳税人为取得土地使用权所支付的地价款和按国家统一规定交纳的有关费用★</t>
  </si>
  <si>
    <r>
      <rPr>
        <sz val="10"/>
        <color indexed="8"/>
        <rFont val="仿宋_GB2312"/>
        <charset val="134"/>
      </rPr>
      <t>契税及印花税</t>
    </r>
  </si>
  <si>
    <r>
      <rPr>
        <sz val="10"/>
        <rFont val="仿宋_GB2312"/>
        <charset val="134"/>
      </rPr>
      <t>土地开发费</t>
    </r>
  </si>
  <si>
    <t>土地征用及拆迁补偿费</t>
  </si>
  <si>
    <t>★土地征用及拆迁补偿费，包括土地征用费、耕地占用税、劳动力安置费及有关地上、地下附着物拆迁补偿的净支出、安置动迁用房支出等★</t>
  </si>
  <si>
    <t>（3）</t>
  </si>
  <si>
    <r>
      <rPr>
        <sz val="10"/>
        <rFont val="仿宋_GB2312"/>
        <charset val="134"/>
      </rPr>
      <t>建造成本</t>
    </r>
  </si>
  <si>
    <r>
      <rPr>
        <sz val="10"/>
        <color indexed="8"/>
        <rFont val="仿宋_GB2312"/>
        <charset val="134"/>
      </rPr>
      <t>包括前期工程费、建筑安装工程费、基础设施费和公共配套费等</t>
    </r>
  </si>
  <si>
    <t>（4）</t>
  </si>
  <si>
    <r>
      <rPr>
        <sz val="10"/>
        <rFont val="仿宋_GB2312"/>
        <charset val="134"/>
      </rPr>
      <t>开发费用扣除</t>
    </r>
  </si>
  <si>
    <r>
      <rPr>
        <sz val="10"/>
        <color indexed="8"/>
        <rFont val="仿宋_GB2312"/>
        <charset val="134"/>
      </rPr>
      <t>凡不能按转让房地产项目计算分摊利息支出或不能提供金融机构证明的，按土地及建筑总投的</t>
    </r>
    <r>
      <rPr>
        <sz val="10"/>
        <color indexed="8"/>
        <rFont val="Arial"/>
        <family val="2"/>
      </rPr>
      <t>10%</t>
    </r>
    <r>
      <rPr>
        <sz val="10"/>
        <color indexed="8"/>
        <rFont val="仿宋_GB2312"/>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</si>
  <si>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</si>
  <si>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t>（5）</t>
  </si>
  <si>
    <t>（6）</t>
  </si>
  <si>
    <r>
      <rPr>
        <sz val="10"/>
        <rFont val="仿宋_GB2312"/>
        <charset val="134"/>
      </rPr>
      <t>加计扣除金额</t>
    </r>
  </si>
  <si>
    <r>
      <rPr>
        <sz val="10"/>
        <color indexed="8"/>
        <rFont val="仿宋_GB2312"/>
        <charset val="134"/>
      </rPr>
      <t>对专门从事房地产开发的企业可以按</t>
    </r>
    <r>
      <rPr>
        <sz val="10"/>
        <color indexed="8"/>
        <rFont val="Arial"/>
        <family val="2"/>
      </rPr>
      <t>20</t>
    </r>
    <r>
      <rPr>
        <sz val="10"/>
        <color indexed="8"/>
        <rFont val="仿宋_GB2312"/>
        <charset val="134"/>
      </rPr>
      <t>％计算扣除；如为土地，则</t>
    </r>
    <r>
      <rPr>
        <sz val="10"/>
        <color rgb="FFFF0000"/>
        <rFont val="仿宋_GB2312"/>
        <charset val="134"/>
      </rPr>
      <t>仅将土地开发费加计</t>
    </r>
    <r>
      <rPr>
        <sz val="10"/>
        <color rgb="FFFF0000"/>
        <rFont val="Arial"/>
        <family val="2"/>
      </rPr>
      <t>20%</t>
    </r>
    <r>
      <rPr>
        <sz val="10"/>
        <color rgb="FFFF0000"/>
        <rFont val="仿宋_GB2312"/>
        <charset val="134"/>
      </rPr>
      <t>扣减</t>
    </r>
  </si>
  <si>
    <r>
      <rPr>
        <b/>
        <sz val="16"/>
        <color indexed="10"/>
        <rFont val="仿宋_GB2312"/>
        <charset val="134"/>
      </rPr>
      <t>剩余法</t>
    </r>
  </si>
  <si>
    <r>
      <rPr>
        <b/>
        <sz val="12"/>
        <rFont val="仿宋_GB2312"/>
        <charset val="134"/>
      </rPr>
      <t>总价</t>
    </r>
  </si>
  <si>
    <t>楼面地价</t>
  </si>
  <si>
    <r>
      <rPr>
        <b/>
        <sz val="11"/>
        <rFont val="仿宋_GB2312"/>
        <charset val="134"/>
      </rPr>
      <t>单位面积地价</t>
    </r>
  </si>
  <si>
    <r>
      <rPr>
        <b/>
        <sz val="12"/>
        <color indexed="8"/>
        <rFont val="仿宋_GB2312"/>
        <charset val="134"/>
      </rPr>
      <t>万元</t>
    </r>
    <r>
      <rPr>
        <b/>
        <sz val="12"/>
        <color indexed="8"/>
        <rFont val="Arial"/>
        <family val="2"/>
      </rPr>
      <t>/</t>
    </r>
    <r>
      <rPr>
        <b/>
        <sz val="12"/>
        <color indexed="8"/>
        <rFont val="仿宋_GB2312"/>
        <charset val="134"/>
      </rPr>
      <t>亩</t>
    </r>
  </si>
  <si>
    <r>
      <rPr>
        <b/>
        <sz val="12"/>
        <color indexed="8"/>
        <rFont val="Arial"/>
        <family val="2"/>
      </rPr>
      <t>1 .</t>
    </r>
    <r>
      <rPr>
        <b/>
        <sz val="12"/>
        <color indexed="8"/>
        <rFont val="仿宋_GB2312"/>
        <charset val="134"/>
      </rPr>
      <t>开发完成后不动产总价</t>
    </r>
  </si>
  <si>
    <r>
      <rPr>
        <b/>
        <sz val="11"/>
        <color indexed="8"/>
        <rFont val="仿宋_GB2312"/>
        <charset val="134"/>
      </rPr>
      <t>序号</t>
    </r>
  </si>
  <si>
    <r>
      <rPr>
        <b/>
        <sz val="11"/>
        <color indexed="8"/>
        <rFont val="仿宋_GB2312"/>
        <charset val="134"/>
      </rPr>
      <t>项目名称</t>
    </r>
  </si>
  <si>
    <r>
      <rPr>
        <sz val="10"/>
        <color indexed="8"/>
        <rFont val="仿宋_GB2312"/>
        <charset val="134"/>
      </rPr>
      <t>楼面单价</t>
    </r>
  </si>
  <si>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</si>
  <si>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仿宋_GB2312"/>
        <charset val="134"/>
      </rPr>
      <t>总额</t>
    </r>
  </si>
  <si>
    <r>
      <rPr>
        <b/>
        <sz val="12"/>
        <color indexed="8"/>
        <rFont val="Arial"/>
        <family val="2"/>
      </rPr>
      <t>2 .</t>
    </r>
    <r>
      <rPr>
        <b/>
        <sz val="12"/>
        <color indexed="8"/>
        <rFont val="仿宋_GB2312"/>
        <charset val="134"/>
      </rPr>
      <t>扣减项</t>
    </r>
  </si>
  <si>
    <r>
      <rPr>
        <b/>
        <sz val="11"/>
        <color indexed="8"/>
        <rFont val="仿宋_GB2312"/>
        <charset val="134"/>
      </rPr>
      <t>总额</t>
    </r>
  </si>
  <si>
    <r>
      <rPr>
        <b/>
        <sz val="11"/>
        <color indexed="8"/>
        <rFont val="仿宋_GB2312"/>
        <charset val="134"/>
      </rPr>
      <t>面积</t>
    </r>
  </si>
  <si>
    <r>
      <rPr>
        <b/>
        <sz val="11"/>
        <color indexed="8"/>
        <rFont val="仿宋_GB2312"/>
        <charset val="134"/>
      </rPr>
      <t>单价</t>
    </r>
  </si>
  <si>
    <r>
      <rPr>
        <b/>
        <sz val="11"/>
        <color indexed="8"/>
        <rFont val="仿宋_GB2312"/>
        <charset val="134"/>
      </rPr>
      <t>相关系数</t>
    </r>
  </si>
  <si>
    <r>
      <rPr>
        <sz val="10"/>
        <color indexed="8"/>
        <rFont val="仿宋_GB2312"/>
        <charset val="134"/>
      </rPr>
      <t>建安费用</t>
    </r>
  </si>
  <si>
    <r>
      <rPr>
        <sz val="10"/>
        <color indexed="8"/>
        <rFont val="Arial"/>
        <family val="2"/>
      </rPr>
      <t>2）</t>
    </r>
  </si>
  <si>
    <r>
      <rPr>
        <sz val="10"/>
        <color indexed="8"/>
        <rFont val="仿宋_GB2312"/>
        <charset val="134"/>
      </rPr>
      <t>勘察设计和前期工程费</t>
    </r>
  </si>
  <si>
    <r>
      <rPr>
        <b/>
        <sz val="11"/>
        <color indexed="8"/>
        <rFont val="仿宋_GB2312"/>
        <charset val="134"/>
      </rPr>
      <t>以建安费用为基数计取</t>
    </r>
  </si>
  <si>
    <r>
      <rPr>
        <sz val="10"/>
        <color indexed="8"/>
        <rFont val="Arial"/>
        <family val="2"/>
      </rPr>
      <t>3）</t>
    </r>
  </si>
  <si>
    <r>
      <rPr>
        <sz val="10"/>
        <color indexed="8"/>
        <rFont val="仿宋_GB2312"/>
        <charset val="134"/>
      </rPr>
      <t>公共配套设施费用</t>
    </r>
  </si>
  <si>
    <r>
      <rPr>
        <b/>
        <sz val="11"/>
        <color indexed="8"/>
        <rFont val="仿宋_GB2312"/>
        <charset val="134"/>
      </rPr>
      <t>以住宅用房建安费用为基数计取</t>
    </r>
  </si>
  <si>
    <r>
      <rPr>
        <sz val="10"/>
        <color indexed="8"/>
        <rFont val="Arial"/>
        <family val="2"/>
      </rPr>
      <t>4）</t>
    </r>
  </si>
  <si>
    <r>
      <rPr>
        <sz val="10"/>
        <color indexed="8"/>
        <rFont val="仿宋_GB2312"/>
        <charset val="134"/>
      </rPr>
      <t>红线内市政费用</t>
    </r>
  </si>
  <si>
    <r>
      <rPr>
        <sz val="10"/>
        <color indexed="8"/>
        <rFont val="Arial"/>
        <family val="2"/>
      </rPr>
      <t>5）</t>
    </r>
  </si>
  <si>
    <r>
      <rPr>
        <sz val="10"/>
        <color indexed="8"/>
        <rFont val="仿宋_GB2312"/>
        <charset val="134"/>
      </rPr>
      <t>相关税费</t>
    </r>
  </si>
  <si>
    <r>
      <rPr>
        <sz val="10"/>
        <color indexed="8"/>
        <rFont val="仿宋_GB2312"/>
        <charset val="134"/>
      </rPr>
      <t>以建安费用为基数计取</t>
    </r>
  </si>
  <si>
    <r>
      <rPr>
        <b/>
        <sz val="11"/>
        <color indexed="8"/>
        <rFont val="宋体"/>
        <family val="3"/>
        <charset val="134"/>
      </rPr>
      <t>（</t>
    </r>
    <r>
      <rPr>
        <b/>
        <sz val="11"/>
        <color indexed="8"/>
        <rFont val="Arial"/>
        <family val="2"/>
      </rPr>
      <t>1</t>
    </r>
    <r>
      <rPr>
        <b/>
        <sz val="11"/>
        <color indexed="8"/>
        <rFont val="宋体"/>
        <family val="3"/>
        <charset val="134"/>
      </rPr>
      <t>）</t>
    </r>
  </si>
  <si>
    <r>
      <rPr>
        <b/>
        <sz val="11"/>
        <color indexed="8"/>
        <rFont val="仿宋_GB2312"/>
        <charset val="134"/>
      </rPr>
      <t>房屋建造成本</t>
    </r>
  </si>
  <si>
    <r>
      <rPr>
        <sz val="11"/>
        <color indexed="8"/>
        <rFont val="仿宋_GB2312"/>
        <charset val="134"/>
      </rPr>
      <t>前述</t>
    </r>
    <r>
      <rPr>
        <sz val="11"/>
        <color indexed="8"/>
        <rFont val="Arial"/>
        <family val="2"/>
      </rPr>
      <t>5</t>
    </r>
    <r>
      <rPr>
        <sz val="11"/>
        <color indexed="8"/>
        <rFont val="仿宋_GB2312"/>
        <charset val="134"/>
      </rPr>
      <t>项之和</t>
    </r>
  </si>
  <si>
    <r>
      <rPr>
        <b/>
        <sz val="11"/>
        <color indexed="8"/>
        <rFont val="宋体"/>
        <family val="3"/>
        <charset val="134"/>
      </rPr>
      <t>（</t>
    </r>
    <r>
      <rPr>
        <b/>
        <sz val="11"/>
        <color indexed="8"/>
        <rFont val="Arial"/>
        <family val="2"/>
      </rPr>
      <t>2）</t>
    </r>
  </si>
  <si>
    <r>
      <rPr>
        <b/>
        <sz val="11"/>
        <color indexed="8"/>
        <rFont val="仿宋_GB2312"/>
        <charset val="134"/>
      </rPr>
      <t>红线外市政费用（土地开发费用）</t>
    </r>
  </si>
  <si>
    <r>
      <rPr>
        <b/>
        <sz val="11"/>
        <color indexed="8"/>
        <rFont val="仿宋_GB2312"/>
        <charset val="134"/>
      </rPr>
      <t>按实际情况计取</t>
    </r>
  </si>
  <si>
    <r>
      <rPr>
        <b/>
        <sz val="11"/>
        <color indexed="8"/>
        <rFont val="宋体"/>
        <family val="3"/>
        <charset val="134"/>
      </rPr>
      <t>（</t>
    </r>
    <r>
      <rPr>
        <b/>
        <sz val="11"/>
        <color indexed="8"/>
        <rFont val="Arial"/>
        <family val="2"/>
      </rPr>
      <t>3）</t>
    </r>
  </si>
  <si>
    <r>
      <rPr>
        <b/>
        <sz val="11"/>
        <color indexed="8"/>
        <rFont val="仿宋_GB2312"/>
        <charset val="134"/>
      </rPr>
      <t>城市基础设施建设费（行政收费）</t>
    </r>
  </si>
  <si>
    <t>已部分缴纳</t>
  </si>
  <si>
    <t>万元</t>
  </si>
  <si>
    <r>
      <rPr>
        <sz val="10"/>
        <color indexed="8"/>
        <rFont val="仿宋_GB2312"/>
        <charset val="134"/>
      </rPr>
      <t>住宅</t>
    </r>
  </si>
  <si>
    <r>
      <rPr>
        <sz val="10"/>
        <color indexed="8"/>
        <rFont val="仿宋_GB2312"/>
        <charset val="134"/>
      </rPr>
      <t>非住宅</t>
    </r>
  </si>
  <si>
    <r>
      <rPr>
        <b/>
        <sz val="11"/>
        <color indexed="8"/>
        <rFont val="宋体"/>
        <family val="3"/>
        <charset val="134"/>
      </rPr>
      <t>（</t>
    </r>
    <r>
      <rPr>
        <b/>
        <sz val="11"/>
        <color indexed="8"/>
        <rFont val="Arial"/>
        <family val="2"/>
      </rPr>
      <t>4</t>
    </r>
    <r>
      <rPr>
        <b/>
        <sz val="11"/>
        <color indexed="8"/>
        <rFont val="宋体"/>
        <family val="3"/>
        <charset val="134"/>
      </rPr>
      <t>）</t>
    </r>
  </si>
  <si>
    <t>管理费用</t>
  </si>
  <si>
    <r>
      <rPr>
        <b/>
        <sz val="11"/>
        <color indexed="8"/>
        <rFont val="仿宋_GB2312"/>
        <charset val="134"/>
      </rPr>
      <t>以</t>
    </r>
    <r>
      <rPr>
        <b/>
        <sz val="11"/>
        <color indexed="8"/>
        <rFont val="Arial"/>
        <family val="2"/>
      </rPr>
      <t>“</t>
    </r>
    <r>
      <rPr>
        <b/>
        <sz val="11"/>
        <color indexed="8"/>
        <rFont val="仿宋_GB2312"/>
        <charset val="134"/>
      </rPr>
      <t>（1）-（3）</t>
    </r>
    <r>
      <rPr>
        <b/>
        <sz val="11"/>
        <color indexed="8"/>
        <rFont val="Arial"/>
        <family val="2"/>
      </rPr>
      <t>”</t>
    </r>
    <r>
      <rPr>
        <b/>
        <sz val="11"/>
        <color indexed="8"/>
        <rFont val="仿宋_GB2312"/>
        <charset val="134"/>
      </rPr>
      <t>为基数计算</t>
    </r>
  </si>
  <si>
    <r>
      <rPr>
        <b/>
        <sz val="11"/>
        <color indexed="8"/>
        <rFont val="宋体"/>
        <family val="3"/>
        <charset val="134"/>
      </rPr>
      <t>（</t>
    </r>
    <r>
      <rPr>
        <b/>
        <sz val="11"/>
        <color indexed="8"/>
        <rFont val="Arial"/>
        <family val="2"/>
      </rPr>
      <t>5）</t>
    </r>
  </si>
  <si>
    <r>
      <rPr>
        <b/>
        <sz val="10"/>
        <color indexed="8"/>
        <rFont val="楷体_GB2312"/>
        <charset val="134"/>
      </rPr>
      <t>销售费用</t>
    </r>
  </si>
  <si>
    <r>
      <rPr>
        <sz val="10"/>
        <color indexed="8"/>
        <rFont val="仿宋_GB2312"/>
        <charset val="134"/>
      </rPr>
      <t>以</t>
    </r>
    <r>
      <rPr>
        <sz val="10"/>
        <color indexed="8"/>
        <rFont val="Arial"/>
        <family val="2"/>
      </rPr>
      <t>“</t>
    </r>
    <r>
      <rPr>
        <sz val="10"/>
        <color indexed="8"/>
        <rFont val="仿宋_GB2312"/>
        <charset val="134"/>
      </rPr>
      <t>开发完成后不动产总价</t>
    </r>
    <r>
      <rPr>
        <sz val="10"/>
        <color indexed="8"/>
        <rFont val="Arial"/>
        <family val="2"/>
      </rPr>
      <t>“</t>
    </r>
    <r>
      <rPr>
        <sz val="10"/>
        <color indexed="8"/>
        <rFont val="仿宋_GB2312"/>
        <charset val="134"/>
      </rPr>
      <t>为基数计取</t>
    </r>
  </si>
  <si>
    <r>
      <rPr>
        <b/>
        <sz val="11"/>
        <color indexed="8"/>
        <rFont val="宋体"/>
        <family val="3"/>
        <charset val="134"/>
      </rPr>
      <t>（</t>
    </r>
    <r>
      <rPr>
        <b/>
        <sz val="11"/>
        <color indexed="8"/>
        <rFont val="Arial"/>
        <family val="2"/>
      </rPr>
      <t>6）</t>
    </r>
  </si>
  <si>
    <t>购地税费</t>
  </si>
  <si>
    <r>
      <rPr>
        <b/>
        <sz val="11"/>
        <color indexed="8"/>
        <rFont val="Arial"/>
        <family val="2"/>
      </rPr>
      <t>P</t>
    </r>
    <r>
      <rPr>
        <b/>
        <vertAlign val="subscript"/>
        <sz val="11"/>
        <color indexed="8"/>
        <rFont val="仿宋_GB2312"/>
        <charset val="134"/>
      </rPr>
      <t>土</t>
    </r>
  </si>
  <si>
    <t>以估价对象土地价格/(1+5%)为基数记取</t>
  </si>
  <si>
    <r>
      <rPr>
        <b/>
        <sz val="11"/>
        <color indexed="8"/>
        <rFont val="宋体"/>
        <family val="3"/>
        <charset val="134"/>
      </rPr>
      <t>（</t>
    </r>
    <r>
      <rPr>
        <b/>
        <sz val="11"/>
        <color indexed="8"/>
        <rFont val="Arial"/>
        <family val="2"/>
      </rPr>
      <t>7</t>
    </r>
    <r>
      <rPr>
        <b/>
        <sz val="11"/>
        <color indexed="8"/>
        <rFont val="宋体"/>
        <family val="3"/>
        <charset val="134"/>
      </rPr>
      <t>）</t>
    </r>
  </si>
  <si>
    <t>投资利息</t>
  </si>
  <si>
    <r>
      <rPr>
        <sz val="10"/>
        <color indexed="8"/>
        <rFont val="仿宋_GB2312"/>
        <charset val="134"/>
      </rPr>
      <t>土地购买价格及购地税费产生的利息</t>
    </r>
  </si>
  <si>
    <r>
      <rPr>
        <sz val="10"/>
        <color indexed="8"/>
        <rFont val="仿宋_GB2312"/>
        <charset val="134"/>
      </rPr>
      <t>（</t>
    </r>
    <r>
      <rPr>
        <sz val="10"/>
        <color indexed="8"/>
        <rFont val="Arial"/>
        <family val="2"/>
      </rPr>
      <t>1</t>
    </r>
    <r>
      <rPr>
        <sz val="10"/>
        <color indexed="8"/>
        <rFont val="仿宋_GB2312"/>
        <charset val="134"/>
      </rPr>
      <t>）</t>
    </r>
    <r>
      <rPr>
        <sz val="10"/>
        <color indexed="8"/>
        <rFont val="Arial"/>
        <family val="2"/>
      </rPr>
      <t>-</t>
    </r>
    <r>
      <rPr>
        <sz val="10"/>
        <color indexed="8"/>
        <rFont val="仿宋_GB2312"/>
        <charset val="134"/>
      </rPr>
      <t>（</t>
    </r>
    <r>
      <rPr>
        <sz val="10"/>
        <color indexed="8"/>
        <rFont val="Arial"/>
        <family val="2"/>
      </rPr>
      <t>5</t>
    </r>
    <r>
      <rPr>
        <sz val="10"/>
        <color indexed="8"/>
        <rFont val="仿宋_GB2312"/>
        <charset val="134"/>
      </rPr>
      <t>）项产生的利息</t>
    </r>
  </si>
  <si>
    <r>
      <rPr>
        <b/>
        <sz val="11"/>
        <color indexed="8"/>
        <rFont val="宋体"/>
        <family val="3"/>
        <charset val="134"/>
      </rPr>
      <t>（</t>
    </r>
    <r>
      <rPr>
        <b/>
        <sz val="11"/>
        <color indexed="8"/>
        <rFont val="Arial"/>
        <family val="2"/>
      </rPr>
      <t>8</t>
    </r>
    <r>
      <rPr>
        <b/>
        <sz val="11"/>
        <color indexed="8"/>
        <rFont val="宋体"/>
        <family val="3"/>
        <charset val="134"/>
      </rPr>
      <t>）</t>
    </r>
  </si>
  <si>
    <r>
      <rPr>
        <b/>
        <sz val="11"/>
        <color indexed="8"/>
        <rFont val="仿宋_GB2312"/>
        <charset val="134"/>
      </rPr>
      <t>销售税费</t>
    </r>
  </si>
  <si>
    <r>
      <rPr>
        <sz val="10"/>
        <color indexed="8"/>
        <rFont val="仿宋_GB2312"/>
        <charset val="134"/>
      </rPr>
      <t>以</t>
    </r>
    <r>
      <rPr>
        <sz val="10"/>
        <color indexed="8"/>
        <rFont val="Arial"/>
        <family val="2"/>
      </rPr>
      <t>“</t>
    </r>
    <r>
      <rPr>
        <sz val="10"/>
        <color indexed="8"/>
        <rFont val="仿宋_GB2312"/>
        <charset val="134"/>
      </rPr>
      <t>开发完成后不动产总价</t>
    </r>
    <r>
      <rPr>
        <sz val="10"/>
        <color indexed="8"/>
        <rFont val="Arial"/>
        <family val="2"/>
      </rPr>
      <t>/</t>
    </r>
    <r>
      <rPr>
        <sz val="10"/>
        <color indexed="8"/>
        <rFont val="仿宋_GB2312"/>
        <charset val="134"/>
      </rPr>
      <t>（</t>
    </r>
    <r>
      <rPr>
        <sz val="10"/>
        <color indexed="8"/>
        <rFont val="Arial"/>
        <family val="2"/>
      </rPr>
      <t>1+5%</t>
    </r>
    <r>
      <rPr>
        <sz val="10"/>
        <color indexed="8"/>
        <rFont val="仿宋_GB2312"/>
        <charset val="134"/>
      </rPr>
      <t>）</t>
    </r>
    <r>
      <rPr>
        <sz val="10"/>
        <color indexed="8"/>
        <rFont val="Arial"/>
        <family val="2"/>
      </rPr>
      <t>”</t>
    </r>
    <r>
      <rPr>
        <sz val="10"/>
        <color indexed="8"/>
        <rFont val="仿宋_GB2312"/>
        <charset val="134"/>
      </rPr>
      <t>为基数计取</t>
    </r>
  </si>
  <si>
    <r>
      <rPr>
        <b/>
        <sz val="11"/>
        <color indexed="8"/>
        <rFont val="宋体"/>
        <family val="3"/>
        <charset val="134"/>
      </rPr>
      <t>（</t>
    </r>
    <r>
      <rPr>
        <b/>
        <sz val="11"/>
        <color indexed="8"/>
        <rFont val="Arial"/>
        <family val="2"/>
      </rPr>
      <t>9</t>
    </r>
    <r>
      <rPr>
        <b/>
        <sz val="11"/>
        <color indexed="8"/>
        <rFont val="宋体"/>
        <family val="3"/>
        <charset val="134"/>
      </rPr>
      <t>）</t>
    </r>
  </si>
  <si>
    <r>
      <rPr>
        <b/>
        <sz val="11"/>
        <color indexed="8"/>
        <rFont val="仿宋_GB2312"/>
        <charset val="134"/>
      </rPr>
      <t>开发成本</t>
    </r>
  </si>
  <si>
    <t>前8项之和</t>
  </si>
  <si>
    <t>（10）</t>
  </si>
  <si>
    <t>投资利润</t>
  </si>
  <si>
    <r>
      <rPr>
        <sz val="10"/>
        <color indexed="8"/>
        <rFont val="仿宋_GB2312"/>
        <charset val="134"/>
      </rPr>
      <t>土地购买价格及购地税费应计的利润</t>
    </r>
  </si>
  <si>
    <r>
      <rPr>
        <sz val="10"/>
        <color indexed="8"/>
        <rFont val="仿宋_GB2312"/>
        <charset val="134"/>
      </rPr>
      <t>（</t>
    </r>
    <r>
      <rPr>
        <sz val="10"/>
        <color indexed="8"/>
        <rFont val="Arial"/>
        <family val="2"/>
      </rPr>
      <t>P+P*</t>
    </r>
    <r>
      <rPr>
        <sz val="10"/>
        <color indexed="8"/>
        <rFont val="仿宋_GB2312"/>
        <charset val="134"/>
      </rPr>
      <t>取得税费</t>
    </r>
    <r>
      <rPr>
        <sz val="10"/>
        <color indexed="8"/>
        <rFont val="Arial"/>
        <family val="2"/>
      </rPr>
      <t>/(1+5%)</t>
    </r>
    <r>
      <rPr>
        <sz val="10"/>
        <color indexed="8"/>
        <rFont val="仿宋_GB2312"/>
        <charset val="134"/>
      </rPr>
      <t>）</t>
    </r>
    <r>
      <rPr>
        <sz val="10"/>
        <color indexed="8"/>
        <rFont val="Arial"/>
        <family val="2"/>
      </rPr>
      <t>*</t>
    </r>
    <r>
      <rPr>
        <sz val="10"/>
        <color indexed="8"/>
        <rFont val="仿宋_GB2312"/>
        <charset val="134"/>
      </rPr>
      <t>利润率</t>
    </r>
  </si>
  <si>
    <t>（1）-（5）项及销售费用产生的利息</t>
  </si>
  <si>
    <r>
      <rPr>
        <b/>
        <sz val="11"/>
        <color indexed="8"/>
        <rFont val="Arial"/>
        <family val="2"/>
      </rPr>
      <t>3 .</t>
    </r>
    <r>
      <rPr>
        <b/>
        <sz val="11"/>
        <color indexed="8"/>
        <rFont val="仿宋_GB2312"/>
        <charset val="134"/>
      </rPr>
      <t>土地价格</t>
    </r>
  </si>
  <si>
    <r>
      <rPr>
        <b/>
        <sz val="12"/>
        <color indexed="8"/>
        <rFont val="仿宋_GB2312"/>
        <charset val="134"/>
      </rPr>
      <t>开发完成后的不动产总价</t>
    </r>
    <r>
      <rPr>
        <b/>
        <sz val="12"/>
        <color indexed="8"/>
        <rFont val="Arial"/>
        <family val="2"/>
      </rPr>
      <t>(1)-</t>
    </r>
    <r>
      <rPr>
        <b/>
        <sz val="12"/>
        <color indexed="8"/>
        <rFont val="仿宋_GB2312"/>
        <charset val="134"/>
      </rPr>
      <t>开发成本</t>
    </r>
    <r>
      <rPr>
        <b/>
        <sz val="12"/>
        <color indexed="8"/>
        <rFont val="Arial"/>
        <family val="2"/>
      </rPr>
      <t>(9)-</t>
    </r>
    <r>
      <rPr>
        <b/>
        <sz val="12"/>
        <color indexed="8"/>
        <rFont val="仿宋_GB2312"/>
        <charset val="134"/>
      </rPr>
      <t>利润</t>
    </r>
    <r>
      <rPr>
        <b/>
        <sz val="12"/>
        <color indexed="8"/>
        <rFont val="Arial"/>
        <family val="2"/>
      </rPr>
      <t>(10)</t>
    </r>
  </si>
  <si>
    <r>
      <rPr>
        <b/>
        <sz val="12"/>
        <color indexed="8"/>
        <rFont val="Arial"/>
        <family val="2"/>
      </rPr>
      <t>1 .</t>
    </r>
    <r>
      <rPr>
        <b/>
        <sz val="12"/>
        <color indexed="8"/>
        <rFont val="仿宋_GB2312"/>
        <charset val="134"/>
      </rPr>
      <t>不动产总价</t>
    </r>
  </si>
  <si>
    <r>
      <rPr>
        <b/>
        <sz val="12"/>
        <color indexed="8"/>
        <rFont val="Arial"/>
        <family val="2"/>
      </rPr>
      <t xml:space="preserve">2. </t>
    </r>
    <r>
      <rPr>
        <b/>
        <sz val="12"/>
        <color indexed="8"/>
        <rFont val="仿宋_GB2312"/>
        <charset val="134"/>
      </rPr>
      <t>房屋现值</t>
    </r>
  </si>
  <si>
    <r>
      <rPr>
        <b/>
        <sz val="10"/>
        <rFont val="仿宋_GB2312"/>
        <charset val="134"/>
      </rPr>
      <t>前述</t>
    </r>
    <r>
      <rPr>
        <b/>
        <sz val="10"/>
        <rFont val="Arial"/>
        <family val="2"/>
      </rPr>
      <t>5</t>
    </r>
    <r>
      <rPr>
        <b/>
        <sz val="10"/>
        <rFont val="仿宋_GB2312"/>
        <charset val="134"/>
      </rPr>
      <t>项之和</t>
    </r>
  </si>
  <si>
    <r>
      <rPr>
        <b/>
        <sz val="11"/>
        <color indexed="8"/>
        <rFont val="仿宋_GB2312"/>
        <charset val="134"/>
      </rPr>
      <t>管理费用</t>
    </r>
  </si>
  <si>
    <r>
      <rPr>
        <b/>
        <sz val="11"/>
        <color indexed="8"/>
        <rFont val="仿宋_GB2312"/>
        <charset val="134"/>
      </rPr>
      <t>以建造成本为基数计取</t>
    </r>
  </si>
  <si>
    <r>
      <rPr>
        <b/>
        <sz val="11"/>
        <color indexed="8"/>
        <rFont val="仿宋_GB2312"/>
        <charset val="134"/>
      </rPr>
      <t>投资利息</t>
    </r>
  </si>
  <si>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</si>
  <si>
    <r>
      <rPr>
        <b/>
        <sz val="11"/>
        <color indexed="8"/>
        <rFont val="宋体"/>
        <family val="3"/>
        <charset val="134"/>
      </rPr>
      <t>（</t>
    </r>
    <r>
      <rPr>
        <b/>
        <sz val="11"/>
        <color indexed="8"/>
        <rFont val="Arial"/>
        <family val="2"/>
      </rPr>
      <t>4）</t>
    </r>
  </si>
  <si>
    <r>
      <rPr>
        <b/>
        <sz val="11"/>
        <color indexed="8"/>
        <rFont val="仿宋_GB2312"/>
        <charset val="134"/>
      </rPr>
      <t>成新率</t>
    </r>
  </si>
  <si>
    <t>重置成新价(不含税）</t>
  </si>
  <si>
    <r>
      <rPr>
        <b/>
        <sz val="11"/>
        <color theme="1"/>
        <rFont val="Arial"/>
        <family val="2"/>
      </rPr>
      <t>3 .</t>
    </r>
    <r>
      <rPr>
        <b/>
        <sz val="11"/>
        <color indexed="8"/>
        <rFont val="仿宋_GB2312"/>
        <charset val="134"/>
      </rPr>
      <t>交易税费</t>
    </r>
  </si>
  <si>
    <t>4.销售费用</t>
  </si>
  <si>
    <t>5.购地税费</t>
  </si>
  <si>
    <r>
      <rPr>
        <b/>
        <sz val="11"/>
        <color indexed="8"/>
        <rFont val="Arial"/>
        <family val="2"/>
      </rPr>
      <t xml:space="preserve">6. </t>
    </r>
    <r>
      <rPr>
        <b/>
        <sz val="11"/>
        <color indexed="8"/>
        <rFont val="仿宋_GB2312"/>
        <charset val="134"/>
      </rPr>
      <t>土地价格</t>
    </r>
  </si>
  <si>
    <t>(1-2-3)/[(1+（(1+利率）^建设期-1）+利润）*（1+契税及印花税率）]</t>
  </si>
  <si>
    <r>
      <rPr>
        <b/>
        <sz val="16"/>
        <color indexed="10"/>
        <rFont val="仿宋_GB2312"/>
        <charset val="134"/>
      </rPr>
      <t>套用比较法</t>
    </r>
  </si>
  <si>
    <r>
      <rPr>
        <b/>
        <sz val="16"/>
        <rFont val="仿宋_GB2312"/>
        <charset val="134"/>
      </rPr>
      <t>住宅、综合</t>
    </r>
  </si>
  <si>
    <r>
      <rPr>
        <b/>
        <sz val="14"/>
        <color indexed="10"/>
        <rFont val="仿宋_GB2312"/>
        <charset val="134"/>
      </rPr>
      <t>录入顺序：主表的空白区域</t>
    </r>
    <r>
      <rPr>
        <b/>
        <sz val="14"/>
        <color indexed="10"/>
        <rFont val="Arial"/>
        <family val="2"/>
      </rPr>
      <t>-</t>
    </r>
    <r>
      <rPr>
        <b/>
        <sz val="14"/>
        <color indexed="10"/>
        <rFont val="仿宋_GB2312"/>
        <charset val="134"/>
      </rPr>
      <t>因素表空白区域</t>
    </r>
    <r>
      <rPr>
        <b/>
        <sz val="14"/>
        <color indexed="10"/>
        <rFont val="Arial"/>
        <family val="2"/>
      </rPr>
      <t>-</t>
    </r>
    <r>
      <rPr>
        <b/>
        <sz val="14"/>
        <color indexed="10"/>
        <rFont val="仿宋_GB2312"/>
        <charset val="134"/>
      </rPr>
      <t>主表黄色选项区域</t>
    </r>
    <r>
      <rPr>
        <b/>
        <sz val="14"/>
        <color indexed="10"/>
        <rFont val="Arial"/>
        <family val="2"/>
      </rPr>
      <t>-</t>
    </r>
    <r>
      <rPr>
        <b/>
        <sz val="14"/>
        <color indexed="10"/>
        <rFont val="仿宋_GB2312"/>
        <charset val="134"/>
      </rPr>
      <t>调节修正幅度</t>
    </r>
    <r>
      <rPr>
        <b/>
        <sz val="14"/>
        <color indexed="10"/>
        <rFont val="Arial"/>
        <family val="2"/>
      </rPr>
      <t>-</t>
    </r>
    <r>
      <rPr>
        <b/>
        <sz val="14"/>
        <color indexed="10"/>
        <rFont val="仿宋_GB2312"/>
        <charset val="134"/>
      </rPr>
      <t>完成</t>
    </r>
  </si>
  <si>
    <r>
      <rPr>
        <b/>
        <sz val="12"/>
        <rFont val="仿宋_GB2312"/>
        <charset val="134"/>
      </rPr>
      <t>单位面积地价</t>
    </r>
  </si>
  <si>
    <r>
      <rPr>
        <b/>
        <sz val="11"/>
        <rFont val="仿宋_GB2312"/>
        <charset val="134"/>
      </rPr>
      <t>比较因素</t>
    </r>
  </si>
  <si>
    <r>
      <rPr>
        <sz val="11"/>
        <rFont val="仿宋_GB2312"/>
        <charset val="134"/>
      </rPr>
      <t>估价对象</t>
    </r>
  </si>
  <si>
    <r>
      <rPr>
        <sz val="11"/>
        <rFont val="仿宋_GB2312"/>
        <charset val="134"/>
      </rPr>
      <t>案例</t>
    </r>
    <r>
      <rPr>
        <sz val="11"/>
        <rFont val="Arial"/>
        <family val="2"/>
      </rPr>
      <t>A</t>
    </r>
  </si>
  <si>
    <r>
      <rPr>
        <sz val="11"/>
        <rFont val="仿宋_GB2312"/>
        <charset val="134"/>
      </rPr>
      <t>案例</t>
    </r>
    <r>
      <rPr>
        <sz val="11"/>
        <rFont val="Arial"/>
        <family val="2"/>
      </rPr>
      <t>B</t>
    </r>
  </si>
  <si>
    <r>
      <rPr>
        <sz val="11"/>
        <rFont val="仿宋_GB2312"/>
        <charset val="134"/>
      </rPr>
      <t>案例</t>
    </r>
    <r>
      <rPr>
        <sz val="11"/>
        <rFont val="Arial"/>
        <family val="2"/>
      </rPr>
      <t>C</t>
    </r>
  </si>
  <si>
    <r>
      <rPr>
        <sz val="11"/>
        <color indexed="8"/>
        <rFont val="仿宋_GB2312"/>
        <charset val="134"/>
      </rPr>
      <t>修正幅度</t>
    </r>
  </si>
  <si>
    <r>
      <rPr>
        <sz val="11"/>
        <rFont val="仿宋_GB2312"/>
        <charset val="134"/>
      </rPr>
      <t>比较因素</t>
    </r>
  </si>
  <si>
    <r>
      <rPr>
        <sz val="11"/>
        <color theme="9" tint="-0.249977111117893"/>
        <rFont val="仿宋_GB2312"/>
        <charset val="134"/>
      </rPr>
      <t>估价对象名称</t>
    </r>
  </si>
  <si>
    <r>
      <rPr>
        <sz val="11"/>
        <color theme="9" tint="-0.249977111117893"/>
        <rFont val="仿宋_GB2312"/>
        <charset val="134"/>
      </rPr>
      <t>案例</t>
    </r>
    <r>
      <rPr>
        <sz val="11"/>
        <color theme="9" tint="-0.249977111117893"/>
        <rFont val="Arial"/>
        <family val="2"/>
      </rPr>
      <t>A</t>
    </r>
    <r>
      <rPr>
        <sz val="11"/>
        <color theme="9" tint="-0.249977111117893"/>
        <rFont val="仿宋_GB2312"/>
        <charset val="134"/>
      </rPr>
      <t>名称</t>
    </r>
  </si>
  <si>
    <r>
      <rPr>
        <sz val="11"/>
        <color theme="9" tint="-0.249977111117893"/>
        <rFont val="仿宋_GB2312"/>
        <charset val="134"/>
      </rPr>
      <t>案例</t>
    </r>
    <r>
      <rPr>
        <sz val="11"/>
        <color theme="9" tint="-0.249977111117893"/>
        <rFont val="Arial"/>
        <family val="2"/>
      </rPr>
      <t>B</t>
    </r>
    <r>
      <rPr>
        <sz val="11"/>
        <color theme="9" tint="-0.249977111117893"/>
        <rFont val="仿宋_GB2312"/>
        <charset val="134"/>
      </rPr>
      <t>名称</t>
    </r>
  </si>
  <si>
    <r>
      <rPr>
        <sz val="11"/>
        <color theme="9" tint="-0.249977111117893"/>
        <rFont val="仿宋_GB2312"/>
        <charset val="134"/>
      </rPr>
      <t>案例</t>
    </r>
    <r>
      <rPr>
        <sz val="11"/>
        <color theme="9" tint="-0.249977111117893"/>
        <rFont val="Arial"/>
        <family val="2"/>
      </rPr>
      <t>C</t>
    </r>
    <r>
      <rPr>
        <sz val="11"/>
        <color theme="9" tint="-0.249977111117893"/>
        <rFont val="仿宋_GB2312"/>
        <charset val="134"/>
      </rPr>
      <t>名称</t>
    </r>
  </si>
  <si>
    <r>
      <rPr>
        <sz val="11"/>
        <color theme="9" tint="-0.249977111117893"/>
        <rFont val="仿宋_GB2312"/>
        <charset val="134"/>
      </rPr>
      <t>项目位置</t>
    </r>
  </si>
  <si>
    <r>
      <rPr>
        <sz val="11"/>
        <color indexed="8"/>
        <rFont val="仿宋_GB2312"/>
        <charset val="134"/>
      </rPr>
      <t>系数</t>
    </r>
    <r>
      <rPr>
        <sz val="11"/>
        <color indexed="8"/>
        <rFont val="Arial"/>
        <family val="2"/>
      </rPr>
      <t>%</t>
    </r>
  </si>
  <si>
    <r>
      <rPr>
        <b/>
        <sz val="11"/>
        <color indexed="8"/>
        <rFont val="仿宋_GB2312"/>
        <charset val="134"/>
      </rPr>
      <t>交易时间</t>
    </r>
  </si>
  <si>
    <r>
      <rPr>
        <sz val="11"/>
        <color indexed="8"/>
        <rFont val="仿宋_GB2312"/>
        <charset val="134"/>
      </rPr>
      <t>交易时间</t>
    </r>
  </si>
  <si>
    <t>100/</t>
  </si>
  <si>
    <r>
      <rPr>
        <b/>
        <sz val="11"/>
        <color indexed="8"/>
        <rFont val="仿宋_GB2312"/>
        <charset val="134"/>
      </rPr>
      <t>交易情况</t>
    </r>
  </si>
  <si>
    <r>
      <rPr>
        <sz val="11"/>
        <color indexed="8"/>
        <rFont val="仿宋_GB2312"/>
        <charset val="134"/>
      </rPr>
      <t>正常</t>
    </r>
  </si>
  <si>
    <r>
      <rPr>
        <sz val="11"/>
        <color indexed="8"/>
        <rFont val="仿宋_GB2312"/>
        <charset val="134"/>
      </rPr>
      <t>交易情况</t>
    </r>
  </si>
  <si>
    <r>
      <rPr>
        <b/>
        <sz val="11"/>
        <color indexed="8"/>
        <rFont val="仿宋_GB2312"/>
        <charset val="134"/>
      </rPr>
      <t>用途</t>
    </r>
  </si>
  <si>
    <r>
      <rPr>
        <sz val="11"/>
        <rFont val="仿宋_GB2312"/>
        <charset val="134"/>
      </rPr>
      <t>权益状况</t>
    </r>
  </si>
  <si>
    <r>
      <rPr>
        <sz val="11"/>
        <color indexed="8"/>
        <rFont val="仿宋_GB2312"/>
        <charset val="134"/>
      </rPr>
      <t>权益状况</t>
    </r>
  </si>
  <si>
    <r>
      <rPr>
        <b/>
        <sz val="11"/>
        <color indexed="8"/>
        <rFont val="仿宋_GB2312"/>
        <charset val="134"/>
      </rPr>
      <t>土地使用年限（年）</t>
    </r>
  </si>
  <si>
    <r>
      <rPr>
        <b/>
        <sz val="11"/>
        <color indexed="8"/>
        <rFont val="仿宋_GB2312"/>
        <charset val="134"/>
      </rPr>
      <t>容积率</t>
    </r>
  </si>
  <si>
    <r>
      <rPr>
        <b/>
        <sz val="11"/>
        <color indexed="8"/>
        <rFont val="仿宋_GB2312"/>
        <charset val="134"/>
      </rPr>
      <t>配建</t>
    </r>
  </si>
  <si>
    <t>区域因素</t>
  </si>
  <si>
    <r>
      <rPr>
        <sz val="11"/>
        <rFont val="仿宋_GB2312"/>
        <charset val="134"/>
      </rPr>
      <t>区位状况</t>
    </r>
  </si>
  <si>
    <r>
      <rPr>
        <sz val="11"/>
        <color indexed="8"/>
        <rFont val="仿宋_GB2312"/>
        <charset val="134"/>
      </rPr>
      <t>自然及人文环境状况</t>
    </r>
  </si>
  <si>
    <r>
      <rPr>
        <sz val="11"/>
        <color indexed="8"/>
        <rFont val="仿宋_GB2312"/>
        <charset val="134"/>
      </rPr>
      <t>毗邻道路的类型与等级</t>
    </r>
  </si>
  <si>
    <r>
      <rPr>
        <sz val="11"/>
        <color indexed="8"/>
        <rFont val="仿宋_GB2312"/>
        <charset val="134"/>
      </rPr>
      <t>土地级别</t>
    </r>
  </si>
  <si>
    <r>
      <rPr>
        <sz val="11"/>
        <rFont val="仿宋_GB2312"/>
        <charset val="134"/>
      </rPr>
      <t>实物状况</t>
    </r>
  </si>
  <si>
    <t>个别因素</t>
  </si>
  <si>
    <r>
      <rPr>
        <sz val="11"/>
        <color indexed="8"/>
        <rFont val="仿宋_GB2312"/>
        <charset val="134"/>
      </rPr>
      <t>宗地面积</t>
    </r>
  </si>
  <si>
    <r>
      <rPr>
        <sz val="11"/>
        <color indexed="8"/>
        <rFont val="仿宋_GB2312"/>
        <charset val="134"/>
      </rPr>
      <t>宗地形状</t>
    </r>
  </si>
  <si>
    <r>
      <rPr>
        <sz val="11"/>
        <color indexed="8"/>
        <rFont val="仿宋_GB2312"/>
        <charset val="134"/>
      </rPr>
      <t>临街宽度及深度</t>
    </r>
  </si>
  <si>
    <t>宗地开发程度</t>
  </si>
  <si>
    <r>
      <rPr>
        <sz val="11"/>
        <color indexed="8"/>
        <rFont val="仿宋_GB2312"/>
        <charset val="134"/>
      </rPr>
      <t>工程地质条件</t>
    </r>
  </si>
  <si>
    <r>
      <rPr>
        <b/>
        <sz val="11"/>
        <rFont val="仿宋_GB2312"/>
        <charset val="134"/>
      </rPr>
      <t>成交单价</t>
    </r>
  </si>
  <si>
    <t>单价内涵</t>
  </si>
  <si>
    <r>
      <rPr>
        <b/>
        <sz val="11"/>
        <rFont val="仿宋_GB2312"/>
        <charset val="134"/>
      </rPr>
      <t>比较价格（元</t>
    </r>
    <r>
      <rPr>
        <b/>
        <sz val="11"/>
        <rFont val="Arial"/>
        <family val="2"/>
      </rPr>
      <t>/</t>
    </r>
    <r>
      <rPr>
        <b/>
        <sz val="11"/>
        <rFont val="仿宋_GB2312"/>
        <charset val="134"/>
      </rPr>
      <t>平方米）</t>
    </r>
  </si>
  <si>
    <t>简单平均</t>
  </si>
  <si>
    <r>
      <rPr>
        <b/>
        <sz val="11"/>
        <rFont val="仿宋_GB2312"/>
        <charset val="134"/>
      </rPr>
      <t>估价对象</t>
    </r>
    <r>
      <rPr>
        <b/>
        <sz val="11"/>
        <color theme="9" tint="-0.249977111117893"/>
        <rFont val="Arial"/>
        <family val="2"/>
      </rPr>
      <t>XX</t>
    </r>
    <r>
      <rPr>
        <b/>
        <sz val="11"/>
        <color theme="9" tint="-0.249977111117893"/>
        <rFont val="仿宋_GB2312"/>
        <charset val="134"/>
      </rPr>
      <t>用房的</t>
    </r>
    <r>
      <rPr>
        <b/>
        <sz val="11"/>
        <rFont val="仿宋_GB2312"/>
        <charset val="134"/>
      </rPr>
      <t>比较价格（楼面单价，元</t>
    </r>
    <r>
      <rPr>
        <b/>
        <sz val="11"/>
        <rFont val="Arial"/>
        <family val="2"/>
      </rPr>
      <t>/</t>
    </r>
    <r>
      <rPr>
        <b/>
        <sz val="11"/>
        <rFont val="仿宋_GB2312"/>
        <charset val="134"/>
      </rPr>
      <t>平方米）</t>
    </r>
  </si>
  <si>
    <r>
      <rPr>
        <b/>
        <sz val="11"/>
        <rFont val="仿宋_GB2312"/>
        <charset val="134"/>
      </rPr>
      <t>总修正幅度不超过</t>
    </r>
    <r>
      <rPr>
        <b/>
        <sz val="11"/>
        <color indexed="10"/>
        <rFont val="Arial"/>
        <family val="2"/>
      </rPr>
      <t>30%</t>
    </r>
  </si>
  <si>
    <r>
      <rPr>
        <b/>
        <sz val="11"/>
        <rFont val="仿宋_GB2312"/>
        <charset val="134"/>
      </rPr>
      <t>各修正结果之间不超过</t>
    </r>
    <r>
      <rPr>
        <b/>
        <sz val="11"/>
        <color indexed="10"/>
        <rFont val="Arial"/>
        <family val="2"/>
      </rPr>
      <t>20%</t>
    </r>
  </si>
  <si>
    <r>
      <rPr>
        <b/>
        <sz val="11"/>
        <rFont val="仿宋_GB2312"/>
        <charset val="134"/>
      </rPr>
      <t>各案例间不超过</t>
    </r>
    <r>
      <rPr>
        <b/>
        <sz val="11"/>
        <color indexed="10"/>
        <rFont val="Arial"/>
        <family val="2"/>
      </rPr>
      <t>30%</t>
    </r>
  </si>
  <si>
    <r>
      <rPr>
        <sz val="11"/>
        <rFont val="仿宋_GB2312"/>
        <charset val="134"/>
      </rPr>
      <t>用途</t>
    </r>
    <r>
      <rPr>
        <sz val="11"/>
        <rFont val="Arial"/>
        <family val="2"/>
      </rPr>
      <t>/</t>
    </r>
    <r>
      <rPr>
        <sz val="11"/>
        <rFont val="仿宋_GB2312"/>
        <charset val="134"/>
      </rPr>
      <t>位置</t>
    </r>
  </si>
  <si>
    <r>
      <rPr>
        <sz val="11"/>
        <rFont val="仿宋_GB2312"/>
        <charset val="134"/>
      </rPr>
      <t>修正单价</t>
    </r>
  </si>
  <si>
    <t>北京市系数</t>
  </si>
  <si>
    <t>政府土地出让收益比例</t>
  </si>
  <si>
    <r>
      <rPr>
        <sz val="11"/>
        <rFont val="仿宋_GB2312"/>
        <charset val="134"/>
      </rPr>
      <t>建筑面积</t>
    </r>
  </si>
  <si>
    <r>
      <rPr>
        <sz val="11"/>
        <rFont val="仿宋_GB2312"/>
        <charset val="134"/>
      </rPr>
      <t>总价</t>
    </r>
  </si>
  <si>
    <t>对应的地上用途及土地级别（北京市）</t>
  </si>
  <si>
    <t>外省市地下修正系数请自行录入</t>
  </si>
  <si>
    <r>
      <rPr>
        <sz val="10"/>
        <rFont val="仿宋_GB2312"/>
        <charset val="134"/>
      </rPr>
      <t>地上</t>
    </r>
  </si>
  <si>
    <r>
      <rPr>
        <sz val="10"/>
        <rFont val="仿宋_GB2312"/>
        <charset val="134"/>
      </rPr>
      <t>地下商业（</t>
    </r>
    <r>
      <rPr>
        <sz val="10"/>
        <rFont val="Arial"/>
        <family val="2"/>
      </rPr>
      <t>-1</t>
    </r>
    <r>
      <rPr>
        <sz val="10"/>
        <rFont val="仿宋_GB2312"/>
        <charset val="134"/>
      </rPr>
      <t>）</t>
    </r>
  </si>
  <si>
    <t>对应商业级别</t>
  </si>
  <si>
    <r>
      <rPr>
        <sz val="10"/>
        <rFont val="仿宋_GB2312"/>
        <charset val="134"/>
      </rPr>
      <t>地下商业（</t>
    </r>
    <r>
      <rPr>
        <sz val="10"/>
        <rFont val="Arial"/>
        <family val="2"/>
      </rPr>
      <t>-2</t>
    </r>
    <r>
      <rPr>
        <sz val="10"/>
        <rFont val="仿宋_GB2312"/>
        <charset val="134"/>
      </rPr>
      <t>）</t>
    </r>
  </si>
  <si>
    <r>
      <rPr>
        <sz val="10"/>
        <rFont val="仿宋_GB2312"/>
        <charset val="134"/>
      </rPr>
      <t>地下商业（</t>
    </r>
    <r>
      <rPr>
        <sz val="10"/>
        <rFont val="Arial"/>
        <family val="2"/>
      </rPr>
      <t>-3</t>
    </r>
    <r>
      <rPr>
        <sz val="10"/>
        <rFont val="仿宋_GB2312"/>
        <charset val="134"/>
      </rPr>
      <t>）</t>
    </r>
  </si>
  <si>
    <t>对应办公级别</t>
  </si>
  <si>
    <r>
      <rPr>
        <sz val="10"/>
        <rFont val="仿宋_GB2312"/>
        <charset val="134"/>
      </rPr>
      <t>地下仓储</t>
    </r>
  </si>
  <si>
    <r>
      <rPr>
        <sz val="10"/>
        <rFont val="仿宋_GB2312"/>
        <charset val="134"/>
      </rPr>
      <t>地下车库</t>
    </r>
  </si>
  <si>
    <r>
      <rPr>
        <sz val="10"/>
        <rFont val="仿宋_GB2312"/>
        <charset val="134"/>
      </rPr>
      <t>地下车库</t>
    </r>
    <r>
      <rPr>
        <sz val="10"/>
        <rFont val="Arial"/>
        <family val="2"/>
      </rPr>
      <t>-</t>
    </r>
    <r>
      <rPr>
        <sz val="10"/>
        <rFont val="仿宋_GB2312"/>
        <charset val="134"/>
      </rPr>
      <t>商业</t>
    </r>
  </si>
  <si>
    <r>
      <rPr>
        <sz val="10"/>
        <rFont val="仿宋_GB2312"/>
        <charset val="134"/>
      </rPr>
      <t>地下车库</t>
    </r>
    <r>
      <rPr>
        <sz val="10"/>
        <rFont val="Arial"/>
        <family val="2"/>
      </rPr>
      <t>-</t>
    </r>
    <r>
      <rPr>
        <sz val="10"/>
        <rFont val="仿宋_GB2312"/>
        <charset val="134"/>
      </rPr>
      <t>办公</t>
    </r>
  </si>
  <si>
    <r>
      <rPr>
        <b/>
        <sz val="10"/>
        <rFont val="仿宋_GB2312"/>
        <charset val="134"/>
      </rPr>
      <t>土地购买价格</t>
    </r>
  </si>
  <si>
    <t>-</t>
  </si>
  <si>
    <r>
      <rPr>
        <b/>
        <sz val="16"/>
        <color indexed="8"/>
        <rFont val="仿宋_GB2312"/>
        <charset val="134"/>
      </rPr>
      <t>各因素等级说明（</t>
    </r>
    <r>
      <rPr>
        <b/>
        <sz val="16"/>
        <color indexed="10"/>
        <rFont val="仿宋_GB2312"/>
        <charset val="134"/>
      </rPr>
      <t>手工录入的系数取值除建筑面积外，均应自高至低排序</t>
    </r>
    <r>
      <rPr>
        <b/>
        <sz val="16"/>
        <color indexed="8"/>
        <rFont val="仿宋_GB2312"/>
        <charset val="134"/>
      </rPr>
      <t>）</t>
    </r>
  </si>
  <si>
    <t>交易时间（按季度修正）</t>
  </si>
  <si>
    <t>综合</t>
  </si>
  <si>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</si>
  <si>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仿宋_GB2312"/>
        <charset val="134"/>
      </rPr>
      <t>权益状况</t>
    </r>
  </si>
  <si>
    <r>
      <rPr>
        <sz val="11"/>
        <color indexed="8"/>
        <rFont val="仿宋_GB2312"/>
        <charset val="134"/>
      </rPr>
      <t>用途</t>
    </r>
  </si>
  <si>
    <r>
      <rPr>
        <sz val="11"/>
        <color indexed="8"/>
        <rFont val="仿宋_GB2312"/>
        <charset val="134"/>
      </rPr>
      <t>土地使用年限（年）</t>
    </r>
  </si>
  <si>
    <r>
      <rPr>
        <sz val="11"/>
        <color indexed="8"/>
        <rFont val="仿宋_GB2312"/>
        <charset val="134"/>
      </rPr>
      <t>容积率</t>
    </r>
  </si>
  <si>
    <r>
      <rPr>
        <b/>
        <sz val="11"/>
        <rFont val="仿宋_GB2312"/>
        <charset val="134"/>
      </rPr>
      <t>区位状况</t>
    </r>
  </si>
  <si>
    <r>
      <rPr>
        <sz val="11"/>
        <rFont val="仿宋_GB2312"/>
        <charset val="134"/>
      </rPr>
      <t>多面临街</t>
    </r>
  </si>
  <si>
    <r>
      <rPr>
        <sz val="11"/>
        <rFont val="仿宋_GB2312"/>
        <charset val="134"/>
      </rPr>
      <t>双面临街</t>
    </r>
  </si>
  <si>
    <r>
      <rPr>
        <sz val="11"/>
        <rFont val="仿宋_GB2312"/>
        <charset val="134"/>
      </rPr>
      <t>单面临街</t>
    </r>
  </si>
  <si>
    <r>
      <rPr>
        <sz val="11"/>
        <rFont val="仿宋_GB2312"/>
        <charset val="134"/>
      </rPr>
      <t>不临街</t>
    </r>
  </si>
  <si>
    <r>
      <rPr>
        <b/>
        <sz val="11"/>
        <rFont val="仿宋_GB2312"/>
        <charset val="134"/>
      </rPr>
      <t>实物状况</t>
    </r>
  </si>
  <si>
    <r>
      <rPr>
        <b/>
        <sz val="16"/>
        <rFont val="仿宋_GB2312"/>
        <charset val="134"/>
      </rPr>
      <t>工业</t>
    </r>
  </si>
  <si>
    <t>正常</t>
  </si>
  <si>
    <r>
      <rPr>
        <sz val="11"/>
        <color indexed="8"/>
        <rFont val="仿宋_GB2312"/>
        <charset val="134"/>
      </rPr>
      <t>环境状况</t>
    </r>
  </si>
  <si>
    <t>单位面积地价</t>
  </si>
  <si>
    <t>交易时间（按季度调整）</t>
  </si>
  <si>
    <r>
      <rPr>
        <b/>
        <sz val="11"/>
        <color indexed="8"/>
        <rFont val="仿宋_GB2312"/>
        <charset val="134"/>
      </rPr>
      <t>官方公布的价格指数</t>
    </r>
    <r>
      <rPr>
        <b/>
        <sz val="11"/>
        <color indexed="8"/>
        <rFont val="Arial"/>
        <family val="2"/>
      </rPr>
      <t>/</t>
    </r>
    <r>
      <rPr>
        <b/>
        <sz val="11"/>
        <color indexed="8"/>
        <rFont val="仿宋_GB2312"/>
        <charset val="134"/>
      </rPr>
      <t>增幅</t>
    </r>
  </si>
  <si>
    <r>
      <rPr>
        <b/>
        <sz val="16"/>
        <color indexed="10"/>
        <rFont val="仿宋_GB2312"/>
        <charset val="134"/>
      </rPr>
      <t>基准地价系数修正法</t>
    </r>
  </si>
  <si>
    <r>
      <rPr>
        <sz val="11"/>
        <color indexed="8"/>
        <rFont val="宋体"/>
        <family val="3"/>
        <charset val="134"/>
      </rPr>
      <t>一级</t>
    </r>
  </si>
  <si>
    <t>商业多楼层</t>
  </si>
  <si>
    <t>楼层修正系数</t>
  </si>
  <si>
    <t>楼面熟地单价</t>
  </si>
  <si>
    <t>层面积</t>
  </si>
  <si>
    <t>总价</t>
  </si>
  <si>
    <r>
      <rPr>
        <sz val="11"/>
        <color indexed="8"/>
        <rFont val="宋体"/>
        <family val="3"/>
        <charset val="134"/>
      </rPr>
      <t>二级</t>
    </r>
  </si>
  <si>
    <t>元/平方米</t>
  </si>
  <si>
    <t>用途类别</t>
  </si>
  <si>
    <t>楼层</t>
  </si>
  <si>
    <t>（地上）</t>
  </si>
  <si>
    <r>
      <rPr>
        <sz val="11"/>
        <color indexed="8"/>
        <rFont val="宋体"/>
        <family val="3"/>
        <charset val="134"/>
      </rPr>
      <t>三级</t>
    </r>
  </si>
  <si>
    <t>万元/亩</t>
  </si>
  <si>
    <r>
      <rPr>
        <sz val="11"/>
        <color indexed="8"/>
        <rFont val="宋体"/>
        <family val="3"/>
        <charset val="134"/>
      </rPr>
      <t>四级</t>
    </r>
  </si>
  <si>
    <t>适用的楼面熟地价</t>
  </si>
  <si>
    <r>
      <rPr>
        <sz val="11"/>
        <color indexed="8"/>
        <rFont val="宋体"/>
        <family val="3"/>
        <charset val="134"/>
      </rPr>
      <t>五级</t>
    </r>
  </si>
  <si>
    <t>（1）</t>
  </si>
  <si>
    <r>
      <rPr>
        <sz val="10"/>
        <color indexed="10"/>
        <rFont val="仿宋_GB2312"/>
        <charset val="134"/>
      </rPr>
      <t>依据《北京市区片基准地价表》，能否通过用途和级别筛选？</t>
    </r>
  </si>
  <si>
    <r>
      <rPr>
        <sz val="11"/>
        <color indexed="8"/>
        <rFont val="宋体"/>
        <family val="3"/>
        <charset val="134"/>
      </rPr>
      <t>六级</t>
    </r>
  </si>
  <si>
    <t>（2）</t>
  </si>
  <si>
    <t>商业路线价修正（商业用途）</t>
  </si>
  <si>
    <t>宗地深度（米）</t>
  </si>
  <si>
    <r>
      <rPr>
        <sz val="11"/>
        <color indexed="8"/>
        <rFont val="宋体"/>
        <family val="3"/>
        <charset val="134"/>
      </rPr>
      <t>七级</t>
    </r>
  </si>
  <si>
    <r>
      <rPr>
        <sz val="10"/>
        <rFont val="仿宋_GB2312"/>
        <charset val="134"/>
      </rPr>
      <t>估价对象级别</t>
    </r>
  </si>
  <si>
    <r>
      <rPr>
        <sz val="10"/>
        <rFont val="仿宋_GB2312"/>
        <charset val="134"/>
      </rPr>
      <t>容积率</t>
    </r>
  </si>
  <si>
    <t>所在商业街</t>
  </si>
  <si>
    <t>A1</t>
  </si>
  <si>
    <t>临商业街红线1/4标准深度占地面积／宗地总面积</t>
  </si>
  <si>
    <r>
      <rPr>
        <sz val="11"/>
        <color indexed="8"/>
        <rFont val="宋体"/>
        <family val="3"/>
        <charset val="134"/>
      </rPr>
      <t>八级</t>
    </r>
  </si>
  <si>
    <t>容积率             级别</t>
  </si>
  <si>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</si>
  <si>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</si>
  <si>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</si>
  <si>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</si>
  <si>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</si>
  <si>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</si>
  <si>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</si>
  <si>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</si>
  <si>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</si>
  <si>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</si>
  <si>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</si>
  <si>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</si>
  <si>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t>加价幅度</t>
  </si>
  <si>
    <t>A2</t>
  </si>
  <si>
    <t>临商业街红线1/4至2/4标准深度占地面积／宗地总面积</t>
  </si>
  <si>
    <r>
      <rPr>
        <sz val="11"/>
        <color indexed="8"/>
        <rFont val="宋体"/>
        <family val="3"/>
        <charset val="134"/>
      </rPr>
      <t>九级</t>
    </r>
  </si>
  <si>
    <r>
      <rPr>
        <sz val="10"/>
        <color theme="1"/>
        <rFont val="Arial"/>
        <family val="2"/>
      </rPr>
      <t>6</t>
    </r>
    <r>
      <rPr>
        <sz val="10"/>
        <color theme="1"/>
        <rFont val="宋体"/>
        <family val="3"/>
        <charset val="134"/>
      </rPr>
      <t>层及以上</t>
    </r>
  </si>
  <si>
    <t>标准深度（米）</t>
  </si>
  <si>
    <t>A3</t>
  </si>
  <si>
    <t>临商业街红线2/4至3/4标准深度占地面积／宗地总面积</t>
  </si>
  <si>
    <r>
      <rPr>
        <sz val="11"/>
        <color indexed="8"/>
        <rFont val="宋体"/>
        <family val="3"/>
        <charset val="134"/>
      </rPr>
      <t>十级</t>
    </r>
  </si>
  <si>
    <t>1/4标准深度</t>
  </si>
  <si>
    <t>A4</t>
  </si>
  <si>
    <t>临商业街红线3/4至4/4标准深度占地面积／宗地总面积</t>
  </si>
  <si>
    <r>
      <rPr>
        <sz val="11"/>
        <color indexed="8"/>
        <rFont val="宋体"/>
        <family val="3"/>
        <charset val="134"/>
      </rPr>
      <t>十一级</t>
    </r>
  </si>
  <si>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</si>
  <si>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</si>
  <si>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</si>
  <si>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indexed="8"/>
        <rFont val="宋体"/>
        <family val="3"/>
        <charset val="134"/>
      </rPr>
      <t>十二级</t>
    </r>
  </si>
  <si>
    <t>特殊情况修正（居住用途）</t>
  </si>
  <si>
    <r>
      <rPr>
        <sz val="10"/>
        <rFont val="宋体"/>
        <family val="3"/>
        <charset val="134"/>
      </rPr>
      <t>需根据项目情况调整公式修正项</t>
    </r>
  </si>
  <si>
    <r>
      <rPr>
        <sz val="10"/>
        <color indexed="8"/>
        <rFont val="仿宋_GB2312"/>
        <charset val="134"/>
      </rPr>
      <t>特殊情况</t>
    </r>
  </si>
  <si>
    <r>
      <rPr>
        <sz val="10"/>
        <color indexed="8"/>
        <rFont val="仿宋_GB2312"/>
        <charset val="134"/>
      </rPr>
      <t>公园</t>
    </r>
  </si>
  <si>
    <r>
      <rPr>
        <sz val="10"/>
        <color indexed="8"/>
        <rFont val="仿宋_GB2312"/>
        <charset val="134"/>
      </rPr>
      <t>水系</t>
    </r>
  </si>
  <si>
    <r>
      <rPr>
        <sz val="10"/>
        <color indexed="8"/>
        <rFont val="宋体"/>
        <family val="3"/>
        <charset val="134"/>
      </rPr>
      <t>轨道交通站点周边</t>
    </r>
  </si>
  <si>
    <t>无</t>
  </si>
  <si>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</si>
  <si>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r>
      <rPr>
        <sz val="10"/>
        <color indexed="8"/>
        <rFont val="仿宋_GB2312"/>
        <charset val="134"/>
      </rPr>
      <t>修正系数</t>
    </r>
  </si>
  <si>
    <t>自持修正</t>
  </si>
  <si>
    <t>自持年期修正系数</t>
  </si>
  <si>
    <t>自持面积比例</t>
  </si>
  <si>
    <t>自持年期（n)</t>
  </si>
  <si>
    <t>Kn</t>
  </si>
  <si>
    <t>KN</t>
  </si>
  <si>
    <t>自持面积</t>
  </si>
  <si>
    <t>全部面积</t>
  </si>
  <si>
    <t>开发程度差异修正</t>
  </si>
  <si>
    <t>级别开发程度</t>
  </si>
  <si>
    <t>估价对象开发程度</t>
  </si>
  <si>
    <t>级别平均容积率</t>
  </si>
  <si>
    <t>用途修正系数</t>
  </si>
  <si>
    <t>期日修正指数</t>
  </si>
  <si>
    <t>基准期日</t>
  </si>
  <si>
    <t>按公示增长率计算</t>
  </si>
  <si>
    <t>基准日地价指数</t>
  </si>
  <si>
    <t>相差季度数</t>
  </si>
  <si>
    <t>现行一年期贷款利率</t>
  </si>
  <si>
    <t>土地还原率</t>
  </si>
  <si>
    <t>剩余使用年限</t>
  </si>
  <si>
    <t>所在季度地价指数</t>
  </si>
  <si>
    <t>季度增幅</t>
  </si>
  <si>
    <t>自定义涨幅</t>
  </si>
  <si>
    <t>平均季度涨幅（公示）</t>
  </si>
  <si>
    <t>容积率修正系数</t>
  </si>
  <si>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</si>
  <si>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</si>
  <si>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t>楼层修正系数（商业）</t>
  </si>
  <si>
    <t>6.</t>
  </si>
  <si>
    <t>因素修正系数</t>
  </si>
  <si>
    <t>7.</t>
  </si>
  <si>
    <t>估算结果</t>
  </si>
  <si>
    <t>熟地价</t>
  </si>
  <si>
    <t>政府土地出让收益</t>
  </si>
  <si>
    <t>上浮比率</t>
  </si>
  <si>
    <t>地上部分</t>
  </si>
  <si>
    <t>单价</t>
  </si>
  <si>
    <t>地上部分——楼面熟地价</t>
  </si>
  <si>
    <t>楼面熟地价=适用的基准地价×用途修正系数×期日修正系数×年期修正系数×（容积率修正系数或楼层修正系数）×因素修正系数</t>
  </si>
  <si>
    <t>不低于</t>
  </si>
  <si>
    <t>地上部分——政府土地出让收益</t>
  </si>
  <si>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</si>
  <si>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</si>
  <si>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t>地下部分</t>
  </si>
  <si>
    <t>楼面熟地价=适用的基准地价×期日修正系数×年期修正系数×因素修正系数×相应用途地下空间修正系数</t>
  </si>
  <si>
    <t>政府土地出让收益=楼面熟地价×政府土地出让收益比例</t>
  </si>
  <si>
    <t>相应用途地下空间修正系数</t>
  </si>
  <si>
    <t>lpr</t>
  </si>
  <si>
    <t>地下第1层商业</t>
  </si>
  <si>
    <t>加浮动点数</t>
  </si>
  <si>
    <t>地下第2层商业</t>
  </si>
  <si>
    <r>
      <rPr>
        <sz val="10"/>
        <color theme="1"/>
        <rFont val="宋体"/>
        <family val="3"/>
        <charset val="134"/>
      </rPr>
      <t>地下第</t>
    </r>
    <r>
      <rPr>
        <sz val="10"/>
        <color theme="1"/>
        <rFont val="Arial"/>
        <family val="2"/>
      </rPr>
      <t>3</t>
    </r>
    <r>
      <rPr>
        <sz val="10"/>
        <color theme="1"/>
        <rFont val="宋体"/>
        <family val="3"/>
        <charset val="134"/>
      </rPr>
      <t>层及以下商业</t>
    </r>
  </si>
  <si>
    <t>地下办公</t>
  </si>
  <si>
    <r>
      <rPr>
        <sz val="10"/>
        <rFont val="仿宋_GB2312"/>
        <charset val="134"/>
      </rPr>
      <t>政府土地出让收益比例</t>
    </r>
  </si>
  <si>
    <t>地下仓储</t>
  </si>
  <si>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</si>
  <si>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t>地下车库</t>
  </si>
  <si>
    <r>
      <rPr>
        <sz val="10"/>
        <rFont val="仿宋_GB2312"/>
        <charset val="134"/>
      </rPr>
      <t>工业</t>
    </r>
  </si>
  <si>
    <t>地下车库及仓储年期修正</t>
  </si>
  <si>
    <r>
      <rPr>
        <sz val="10"/>
        <rFont val="宋体"/>
        <family val="3"/>
        <charset val="134"/>
      </rPr>
      <t>土地还原率</t>
    </r>
  </si>
  <si>
    <r>
      <rPr>
        <sz val="10"/>
        <rFont val="宋体"/>
        <family val="3"/>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</si>
  <si>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</si>
  <si>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</si>
  <si>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</si>
  <si>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</si>
  <si>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</si>
  <si>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rFont val="楷体_GB2312"/>
        <charset val="134"/>
      </rPr>
      <t>合计</t>
    </r>
  </si>
  <si>
    <t>幅度控制(±)</t>
  </si>
  <si>
    <r>
      <rPr>
        <sz val="10"/>
        <color indexed="8"/>
        <rFont val="宋体"/>
        <family val="3"/>
        <charset val="134"/>
      </rPr>
      <t>修正系数</t>
    </r>
  </si>
  <si>
    <t>各因素幅度控制(±)</t>
  </si>
  <si>
    <r>
      <rPr>
        <sz val="10"/>
        <color indexed="8"/>
        <rFont val="楷体_GB2312"/>
        <charset val="134"/>
      </rPr>
      <t>权重</t>
    </r>
  </si>
  <si>
    <t xml:space="preserve"> 商业繁华程度</t>
  </si>
  <si>
    <t>城市规划及区域土地利用方向</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</si>
  <si>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</si>
  <si>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</si>
  <si>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</si>
  <si>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</si>
  <si>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</si>
  <si>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</si>
  <si>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</si>
  <si>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</si>
  <si>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</si>
  <si>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</si>
  <si>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r>
      <rPr>
        <sz val="10"/>
        <color theme="1"/>
        <rFont val="宋体"/>
        <family val="3"/>
        <charset val="134"/>
      </rPr>
      <t>影响因素</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</si>
  <si>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</si>
  <si>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</si>
  <si>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</si>
  <si>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t>物业聚集程度</t>
  </si>
  <si>
    <r>
      <rPr>
        <sz val="10"/>
        <color theme="1"/>
        <rFont val="宋体"/>
        <family val="3"/>
        <charset val="134"/>
      </rPr>
      <t>交通便捷度</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</si>
  <si>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</si>
  <si>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</si>
  <si>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</si>
  <si>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</si>
  <si>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</si>
  <si>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</si>
  <si>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</si>
  <si>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t>北京市基准地价商业用途楼层修正系数表</t>
  </si>
  <si>
    <t>所在楼层</t>
  </si>
  <si>
    <r>
      <rPr>
        <sz val="10"/>
        <color theme="1"/>
        <rFont val="宋体"/>
        <family val="3"/>
        <charset val="134"/>
        <scheme val="minor"/>
      </rPr>
      <t>商业R</t>
    </r>
    <r>
      <rPr>
        <sz val="10"/>
        <color indexed="8"/>
        <rFont val="仿宋_GB2312"/>
        <charset val="134"/>
      </rPr>
      <t>≥</t>
    </r>
    <r>
      <rPr>
        <sz val="10"/>
        <color indexed="8"/>
        <rFont val="宋体"/>
        <family val="3"/>
        <charset val="134"/>
      </rPr>
      <t>1</t>
    </r>
  </si>
  <si>
    <t>6层及以上</t>
  </si>
  <si>
    <t>说明：R为宗地地上容积率</t>
  </si>
  <si>
    <r>
      <rPr>
        <sz val="10"/>
        <rFont val="楷体_GB2312"/>
        <charset val="134"/>
      </rPr>
      <t>宗地容积率</t>
    </r>
    <r>
      <rPr>
        <sz val="10"/>
        <rFont val="Arial"/>
        <family val="2"/>
      </rPr>
      <t>R</t>
    </r>
  </si>
  <si>
    <r>
      <rPr>
        <sz val="10"/>
        <rFont val="楷体_GB2312"/>
        <charset val="134"/>
      </rPr>
      <t>修正系数</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</si>
  <si>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</si>
  <si>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</si>
  <si>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</si>
  <si>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</si>
  <si>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t>M4科研用地</t>
  </si>
  <si>
    <t>通路</t>
  </si>
  <si>
    <t>通电</t>
  </si>
  <si>
    <t>通讯</t>
  </si>
  <si>
    <t>通上水</t>
  </si>
  <si>
    <t>通下水</t>
  </si>
  <si>
    <t>通热</t>
  </si>
  <si>
    <t>燃气</t>
  </si>
  <si>
    <t>平整</t>
  </si>
  <si>
    <t>北京市基准地价用途修正系数表</t>
  </si>
  <si>
    <t>参照基准</t>
  </si>
  <si>
    <t>一级类</t>
  </si>
  <si>
    <t>二级分类</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</si>
  <si>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</si>
  <si>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</si>
  <si>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</si>
  <si>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</si>
  <si>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</si>
  <si>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</si>
  <si>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</si>
  <si>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</si>
  <si>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</si>
  <si>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</si>
  <si>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</si>
  <si>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</si>
  <si>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</si>
  <si>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</si>
  <si>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</si>
  <si>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</si>
  <si>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</si>
  <si>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</si>
  <si>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</si>
  <si>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</si>
  <si>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</si>
  <si>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</si>
  <si>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</si>
  <si>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</si>
  <si>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</si>
  <si>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</si>
  <si>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</si>
  <si>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</si>
  <si>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</si>
  <si>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</si>
  <si>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</si>
  <si>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</si>
  <si>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</si>
  <si>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</si>
  <si>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</si>
  <si>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</si>
  <si>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</si>
  <si>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</si>
  <si>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</si>
  <si>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</si>
  <si>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</si>
  <si>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</si>
  <si>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</si>
  <si>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</si>
  <si>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</si>
  <si>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</si>
  <si>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</si>
  <si>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</si>
  <si>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</si>
  <si>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</si>
  <si>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</si>
  <si>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</si>
  <si>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</si>
  <si>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</si>
  <si>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</si>
  <si>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</si>
  <si>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</si>
  <si>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</si>
  <si>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</si>
  <si>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</si>
  <si>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</si>
  <si>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</si>
  <si>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</si>
  <si>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</si>
  <si>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</si>
  <si>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</si>
  <si>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</si>
  <si>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</si>
  <si>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t>
  </si>
  <si>
    <t>北京市商业路线价加价幅度表</t>
  </si>
  <si>
    <t>序号</t>
  </si>
  <si>
    <t>区县</t>
  </si>
  <si>
    <t>商业街名称</t>
  </si>
  <si>
    <t>起止点</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</si>
  <si>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</si>
  <si>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</si>
  <si>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</si>
  <si>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</si>
  <si>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</si>
  <si>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</si>
  <si>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</si>
  <si>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</si>
  <si>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</si>
  <si>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</si>
  <si>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</si>
  <si>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</si>
  <si>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</si>
  <si>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</si>
  <si>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</si>
  <si>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</si>
  <si>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</si>
  <si>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</si>
  <si>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</si>
  <si>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</si>
  <si>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</si>
  <si>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</si>
  <si>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</si>
  <si>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</si>
  <si>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</si>
  <si>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</si>
  <si>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</si>
  <si>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</si>
  <si>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</si>
  <si>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</si>
  <si>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</si>
  <si>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</si>
  <si>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</si>
  <si>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</si>
  <si>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</si>
  <si>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</si>
  <si>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</si>
  <si>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</si>
  <si>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</si>
  <si>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</si>
  <si>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</si>
  <si>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</si>
  <si>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</si>
  <si>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</si>
  <si>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</si>
  <si>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</si>
  <si>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</si>
  <si>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</si>
  <si>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</si>
  <si>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</si>
  <si>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</si>
  <si>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</si>
  <si>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</si>
  <si>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</si>
  <si>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</si>
  <si>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</si>
  <si>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</si>
  <si>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</si>
  <si>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</si>
  <si>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</si>
  <si>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</si>
  <si>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</si>
  <si>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</si>
  <si>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</si>
  <si>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</si>
  <si>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</si>
  <si>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</si>
  <si>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</si>
  <si>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</si>
  <si>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</si>
  <si>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</si>
  <si>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</si>
  <si>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</si>
  <si>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</si>
  <si>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</si>
  <si>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</si>
  <si>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</si>
  <si>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</si>
  <si>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</si>
  <si>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</si>
  <si>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</si>
  <si>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</si>
  <si>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</si>
  <si>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</si>
  <si>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</si>
  <si>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</si>
  <si>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</si>
  <si>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</si>
  <si>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</si>
  <si>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</si>
  <si>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</si>
  <si>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</si>
  <si>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</si>
  <si>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</si>
  <si>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</si>
  <si>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</si>
  <si>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</si>
  <si>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</si>
  <si>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</si>
  <si>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</si>
  <si>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</si>
  <si>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</si>
  <si>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</si>
  <si>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</si>
  <si>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</si>
  <si>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</si>
  <si>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</si>
  <si>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</si>
  <si>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</si>
  <si>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</si>
  <si>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</si>
  <si>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</si>
  <si>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</si>
  <si>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</si>
  <si>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</si>
  <si>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</si>
  <si>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</si>
  <si>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</si>
  <si>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</si>
  <si>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</si>
  <si>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</si>
  <si>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</si>
  <si>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</si>
  <si>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</si>
  <si>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</si>
  <si>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</si>
  <si>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</si>
  <si>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</si>
  <si>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</si>
  <si>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</si>
  <si>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</si>
  <si>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</si>
  <si>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</si>
  <si>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</si>
  <si>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</si>
  <si>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</si>
  <si>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</si>
  <si>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</si>
  <si>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</si>
  <si>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</si>
  <si>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</si>
  <si>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</si>
  <si>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</si>
  <si>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</si>
  <si>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</si>
  <si>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</si>
  <si>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</si>
  <si>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</si>
  <si>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</si>
  <si>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</si>
  <si>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</si>
  <si>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</si>
  <si>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</si>
  <si>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</si>
  <si>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</si>
  <si>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</si>
  <si>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</si>
  <si>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</si>
  <si>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</si>
  <si>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</si>
  <si>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</si>
  <si>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</si>
  <si>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</si>
  <si>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</si>
  <si>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</si>
  <si>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</si>
  <si>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</si>
  <si>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</si>
  <si>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</si>
  <si>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</si>
  <si>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</si>
  <si>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</si>
  <si>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</si>
  <si>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</si>
  <si>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</si>
  <si>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</si>
  <si>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</si>
  <si>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</si>
  <si>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</si>
  <si>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</si>
  <si>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</si>
  <si>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</si>
  <si>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</si>
  <si>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</si>
  <si>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</si>
  <si>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</si>
  <si>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</si>
  <si>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</si>
  <si>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</si>
  <si>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</si>
  <si>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</si>
  <si>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</si>
  <si>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</si>
  <si>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</si>
  <si>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</si>
  <si>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</si>
  <si>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</si>
  <si>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</si>
  <si>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</si>
  <si>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</si>
  <si>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</si>
  <si>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</si>
  <si>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</si>
  <si>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</si>
  <si>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</si>
  <si>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</si>
  <si>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</si>
  <si>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</si>
  <si>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</si>
  <si>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</si>
  <si>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</si>
  <si>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</si>
  <si>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</si>
  <si>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</si>
  <si>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</si>
  <si>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</si>
  <si>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</si>
  <si>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</si>
  <si>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</si>
  <si>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</si>
  <si>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</si>
  <si>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</si>
  <si>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</si>
  <si>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</si>
  <si>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</si>
  <si>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</si>
  <si>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</si>
  <si>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</si>
  <si>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</si>
  <si>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</si>
  <si>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</si>
  <si>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</si>
  <si>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</si>
  <si>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</si>
  <si>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</si>
  <si>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</si>
  <si>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</si>
  <si>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</si>
  <si>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</si>
  <si>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</si>
  <si>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</si>
  <si>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</si>
  <si>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</si>
  <si>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</si>
  <si>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</si>
  <si>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</si>
  <si>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</si>
  <si>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</si>
  <si>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</si>
  <si>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</si>
  <si>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</si>
  <si>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</si>
  <si>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</si>
  <si>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</si>
  <si>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</si>
  <si>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</si>
  <si>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</si>
  <si>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</si>
  <si>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</si>
  <si>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</si>
  <si>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</si>
  <si>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</si>
  <si>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</si>
  <si>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</si>
  <si>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</si>
  <si>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</si>
  <si>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</si>
  <si>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</si>
  <si>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</si>
  <si>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</si>
  <si>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</si>
  <si>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</si>
  <si>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</si>
  <si>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</si>
  <si>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</si>
  <si>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</si>
  <si>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</si>
  <si>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</si>
  <si>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</si>
  <si>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</si>
  <si>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</si>
  <si>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</si>
  <si>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</si>
  <si>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</si>
  <si>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</si>
  <si>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</si>
  <si>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</si>
  <si>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</si>
  <si>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</si>
  <si>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</si>
  <si>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</si>
  <si>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</si>
  <si>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</si>
  <si>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</si>
  <si>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</si>
  <si>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</si>
  <si>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</si>
  <si>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</si>
  <si>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</si>
  <si>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</si>
  <si>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</si>
  <si>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</si>
  <si>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</si>
  <si>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</si>
  <si>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</si>
  <si>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</si>
  <si>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</si>
  <si>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</si>
  <si>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</si>
  <si>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</si>
  <si>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</si>
  <si>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</si>
  <si>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</si>
  <si>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</si>
  <si>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</si>
  <si>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</si>
  <si>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</si>
  <si>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</si>
  <si>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</si>
  <si>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</si>
  <si>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</si>
  <si>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</si>
  <si>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</si>
  <si>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</si>
  <si>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</si>
  <si>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</si>
  <si>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</si>
  <si>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</si>
  <si>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</si>
  <si>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</si>
  <si>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</si>
  <si>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</si>
  <si>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</si>
  <si>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</si>
  <si>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</si>
  <si>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</si>
  <si>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</si>
  <si>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</si>
  <si>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</si>
  <si>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</si>
  <si>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</si>
  <si>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</si>
  <si>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</si>
  <si>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</si>
  <si>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</si>
  <si>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</si>
  <si>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</si>
  <si>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</si>
  <si>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</si>
  <si>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</si>
  <si>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</si>
  <si>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</si>
  <si>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</si>
  <si>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</si>
  <si>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</si>
  <si>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</si>
  <si>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</si>
  <si>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</si>
  <si>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</si>
  <si>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</si>
  <si>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</si>
  <si>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</si>
  <si>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</si>
  <si>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</si>
  <si>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</si>
  <si>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</si>
  <si>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</si>
  <si>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</si>
  <si>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</si>
  <si>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</si>
  <si>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</si>
  <si>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</si>
  <si>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</si>
  <si>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</si>
  <si>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</si>
  <si>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</si>
  <si>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</si>
  <si>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</si>
  <si>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</si>
  <si>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</si>
  <si>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</si>
  <si>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</si>
  <si>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</si>
  <si>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</si>
  <si>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</si>
  <si>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</si>
  <si>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</si>
  <si>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</si>
  <si>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</si>
  <si>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</si>
  <si>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</si>
  <si>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</si>
  <si>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</si>
  <si>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</si>
  <si>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</si>
  <si>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</si>
  <si>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</si>
  <si>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</si>
  <si>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</si>
  <si>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</si>
  <si>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</si>
  <si>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</si>
  <si>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</si>
  <si>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</si>
  <si>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</si>
  <si>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</si>
  <si>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</si>
  <si>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</si>
  <si>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</si>
  <si>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</si>
  <si>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</si>
  <si>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</si>
  <si>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</si>
  <si>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</si>
  <si>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</si>
  <si>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</si>
  <si>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</si>
  <si>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</si>
  <si>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</si>
  <si>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</si>
  <si>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</si>
  <si>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</si>
  <si>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</si>
  <si>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</si>
  <si>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</si>
  <si>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</si>
  <si>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</si>
  <si>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</si>
  <si>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</si>
  <si>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</si>
  <si>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</si>
  <si>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</si>
  <si>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</si>
  <si>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</si>
  <si>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</si>
  <si>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</si>
  <si>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</si>
  <si>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</si>
  <si>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</si>
  <si>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</si>
  <si>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</si>
  <si>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</si>
  <si>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</si>
  <si>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</si>
  <si>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</si>
  <si>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</si>
  <si>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</si>
  <si>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</si>
  <si>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</si>
  <si>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</si>
  <si>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</si>
  <si>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</si>
  <si>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</si>
  <si>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</si>
  <si>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</si>
  <si>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</si>
  <si>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</si>
  <si>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</si>
  <si>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</si>
  <si>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</si>
  <si>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</si>
  <si>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</si>
  <si>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</si>
  <si>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</si>
  <si>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</si>
  <si>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</si>
  <si>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</si>
  <si>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</si>
  <si>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</si>
  <si>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</si>
  <si>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</si>
  <si>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</si>
  <si>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</si>
  <si>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</si>
  <si>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</si>
  <si>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</si>
  <si>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</si>
  <si>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</si>
  <si>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</si>
  <si>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</si>
  <si>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t>Ⅶ-良乡开发区A</t>
  </si>
  <si>
    <t>Ⅷ-昌平园北Ⅱ</t>
  </si>
  <si>
    <t>Ⅸ-房山工业园西</t>
  </si>
  <si>
    <t>Ⅴ-通4</t>
  </si>
  <si>
    <t>Ⅵ-亦1</t>
  </si>
  <si>
    <t>Ⅶ-良乡开发区B</t>
  </si>
  <si>
    <t>Ⅷ-昌平园北Ⅲ</t>
  </si>
  <si>
    <t>Ⅸ-房山工业园东</t>
  </si>
  <si>
    <t>Ⅴ-亦1</t>
  </si>
  <si>
    <t>Ⅵ-亦2</t>
  </si>
  <si>
    <t>Ⅶ-良乡开发区C</t>
  </si>
  <si>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</si>
  <si>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</si>
  <si>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</si>
  <si>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</si>
  <si>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</si>
  <si>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</si>
  <si>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</si>
  <si>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</si>
  <si>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</si>
  <si>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</si>
  <si>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</si>
  <si>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t>Ⅶ-昌平园北Ⅰ</t>
  </si>
  <si>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</si>
  <si>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</si>
  <si>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</si>
  <si>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</si>
  <si>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</si>
  <si>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</si>
  <si>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</si>
  <si>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</si>
  <si>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</si>
  <si>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</si>
  <si>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</si>
  <si>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</si>
  <si>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</si>
  <si>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</si>
  <si>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</si>
  <si>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</si>
  <si>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</si>
  <si>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</si>
  <si>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</si>
  <si>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</si>
  <si>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</si>
  <si>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</si>
  <si>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</si>
  <si>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</si>
  <si>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</si>
  <si>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</si>
  <si>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</si>
  <si>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</si>
  <si>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</si>
  <si>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</si>
  <si>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北京市级别基准地价表（楼面地价）</t>
  </si>
  <si>
    <t>（一）北京市级别基准地价表</t>
  </si>
  <si>
    <t xml:space="preserve">基准期日：2021年１月１日                        </t>
  </si>
  <si>
    <t>单位：元／平方米</t>
  </si>
  <si>
    <t>居住</t>
  </si>
  <si>
    <t>北京市基准地价容积率修正系数表（商业）</t>
  </si>
  <si>
    <t>北京市基准地价容积率修正系数表（办公）</t>
  </si>
  <si>
    <t>北京市基准地价容积率修正系数表（住宅）</t>
  </si>
  <si>
    <t>北京市基准地价容积率修正系数表（工业）</t>
  </si>
  <si>
    <t>北京市基准地价容积率修正系数表（公共服务及M4科研）</t>
  </si>
  <si>
    <t>北京市区片基准地价因素总修正幅度表</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</si>
  <si>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</si>
  <si>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</si>
  <si>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</si>
  <si>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</si>
  <si>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</si>
  <si>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</si>
  <si>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r>
      <rPr>
        <sz val="11"/>
        <color indexed="8"/>
        <rFont val="楷体_GB2312"/>
        <charset val="134"/>
      </rPr>
      <t>商业</t>
    </r>
  </si>
  <si>
    <r>
      <rPr>
        <sz val="11"/>
        <color indexed="8"/>
        <rFont val="楷体_GB2312"/>
        <charset val="134"/>
      </rPr>
      <t>工业</t>
    </r>
  </si>
  <si>
    <t>本行不参与计算</t>
  </si>
  <si>
    <t>2023-1</t>
  </si>
  <si>
    <t>2022-4</t>
  </si>
  <si>
    <t>2022-3</t>
  </si>
  <si>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</si>
  <si>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</si>
  <si>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</si>
  <si>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</si>
  <si>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</si>
  <si>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</si>
  <si>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</si>
  <si>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</si>
  <si>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</si>
  <si>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</si>
  <si>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</si>
  <si>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</si>
  <si>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</si>
  <si>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</si>
  <si>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</si>
  <si>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</si>
  <si>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</si>
  <si>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</si>
  <si>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</si>
  <si>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</si>
  <si>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</si>
  <si>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</si>
  <si>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</si>
  <si>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</si>
  <si>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</si>
  <si>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</si>
  <si>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</si>
  <si>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</si>
  <si>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</si>
  <si>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</si>
  <si>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</si>
  <si>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</si>
  <si>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</si>
  <si>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</si>
  <si>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</si>
  <si>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</si>
  <si>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</si>
  <si>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</si>
  <si>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</si>
  <si>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</si>
  <si>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</si>
  <si>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</si>
  <si>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</si>
  <si>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</si>
  <si>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</si>
  <si>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</si>
  <si>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</si>
  <si>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</si>
  <si>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</si>
  <si>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</si>
  <si>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</si>
  <si>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</si>
  <si>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</si>
  <si>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</si>
  <si>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</si>
  <si>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</si>
  <si>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</si>
  <si>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</si>
  <si>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</si>
  <si>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</si>
  <si>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</si>
  <si>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</si>
  <si>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</si>
  <si>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</si>
  <si>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</si>
  <si>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</si>
  <si>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</si>
  <si>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</si>
  <si>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</si>
  <si>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</si>
  <si>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</si>
  <si>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</si>
  <si>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</si>
  <si>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</si>
  <si>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</si>
  <si>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</si>
  <si>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</si>
  <si>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</si>
  <si>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</si>
  <si>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</si>
  <si>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</si>
  <si>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</si>
  <si>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</si>
  <si>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</si>
  <si>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</si>
  <si>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</si>
  <si>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</si>
  <si>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</si>
  <si>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</si>
  <si>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</si>
  <si>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</si>
  <si>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公示增长率-中心城区</t>
  </si>
  <si>
    <t>平均</t>
  </si>
  <si>
    <t>2024-2</t>
  </si>
  <si>
    <t>2024-1</t>
  </si>
  <si>
    <t>2023-4</t>
  </si>
  <si>
    <t>2023-3</t>
  </si>
  <si>
    <t>2023-2</t>
  </si>
  <si>
    <t>中心城区：城六区，对应北京市地价动态监测结果的国家级样点和市级样点中办公（市区）</t>
  </si>
  <si>
    <t xml:space="preserve"> </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</si>
  <si>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</si>
  <si>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</si>
  <si>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汇总建筑面积</t>
  </si>
  <si>
    <t>汇总土地面积</t>
  </si>
  <si>
    <t>本次评估所采用的基准地价系数修正法</t>
  </si>
  <si>
    <t>估价结果</t>
  </si>
  <si>
    <r>
      <rPr>
        <b/>
        <sz val="16"/>
        <color indexed="10"/>
        <rFont val="仿宋_GB2312"/>
        <charset val="134"/>
      </rPr>
      <t>收益还原法</t>
    </r>
  </si>
  <si>
    <r>
      <rPr>
        <b/>
        <sz val="16"/>
        <rFont val="仿宋_GB2312"/>
        <charset val="134"/>
      </rPr>
      <t>租约外</t>
    </r>
  </si>
  <si>
    <r>
      <rPr>
        <sz val="10"/>
        <color indexed="8"/>
        <rFont val="仿宋_GB2312"/>
        <charset val="134"/>
      </rPr>
      <t>序号</t>
    </r>
  </si>
  <si>
    <r>
      <rPr>
        <sz val="10"/>
        <color indexed="8"/>
        <rFont val="仿宋_GB2312"/>
        <charset val="134"/>
      </rPr>
      <t>项目</t>
    </r>
  </si>
  <si>
    <r>
      <rPr>
        <sz val="10"/>
        <color indexed="8"/>
        <rFont val="仿宋_GB2312"/>
        <charset val="134"/>
      </rPr>
      <t>数额</t>
    </r>
  </si>
  <si>
    <r>
      <rPr>
        <sz val="10"/>
        <color indexed="8"/>
        <rFont val="仿宋_GB2312"/>
        <charset val="134"/>
      </rPr>
      <t>计算公式</t>
    </r>
  </si>
  <si>
    <r>
      <rPr>
        <sz val="10"/>
        <color indexed="8"/>
        <rFont val="仿宋_GB2312"/>
        <charset val="134"/>
      </rPr>
      <t>取费标准</t>
    </r>
  </si>
  <si>
    <r>
      <rPr>
        <b/>
        <sz val="10"/>
        <color indexed="8"/>
        <rFont val="楷体_GB2312"/>
        <charset val="134"/>
      </rPr>
      <t>未来第一年年总收益</t>
    </r>
  </si>
  <si>
    <t>年租金收入+押金利息收入+其他收入</t>
  </si>
  <si>
    <t>年租金收入（年经营收入）</t>
  </si>
  <si>
    <r>
      <rPr>
        <sz val="10"/>
        <color indexed="8"/>
        <rFont val="仿宋_GB2312"/>
        <charset val="134"/>
      </rPr>
      <t>租金</t>
    </r>
    <r>
      <rPr>
        <sz val="10"/>
        <color indexed="8"/>
        <rFont val="Arial"/>
        <family val="2"/>
      </rPr>
      <t>×</t>
    </r>
    <r>
      <rPr>
        <sz val="10"/>
        <color indexed="8"/>
        <rFont val="仿宋_GB2312"/>
        <charset val="134"/>
      </rPr>
      <t>月数</t>
    </r>
    <r>
      <rPr>
        <sz val="10"/>
        <color indexed="8"/>
        <rFont val="Arial"/>
        <family val="2"/>
      </rPr>
      <t>/</t>
    </r>
    <r>
      <rPr>
        <sz val="10"/>
        <color indexed="8"/>
        <rFont val="仿宋_GB2312"/>
        <charset val="134"/>
      </rPr>
      <t>天数</t>
    </r>
    <r>
      <rPr>
        <sz val="10"/>
        <color indexed="8"/>
        <rFont val="Arial"/>
        <family val="2"/>
      </rPr>
      <t>×</t>
    </r>
    <r>
      <rPr>
        <sz val="10"/>
        <color indexed="8"/>
        <rFont val="仿宋_GB2312"/>
        <charset val="134"/>
      </rPr>
      <t>（</t>
    </r>
    <r>
      <rPr>
        <sz val="10"/>
        <color indexed="8"/>
        <rFont val="Arial"/>
        <family val="2"/>
      </rPr>
      <t>1-</t>
    </r>
    <r>
      <rPr>
        <sz val="10"/>
        <color indexed="8"/>
        <rFont val="仿宋_GB2312"/>
        <charset val="134"/>
      </rPr>
      <t>空置率）</t>
    </r>
  </si>
  <si>
    <r>
      <rPr>
        <sz val="10"/>
        <color indexed="8"/>
        <rFont val="仿宋_GB2312"/>
        <charset val="134"/>
      </rPr>
      <t>租金</t>
    </r>
  </si>
  <si>
    <r>
      <rPr>
        <sz val="10"/>
        <color indexed="8"/>
        <rFont val="仿宋_GB2312"/>
        <charset val="134"/>
      </rPr>
      <t>面积</t>
    </r>
    <r>
      <rPr>
        <sz val="10"/>
        <color indexed="8"/>
        <rFont val="Arial"/>
        <family val="2"/>
      </rPr>
      <t>/</t>
    </r>
    <r>
      <rPr>
        <sz val="10"/>
        <color indexed="8"/>
        <rFont val="仿宋_GB2312"/>
        <charset val="134"/>
      </rPr>
      <t>个数</t>
    </r>
  </si>
  <si>
    <r>
      <rPr>
        <sz val="10"/>
        <color indexed="8"/>
        <rFont val="仿宋_GB2312"/>
        <charset val="134"/>
      </rPr>
      <t>天</t>
    </r>
    <r>
      <rPr>
        <sz val="10"/>
        <color indexed="8"/>
        <rFont val="Arial"/>
        <family val="2"/>
      </rPr>
      <t>/</t>
    </r>
    <r>
      <rPr>
        <sz val="10"/>
        <color indexed="8"/>
        <rFont val="仿宋_GB2312"/>
        <charset val="134"/>
      </rPr>
      <t>月</t>
    </r>
  </si>
  <si>
    <r>
      <rPr>
        <sz val="10"/>
        <color indexed="8"/>
        <rFont val="仿宋_GB2312"/>
        <charset val="134"/>
      </rPr>
      <t>空置率（</t>
    </r>
    <r>
      <rPr>
        <sz val="10"/>
        <color indexed="8"/>
        <rFont val="Arial"/>
        <family val="2"/>
      </rPr>
      <t>%</t>
    </r>
    <r>
      <rPr>
        <sz val="10"/>
        <color indexed="8"/>
        <rFont val="仿宋_GB2312"/>
        <charset val="134"/>
      </rPr>
      <t>）</t>
    </r>
  </si>
  <si>
    <t>押金利息收入</t>
  </si>
  <si>
    <t>押金*一年期存款利率</t>
  </si>
  <si>
    <t>押金方式</t>
  </si>
  <si>
    <r>
      <rPr>
        <i/>
        <sz val="10"/>
        <color indexed="8"/>
        <rFont val="宋体"/>
        <family val="3"/>
        <charset val="134"/>
      </rPr>
      <t>（自定义押金）</t>
    </r>
    <r>
      <rPr>
        <b/>
        <i/>
        <sz val="10"/>
        <color rgb="FFFF0000"/>
        <rFont val="宋体"/>
        <family val="3"/>
        <charset val="134"/>
      </rPr>
      <t>单位：元</t>
    </r>
  </si>
  <si>
    <t>其他收入</t>
  </si>
  <si>
    <r>
      <rPr>
        <b/>
        <sz val="10"/>
        <color indexed="8"/>
        <rFont val="仿宋_GB2312"/>
        <charset val="134"/>
      </rPr>
      <t>建筑物价格</t>
    </r>
  </si>
  <si>
    <r>
      <rPr>
        <sz val="10"/>
        <color indexed="8"/>
        <rFont val="仿宋_GB2312"/>
        <charset val="134"/>
      </rPr>
      <t>建筑物重置价值</t>
    </r>
    <r>
      <rPr>
        <sz val="10"/>
        <color indexed="8"/>
        <rFont val="Arial"/>
        <family val="2"/>
      </rPr>
      <t>×</t>
    </r>
    <r>
      <rPr>
        <sz val="10"/>
        <color indexed="8"/>
        <rFont val="仿宋_GB2312"/>
        <charset val="134"/>
      </rPr>
      <t>成新度</t>
    </r>
  </si>
  <si>
    <r>
      <rPr>
        <sz val="10"/>
        <color indexed="8"/>
        <rFont val="仿宋_GB2312"/>
        <charset val="134"/>
      </rPr>
      <t>成新度（</t>
    </r>
    <r>
      <rPr>
        <sz val="10"/>
        <color indexed="8"/>
        <rFont val="Arial"/>
        <family val="2"/>
      </rPr>
      <t>%</t>
    </r>
    <r>
      <rPr>
        <sz val="10"/>
        <color indexed="8"/>
        <rFont val="仿宋_GB2312"/>
        <charset val="134"/>
      </rPr>
      <t>）</t>
    </r>
  </si>
  <si>
    <r>
      <rPr>
        <b/>
        <sz val="10"/>
        <color indexed="8"/>
        <rFont val="仿宋_GB2312"/>
        <charset val="134"/>
      </rPr>
      <t>建筑物现值</t>
    </r>
  </si>
  <si>
    <r>
      <rPr>
        <sz val="10"/>
        <color indexed="8"/>
        <rFont val="仿宋_GB2312"/>
        <charset val="134"/>
      </rPr>
      <t>建安单价</t>
    </r>
    <r>
      <rPr>
        <sz val="10"/>
        <color indexed="8"/>
        <rFont val="Arial"/>
        <family val="2"/>
      </rPr>
      <t>×</t>
    </r>
    <r>
      <rPr>
        <sz val="10"/>
        <color indexed="8"/>
        <rFont val="仿宋_GB2312"/>
        <charset val="134"/>
      </rPr>
      <t>建筑面积</t>
    </r>
  </si>
  <si>
    <t>建筑物重置价格</t>
  </si>
  <si>
    <r>
      <rPr>
        <sz val="10"/>
        <color indexed="8"/>
        <rFont val="仿宋_GB2312"/>
        <charset val="134"/>
      </rPr>
      <t>建安费用</t>
    </r>
    <r>
      <rPr>
        <sz val="10"/>
        <color indexed="8"/>
        <rFont val="Arial"/>
        <family val="2"/>
      </rPr>
      <t>×</t>
    </r>
    <r>
      <rPr>
        <sz val="10"/>
        <color indexed="8"/>
        <rFont val="仿宋_GB2312"/>
        <charset val="134"/>
      </rPr>
      <t>费率</t>
    </r>
  </si>
  <si>
    <r>
      <rPr>
        <sz val="10"/>
        <color indexed="8"/>
        <rFont val="仿宋_GB2312"/>
        <charset val="134"/>
      </rPr>
      <t>费率（</t>
    </r>
    <r>
      <rPr>
        <sz val="10"/>
        <color indexed="8"/>
        <rFont val="Arial"/>
        <family val="2"/>
      </rPr>
      <t>%</t>
    </r>
    <r>
      <rPr>
        <sz val="10"/>
        <color indexed="8"/>
        <rFont val="仿宋_GB2312"/>
        <charset val="134"/>
      </rPr>
      <t>）</t>
    </r>
  </si>
  <si>
    <r>
      <rPr>
        <b/>
        <sz val="10"/>
        <color indexed="8"/>
        <rFont val="仿宋_GB2312"/>
        <charset val="134"/>
      </rPr>
      <t>年经营费用</t>
    </r>
  </si>
  <si>
    <r>
      <rPr>
        <sz val="10"/>
        <color indexed="8"/>
        <rFont val="仿宋_GB2312"/>
        <charset val="134"/>
      </rPr>
      <t>税费</t>
    </r>
    <r>
      <rPr>
        <sz val="10"/>
        <color indexed="8"/>
        <rFont val="Arial"/>
        <family val="2"/>
      </rPr>
      <t>+</t>
    </r>
    <r>
      <rPr>
        <sz val="10"/>
        <color indexed="8"/>
        <rFont val="仿宋_GB2312"/>
        <charset val="134"/>
      </rPr>
      <t>维修费</t>
    </r>
    <r>
      <rPr>
        <sz val="10"/>
        <color indexed="8"/>
        <rFont val="Arial"/>
        <family val="2"/>
      </rPr>
      <t>+</t>
    </r>
    <r>
      <rPr>
        <sz val="10"/>
        <color indexed="8"/>
        <rFont val="仿宋_GB2312"/>
        <charset val="134"/>
      </rPr>
      <t>保险费</t>
    </r>
    <r>
      <rPr>
        <sz val="10"/>
        <color indexed="8"/>
        <rFont val="Arial"/>
        <family val="2"/>
      </rPr>
      <t>+</t>
    </r>
    <r>
      <rPr>
        <sz val="10"/>
        <color indexed="8"/>
        <rFont val="仿宋_GB2312"/>
        <charset val="134"/>
      </rPr>
      <t>管理费</t>
    </r>
  </si>
  <si>
    <r>
      <rPr>
        <sz val="10"/>
        <color indexed="8"/>
        <rFont val="仿宋_GB2312"/>
        <charset val="134"/>
      </rPr>
      <t>基础设施建设费</t>
    </r>
  </si>
  <si>
    <r>
      <rPr>
        <sz val="10"/>
        <color indexed="8"/>
        <rFont val="仿宋_GB2312"/>
        <charset val="134"/>
      </rPr>
      <t>建筑面积</t>
    </r>
    <r>
      <rPr>
        <sz val="10"/>
        <color indexed="8"/>
        <rFont val="Arial"/>
        <family val="2"/>
      </rPr>
      <t>×</t>
    </r>
    <r>
      <rPr>
        <sz val="10"/>
        <color indexed="8"/>
        <rFont val="仿宋_GB2312"/>
        <charset val="134"/>
      </rPr>
      <t>取费标准</t>
    </r>
  </si>
  <si>
    <r>
      <rPr>
        <sz val="10"/>
        <color indexed="8"/>
        <rFont val="仿宋_GB2312"/>
        <charset val="134"/>
      </rPr>
      <t>市政费用（元</t>
    </r>
    <r>
      <rPr>
        <sz val="10"/>
        <color indexed="8"/>
        <rFont val="Arial"/>
        <family val="2"/>
      </rPr>
      <t>/</t>
    </r>
    <r>
      <rPr>
        <sz val="10"/>
        <color indexed="8"/>
        <rFont val="仿宋_GB2312"/>
        <charset val="134"/>
      </rPr>
      <t>㎡）</t>
    </r>
  </si>
  <si>
    <r>
      <rPr>
        <sz val="10"/>
        <color indexed="8"/>
        <rFont val="仿宋_GB2312"/>
        <charset val="134"/>
      </rPr>
      <t>税</t>
    </r>
    <r>
      <rPr>
        <sz val="10"/>
        <color indexed="8"/>
        <rFont val="Arial"/>
        <family val="2"/>
      </rPr>
      <t xml:space="preserve">  </t>
    </r>
    <r>
      <rPr>
        <sz val="10"/>
        <color indexed="8"/>
        <rFont val="仿宋_GB2312"/>
        <charset val="134"/>
      </rPr>
      <t>费</t>
    </r>
  </si>
  <si>
    <r>
      <rPr>
        <sz val="10"/>
        <color indexed="8"/>
        <rFont val="仿宋_GB2312"/>
        <charset val="134"/>
      </rPr>
      <t>两税一费</t>
    </r>
    <r>
      <rPr>
        <sz val="10"/>
        <color indexed="8"/>
        <rFont val="Arial"/>
        <family val="2"/>
      </rPr>
      <t>+</t>
    </r>
    <r>
      <rPr>
        <sz val="10"/>
        <color indexed="8"/>
        <rFont val="仿宋_GB2312"/>
        <charset val="134"/>
      </rPr>
      <t>房产税</t>
    </r>
    <r>
      <rPr>
        <sz val="10"/>
        <color indexed="8"/>
        <rFont val="Arial"/>
        <family val="2"/>
      </rPr>
      <t>+</t>
    </r>
    <r>
      <rPr>
        <sz val="10"/>
        <color indexed="8"/>
        <rFont val="仿宋_GB2312"/>
        <charset val="134"/>
      </rPr>
      <t>城镇土地使用税</t>
    </r>
  </si>
  <si>
    <r>
      <rPr>
        <sz val="10"/>
        <color indexed="8"/>
        <rFont val="仿宋_GB2312"/>
        <charset val="134"/>
      </rPr>
      <t>综合税率</t>
    </r>
  </si>
  <si>
    <r>
      <rPr>
        <sz val="10"/>
        <color indexed="8"/>
        <rFont val="仿宋_GB2312"/>
        <charset val="134"/>
      </rPr>
      <t>两税两费</t>
    </r>
  </si>
  <si>
    <r>
      <rPr>
        <sz val="10"/>
        <color indexed="8"/>
        <rFont val="仿宋_GB2312"/>
        <charset val="134"/>
      </rPr>
      <t>年总收益</t>
    </r>
    <r>
      <rPr>
        <sz val="10"/>
        <color indexed="8"/>
        <rFont val="Arial"/>
        <family val="2"/>
      </rPr>
      <t>×</t>
    </r>
    <r>
      <rPr>
        <sz val="10"/>
        <color indexed="8"/>
        <rFont val="仿宋_GB2312"/>
        <charset val="134"/>
      </rPr>
      <t>费率</t>
    </r>
    <r>
      <rPr>
        <sz val="10"/>
        <color indexed="8"/>
        <rFont val="Arial"/>
        <family val="2"/>
      </rPr>
      <t>/(1+5%)</t>
    </r>
  </si>
  <si>
    <r>
      <rPr>
        <sz val="10"/>
        <color indexed="8"/>
        <rFont val="仿宋_GB2312"/>
        <charset val="134"/>
      </rPr>
      <t>建造成本</t>
    </r>
  </si>
  <si>
    <r>
      <rPr>
        <sz val="10"/>
        <color indexed="8"/>
        <rFont val="仿宋_GB2312"/>
        <charset val="134"/>
      </rPr>
      <t>建安费用</t>
    </r>
    <r>
      <rPr>
        <sz val="10"/>
        <color indexed="8"/>
        <rFont val="Arial"/>
        <family val="2"/>
      </rPr>
      <t>+</t>
    </r>
    <r>
      <rPr>
        <sz val="10"/>
        <color indexed="8"/>
        <rFont val="仿宋_GB2312"/>
        <charset val="134"/>
      </rPr>
      <t>公共配套设施费用</t>
    </r>
    <r>
      <rPr>
        <sz val="10"/>
        <color indexed="8"/>
        <rFont val="Arial"/>
        <family val="2"/>
      </rPr>
      <t>+</t>
    </r>
    <r>
      <rPr>
        <sz val="10"/>
        <color indexed="8"/>
        <rFont val="仿宋_GB2312"/>
        <charset val="134"/>
      </rPr>
      <t>基础设施建设费</t>
    </r>
    <r>
      <rPr>
        <sz val="10"/>
        <color indexed="8"/>
        <rFont val="Arial"/>
        <family val="2"/>
      </rPr>
      <t>+</t>
    </r>
    <r>
      <rPr>
        <sz val="10"/>
        <color indexed="8"/>
        <rFont val="仿宋_GB2312"/>
        <charset val="134"/>
      </rPr>
      <t>相关税费</t>
    </r>
  </si>
  <si>
    <r>
      <rPr>
        <sz val="10"/>
        <color indexed="8"/>
        <rFont val="仿宋_GB2312"/>
        <charset val="134"/>
      </rPr>
      <t>房产税</t>
    </r>
  </si>
  <si>
    <t>按租金收入计税</t>
  </si>
  <si>
    <r>
      <rPr>
        <sz val="10"/>
        <color indexed="8"/>
        <rFont val="宋体"/>
        <family val="3"/>
        <charset val="134"/>
      </rPr>
      <t>（</t>
    </r>
    <r>
      <rPr>
        <sz val="10"/>
        <color indexed="8"/>
        <rFont val="Arial"/>
        <family val="2"/>
      </rPr>
      <t>2）</t>
    </r>
  </si>
  <si>
    <r>
      <rPr>
        <sz val="10"/>
        <color indexed="8"/>
        <rFont val="仿宋_GB2312"/>
        <charset val="134"/>
      </rPr>
      <t>管理费用</t>
    </r>
  </si>
  <si>
    <r>
      <rPr>
        <sz val="10"/>
        <color indexed="8"/>
        <rFont val="仿宋_GB2312"/>
        <charset val="134"/>
      </rPr>
      <t>建造成本</t>
    </r>
    <r>
      <rPr>
        <sz val="10"/>
        <color indexed="8"/>
        <rFont val="Arial"/>
        <family val="2"/>
      </rPr>
      <t>×</t>
    </r>
    <r>
      <rPr>
        <sz val="10"/>
        <color indexed="8"/>
        <rFont val="仿宋_GB2312"/>
        <charset val="134"/>
      </rPr>
      <t>费率</t>
    </r>
  </si>
  <si>
    <r>
      <rPr>
        <sz val="10"/>
        <color indexed="8"/>
        <rFont val="仿宋_GB2312"/>
        <charset val="134"/>
      </rPr>
      <t>城镇土地使用税</t>
    </r>
  </si>
  <si>
    <r>
      <rPr>
        <sz val="10"/>
        <color indexed="8"/>
        <rFont val="仿宋_GB2312"/>
        <charset val="134"/>
      </rPr>
      <t>土地面积</t>
    </r>
    <r>
      <rPr>
        <sz val="10"/>
        <color indexed="8"/>
        <rFont val="Arial"/>
        <family val="2"/>
      </rPr>
      <t>×</t>
    </r>
    <r>
      <rPr>
        <sz val="10"/>
        <color indexed="8"/>
        <rFont val="仿宋_GB2312"/>
        <charset val="134"/>
      </rPr>
      <t>取费标准</t>
    </r>
  </si>
  <si>
    <r>
      <rPr>
        <sz val="10"/>
        <color indexed="8"/>
        <rFont val="仿宋_GB2312"/>
        <charset val="134"/>
      </rPr>
      <t>纳税标准（元</t>
    </r>
    <r>
      <rPr>
        <sz val="10"/>
        <color indexed="8"/>
        <rFont val="Arial"/>
        <family val="2"/>
      </rPr>
      <t>/</t>
    </r>
    <r>
      <rPr>
        <sz val="10"/>
        <color indexed="8"/>
        <rFont val="仿宋_GB2312"/>
        <charset val="134"/>
      </rPr>
      <t>㎡）</t>
    </r>
  </si>
  <si>
    <r>
      <rPr>
        <sz val="10"/>
        <color indexed="8"/>
        <rFont val="宋体"/>
        <family val="3"/>
        <charset val="134"/>
      </rPr>
      <t>（</t>
    </r>
    <r>
      <rPr>
        <sz val="10"/>
        <color indexed="8"/>
        <rFont val="Arial"/>
        <family val="2"/>
      </rPr>
      <t>3）</t>
    </r>
  </si>
  <si>
    <r>
      <rPr>
        <sz val="10"/>
        <color indexed="8"/>
        <rFont val="仿宋_GB2312"/>
        <charset val="134"/>
      </rPr>
      <t>销售费用</t>
    </r>
  </si>
  <si>
    <r>
      <rPr>
        <sz val="10"/>
        <color indexed="8"/>
        <rFont val="仿宋_GB2312"/>
        <charset val="134"/>
      </rPr>
      <t>建筑物重置价值</t>
    </r>
    <r>
      <rPr>
        <sz val="10"/>
        <color indexed="8"/>
        <rFont val="Arial"/>
        <family val="2"/>
      </rPr>
      <t>×</t>
    </r>
    <r>
      <rPr>
        <sz val="10"/>
        <color indexed="8"/>
        <rFont val="仿宋_GB2312"/>
        <charset val="134"/>
      </rPr>
      <t>费率</t>
    </r>
  </si>
  <si>
    <r>
      <rPr>
        <sz val="10"/>
        <color indexed="8"/>
        <rFont val="仿宋_GB2312"/>
        <charset val="134"/>
      </rPr>
      <t>销售费率（</t>
    </r>
    <r>
      <rPr>
        <sz val="10"/>
        <color indexed="8"/>
        <rFont val="Arial"/>
        <family val="2"/>
      </rPr>
      <t>%</t>
    </r>
    <r>
      <rPr>
        <sz val="10"/>
        <color indexed="8"/>
        <rFont val="仿宋_GB2312"/>
        <charset val="134"/>
      </rPr>
      <t>）</t>
    </r>
  </si>
  <si>
    <r>
      <rPr>
        <sz val="10"/>
        <color indexed="8"/>
        <rFont val="仿宋_GB2312"/>
        <charset val="134"/>
      </rPr>
      <t>土地面积（㎡）</t>
    </r>
  </si>
  <si>
    <r>
      <rPr>
        <sz val="10"/>
        <color indexed="8"/>
        <rFont val="宋体"/>
        <family val="3"/>
        <charset val="134"/>
      </rPr>
      <t>（</t>
    </r>
    <r>
      <rPr>
        <sz val="10"/>
        <color indexed="8"/>
        <rFont val="Arial"/>
        <family val="2"/>
      </rPr>
      <t>4）</t>
    </r>
  </si>
  <si>
    <r>
      <rPr>
        <sz val="10"/>
        <color indexed="8"/>
        <rFont val="仿宋_GB2312"/>
        <charset val="134"/>
      </rPr>
      <t>贷款利息</t>
    </r>
  </si>
  <si>
    <r>
      <rPr>
        <sz val="10"/>
        <color indexed="8"/>
        <rFont val="仿宋_GB2312"/>
        <charset val="134"/>
      </rPr>
      <t>维修费</t>
    </r>
  </si>
  <si>
    <r>
      <rPr>
        <sz val="10"/>
        <color indexed="8"/>
        <rFont val="仿宋_GB2312"/>
        <charset val="134"/>
      </rPr>
      <t>建筑物重置价值</t>
    </r>
    <r>
      <rPr>
        <sz val="10"/>
        <color indexed="8"/>
        <rFont val="Arial"/>
        <family val="2"/>
      </rPr>
      <t>×</t>
    </r>
    <r>
      <rPr>
        <sz val="10"/>
        <color indexed="8"/>
        <rFont val="仿宋_GB2312"/>
        <charset val="134"/>
      </rPr>
      <t>维修费率</t>
    </r>
  </si>
  <si>
    <r>
      <rPr>
        <sz val="10"/>
        <color indexed="8"/>
        <rFont val="仿宋_GB2312"/>
        <charset val="134"/>
      </rPr>
      <t>（</t>
    </r>
    <r>
      <rPr>
        <sz val="10"/>
        <color indexed="8"/>
        <rFont val="Arial"/>
        <family val="2"/>
      </rPr>
      <t>1</t>
    </r>
    <r>
      <rPr>
        <sz val="10"/>
        <color indexed="8"/>
        <rFont val="仿宋_GB2312"/>
        <charset val="134"/>
      </rPr>
      <t>）及（</t>
    </r>
    <r>
      <rPr>
        <sz val="10"/>
        <color indexed="8"/>
        <rFont val="Arial"/>
        <family val="2"/>
      </rPr>
      <t>2</t>
    </r>
    <r>
      <rPr>
        <sz val="10"/>
        <color indexed="8"/>
        <rFont val="仿宋_GB2312"/>
        <charset val="134"/>
      </rPr>
      <t>）</t>
    </r>
    <r>
      <rPr>
        <sz val="10"/>
        <color indexed="8"/>
        <rFont val="仿宋_GB2312"/>
        <charset val="134"/>
      </rPr>
      <t>项产生的利息</t>
    </r>
  </si>
  <si>
    <r>
      <rPr>
        <sz val="10"/>
        <color indexed="8"/>
        <rFont val="仿宋_GB2312"/>
        <charset val="134"/>
      </rPr>
      <t>建设周期（年）</t>
    </r>
  </si>
  <si>
    <r>
      <rPr>
        <sz val="10"/>
        <color indexed="8"/>
        <rFont val="仿宋_GB2312"/>
        <charset val="134"/>
      </rPr>
      <t>保险费</t>
    </r>
  </si>
  <si>
    <r>
      <rPr>
        <sz val="10"/>
        <color indexed="8"/>
        <rFont val="仿宋_GB2312"/>
        <charset val="134"/>
      </rPr>
      <t>现值</t>
    </r>
    <r>
      <rPr>
        <sz val="10"/>
        <color indexed="8"/>
        <rFont val="Arial"/>
        <family val="2"/>
      </rPr>
      <t>×</t>
    </r>
    <r>
      <rPr>
        <sz val="10"/>
        <color indexed="8"/>
        <rFont val="仿宋_GB2312"/>
        <charset val="134"/>
      </rPr>
      <t>保险费率</t>
    </r>
  </si>
  <si>
    <r>
      <rPr>
        <sz val="10"/>
        <color indexed="8"/>
        <rFont val="仿宋_GB2312"/>
        <charset val="134"/>
      </rPr>
      <t>销售费用产生的利息</t>
    </r>
  </si>
  <si>
    <r>
      <rPr>
        <sz val="10"/>
        <color indexed="8"/>
        <rFont val="仿宋_GB2312"/>
        <charset val="134"/>
      </rPr>
      <t>利息（</t>
    </r>
    <r>
      <rPr>
        <sz val="10"/>
        <color indexed="8"/>
        <rFont val="Arial"/>
        <family val="2"/>
      </rPr>
      <t>%</t>
    </r>
    <r>
      <rPr>
        <sz val="10"/>
        <color indexed="8"/>
        <rFont val="仿宋_GB2312"/>
        <charset val="134"/>
      </rPr>
      <t>）</t>
    </r>
  </si>
  <si>
    <r>
      <rPr>
        <sz val="10"/>
        <color indexed="8"/>
        <rFont val="仿宋_GB2312"/>
        <charset val="134"/>
      </rPr>
      <t>年总收益</t>
    </r>
    <r>
      <rPr>
        <sz val="10"/>
        <color indexed="8"/>
        <rFont val="Arial"/>
        <family val="2"/>
      </rPr>
      <t>×</t>
    </r>
    <r>
      <rPr>
        <sz val="10"/>
        <color indexed="8"/>
        <rFont val="仿宋_GB2312"/>
        <charset val="134"/>
      </rPr>
      <t>费率</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</si>
  <si>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</si>
  <si>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仿宋_GB2312"/>
        <charset val="134"/>
      </rPr>
      <t>利润</t>
    </r>
  </si>
  <si>
    <r>
      <rPr>
        <sz val="10"/>
        <color indexed="8"/>
        <rFont val="仿宋_GB2312"/>
        <charset val="134"/>
      </rPr>
      <t>（建造成本</t>
    </r>
    <r>
      <rPr>
        <sz val="10"/>
        <color indexed="8"/>
        <rFont val="Arial"/>
        <family val="2"/>
      </rPr>
      <t>+</t>
    </r>
    <r>
      <rPr>
        <sz val="10"/>
        <color indexed="8"/>
        <rFont val="仿宋_GB2312"/>
        <charset val="134"/>
      </rPr>
      <t>管理费用</t>
    </r>
    <r>
      <rPr>
        <sz val="10"/>
        <color indexed="8"/>
        <rFont val="Arial"/>
        <family val="2"/>
      </rPr>
      <t>+</t>
    </r>
    <r>
      <rPr>
        <sz val="10"/>
        <color indexed="8"/>
        <rFont val="仿宋_GB2312"/>
        <charset val="134"/>
      </rPr>
      <t>销售费用）</t>
    </r>
    <r>
      <rPr>
        <sz val="10"/>
        <color indexed="8"/>
        <rFont val="Arial"/>
        <family val="2"/>
      </rPr>
      <t>×</t>
    </r>
    <r>
      <rPr>
        <sz val="10"/>
        <color indexed="8"/>
        <rFont val="仿宋_GB2312"/>
        <charset val="134"/>
      </rPr>
      <t>利润率</t>
    </r>
  </si>
  <si>
    <t>不动产未来第一年净收益</t>
  </si>
  <si>
    <r>
      <rPr>
        <sz val="10"/>
        <color indexed="8"/>
        <rFont val="仿宋_GB2312"/>
        <charset val="134"/>
      </rPr>
      <t>年总收益</t>
    </r>
    <r>
      <rPr>
        <sz val="10"/>
        <color indexed="8"/>
        <rFont val="Arial"/>
        <family val="2"/>
      </rPr>
      <t>-</t>
    </r>
    <r>
      <rPr>
        <sz val="10"/>
        <color indexed="8"/>
        <rFont val="仿宋_GB2312"/>
        <charset val="134"/>
      </rPr>
      <t>年经营费用</t>
    </r>
  </si>
  <si>
    <r>
      <rPr>
        <sz val="10"/>
        <color indexed="8"/>
        <rFont val="仿宋_GB2312"/>
        <charset val="134"/>
      </rPr>
      <t>（</t>
    </r>
    <r>
      <rPr>
        <sz val="10"/>
        <color indexed="8"/>
        <rFont val="Arial"/>
        <family val="2"/>
      </rPr>
      <t>1</t>
    </r>
    <r>
      <rPr>
        <sz val="10"/>
        <color indexed="8"/>
        <rFont val="仿宋_GB2312"/>
        <charset val="134"/>
      </rPr>
      <t>）及（</t>
    </r>
    <r>
      <rPr>
        <sz val="10"/>
        <color indexed="8"/>
        <rFont val="Arial"/>
        <family val="2"/>
      </rPr>
      <t>2</t>
    </r>
    <r>
      <rPr>
        <sz val="10"/>
        <color indexed="8"/>
        <rFont val="仿宋_GB2312"/>
        <charset val="134"/>
      </rPr>
      <t>）项产生的利润</t>
    </r>
  </si>
  <si>
    <r>
      <rPr>
        <sz val="10"/>
        <color indexed="8"/>
        <rFont val="仿宋_GB2312"/>
        <charset val="134"/>
      </rPr>
      <t>（建造成本</t>
    </r>
    <r>
      <rPr>
        <sz val="10"/>
        <color indexed="8"/>
        <rFont val="Arial"/>
        <family val="2"/>
      </rPr>
      <t>+</t>
    </r>
    <r>
      <rPr>
        <sz val="10"/>
        <color indexed="8"/>
        <rFont val="仿宋_GB2312"/>
        <charset val="134"/>
      </rPr>
      <t>管理费用）</t>
    </r>
    <r>
      <rPr>
        <sz val="10"/>
        <color indexed="8"/>
        <rFont val="Arial"/>
        <family val="2"/>
      </rPr>
      <t>×</t>
    </r>
    <r>
      <rPr>
        <sz val="10"/>
        <color indexed="8"/>
        <rFont val="仿宋_GB2312"/>
        <charset val="134"/>
      </rPr>
      <t>利润率</t>
    </r>
  </si>
  <si>
    <r>
      <rPr>
        <sz val="10"/>
        <color indexed="8"/>
        <rFont val="仿宋_GB2312"/>
        <charset val="134"/>
      </rPr>
      <t>利润率（</t>
    </r>
    <r>
      <rPr>
        <sz val="10"/>
        <color indexed="8"/>
        <rFont val="Arial"/>
        <family val="2"/>
      </rPr>
      <t>%</t>
    </r>
    <r>
      <rPr>
        <sz val="10"/>
        <color indexed="8"/>
        <rFont val="仿宋_GB2312"/>
        <charset val="134"/>
      </rPr>
      <t>）</t>
    </r>
  </si>
  <si>
    <r>
      <rPr>
        <b/>
        <sz val="10"/>
        <color indexed="8"/>
        <rFont val="仿宋_GB2312"/>
        <charset val="134"/>
      </rPr>
      <t>租约外房地产收益价值</t>
    </r>
  </si>
  <si>
    <r>
      <rPr>
        <sz val="10"/>
        <color indexed="8"/>
        <rFont val="仿宋_GB2312"/>
        <charset val="134"/>
      </rPr>
      <t>房地产未来第一年净收益</t>
    </r>
    <r>
      <rPr>
        <sz val="10"/>
        <color indexed="8"/>
        <rFont val="Arial"/>
        <family val="2"/>
      </rPr>
      <t>×</t>
    </r>
  </si>
  <si>
    <r>
      <rPr>
        <sz val="10"/>
        <color indexed="8"/>
        <rFont val="仿宋_GB2312"/>
        <charset val="134"/>
      </rPr>
      <t>报酬率（</t>
    </r>
    <r>
      <rPr>
        <sz val="10"/>
        <color indexed="8"/>
        <rFont val="Arial"/>
        <family val="2"/>
      </rPr>
      <t>Y</t>
    </r>
    <r>
      <rPr>
        <sz val="10"/>
        <color indexed="8"/>
        <rFont val="仿宋_GB2312"/>
        <charset val="134"/>
      </rPr>
      <t>）</t>
    </r>
  </si>
  <si>
    <r>
      <rPr>
        <sz val="10"/>
        <color indexed="8"/>
        <rFont val="仿宋_GB2312"/>
        <charset val="134"/>
      </rPr>
      <t>销售费用产生的利润</t>
    </r>
  </si>
  <si>
    <r>
      <rPr>
        <sz val="10"/>
        <color indexed="8"/>
        <rFont val="仿宋_GB2312"/>
        <charset val="134"/>
      </rPr>
      <t>销售费用</t>
    </r>
    <r>
      <rPr>
        <sz val="10"/>
        <color indexed="8"/>
        <rFont val="Arial"/>
        <family val="2"/>
      </rPr>
      <t>×</t>
    </r>
    <r>
      <rPr>
        <sz val="10"/>
        <color indexed="8"/>
        <rFont val="仿宋_GB2312"/>
        <charset val="134"/>
      </rPr>
      <t>利润率</t>
    </r>
  </si>
  <si>
    <r>
      <rPr>
        <sz val="10"/>
        <color indexed="8"/>
        <rFont val="Arial"/>
        <family val="2"/>
      </rPr>
      <t>[1-</t>
    </r>
    <r>
      <rPr>
        <sz val="10"/>
        <color indexed="8"/>
        <rFont val="仿宋_GB2312"/>
        <charset val="134"/>
      </rPr>
      <t>（</t>
    </r>
    <r>
      <rPr>
        <sz val="10"/>
        <color indexed="8"/>
        <rFont val="Arial"/>
        <family val="2"/>
      </rPr>
      <t>(1+g)/(1+Y)</t>
    </r>
    <r>
      <rPr>
        <sz val="10"/>
        <color indexed="8"/>
        <rFont val="仿宋_GB2312"/>
        <charset val="134"/>
      </rPr>
      <t>）</t>
    </r>
    <r>
      <rPr>
        <sz val="10"/>
        <color indexed="8"/>
        <rFont val="Arial"/>
        <family val="2"/>
      </rPr>
      <t xml:space="preserve"> ^n ]/(Y-g)</t>
    </r>
  </si>
  <si>
    <r>
      <rPr>
        <sz val="10"/>
        <color indexed="8"/>
        <rFont val="仿宋_GB2312"/>
        <charset val="134"/>
      </rPr>
      <t>收益年期</t>
    </r>
    <r>
      <rPr>
        <sz val="10"/>
        <color indexed="8"/>
        <rFont val="Arial"/>
        <family val="2"/>
      </rPr>
      <t>(n)</t>
    </r>
  </si>
  <si>
    <r>
      <rPr>
        <sz val="10"/>
        <color indexed="8"/>
        <rFont val="宋体"/>
        <family val="3"/>
        <charset val="134"/>
      </rPr>
      <t>（</t>
    </r>
    <r>
      <rPr>
        <sz val="10"/>
        <color indexed="8"/>
        <rFont val="Arial"/>
        <family val="2"/>
      </rPr>
      <t>6</t>
    </r>
    <r>
      <rPr>
        <sz val="10"/>
        <color indexed="8"/>
        <rFont val="宋体"/>
        <family val="3"/>
        <charset val="134"/>
      </rPr>
      <t>）</t>
    </r>
  </si>
  <si>
    <r>
      <rPr>
        <sz val="10"/>
        <color indexed="8"/>
        <rFont val="仿宋_GB2312"/>
        <charset val="134"/>
      </rPr>
      <t>销售税费</t>
    </r>
  </si>
  <si>
    <r>
      <rPr>
        <sz val="10"/>
        <color indexed="8"/>
        <rFont val="仿宋_GB2312"/>
        <charset val="134"/>
      </rPr>
      <t>建筑物重置价值</t>
    </r>
    <r>
      <rPr>
        <sz val="10"/>
        <color indexed="8"/>
        <rFont val="Arial"/>
        <family val="2"/>
      </rPr>
      <t>×</t>
    </r>
    <r>
      <rPr>
        <sz val="10"/>
        <color indexed="8"/>
        <rFont val="仿宋_GB2312"/>
        <charset val="134"/>
      </rPr>
      <t>费率</t>
    </r>
    <r>
      <rPr>
        <sz val="10"/>
        <color indexed="8"/>
        <rFont val="Arial"/>
        <family val="2"/>
      </rPr>
      <t>/(1+5%)</t>
    </r>
  </si>
  <si>
    <r>
      <rPr>
        <sz val="10"/>
        <color indexed="8"/>
        <rFont val="仿宋_GB2312"/>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</si>
  <si>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</si>
  <si>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仿宋_GB2312"/>
        <charset val="134"/>
      </rPr>
      <t>建筑物重置价格（P</t>
    </r>
    <r>
      <rPr>
        <vertAlign val="subscript"/>
        <sz val="10"/>
        <color indexed="8"/>
        <rFont val="仿宋_GB2312"/>
        <charset val="134"/>
      </rPr>
      <t>建</t>
    </r>
    <r>
      <rPr>
        <sz val="10"/>
        <color indexed="8"/>
        <rFont val="仿宋_GB2312"/>
        <charset val="134"/>
      </rPr>
      <t>）</t>
    </r>
  </si>
  <si>
    <t>折现价格</t>
  </si>
  <si>
    <r>
      <rPr>
        <sz val="10"/>
        <color indexed="8"/>
        <rFont val="仿宋_GB2312"/>
        <charset val="134"/>
      </rPr>
      <t>房地产价值</t>
    </r>
    <r>
      <rPr>
        <sz val="10"/>
        <color indexed="8"/>
        <rFont val="Arial"/>
        <family val="2"/>
      </rPr>
      <t>÷</t>
    </r>
    <r>
      <rPr>
        <sz val="10"/>
        <color indexed="8"/>
        <rFont val="仿宋_GB2312"/>
        <charset val="134"/>
      </rPr>
      <t>建筑面积</t>
    </r>
  </si>
  <si>
    <t>3</t>
  </si>
  <si>
    <r>
      <rPr>
        <b/>
        <sz val="10"/>
        <color indexed="8"/>
        <rFont val="仿宋_GB2312"/>
        <charset val="134"/>
      </rPr>
      <t>年总费用</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</si>
  <si>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</si>
  <si>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仿宋_GB2312"/>
        <charset val="134"/>
      </rPr>
      <t>建筑物重置价格</t>
    </r>
    <r>
      <rPr>
        <sz val="10"/>
        <color indexed="8"/>
        <rFont val="Arial"/>
        <family val="2"/>
      </rPr>
      <t>×</t>
    </r>
    <r>
      <rPr>
        <sz val="10"/>
        <color indexed="8"/>
        <rFont val="仿宋_GB2312"/>
        <charset val="134"/>
      </rPr>
      <t>维修费率</t>
    </r>
  </si>
  <si>
    <r>
      <rPr>
        <b/>
        <sz val="10"/>
        <color indexed="8"/>
        <rFont val="仿宋_GB2312"/>
        <charset val="134"/>
      </rPr>
      <t>土地价格</t>
    </r>
  </si>
  <si>
    <r>
      <rPr>
        <sz val="11"/>
        <color indexed="8"/>
        <rFont val="仿宋_GB2312"/>
        <charset val="134"/>
      </rPr>
      <t>房地年纯收益</t>
    </r>
  </si>
  <si>
    <r>
      <rPr>
        <sz val="10"/>
        <color indexed="8"/>
        <rFont val="仿宋_GB2312"/>
        <charset val="134"/>
      </rPr>
      <t>年总收益</t>
    </r>
    <r>
      <rPr>
        <sz val="10"/>
        <color indexed="8"/>
        <rFont val="Arial"/>
        <family val="2"/>
      </rPr>
      <t>-</t>
    </r>
    <r>
      <rPr>
        <sz val="10"/>
        <color indexed="8"/>
        <rFont val="仿宋_GB2312"/>
        <charset val="134"/>
      </rPr>
      <t>年总费用</t>
    </r>
  </si>
  <si>
    <r>
      <rPr>
        <sz val="11"/>
        <color indexed="8"/>
        <rFont val="仿宋_GB2312"/>
        <charset val="134"/>
      </rPr>
      <t>房屋年纯收益</t>
    </r>
  </si>
  <si>
    <r>
      <rPr>
        <sz val="11"/>
        <color indexed="8"/>
        <rFont val="仿宋_GB2312"/>
        <charset val="134"/>
      </rPr>
      <t>建筑物价格</t>
    </r>
    <r>
      <rPr>
        <sz val="11"/>
        <color indexed="8"/>
        <rFont val="Arial"/>
        <family val="2"/>
      </rPr>
      <t>×</t>
    </r>
    <r>
      <rPr>
        <sz val="11"/>
        <color indexed="8"/>
        <rFont val="仿宋_GB2312"/>
        <charset val="134"/>
      </rPr>
      <t>建筑物还原率</t>
    </r>
  </si>
  <si>
    <t>建筑物资本化率</t>
  </si>
  <si>
    <r>
      <rPr>
        <sz val="11"/>
        <color indexed="8"/>
        <rFont val="仿宋_GB2312"/>
        <charset val="134"/>
      </rPr>
      <t>土地年纯收益</t>
    </r>
  </si>
  <si>
    <r>
      <rPr>
        <sz val="11"/>
        <color indexed="8"/>
        <rFont val="仿宋_GB2312"/>
        <charset val="134"/>
      </rPr>
      <t>房地年纯收益</t>
    </r>
    <r>
      <rPr>
        <sz val="11"/>
        <color indexed="8"/>
        <rFont val="Arial"/>
        <family val="2"/>
      </rPr>
      <t>-</t>
    </r>
    <r>
      <rPr>
        <sz val="11"/>
        <color indexed="8"/>
        <rFont val="仿宋_GB2312"/>
        <charset val="134"/>
      </rPr>
      <t>房屋年纯收益</t>
    </r>
  </si>
  <si>
    <r>
      <rPr>
        <sz val="11"/>
        <color indexed="8"/>
        <rFont val="仿宋_GB2312"/>
        <charset val="134"/>
      </rPr>
      <t>土地价格</t>
    </r>
  </si>
  <si>
    <r>
      <rPr>
        <sz val="11"/>
        <color indexed="8"/>
        <rFont val="仿宋_GB2312"/>
        <charset val="134"/>
      </rPr>
      <t>土地年纯收益</t>
    </r>
    <r>
      <rPr>
        <sz val="11"/>
        <color indexed="8"/>
        <rFont val="Arial"/>
        <family val="2"/>
      </rPr>
      <t>×</t>
    </r>
    <r>
      <rPr>
        <sz val="11"/>
        <color indexed="8"/>
        <rFont val="仿宋_GB2312"/>
        <charset val="134"/>
      </rPr>
      <t>（</t>
    </r>
    <r>
      <rPr>
        <sz val="11"/>
        <color indexed="8"/>
        <rFont val="Arial"/>
        <family val="2"/>
      </rPr>
      <t>1-1/</t>
    </r>
    <r>
      <rPr>
        <sz val="11"/>
        <color indexed="8"/>
        <rFont val="仿宋_GB2312"/>
        <charset val="134"/>
      </rPr>
      <t>（</t>
    </r>
    <r>
      <rPr>
        <sz val="11"/>
        <color indexed="8"/>
        <rFont val="Arial"/>
        <family val="2"/>
      </rPr>
      <t>1+y</t>
    </r>
    <r>
      <rPr>
        <sz val="11"/>
        <color indexed="8"/>
        <rFont val="仿宋_GB2312"/>
        <charset val="134"/>
      </rPr>
      <t>）</t>
    </r>
    <r>
      <rPr>
        <sz val="11"/>
        <color indexed="8"/>
        <rFont val="Arial"/>
        <family val="2"/>
      </rPr>
      <t>^n)/y</t>
    </r>
  </si>
  <si>
    <r>
      <rPr>
        <sz val="10"/>
        <color indexed="8"/>
        <rFont val="仿宋_GB2312"/>
        <charset val="134"/>
      </rPr>
      <t>土地还原率（</t>
    </r>
    <r>
      <rPr>
        <sz val="10"/>
        <color indexed="8"/>
        <rFont val="Arial"/>
        <family val="2"/>
      </rPr>
      <t>Y</t>
    </r>
    <r>
      <rPr>
        <sz val="10"/>
        <color indexed="8"/>
        <rFont val="仿宋_GB2312"/>
        <charset val="134"/>
      </rPr>
      <t>）</t>
    </r>
  </si>
  <si>
    <t>收益年期(n)</t>
  </si>
  <si>
    <t>超出收益期的土地使用年限或建筑物价值折现计算</t>
  </si>
  <si>
    <t>计算建筑物剩余价格折现</t>
  </si>
  <si>
    <t>建筑物结构</t>
  </si>
  <si>
    <t>土地使用年限</t>
  </si>
  <si>
    <t>项目</t>
  </si>
  <si>
    <t>数额</t>
  </si>
  <si>
    <t>计算公式</t>
  </si>
  <si>
    <t>建筑使用方向</t>
  </si>
  <si>
    <t>A</t>
  </si>
  <si>
    <t>收益期内收益价格（万元）</t>
  </si>
  <si>
    <t>依前述测算</t>
  </si>
  <si>
    <t>建成年代</t>
  </si>
  <si>
    <t>比较法土地结果</t>
  </si>
  <si>
    <t>B</t>
  </si>
  <si>
    <t>建筑物在收益期结束时的价格折现到估价期日的价格（万元）</t>
  </si>
  <si>
    <r>
      <rPr>
        <sz val="12"/>
        <color theme="1"/>
        <rFont val="楷体_GB2312"/>
        <charset val="134"/>
      </rPr>
      <t>建筑物重置价值</t>
    </r>
    <r>
      <rPr>
        <sz val="12"/>
        <color theme="1"/>
        <rFont val="Arial"/>
        <family val="2"/>
      </rPr>
      <t>×</t>
    </r>
    <r>
      <rPr>
        <sz val="12"/>
        <color theme="1"/>
        <rFont val="楷体_GB2312"/>
        <charset val="134"/>
      </rPr>
      <t>成新率/（1+建筑物报酬率）</t>
    </r>
    <r>
      <rPr>
        <vertAlign val="superscript"/>
        <sz val="12"/>
        <color theme="1"/>
        <rFont val="楷体_GB2312"/>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</si>
  <si>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</si>
  <si>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</si>
  <si>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</si>
  <si>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</si>
  <si>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</si>
  <si>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</si>
  <si>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</si>
  <si>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</si>
  <si>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</si>
  <si>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</si>
  <si>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</si>
  <si>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</si>
  <si>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</si>
  <si>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</si>
  <si>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</si>
  <si>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</si>
  <si>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</si>
  <si>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</si>
  <si>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</si>
  <si>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</si>
  <si>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</si>
  <si>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</si>
  <si>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</si>
  <si>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</si>
  <si>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</si>
  <si>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</si>
  <si>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</si>
  <si>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</si>
  <si>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family val="2"/>
      </rPr>
      <t>P</t>
    </r>
    <r>
      <rPr>
        <vertAlign val="subscript"/>
        <sz val="12"/>
        <color theme="1"/>
        <rFont val="Arial"/>
        <family val="2"/>
      </rPr>
      <t>n</t>
    </r>
    <r>
      <rPr>
        <sz val="12"/>
        <color theme="1"/>
        <rFont val="Arial"/>
        <family val="2"/>
      </rPr>
      <t>×</t>
    </r>
    <r>
      <rPr>
        <sz val="12"/>
        <color theme="1"/>
        <rFont val="楷体_GB2312"/>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charset val="134"/>
      </rPr>
      <t>）</t>
    </r>
  </si>
  <si>
    <t>土地使用年限结束后建筑物现值</t>
  </si>
  <si>
    <t>建筑物剩余耐用年限下的土地年期修正系数</t>
  </si>
  <si>
    <r>
      <rPr>
        <sz val="12"/>
        <color theme="1"/>
        <rFont val="楷体_GB2312"/>
        <charset val="134"/>
      </rPr>
      <t>剩余土地使用年限下的土地价格</t>
    </r>
    <r>
      <rPr>
        <sz val="12"/>
        <color theme="1"/>
        <rFont val="Arial"/>
        <family val="2"/>
      </rPr>
      <t>P</t>
    </r>
    <r>
      <rPr>
        <vertAlign val="subscript"/>
        <sz val="12"/>
        <color theme="1"/>
        <rFont val="Arial"/>
        <family val="2"/>
      </rPr>
      <t>n</t>
    </r>
    <r>
      <rPr>
        <sz val="12"/>
        <color theme="1"/>
        <rFont val="楷体_GB2312"/>
        <charset val="134"/>
      </rPr>
      <t>（万元）</t>
    </r>
  </si>
  <si>
    <t>建筑物剩余价值折现值</t>
  </si>
  <si>
    <t>剩余土地价值折现值</t>
  </si>
  <si>
    <r>
      <rPr>
        <sz val="12"/>
        <color theme="1"/>
        <rFont val="楷体_GB2312"/>
        <charset val="134"/>
      </rPr>
      <t>土地报酬率</t>
    </r>
    <r>
      <rPr>
        <sz val="12"/>
        <color theme="1"/>
        <rFont val="Arial"/>
        <family val="2"/>
      </rPr>
      <t>r</t>
    </r>
    <r>
      <rPr>
        <sz val="12"/>
        <color theme="1"/>
        <rFont val="楷体_GB2312"/>
        <charset val="134"/>
      </rPr>
      <t>（</t>
    </r>
    <r>
      <rPr>
        <sz val="12"/>
        <color theme="1"/>
        <rFont val="Arial"/>
        <family val="2"/>
      </rPr>
      <t>%</t>
    </r>
    <r>
      <rPr>
        <sz val="12"/>
        <color theme="1"/>
        <rFont val="楷体_GB2312"/>
        <charset val="134"/>
      </rPr>
      <t>）</t>
    </r>
  </si>
  <si>
    <r>
      <rPr>
        <sz val="12"/>
        <color theme="1"/>
        <rFont val="楷体_GB2312"/>
        <charset val="134"/>
      </rPr>
      <t>剩余土地使用年期下的土地年期修正系数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</si>
  <si>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charset val="134"/>
      </rPr>
      <t>－</t>
    </r>
    <r>
      <rPr>
        <sz val="12"/>
        <color theme="1"/>
        <rFont val="Arial"/>
        <family val="2"/>
      </rPr>
      <t>1÷(1+r) N]</t>
    </r>
  </si>
  <si>
    <t>结构类型</t>
  </si>
  <si>
    <t>生产用房</t>
  </si>
  <si>
    <t>受腐蚀的生产用房</t>
  </si>
  <si>
    <t>非生产用房</t>
  </si>
  <si>
    <t>残值率</t>
  </si>
  <si>
    <r>
      <rPr>
        <sz val="12"/>
        <color theme="1"/>
        <rFont val="楷体_GB2312"/>
        <charset val="134"/>
      </rPr>
      <t>建筑物剩余耐用年限下的土地年期修正系数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</si>
  <si>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charset val="134"/>
      </rPr>
      <t>－</t>
    </r>
    <r>
      <rPr>
        <sz val="12"/>
        <color theme="1"/>
        <rFont val="Arial"/>
        <family val="2"/>
      </rPr>
      <t>1÷(1+r) n]</t>
    </r>
  </si>
  <si>
    <t>钢</t>
  </si>
  <si>
    <t>钢混</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</si>
  <si>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</si>
  <si>
    <t>砖混</t>
  </si>
  <si>
    <r>
      <rPr>
        <sz val="14"/>
        <color theme="1"/>
        <rFont val="Arial"/>
        <family val="2"/>
      </rP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</si>
  <si>
    <r>
      <rPr>
        <sz val="12"/>
        <color rgb="FF000000"/>
        <rFont val="楷体_GB2312"/>
        <charset val="134"/>
      </rPr>
      <t>土地纯收益</t>
    </r>
    <r>
      <rPr>
        <sz val="12"/>
        <color theme="1"/>
        <rFont val="Arial"/>
        <family val="2"/>
      </rPr>
      <t>a</t>
    </r>
    <r>
      <rPr>
        <vertAlign val="subscript"/>
        <sz val="12"/>
        <color theme="1"/>
        <rFont val="Arial"/>
        <family val="2"/>
      </rPr>
      <t>t</t>
    </r>
    <r>
      <rPr>
        <sz val="12"/>
        <color theme="1"/>
        <rFont val="楷体_GB2312"/>
        <charset val="134"/>
      </rPr>
      <t>（万元）</t>
    </r>
  </si>
  <si>
    <t>a</t>
  </si>
  <si>
    <t>房地纯收益（万元）</t>
  </si>
  <si>
    <t>b</t>
  </si>
  <si>
    <t>建筑物现值（万元）</t>
  </si>
  <si>
    <t>c</t>
  </si>
  <si>
    <r>
      <rPr>
        <sz val="12"/>
        <color rgb="FF000000"/>
        <rFont val="楷体_GB2312"/>
        <charset val="134"/>
      </rPr>
      <t>建筑物资本化率</t>
    </r>
    <r>
      <rPr>
        <sz val="12"/>
        <color rgb="FF000000"/>
        <rFont val="Arial"/>
        <family val="2"/>
      </rPr>
      <t>g</t>
    </r>
    <r>
      <rPr>
        <sz val="12"/>
        <color rgb="FF000000"/>
        <rFont val="楷体_GB2312"/>
        <charset val="134"/>
      </rPr>
      <t>（</t>
    </r>
    <r>
      <rPr>
        <sz val="12"/>
        <color rgb="FF000000"/>
        <rFont val="Arial"/>
        <family val="2"/>
      </rPr>
      <t>%</t>
    </r>
    <r>
      <rPr>
        <sz val="12"/>
        <color rgb="FF000000"/>
        <rFont val="楷体_GB2312"/>
        <charset val="134"/>
      </rPr>
      <t>）</t>
    </r>
  </si>
  <si>
    <t>(E)</t>
  </si>
  <si>
    <r>
      <rPr>
        <b/>
        <sz val="16"/>
        <color indexed="10"/>
        <rFont val="仿宋_GB2312"/>
        <charset val="134"/>
      </rPr>
      <t>收益法</t>
    </r>
    <r>
      <rPr>
        <b/>
        <sz val="12"/>
        <rFont val="仿宋_GB2312"/>
        <charset val="134"/>
      </rPr>
      <t>（无租约及租期内）</t>
    </r>
  </si>
  <si>
    <t>土地（套用方法）</t>
  </si>
  <si>
    <r>
      <rPr>
        <b/>
        <sz val="12"/>
        <rFont val="仿宋_GB2312"/>
        <charset val="134"/>
      </rPr>
      <t>楼面单价</t>
    </r>
  </si>
  <si>
    <t>租金×月数×（1-空置率）</t>
  </si>
  <si>
    <r>
      <rPr>
        <sz val="10"/>
        <color indexed="8"/>
        <rFont val="仿宋_GB2312"/>
        <charset val="134"/>
      </rPr>
      <t>租金</t>
    </r>
    <r>
      <rPr>
        <sz val="10"/>
        <color indexed="8"/>
        <rFont val="Arial"/>
        <family val="2"/>
      </rPr>
      <t>×</t>
    </r>
    <r>
      <rPr>
        <sz val="10"/>
        <color indexed="8"/>
        <rFont val="仿宋_GB2312"/>
        <charset val="134"/>
      </rPr>
      <t>月数</t>
    </r>
    <r>
      <rPr>
        <sz val="10"/>
        <color indexed="8"/>
        <rFont val="Arial"/>
        <family val="2"/>
      </rPr>
      <t>×</t>
    </r>
    <r>
      <rPr>
        <sz val="10"/>
        <color indexed="8"/>
        <rFont val="仿宋_GB2312"/>
        <charset val="134"/>
      </rPr>
      <t>（</t>
    </r>
    <r>
      <rPr>
        <sz val="10"/>
        <color indexed="8"/>
        <rFont val="Arial"/>
        <family val="2"/>
      </rPr>
      <t>1-</t>
    </r>
    <r>
      <rPr>
        <sz val="10"/>
        <color indexed="8"/>
        <rFont val="仿宋_GB2312"/>
        <charset val="134"/>
      </rPr>
      <t>空置率）</t>
    </r>
  </si>
  <si>
    <t>押一</t>
  </si>
  <si>
    <r>
      <rPr>
        <sz val="10"/>
        <color indexed="8"/>
        <rFont val="仿宋_GB2312"/>
        <charset val="134"/>
      </rPr>
      <t>建筑物重置价格</t>
    </r>
    <r>
      <rPr>
        <sz val="10"/>
        <color indexed="8"/>
        <rFont val="Arial"/>
        <family val="2"/>
      </rPr>
      <t>×</t>
    </r>
    <r>
      <rPr>
        <sz val="10"/>
        <color indexed="8"/>
        <rFont val="仿宋_GB2312"/>
        <charset val="134"/>
      </rPr>
      <t>成新度</t>
    </r>
  </si>
  <si>
    <r>
      <rPr>
        <sz val="10"/>
        <color indexed="8"/>
        <rFont val="Arial"/>
        <family val="2"/>
      </rPr>
      <t>4</t>
    </r>
    <r>
      <rPr>
        <sz val="10"/>
        <color indexed="8"/>
        <rFont val="宋体"/>
        <family val="3"/>
        <charset val="134"/>
      </rPr>
      <t>）</t>
    </r>
  </si>
  <si>
    <r>
      <rPr>
        <sz val="10"/>
        <color indexed="8"/>
        <rFont val="Arial"/>
        <family val="2"/>
      </rPr>
      <t>5</t>
    </r>
    <r>
      <rPr>
        <sz val="10"/>
        <color indexed="8"/>
        <rFont val="宋体"/>
        <family val="3"/>
        <charset val="134"/>
      </rPr>
      <t>）</t>
    </r>
  </si>
  <si>
    <r>
      <rPr>
        <sz val="10"/>
        <color indexed="8"/>
        <rFont val="仿宋_GB2312"/>
        <charset val="134"/>
      </rPr>
      <t>建筑物重置价格</t>
    </r>
    <r>
      <rPr>
        <sz val="10"/>
        <color indexed="8"/>
        <rFont val="Arial"/>
        <family val="2"/>
      </rPr>
      <t>×</t>
    </r>
    <r>
      <rPr>
        <sz val="10"/>
        <color indexed="8"/>
        <rFont val="仿宋_GB2312"/>
        <charset val="134"/>
      </rPr>
      <t>费率</t>
    </r>
  </si>
  <si>
    <r>
      <rPr>
        <sz val="10"/>
        <color indexed="8"/>
        <rFont val="宋体"/>
        <family val="3"/>
        <charset val="134"/>
      </rPr>
      <t>（</t>
    </r>
    <r>
      <rPr>
        <sz val="10"/>
        <color indexed="8"/>
        <rFont val="Arial"/>
        <family val="2"/>
      </rPr>
      <t>4</t>
    </r>
    <r>
      <rPr>
        <sz val="10"/>
        <color indexed="8"/>
        <rFont val="宋体"/>
        <family val="3"/>
        <charset val="134"/>
      </rPr>
      <t>）</t>
    </r>
  </si>
  <si>
    <t>4</t>
  </si>
  <si>
    <t>5</t>
  </si>
  <si>
    <t>租约外不动产总价</t>
  </si>
  <si>
    <r>
      <rPr>
        <sz val="10"/>
        <color indexed="8"/>
        <rFont val="仿宋_GB2312"/>
        <charset val="134"/>
      </rPr>
      <t>还原率（</t>
    </r>
    <r>
      <rPr>
        <sz val="10"/>
        <color indexed="8"/>
        <rFont val="Arial"/>
        <family val="2"/>
      </rPr>
      <t>Y</t>
    </r>
    <r>
      <rPr>
        <sz val="10"/>
        <color indexed="8"/>
        <rFont val="仿宋_GB2312"/>
        <charset val="134"/>
      </rPr>
      <t>）</t>
    </r>
  </si>
  <si>
    <r>
      <rPr>
        <sz val="10"/>
        <color indexed="8"/>
        <rFont val="仿宋_GB2312"/>
        <charset val="134"/>
      </rPr>
      <t>建筑物重置价格</t>
    </r>
    <r>
      <rPr>
        <sz val="10"/>
        <color indexed="8"/>
        <rFont val="Arial"/>
        <family val="2"/>
      </rPr>
      <t>×</t>
    </r>
    <r>
      <rPr>
        <sz val="10"/>
        <color indexed="8"/>
        <rFont val="仿宋_GB2312"/>
        <charset val="134"/>
      </rPr>
      <t>费率</t>
    </r>
    <r>
      <rPr>
        <sz val="10"/>
        <color indexed="8"/>
        <rFont val="Arial"/>
        <family val="2"/>
      </rPr>
      <t>/(1+5%)</t>
    </r>
  </si>
  <si>
    <t>（7）</t>
  </si>
  <si>
    <t>6</t>
  </si>
  <si>
    <r>
      <rPr>
        <b/>
        <sz val="10"/>
        <color indexed="8"/>
        <rFont val="仿宋_GB2312"/>
        <charset val="134"/>
      </rPr>
      <t>折现价值</t>
    </r>
  </si>
  <si>
    <r>
      <rPr>
        <sz val="11"/>
        <color indexed="8"/>
        <rFont val="仿宋_GB2312"/>
        <charset val="134"/>
      </rPr>
      <t>分摊土地</t>
    </r>
    <r>
      <rPr>
        <sz val="11"/>
        <color indexed="8"/>
        <rFont val="Arial"/>
        <family val="2"/>
      </rPr>
      <t>/</t>
    </r>
    <r>
      <rPr>
        <sz val="11"/>
        <color indexed="8"/>
        <rFont val="仿宋_GB2312"/>
        <charset val="134"/>
      </rPr>
      <t>建筑物价值</t>
    </r>
  </si>
  <si>
    <r>
      <rPr>
        <sz val="10"/>
        <rFont val="仿宋_GB2312"/>
        <charset val="134"/>
      </rPr>
      <t>房屋年纯收益</t>
    </r>
  </si>
  <si>
    <r>
      <rPr>
        <sz val="10"/>
        <rFont val="仿宋_GB2312"/>
        <charset val="134"/>
      </rPr>
      <t>建筑物资本化率</t>
    </r>
  </si>
  <si>
    <r>
      <rPr>
        <b/>
        <sz val="10"/>
        <color indexed="8"/>
        <rFont val="仿宋_GB2312"/>
        <charset val="134"/>
      </rPr>
      <t>确定合理的建筑物与土地价值比例</t>
    </r>
  </si>
  <si>
    <r>
      <rPr>
        <b/>
        <sz val="10"/>
        <color indexed="10"/>
        <rFont val="Arial"/>
        <family val="2"/>
      </rPr>
      <t>1.</t>
    </r>
    <r>
      <rPr>
        <b/>
        <sz val="10"/>
        <color indexed="10"/>
        <rFont val="仿宋_GB2312"/>
        <charset val="134"/>
      </rPr>
      <t>收益比率</t>
    </r>
  </si>
  <si>
    <r>
      <rPr>
        <sz val="10"/>
        <rFont val="仿宋_GB2312"/>
        <charset val="134"/>
      </rPr>
      <t>建筑物年收益比率</t>
    </r>
  </si>
  <si>
    <t>不动产总价</t>
  </si>
  <si>
    <r>
      <rPr>
        <sz val="10"/>
        <rFont val="仿宋_GB2312"/>
        <charset val="134"/>
      </rPr>
      <t>土地年收益比率</t>
    </r>
  </si>
  <si>
    <r>
      <rPr>
        <b/>
        <sz val="10"/>
        <color indexed="10"/>
        <rFont val="Arial"/>
        <family val="2"/>
      </rPr>
      <t>2.</t>
    </r>
    <r>
      <rPr>
        <b/>
        <sz val="10"/>
        <color indexed="10"/>
        <rFont val="仿宋_GB2312"/>
        <charset val="134"/>
      </rPr>
      <t>成本比率</t>
    </r>
  </si>
  <si>
    <r>
      <rPr>
        <sz val="10"/>
        <color indexed="8"/>
        <rFont val="仿宋_GB2312"/>
        <charset val="134"/>
      </rPr>
      <t>建筑物价值比率</t>
    </r>
  </si>
  <si>
    <r>
      <rPr>
        <b/>
        <sz val="10"/>
        <color indexed="8"/>
        <rFont val="仿宋_GB2312"/>
        <charset val="134"/>
      </rPr>
      <t>单价</t>
    </r>
    <r>
      <rPr>
        <b/>
        <sz val="10"/>
        <color indexed="8"/>
        <rFont val="Arial"/>
        <family val="2"/>
      </rPr>
      <t>(</t>
    </r>
    <r>
      <rPr>
        <b/>
        <sz val="10"/>
        <color indexed="8"/>
        <rFont val="仿宋_GB2312"/>
        <charset val="134"/>
      </rPr>
      <t>元</t>
    </r>
    <r>
      <rPr>
        <b/>
        <sz val="10"/>
        <color indexed="8"/>
        <rFont val="Arial"/>
        <family val="2"/>
      </rPr>
      <t>/</t>
    </r>
    <r>
      <rPr>
        <b/>
        <sz val="10"/>
        <color indexed="8"/>
        <rFont val="仿宋_GB2312"/>
        <charset val="134"/>
      </rPr>
      <t>平方米</t>
    </r>
    <r>
      <rPr>
        <b/>
        <sz val="10"/>
        <color indexed="8"/>
        <rFont val="Arial"/>
        <family val="2"/>
      </rPr>
      <t>)</t>
    </r>
  </si>
  <si>
    <r>
      <rPr>
        <sz val="10"/>
        <color indexed="8"/>
        <rFont val="仿宋_GB2312"/>
        <charset val="134"/>
      </rPr>
      <t>收益价值</t>
    </r>
    <r>
      <rPr>
        <sz val="10"/>
        <color indexed="8"/>
        <rFont val="Arial"/>
        <family val="2"/>
      </rPr>
      <t>÷</t>
    </r>
    <r>
      <rPr>
        <sz val="10"/>
        <color indexed="8"/>
        <rFont val="仿宋_GB2312"/>
        <charset val="134"/>
      </rPr>
      <t>建筑面积</t>
    </r>
  </si>
  <si>
    <r>
      <rPr>
        <sz val="10"/>
        <color indexed="8"/>
        <rFont val="仿宋_GB2312"/>
        <charset val="134"/>
      </rPr>
      <t>建筑面积（㎡）</t>
    </r>
  </si>
  <si>
    <r>
      <rPr>
        <sz val="10"/>
        <color indexed="8"/>
        <rFont val="仿宋_GB2312"/>
        <charset val="134"/>
      </rPr>
      <t>土地价值比率</t>
    </r>
  </si>
  <si>
    <t>承租人权益价值</t>
  </si>
  <si>
    <r>
      <rPr>
        <b/>
        <sz val="10"/>
        <color indexed="8"/>
        <rFont val="仿宋_GB2312"/>
        <charset val="134"/>
      </rPr>
      <t>未来第一年年总收益</t>
    </r>
  </si>
  <si>
    <t>租金收入</t>
  </si>
  <si>
    <t>市场租金</t>
  </si>
  <si>
    <r>
      <rPr>
        <b/>
        <sz val="10"/>
        <color indexed="8"/>
        <rFont val="宋体"/>
        <family val="3"/>
        <charset val="134"/>
      </rPr>
      <t>（</t>
    </r>
    <r>
      <rPr>
        <b/>
        <sz val="10"/>
        <color indexed="8"/>
        <rFont val="Arial"/>
        <family val="2"/>
      </rPr>
      <t>2</t>
    </r>
    <r>
      <rPr>
        <b/>
        <sz val="10"/>
        <color indexed="8"/>
        <rFont val="宋体"/>
        <family val="3"/>
        <charset val="134"/>
      </rPr>
      <t>）</t>
    </r>
  </si>
  <si>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</si>
  <si>
    <t>否</t>
  </si>
  <si>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</si>
  <si>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</si>
  <si>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b/>
        <sz val="10"/>
        <rFont val="宋体"/>
        <family val="3"/>
        <charset val="134"/>
      </rPr>
      <t>总价</t>
    </r>
  </si>
  <si>
    <r>
      <rPr>
        <sz val="10"/>
        <rFont val="宋体"/>
        <family val="3"/>
        <charset val="134"/>
      </rPr>
      <t>万元</t>
    </r>
  </si>
  <si>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</si>
  <si>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</si>
  <si>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</si>
  <si>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</si>
  <si>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</si>
  <si>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</si>
  <si>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</si>
  <si>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</si>
  <si>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</si>
  <si>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</si>
  <si>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0"/>
        <rFont val="宋体"/>
        <family val="3"/>
        <charset val="134"/>
      </rPr>
      <t>建筑面积</t>
    </r>
  </si>
  <si>
    <r>
      <rPr>
        <b/>
        <sz val="10"/>
        <rFont val="宋体"/>
        <family val="3"/>
        <charset val="134"/>
      </rPr>
      <t>土地面积</t>
    </r>
  </si>
  <si>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</si>
  <si>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</si>
  <si>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</si>
  <si>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</si>
  <si>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</si>
  <si>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</si>
  <si>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</si>
  <si>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</si>
  <si>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</si>
  <si>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</si>
  <si>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</si>
  <si>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</si>
  <si>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</si>
  <si>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</si>
  <si>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</si>
  <si>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</si>
  <si>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</si>
  <si>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</si>
  <si>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</si>
  <si>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</si>
  <si>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</si>
  <si>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</si>
  <si>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</si>
  <si>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</si>
  <si>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</si>
  <si>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</si>
  <si>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</si>
  <si>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</si>
  <si>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</si>
  <si>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</si>
  <si>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</si>
  <si>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</si>
  <si>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</si>
  <si>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</si>
  <si>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</si>
  <si>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</si>
  <si>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</si>
  <si>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</si>
  <si>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</si>
  <si>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</si>
  <si>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</si>
  <si>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</si>
  <si>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</si>
  <si>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</si>
  <si>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</si>
  <si>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</si>
  <si>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</si>
  <si>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</si>
  <si>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</si>
  <si>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</si>
  <si>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</si>
  <si>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</si>
  <si>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</si>
  <si>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</si>
  <si>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</si>
  <si>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</si>
  <si>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</si>
  <si>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</si>
  <si>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</si>
  <si>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</si>
  <si>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</si>
  <si>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</si>
  <si>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</si>
  <si>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</si>
  <si>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</si>
  <si>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</si>
  <si>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</si>
  <si>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</si>
  <si>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</si>
  <si>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</si>
  <si>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</si>
  <si>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</si>
  <si>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</si>
  <si>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</si>
  <si>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</si>
  <si>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</si>
  <si>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</si>
  <si>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</si>
  <si>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</si>
  <si>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建筑面积</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</si>
  <si>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</si>
  <si>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</si>
  <si>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</si>
  <si>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</si>
  <si>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押金</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</si>
  <si>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</si>
  <si>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</si>
  <si>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</si>
  <si>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</si>
  <si>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</si>
  <si>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</si>
  <si>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</si>
  <si>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</si>
  <si>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</si>
  <si>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</si>
  <si>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</si>
  <si>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indexed="10"/>
        <rFont val="仿宋_GB2312"/>
        <charset val="134"/>
      </rPr>
      <t>成本逼近法</t>
    </r>
  </si>
  <si>
    <r>
      <rPr>
        <b/>
        <sz val="10"/>
        <rFont val="仿宋_GB2312"/>
        <charset val="134"/>
      </rPr>
      <t>总额</t>
    </r>
  </si>
  <si>
    <r>
      <rPr>
        <b/>
        <sz val="10"/>
        <rFont val="仿宋_GB2312"/>
        <charset val="134"/>
      </rPr>
      <t>面积</t>
    </r>
  </si>
  <si>
    <r>
      <rPr>
        <b/>
        <sz val="10"/>
        <rFont val="仿宋_GB2312"/>
        <charset val="134"/>
      </rPr>
      <t>单价</t>
    </r>
  </si>
  <si>
    <t>备注</t>
  </si>
  <si>
    <r>
      <rPr>
        <b/>
        <sz val="10"/>
        <rFont val="仿宋_GB2312"/>
        <charset val="134"/>
      </rPr>
      <t>土地取得费</t>
    </r>
  </si>
  <si>
    <r>
      <rPr>
        <b/>
        <sz val="10"/>
        <rFont val="宋体"/>
        <family val="3"/>
        <charset val="134"/>
      </rPr>
      <t>（</t>
    </r>
    <r>
      <rPr>
        <b/>
        <sz val="10"/>
        <rFont val="Arial"/>
        <family val="2"/>
      </rPr>
      <t>1</t>
    </r>
    <r>
      <rPr>
        <b/>
        <sz val="10"/>
        <rFont val="宋体"/>
        <family val="3"/>
        <charset val="134"/>
      </rPr>
      <t>）</t>
    </r>
  </si>
  <si>
    <t>补偿费</t>
  </si>
  <si>
    <r>
      <rPr>
        <b/>
        <sz val="10"/>
        <rFont val="宋体"/>
        <family val="3"/>
        <charset val="134"/>
      </rPr>
      <t>（</t>
    </r>
    <r>
      <rPr>
        <b/>
        <sz val="10"/>
        <rFont val="Arial"/>
        <family val="2"/>
      </rPr>
      <t>2</t>
    </r>
    <r>
      <rPr>
        <b/>
        <sz val="10"/>
        <rFont val="宋体"/>
        <family val="3"/>
        <charset val="134"/>
      </rPr>
      <t>）</t>
    </r>
  </si>
  <si>
    <t>安置补助费</t>
  </si>
  <si>
    <r>
      <rPr>
        <b/>
        <sz val="10"/>
        <rFont val="仿宋_GB2312"/>
        <charset val="134"/>
      </rPr>
      <t>土地开发费</t>
    </r>
  </si>
  <si>
    <r>
      <rPr>
        <sz val="10"/>
        <rFont val="仿宋_GB2312"/>
        <charset val="134"/>
      </rPr>
      <t>即宗地红线外市政费用及宗地红线内土地平整费用，根据待估宗地区域对土地开发成本来估算。</t>
    </r>
  </si>
  <si>
    <r>
      <rPr>
        <sz val="10"/>
        <rFont val="仿宋_GB2312"/>
        <charset val="134"/>
      </rPr>
      <t>城市基础设施建设费（行政收费）</t>
    </r>
  </si>
  <si>
    <t>红线外土地开发费</t>
  </si>
  <si>
    <t>1）</t>
  </si>
  <si>
    <r>
      <rPr>
        <i/>
        <sz val="10"/>
        <rFont val="仿宋_GB2312"/>
        <charset val="134"/>
      </rPr>
      <t>住宅</t>
    </r>
  </si>
  <si>
    <t>2）</t>
  </si>
  <si>
    <r>
      <rPr>
        <i/>
        <sz val="10"/>
        <rFont val="仿宋_GB2312"/>
        <charset val="134"/>
      </rPr>
      <t>非住宅</t>
    </r>
  </si>
  <si>
    <t>土地平整费</t>
  </si>
  <si>
    <t>红线内土地开发费</t>
  </si>
  <si>
    <r>
      <rPr>
        <b/>
        <sz val="10"/>
        <rFont val="宋体"/>
        <family val="3"/>
        <charset val="134"/>
      </rPr>
      <t>（</t>
    </r>
    <r>
      <rPr>
        <b/>
        <sz val="10"/>
        <rFont val="Arial"/>
        <family val="2"/>
      </rPr>
      <t>3）</t>
    </r>
  </si>
  <si>
    <t>其他费用</t>
  </si>
  <si>
    <t>其他可计入土地开发费的费用</t>
  </si>
  <si>
    <r>
      <rPr>
        <b/>
        <sz val="10"/>
        <rFont val="仿宋_GB2312"/>
        <charset val="134"/>
      </rPr>
      <t>税费</t>
    </r>
  </si>
  <si>
    <r>
      <rPr>
        <sz val="10"/>
        <rFont val="仿宋_GB2312"/>
        <charset val="134"/>
      </rPr>
      <t>在土地取得和开发过程中影响政府缴纳的税费，包括耕地占用税、耕地开垦费、征地管理费等以及其他在土地取得过程中直接相关的税费</t>
    </r>
  </si>
  <si>
    <r>
      <rPr>
        <b/>
        <sz val="10"/>
        <rFont val="仿宋_GB2312"/>
        <charset val="134"/>
      </rPr>
      <t>贷款利息</t>
    </r>
  </si>
  <si>
    <r>
      <rPr>
        <b/>
        <sz val="10"/>
        <rFont val="仿宋_GB2312"/>
        <charset val="134"/>
      </rPr>
      <t>利润</t>
    </r>
  </si>
  <si>
    <r>
      <rPr>
        <b/>
        <sz val="10"/>
        <rFont val="仿宋_GB2312"/>
        <charset val="134"/>
      </rPr>
      <t>（１＋２＋３）</t>
    </r>
    <r>
      <rPr>
        <b/>
        <sz val="10"/>
        <rFont val="Arial"/>
        <family val="2"/>
      </rPr>
      <t>×</t>
    </r>
    <r>
      <rPr>
        <b/>
        <sz val="10"/>
        <rFont val="仿宋_GB2312"/>
        <charset val="134"/>
      </rPr>
      <t>利润率</t>
    </r>
  </si>
  <si>
    <r>
      <rPr>
        <b/>
        <sz val="10"/>
        <rFont val="仿宋_GB2312"/>
        <charset val="134"/>
      </rPr>
      <t>土地成本价格</t>
    </r>
  </si>
  <si>
    <r>
      <rPr>
        <b/>
        <sz val="10"/>
        <rFont val="Arial"/>
        <family val="2"/>
      </rPr>
      <t>1-</t>
    </r>
    <r>
      <rPr>
        <b/>
        <sz val="10"/>
        <rFont val="仿宋_GB2312"/>
        <charset val="134"/>
      </rPr>
      <t>５项之和</t>
    </r>
  </si>
  <si>
    <r>
      <rPr>
        <b/>
        <sz val="10"/>
        <rFont val="仿宋_GB2312"/>
        <charset val="134"/>
      </rPr>
      <t>土地增值</t>
    </r>
  </si>
  <si>
    <r>
      <rPr>
        <b/>
        <sz val="10"/>
        <rFont val="仿宋_GB2312"/>
        <charset val="134"/>
      </rPr>
      <t>６</t>
    </r>
    <r>
      <rPr>
        <b/>
        <sz val="10"/>
        <rFont val="Arial"/>
        <family val="2"/>
      </rPr>
      <t>×</t>
    </r>
    <r>
      <rPr>
        <b/>
        <sz val="10"/>
        <rFont val="仿宋_GB2312"/>
        <charset val="134"/>
      </rPr>
      <t>增值率；参考政府土地出让收益计取</t>
    </r>
  </si>
  <si>
    <r>
      <rPr>
        <b/>
        <sz val="10"/>
        <rFont val="仿宋_GB2312"/>
        <charset val="134"/>
      </rPr>
      <t>无线年期土地价格</t>
    </r>
  </si>
  <si>
    <r>
      <rPr>
        <b/>
        <sz val="10"/>
        <rFont val="仿宋_GB2312"/>
        <charset val="134"/>
      </rPr>
      <t>６＋７</t>
    </r>
  </si>
  <si>
    <r>
      <rPr>
        <b/>
        <sz val="10"/>
        <rFont val="仿宋_GB2312"/>
        <charset val="134"/>
      </rPr>
      <t>有限年期土地价格</t>
    </r>
  </si>
  <si>
    <r>
      <rPr>
        <b/>
        <sz val="10"/>
        <rFont val="仿宋_GB2312"/>
        <charset val="134"/>
      </rPr>
      <t>８</t>
    </r>
    <r>
      <rPr>
        <b/>
        <sz val="10"/>
        <rFont val="Arial"/>
        <family val="2"/>
      </rPr>
      <t>×</t>
    </r>
    <r>
      <rPr>
        <b/>
        <sz val="10"/>
        <rFont val="仿宋_GB2312"/>
        <charset val="134"/>
      </rPr>
      <t>年期修正系数</t>
    </r>
  </si>
  <si>
    <r>
      <rPr>
        <b/>
        <sz val="10"/>
        <rFont val="仿宋_GB2312"/>
        <charset val="134"/>
      </rPr>
      <t>土地价格</t>
    </r>
    <r>
      <rPr>
        <b/>
        <sz val="10"/>
        <rFont val="Arial"/>
        <family val="2"/>
      </rPr>
      <t>-</t>
    </r>
    <r>
      <rPr>
        <b/>
        <sz val="10"/>
        <rFont val="仿宋_GB2312"/>
        <charset val="134"/>
      </rPr>
      <t>总价</t>
    </r>
  </si>
  <si>
    <r>
      <rPr>
        <b/>
        <sz val="16"/>
        <color indexed="10"/>
        <rFont val="仿宋_GB2312"/>
        <charset val="134"/>
      </rPr>
      <t>比较法</t>
    </r>
  </si>
  <si>
    <r>
      <rPr>
        <b/>
        <sz val="16"/>
        <rFont val="仿宋_GB2312"/>
        <charset val="134"/>
      </rPr>
      <t>住宅</t>
    </r>
  </si>
  <si>
    <r>
      <rPr>
        <b/>
        <sz val="16"/>
        <rFont val="仿宋_GB2312"/>
        <charset val="134"/>
      </rPr>
      <t>─</t>
    </r>
  </si>
  <si>
    <r>
      <rPr>
        <b/>
        <sz val="16"/>
        <color indexed="10"/>
        <rFont val="仿宋_GB2312"/>
        <charset val="134"/>
      </rPr>
      <t>录入顺序：主表的空白区域</t>
    </r>
    <r>
      <rPr>
        <b/>
        <sz val="16"/>
        <color indexed="10"/>
        <rFont val="Arial"/>
        <family val="2"/>
      </rPr>
      <t>-</t>
    </r>
    <r>
      <rPr>
        <b/>
        <sz val="16"/>
        <color indexed="10"/>
        <rFont val="仿宋_GB2312"/>
        <charset val="134"/>
      </rPr>
      <t>因素表空白区域</t>
    </r>
    <r>
      <rPr>
        <b/>
        <sz val="16"/>
        <color indexed="10"/>
        <rFont val="Arial"/>
        <family val="2"/>
      </rPr>
      <t>-</t>
    </r>
    <r>
      <rPr>
        <b/>
        <sz val="16"/>
        <color indexed="10"/>
        <rFont val="仿宋_GB2312"/>
        <charset val="134"/>
      </rPr>
      <t>主表黄色选项区域</t>
    </r>
    <r>
      <rPr>
        <b/>
        <sz val="16"/>
        <color indexed="10"/>
        <rFont val="Arial"/>
        <family val="2"/>
      </rPr>
      <t>-</t>
    </r>
    <r>
      <rPr>
        <b/>
        <sz val="16"/>
        <color indexed="10"/>
        <rFont val="仿宋_GB2312"/>
        <charset val="134"/>
      </rPr>
      <t>调节修正幅度</t>
    </r>
    <r>
      <rPr>
        <b/>
        <sz val="16"/>
        <color indexed="10"/>
        <rFont val="Arial"/>
        <family val="2"/>
      </rPr>
      <t>-</t>
    </r>
    <r>
      <rPr>
        <b/>
        <sz val="16"/>
        <color indexed="10"/>
        <rFont val="仿宋_GB2312"/>
        <charset val="134"/>
      </rPr>
      <t>完成</t>
    </r>
  </si>
  <si>
    <r>
      <rPr>
        <b/>
        <sz val="12"/>
        <rFont val="仿宋_GB2312"/>
        <charset val="134"/>
      </rPr>
      <t>建筑面积</t>
    </r>
  </si>
  <si>
    <r>
      <rPr>
        <sz val="11"/>
        <color indexed="8"/>
        <rFont val="仿宋_GB2312"/>
        <charset val="134"/>
      </rPr>
      <t>自然及人文环境</t>
    </r>
  </si>
  <si>
    <t>楼层-1</t>
  </si>
  <si>
    <r>
      <rPr>
        <sz val="11"/>
        <color indexed="8"/>
        <rFont val="仿宋_GB2312"/>
        <charset val="134"/>
      </rPr>
      <t>朝向</t>
    </r>
  </si>
  <si>
    <r>
      <rPr>
        <sz val="11"/>
        <color indexed="8"/>
        <rFont val="仿宋_GB2312"/>
        <charset val="134"/>
      </rPr>
      <t>道路级别</t>
    </r>
  </si>
  <si>
    <r>
      <rPr>
        <sz val="11"/>
        <color indexed="8"/>
        <rFont val="仿宋_GB2312"/>
        <charset val="134"/>
      </rPr>
      <t>建筑类型</t>
    </r>
  </si>
  <si>
    <r>
      <rPr>
        <sz val="11"/>
        <color indexed="8"/>
        <rFont val="仿宋_GB2312"/>
        <charset val="134"/>
      </rPr>
      <t>项目建筑规模</t>
    </r>
  </si>
  <si>
    <r>
      <rPr>
        <sz val="11"/>
        <color indexed="8"/>
        <rFont val="仿宋_GB2312"/>
        <charset val="134"/>
      </rPr>
      <t>建筑结构</t>
    </r>
  </si>
  <si>
    <r>
      <rPr>
        <sz val="11"/>
        <color indexed="8"/>
        <rFont val="仿宋_GB2312"/>
        <charset val="134"/>
      </rPr>
      <t>建筑品质</t>
    </r>
  </si>
  <si>
    <r>
      <rPr>
        <sz val="11"/>
        <color indexed="8"/>
        <rFont val="仿宋_GB2312"/>
        <charset val="134"/>
      </rPr>
      <t>公共部分装修</t>
    </r>
  </si>
  <si>
    <r>
      <rPr>
        <sz val="11"/>
        <color indexed="8"/>
        <rFont val="仿宋_GB2312"/>
        <charset val="134"/>
      </rPr>
      <t>成新度</t>
    </r>
  </si>
  <si>
    <r>
      <rPr>
        <sz val="11"/>
        <color indexed="8"/>
        <rFont val="仿宋_GB2312"/>
        <charset val="134"/>
      </rPr>
      <t>物业管理</t>
    </r>
  </si>
  <si>
    <t>市政基础设施</t>
  </si>
  <si>
    <r>
      <rPr>
        <sz val="11"/>
        <color indexed="8"/>
        <rFont val="仿宋_GB2312"/>
        <charset val="134"/>
      </rPr>
      <t>房型</t>
    </r>
  </si>
  <si>
    <r>
      <rPr>
        <sz val="11"/>
        <color indexed="8"/>
        <rFont val="仿宋_GB2312"/>
        <charset val="134"/>
      </rPr>
      <t>单套</t>
    </r>
    <r>
      <rPr>
        <sz val="11"/>
        <color indexed="8"/>
        <rFont val="Arial"/>
        <family val="2"/>
      </rPr>
      <t>/</t>
    </r>
    <r>
      <rPr>
        <sz val="11"/>
        <color indexed="8"/>
        <rFont val="仿宋_GB2312"/>
        <charset val="134"/>
      </rPr>
      <t>主力户型建筑面积</t>
    </r>
  </si>
  <si>
    <r>
      <rPr>
        <sz val="11"/>
        <color indexed="8"/>
        <rFont val="仿宋_GB2312"/>
        <charset val="134"/>
      </rPr>
      <t>内部装修</t>
    </r>
  </si>
  <si>
    <r>
      <rPr>
        <b/>
        <sz val="11"/>
        <rFont val="仿宋_GB2312"/>
        <charset val="134"/>
      </rPr>
      <t>成交单价（元</t>
    </r>
    <r>
      <rPr>
        <b/>
        <sz val="11"/>
        <rFont val="Arial"/>
        <family val="2"/>
      </rPr>
      <t>/</t>
    </r>
    <r>
      <rPr>
        <b/>
        <sz val="11"/>
        <rFont val="仿宋_GB2312"/>
        <charset val="134"/>
      </rPr>
      <t>平方米）</t>
    </r>
  </si>
  <si>
    <t>楼层修正-2：多层及高层同时修正时的处理，以普通无电梯多层为基准</t>
  </si>
  <si>
    <t>多层</t>
  </si>
  <si>
    <t>高层</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</si>
  <si>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</si>
  <si>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</si>
  <si>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</si>
  <si>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</si>
  <si>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</si>
  <si>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</si>
  <si>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</si>
  <si>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</si>
  <si>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</si>
  <si>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</si>
  <si>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</si>
  <si>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</si>
  <si>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</si>
  <si>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</si>
  <si>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</si>
  <si>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</si>
  <si>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b/>
        <sz val="16"/>
        <rFont val="仿宋_GB2312"/>
        <charset val="134"/>
      </rPr>
      <t>商业</t>
    </r>
  </si>
  <si>
    <r>
      <rPr>
        <sz val="11"/>
        <color indexed="8"/>
        <rFont val="仿宋_GB2312"/>
        <charset val="134"/>
      </rPr>
      <t>平面位置</t>
    </r>
    <r>
      <rPr>
        <sz val="11"/>
        <color indexed="8"/>
        <rFont val="Arial"/>
        <family val="2"/>
      </rPr>
      <t>/</t>
    </r>
    <r>
      <rPr>
        <sz val="11"/>
        <color indexed="8"/>
        <rFont val="仿宋_GB2312"/>
        <charset val="134"/>
      </rPr>
      <t>可视性</t>
    </r>
  </si>
  <si>
    <r>
      <rPr>
        <sz val="11"/>
        <color indexed="8"/>
        <rFont val="仿宋_GB2312"/>
        <charset val="134"/>
      </rPr>
      <t>人流量</t>
    </r>
  </si>
  <si>
    <r>
      <rPr>
        <sz val="11"/>
        <color indexed="8"/>
        <rFont val="仿宋_GB2312"/>
        <charset val="134"/>
      </rPr>
      <t>楼层</t>
    </r>
  </si>
  <si>
    <r>
      <rPr>
        <sz val="11"/>
        <color indexed="8"/>
        <rFont val="仿宋_GB2312"/>
        <charset val="134"/>
      </rPr>
      <t>商业类型</t>
    </r>
  </si>
  <si>
    <r>
      <rPr>
        <sz val="11"/>
        <color indexed="8"/>
        <rFont val="仿宋_GB2312"/>
        <charset val="134"/>
      </rPr>
      <t>业态</t>
    </r>
  </si>
  <si>
    <r>
      <rPr>
        <sz val="11"/>
        <color indexed="8"/>
        <rFont val="仿宋_GB2312"/>
        <charset val="134"/>
      </rPr>
      <t>层高</t>
    </r>
  </si>
  <si>
    <r>
      <rPr>
        <sz val="11"/>
        <color indexed="8"/>
        <rFont val="仿宋_GB2312"/>
        <charset val="134"/>
      </rPr>
      <t>单套建筑面积</t>
    </r>
  </si>
  <si>
    <r>
      <rPr>
        <sz val="11"/>
        <rFont val="仿宋_GB2312"/>
        <charset val="134"/>
      </rPr>
      <t>进深比</t>
    </r>
  </si>
  <si>
    <r>
      <rPr>
        <sz val="11"/>
        <color indexed="8"/>
        <rFont val="仿宋_GB2312"/>
        <charset val="134"/>
      </rPr>
      <t>进深比</t>
    </r>
  </si>
  <si>
    <r>
      <rPr>
        <b/>
        <sz val="16"/>
        <rFont val="仿宋_GB2312"/>
        <charset val="134"/>
      </rPr>
      <t>办公</t>
    </r>
  </si>
  <si>
    <r>
      <rPr>
        <sz val="11"/>
        <color indexed="8"/>
        <rFont val="仿宋_GB2312"/>
        <charset val="134"/>
      </rPr>
      <t>写字楼等级</t>
    </r>
  </si>
  <si>
    <r>
      <rPr>
        <sz val="11"/>
        <rFont val="仿宋_GB2312"/>
        <charset val="134"/>
      </rPr>
      <t>单套建筑面积</t>
    </r>
  </si>
  <si>
    <r>
      <rPr>
        <sz val="11"/>
        <rFont val="仿宋_GB2312"/>
        <charset val="134"/>
      </rPr>
      <t>层高</t>
    </r>
  </si>
  <si>
    <r>
      <rPr>
        <sz val="11"/>
        <color indexed="8"/>
        <rFont val="仿宋_GB2312"/>
        <charset val="134"/>
      </rPr>
      <t>内部装修状况</t>
    </r>
  </si>
  <si>
    <r>
      <rPr>
        <sz val="11"/>
        <rFont val="仿宋_GB2312"/>
        <charset val="134"/>
      </rPr>
      <t>内部装修维护状况</t>
    </r>
  </si>
  <si>
    <t>车位数</t>
  </si>
  <si>
    <r>
      <rPr>
        <sz val="11"/>
        <color indexed="8"/>
        <rFont val="仿宋_GB2312"/>
        <charset val="134"/>
      </rPr>
      <t>配套类型</t>
    </r>
  </si>
  <si>
    <r>
      <rPr>
        <sz val="11"/>
        <color indexed="8"/>
        <rFont val="仿宋_GB2312"/>
        <charset val="134"/>
      </rPr>
      <t>项目停车位配比</t>
    </r>
  </si>
  <si>
    <r>
      <rPr>
        <sz val="11"/>
        <color indexed="8"/>
        <rFont val="仿宋_GB2312"/>
        <charset val="134"/>
      </rPr>
      <t>成新率</t>
    </r>
  </si>
  <si>
    <r>
      <rPr>
        <sz val="11"/>
        <color indexed="8"/>
        <rFont val="仿宋_GB2312"/>
        <charset val="134"/>
      </rPr>
      <t>物业等级</t>
    </r>
  </si>
  <si>
    <r>
      <rPr>
        <sz val="11"/>
        <color indexed="8"/>
        <rFont val="仿宋_GB2312"/>
        <charset val="134"/>
      </rPr>
      <t>停车位面积</t>
    </r>
  </si>
  <si>
    <r>
      <rPr>
        <sz val="11"/>
        <color indexed="8"/>
        <rFont val="仿宋_GB2312"/>
        <charset val="134"/>
      </rPr>
      <t>车位类型</t>
    </r>
  </si>
  <si>
    <r>
      <rPr>
        <sz val="11"/>
        <color indexed="8"/>
        <rFont val="仿宋_GB2312"/>
        <charset val="134"/>
      </rPr>
      <t>是否直接入户</t>
    </r>
  </si>
  <si>
    <t>成交单价</t>
  </si>
  <si>
    <r>
      <rPr>
        <sz val="11"/>
        <color indexed="8"/>
        <rFont val="仿宋_GB2312"/>
        <charset val="134"/>
      </rPr>
      <t>配套类型（地上主用途）</t>
    </r>
  </si>
  <si>
    <r>
      <rPr>
        <sz val="11"/>
        <color indexed="8"/>
        <rFont val="仿宋_GB2312"/>
        <charset val="134"/>
      </rPr>
      <t>有无电梯</t>
    </r>
  </si>
  <si>
    <r>
      <rPr>
        <sz val="11"/>
        <color indexed="8"/>
        <rFont val="仿宋_GB2312"/>
        <charset val="134"/>
      </rPr>
      <t>是否封闭</t>
    </r>
  </si>
  <si>
    <t>加权平均</t>
  </si>
  <si>
    <r>
      <rPr>
        <sz val="10"/>
        <color indexed="8"/>
        <rFont val="楷体_GB2312"/>
        <charset val="134"/>
      </rPr>
      <t>修正项</t>
    </r>
  </si>
  <si>
    <r>
      <rPr>
        <sz val="10"/>
        <color indexed="8"/>
        <rFont val="楷体_GB2312"/>
        <charset val="134"/>
      </rPr>
      <t>说明</t>
    </r>
  </si>
  <si>
    <r>
      <rPr>
        <sz val="10"/>
        <color indexed="8"/>
        <rFont val="楷体_GB2312"/>
        <charset val="134"/>
      </rPr>
      <t>修正系数</t>
    </r>
  </si>
  <si>
    <r>
      <rPr>
        <sz val="10"/>
        <color indexed="8"/>
        <rFont val="楷体_GB2312"/>
        <charset val="134"/>
      </rPr>
      <t>建筑面积</t>
    </r>
  </si>
  <si>
    <r>
      <rPr>
        <sz val="10"/>
        <color theme="9" tint="-0.249977111117893"/>
        <rFont val="楷体_GB2312"/>
        <charset val="134"/>
      </rPr>
      <t>修正项</t>
    </r>
    <r>
      <rPr>
        <sz val="10"/>
        <color theme="9" tint="-0.249977111117893"/>
        <rFont val="Arial"/>
        <family val="2"/>
      </rPr>
      <t>2</t>
    </r>
  </si>
  <si>
    <r>
      <rPr>
        <sz val="10"/>
        <color theme="9" tint="-0.249977111117893"/>
        <rFont val="楷体_GB2312"/>
        <charset val="134"/>
      </rPr>
      <t>修正项</t>
    </r>
    <r>
      <rPr>
        <sz val="10"/>
        <color theme="9" tint="-0.249977111117893"/>
        <rFont val="Arial"/>
        <family val="2"/>
      </rPr>
      <t>3</t>
    </r>
  </si>
  <si>
    <r>
      <rPr>
        <sz val="10"/>
        <color theme="9" tint="-0.249977111117893"/>
        <rFont val="楷体_GB2312"/>
        <charset val="134"/>
      </rPr>
      <t>修正项</t>
    </r>
    <r>
      <rPr>
        <sz val="10"/>
        <color theme="9" tint="-0.249977111117893"/>
        <rFont val="Arial"/>
        <family val="2"/>
      </rPr>
      <t>4</t>
    </r>
  </si>
  <si>
    <r>
      <rPr>
        <sz val="10"/>
        <color theme="9" tint="-0.249977111117893"/>
        <rFont val="楷体_GB2312"/>
        <charset val="134"/>
      </rPr>
      <t>修正项</t>
    </r>
    <r>
      <rPr>
        <sz val="10"/>
        <color theme="9" tint="-0.249977111117893"/>
        <rFont val="Arial"/>
        <family val="2"/>
      </rPr>
      <t>5</t>
    </r>
  </si>
  <si>
    <r>
      <rPr>
        <sz val="10"/>
        <color theme="9" tint="-0.249977111117893"/>
        <rFont val="楷体_GB2312"/>
        <charset val="134"/>
      </rPr>
      <t>修正项</t>
    </r>
    <r>
      <rPr>
        <sz val="10"/>
        <color theme="9" tint="-0.249977111117893"/>
        <rFont val="Arial"/>
        <family val="2"/>
      </rPr>
      <t>6</t>
    </r>
  </si>
  <si>
    <r>
      <rPr>
        <sz val="10"/>
        <color theme="9" tint="-0.249977111117893"/>
        <rFont val="楷体_GB2312"/>
        <charset val="134"/>
      </rPr>
      <t>修正项</t>
    </r>
    <r>
      <rPr>
        <sz val="10"/>
        <color theme="9" tint="-0.249977111117893"/>
        <rFont val="Arial"/>
        <family val="2"/>
      </rPr>
      <t>7</t>
    </r>
  </si>
  <si>
    <t>修正系数</t>
  </si>
  <si>
    <r>
      <rPr>
        <b/>
        <sz val="12"/>
        <color indexed="8"/>
        <rFont val="仿宋_GB2312"/>
        <charset val="134"/>
      </rPr>
      <t>总价</t>
    </r>
  </si>
  <si>
    <r>
      <rPr>
        <b/>
        <sz val="10"/>
        <color indexed="8"/>
        <rFont val="仿宋_GB2312"/>
        <charset val="134"/>
      </rPr>
      <t>合计</t>
    </r>
  </si>
  <si>
    <r>
      <rPr>
        <sz val="10"/>
        <color indexed="8"/>
        <rFont val="仿宋_GB2312"/>
        <charset val="134"/>
      </rPr>
      <t>位置</t>
    </r>
    <r>
      <rPr>
        <sz val="10"/>
        <color indexed="8"/>
        <rFont val="Arial"/>
        <family val="2"/>
      </rPr>
      <t>/</t>
    </r>
    <r>
      <rPr>
        <sz val="10"/>
        <color indexed="8"/>
        <rFont val="仿宋_GB2312"/>
        <charset val="134"/>
      </rPr>
      <t>类型</t>
    </r>
  </si>
  <si>
    <r>
      <rPr>
        <sz val="10"/>
        <color indexed="8"/>
        <rFont val="仿宋_GB2312"/>
        <charset val="134"/>
      </rPr>
      <t>修正单价</t>
    </r>
  </si>
  <si>
    <r>
      <rPr>
        <sz val="10"/>
        <color indexed="8"/>
        <rFont val="仿宋_GB2312"/>
        <charset val="134"/>
      </rPr>
      <t>总价</t>
    </r>
  </si>
  <si>
    <r>
      <rPr>
        <b/>
        <sz val="10"/>
        <color indexed="10"/>
        <rFont val="仿宋_GB2312"/>
        <charset val="134"/>
      </rPr>
      <t>基准户型</t>
    </r>
  </si>
  <si>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</si>
  <si>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</si>
  <si>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</si>
  <si>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</si>
  <si>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</si>
  <si>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</si>
  <si>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</si>
  <si>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</si>
  <si>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</si>
  <si>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</si>
  <si>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</si>
  <si>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</si>
  <si>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</si>
  <si>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</si>
  <si>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</si>
  <si>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</si>
  <si>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</si>
  <si>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</si>
  <si>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</si>
  <si>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</si>
  <si>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</si>
  <si>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</si>
  <si>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</si>
  <si>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</si>
  <si>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</si>
  <si>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</si>
  <si>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</si>
  <si>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</si>
  <si>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</si>
  <si>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</si>
  <si>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地块名称</t>
  </si>
  <si>
    <t>土地位置</t>
  </si>
  <si>
    <t>用地性质</t>
  </si>
  <si>
    <t>建设用地面积(㎡)</t>
  </si>
  <si>
    <t>规划建筑面积(㎡)</t>
  </si>
  <si>
    <t>出让方式</t>
  </si>
  <si>
    <t>详细规划</t>
  </si>
  <si>
    <t>成交时间</t>
  </si>
  <si>
    <t>成交状态</t>
  </si>
  <si>
    <t>受让单位</t>
  </si>
  <si>
    <t>成交价(万元)</t>
  </si>
  <si>
    <t>成交土地单价(元/㎡)</t>
  </si>
  <si>
    <t>成交每亩价(万元/亩)</t>
  </si>
  <si>
    <t>成交楼面价(元/㎡)</t>
  </si>
  <si>
    <t>溢价率(%)</t>
  </si>
  <si>
    <t>出让年限(年)</t>
  </si>
  <si>
    <t>海港开发区港滨南街以南、海保路以东</t>
  </si>
  <si>
    <t>2023-017号地块</t>
  </si>
  <si>
    <t xml:space="preserve"> 海港开发区港滨南街以南、海保路以东</t>
  </si>
  <si>
    <t xml:space="preserve"> 工业用地</t>
  </si>
  <si>
    <t xml:space="preserve"> --</t>
  </si>
  <si>
    <t xml:space="preserve"> 1.000≤</t>
  </si>
  <si>
    <t xml:space="preserve"> 挂牌</t>
  </si>
  <si>
    <t xml:space="preserve"> 已成交</t>
  </si>
  <si>
    <t xml:space="preserve"> 唐山蓝仓海洋科技有限公司  </t>
  </si>
  <si>
    <t xml:space="preserve"> 50年</t>
  </si>
  <si>
    <t>港前街以南、36-40堆场以东</t>
  </si>
  <si>
    <t>2023-014</t>
  </si>
  <si>
    <t xml:space="preserve"> 港前街以南、36-40堆场以东</t>
  </si>
  <si>
    <t xml:space="preserve"> 唐山美达供应链管理有限公司  </t>
  </si>
  <si>
    <t>海港开发区港前街以南、36-40堆场以东</t>
  </si>
  <si>
    <t>2023-015</t>
  </si>
  <si>
    <t xml:space="preserve"> 海港开发区港前街以南、36-40堆场以东</t>
  </si>
  <si>
    <t xml:space="preserve"> 唐山文石供应链有限公司  </t>
  </si>
  <si>
    <t>北至空地,南至道路,东至河北尚格展览服务有限公司,西至道路</t>
  </si>
  <si>
    <t>汉沽管理区2022年拟出让12号地块</t>
  </si>
  <si>
    <t xml:space="preserve"> 北至空地,南至道路,东至河北尚格展览服务有限公司,西至道路</t>
  </si>
  <si>
    <t xml:space="preserve"> 拍卖</t>
  </si>
  <si>
    <t xml:space="preserve"> 优驰(唐山)展览有限公司  </t>
  </si>
  <si>
    <t>中山大街以北、海华路以西</t>
  </si>
  <si>
    <t>2023-010</t>
  </si>
  <si>
    <t xml:space="preserve"> 中山大街以北、海华路以西</t>
  </si>
  <si>
    <t xml:space="preserve"> 0.700≤ 并且 ≤1.500</t>
  </si>
  <si>
    <t xml:space="preserve"> 唐山锌卓越环保科技有限公司  </t>
  </si>
  <si>
    <t>东至:道路;西至:北极(唐山)冷链技术有限公司;南至:道路;北至:汉沽管理区2023年拟出让19号地块</t>
  </si>
  <si>
    <t>130232002001GB00246</t>
  </si>
  <si>
    <t xml:space="preserve"> 东至:道路;西至:北极(唐山)冷链技术有限公司;南至:道路;北至:汉沽管理区2023年拟出让19号地块</t>
  </si>
  <si>
    <t xml:space="preserve"> 德得包装材料河北有限公司  </t>
  </si>
  <si>
    <t>北至北海路、东至乐亭县新奥胶乳有限公司、西至乐亭县新奥胶乳有限公司</t>
  </si>
  <si>
    <t>130225020001GB00363</t>
  </si>
  <si>
    <t xml:space="preserve"> 北至北海路、东至乐亭县新奥胶乳有限公司、西至乐亭县新奥胶乳有限公司</t>
  </si>
  <si>
    <t xml:space="preserve"> 乐亭县新奥胶乳有限公司  </t>
  </si>
  <si>
    <t>唐山海港开发区文化大街以南、中浩大路以东</t>
  </si>
  <si>
    <t>2023-011</t>
  </si>
  <si>
    <t xml:space="preserve"> 唐山海港开发区文化大街以南、中浩大路以东</t>
  </si>
  <si>
    <t xml:space="preserve"> 唐山开滦化工科技有限公司  </t>
  </si>
  <si>
    <t>唐山海港开发区港前街以南、36-40堆场以东</t>
  </si>
  <si>
    <t>2023-012号地块</t>
  </si>
  <si>
    <t xml:space="preserve"> 唐山海港开发区港前街以南、36-40堆场以东</t>
  </si>
  <si>
    <t xml:space="preserve"> 唐山海港区慧轮达物流有限公司  </t>
  </si>
  <si>
    <t>2023-006</t>
  </si>
  <si>
    <t xml:space="preserve"> 大于或等于1</t>
  </si>
  <si>
    <t xml:space="preserve"> 唐山港集团股份有限公司  </t>
  </si>
  <si>
    <t>港滨街以南、海富路以东</t>
  </si>
  <si>
    <t>2023-001</t>
  </si>
  <si>
    <t xml:space="preserve"> 港滨街以南、海富路以东</t>
  </si>
  <si>
    <t xml:space="preserve"> 大于或等于1并且小于或等于1.5</t>
  </si>
  <si>
    <t xml:space="preserve"> 唐山海港经济开发区住房和城乡建设管理局  </t>
  </si>
  <si>
    <t>2023-005号地块</t>
  </si>
  <si>
    <t xml:space="preserve"> 唐山市秉诺金属制品有限公司  </t>
  </si>
  <si>
    <t>乐亭县宝磊板带制造有限公司西侧、唐山宝弘仓储物流有限公司北侧</t>
  </si>
  <si>
    <t>130225020001GB00340</t>
  </si>
  <si>
    <t xml:space="preserve"> 乐亭县宝磊板带制造有限公司西侧、唐山宝弘仓储物流有限公司北侧</t>
  </si>
  <si>
    <t xml:space="preserve"> 乐亭县宝盛实业有限公司  </t>
  </si>
  <si>
    <t>河北乐亭经济开发区河北将派模架科技有限公司北侧、国有建设用地西侧</t>
  </si>
  <si>
    <t>130225020001GB00353</t>
  </si>
  <si>
    <t xml:space="preserve"> 河北乐亭经济开发区河北将派模架科技有限公司北侧、国有建设用地西侧</t>
  </si>
  <si>
    <t xml:space="preserve"> 河北将派模架科技有限公司  </t>
  </si>
  <si>
    <t>河北乐亭经济开发区北海路南侧、秦皇岛道西侧</t>
  </si>
  <si>
    <t>130225020001GB00354</t>
  </si>
  <si>
    <t xml:space="preserve"> 河北乐亭经济开发区北海路南侧、秦皇岛道西侧</t>
  </si>
  <si>
    <t xml:space="preserve"> 乐亭源美模架科技有限公司  </t>
  </si>
  <si>
    <t>河北乐亭经济开发区北海路东侧、秦皇岛道北侧</t>
  </si>
  <si>
    <t>130225020001GB00360</t>
  </si>
  <si>
    <t xml:space="preserve"> 河北乐亭经济开发区北海路东侧、秦皇岛道北侧</t>
  </si>
  <si>
    <t xml:space="preserve"> 天图数博科技(河北)有限公司  </t>
  </si>
  <si>
    <t>河北乐亭经济开发区唐山加特机械有限公司南侧、唐山筑翔实业有限公司北侧</t>
  </si>
  <si>
    <t>130225020001GB00352</t>
  </si>
  <si>
    <t xml:space="preserve"> 河北乐亭经济开发区唐山加特机械有限公司南侧、唐山筑翔实业有限公司北侧</t>
  </si>
  <si>
    <t xml:space="preserve"> 唐山筑翔实业有限责任公司  </t>
  </si>
  <si>
    <t>河北乐亭经济开发区秦皇岛道东侧、国有建设用地南侧</t>
  </si>
  <si>
    <t>130225020001GB00351</t>
  </si>
  <si>
    <t xml:space="preserve"> 河北乐亭经济开发区秦皇岛道东侧、国有建设用地南侧</t>
  </si>
  <si>
    <t xml:space="preserve"> 乐亭源中圆金属制品有限公司  </t>
  </si>
  <si>
    <t>唐山市祥晟化工有限公司南侧、乐亭航天万源新能源科技有限公司东侧</t>
  </si>
  <si>
    <t>130225020001GB00384</t>
  </si>
  <si>
    <t xml:space="preserve"> 唐山市祥晟化工有限公司南侧、乐亭航天万源新能源科技有限公司东侧</t>
  </si>
  <si>
    <t xml:space="preserve"> 远景能源(乐亭)有限公司  </t>
  </si>
  <si>
    <t>大清河盐场075乡道以西</t>
  </si>
  <si>
    <t>2022-031</t>
  </si>
  <si>
    <t xml:space="preserve"> 大清河盐场075乡道以西</t>
  </si>
  <si>
    <t xml:space="preserve"> 大于或等于0.7并且小于或等于1.5</t>
  </si>
  <si>
    <t xml:space="preserve"> 河北长芦大清河盐化集团有限公司  </t>
  </si>
  <si>
    <t>文化大街以北、海靖路以西</t>
  </si>
  <si>
    <t>2022-029</t>
  </si>
  <si>
    <t xml:space="preserve"> 文化大街以北、海靖路以西</t>
  </si>
  <si>
    <t xml:space="preserve"> 河北优立丰农业科技有限公司  </t>
  </si>
  <si>
    <t>大清河盐场075乡道以北</t>
  </si>
  <si>
    <t>2022-030</t>
  </si>
  <si>
    <t xml:space="preserve"> 大清河盐场075乡道以北</t>
  </si>
  <si>
    <t xml:space="preserve"> 唐山滨晨海水养殖有限公司  </t>
  </si>
  <si>
    <t>河北乐亭经济开发区乐亭县宝盛实业有限公司南侧、唐山宝弘仓储物流有限公司西侧</t>
  </si>
  <si>
    <t>130225020001GB00339</t>
  </si>
  <si>
    <t xml:space="preserve"> 河北乐亭经济开发区乐亭县宝盛实业有限公司南侧、唐山宝弘仓储物流有限公司西侧</t>
  </si>
  <si>
    <t xml:space="preserve"> 唐山宝弘仓储物流有限公司  </t>
  </si>
  <si>
    <t>乐亭县城区工业聚集区创业二街南侧、高科二路东侧</t>
  </si>
  <si>
    <t>130225007009GB00085</t>
  </si>
  <si>
    <t xml:space="preserve"> 乐亭县城区工业聚集区创业二街南侧、高科二路东侧</t>
  </si>
  <si>
    <t xml:space="preserve"> 乐亭滨海发展有限公司  </t>
  </si>
  <si>
    <t>乐亭县城区工业聚集区创业二街北侧、高科五路东侧</t>
  </si>
  <si>
    <t>130225003031GB00008</t>
  </si>
  <si>
    <t xml:space="preserve"> 乐亭县城区工业聚集区创业二街北侧、高科五路东侧</t>
  </si>
  <si>
    <t>港滨南街以南、海保路以东</t>
  </si>
  <si>
    <t>2022-024</t>
  </si>
  <si>
    <t xml:space="preserve"> 港滨南街以南、海保路以东</t>
  </si>
  <si>
    <t xml:space="preserve"> 唐山港兴实业有限公司  </t>
  </si>
  <si>
    <t>文化大街以南、中材大路以西</t>
  </si>
  <si>
    <t>2021-005</t>
  </si>
  <si>
    <t xml:space="preserve"> 文化大街以南、中材大路以西</t>
  </si>
  <si>
    <t xml:space="preserve"> 唐山集禄科技有限公司  </t>
  </si>
  <si>
    <t>2022-023</t>
  </si>
  <si>
    <t xml:space="preserve"> 大于或等于0.8并且小于或等于1.5</t>
  </si>
  <si>
    <t xml:space="preserve"> 唐山海港经济开发区交通运输局  </t>
  </si>
  <si>
    <t>河北乐亭经济开发区秦皇岛道西侧、河北融科建材有限公司南侧</t>
  </si>
  <si>
    <t>130225020001GBA00011</t>
  </si>
  <si>
    <t xml:space="preserve"> 河北乐亭经济开发区秦皇岛道西侧、河北融科建材有限公司南侧</t>
  </si>
  <si>
    <t xml:space="preserve"> 唐山市开平区德隆环保设备有限公司  </t>
  </si>
  <si>
    <t>文化大街以南、海靖路以东</t>
  </si>
  <si>
    <t>2022-022</t>
  </si>
  <si>
    <t xml:space="preserve"> 文化大街以南、海靖路以东</t>
  </si>
  <si>
    <t xml:space="preserve"> 唐山氢扬新能源科技有限公司  </t>
  </si>
  <si>
    <t>2022-021</t>
  </si>
  <si>
    <t xml:space="preserve"> 唐山海港区多越多商贸有限公司  </t>
  </si>
  <si>
    <t>河北乐亭经济开发区营口道西侧、国有建设用地北侧</t>
  </si>
  <si>
    <t>130225004073GB00018</t>
  </si>
  <si>
    <t xml:space="preserve"> 河北乐亭经济开发区营口道西侧、国有建设用地北侧</t>
  </si>
  <si>
    <t xml:space="preserve"> 唐山筑安脚手架制造有限公司  </t>
  </si>
  <si>
    <t>河北乐亭经济开发区沿海公路南侧、营口道西侧、北海东路北侧</t>
  </si>
  <si>
    <t>130225004073GB00017</t>
  </si>
  <si>
    <t xml:space="preserve"> 河北乐亭经济开发区沿海公路南侧、营口道西侧、北海东路北侧</t>
  </si>
  <si>
    <t xml:space="preserve"> 唐山港旅机械设备制造有限公司  </t>
  </si>
  <si>
    <t>河北乐亭经济开发区营口道西侧、渤海东路北侧</t>
  </si>
  <si>
    <t>130225020001GB00334</t>
  </si>
  <si>
    <t xml:space="preserve"> 河北乐亭经济开发区营口道西侧、渤海东路北侧</t>
  </si>
  <si>
    <t xml:space="preserve"> 双辰包装(乐亭)有限公司  </t>
  </si>
  <si>
    <t>河北乐亭经济开发区沿海公路南侧、国有建设用地东侧</t>
  </si>
  <si>
    <t>130225004073GB00015</t>
  </si>
  <si>
    <t xml:space="preserve"> 河北乐亭经济开发区沿海公路南侧、国有建设用地东侧</t>
  </si>
  <si>
    <t>河北乐亭经济开发区沿海公路南侧、北海东路北侧</t>
  </si>
  <si>
    <t>130225004073GB00016</t>
  </si>
  <si>
    <t xml:space="preserve"> 河北乐亭经济开发区沿海公路南侧、北海东路北侧</t>
  </si>
  <si>
    <t>河北乐亭经济开发区渤海路北侧、河北将派模架科技有限公司东侧</t>
  </si>
  <si>
    <t>130225020001GB00304</t>
  </si>
  <si>
    <t xml:space="preserve"> 河北乐亭经济开发区渤海路北侧、河北将派模架科技有限公司东侧</t>
  </si>
  <si>
    <t xml:space="preserve"> 河北卓展实业有限公司  </t>
  </si>
  <si>
    <t>河北乐亭经济开发区北海东路南侧、河北将派模架科技有限公司北侧</t>
  </si>
  <si>
    <t>130225004073GB00011</t>
  </si>
  <si>
    <t xml:space="preserve"> 河北乐亭经济开发区北海东路南侧、河北将派模架科技有限公司北侧</t>
  </si>
  <si>
    <t xml:space="preserve"> 唐山峻凯实业有限公司  </t>
  </si>
  <si>
    <t>河北乐亭经济开发区渤海路北侧、唐山筑翔实业有限责任公司东侧</t>
  </si>
  <si>
    <t>130225020001GB00332</t>
  </si>
  <si>
    <t xml:space="preserve"> 河北乐亭经济开发区渤海路北侧、唐山筑翔实业有限责任公司东侧</t>
  </si>
  <si>
    <t xml:space="preserve"> 广旭实业乐亭县有限公司  </t>
  </si>
  <si>
    <t>河北乐亭经济开发区国有建设用地北侧、唐山弘燊钢结构有限公司东侧</t>
  </si>
  <si>
    <t>130225020001GB00313</t>
  </si>
  <si>
    <t xml:space="preserve"> 河北乐亭经济开发区国有建设用地北侧、唐山弘燊钢结构有限公司东侧</t>
  </si>
  <si>
    <t xml:space="preserve"> 河北锐滔实业有限公司  </t>
  </si>
  <si>
    <t>河北乐亭经济开发区北海东路南侧、国有建设用地北侧</t>
  </si>
  <si>
    <t>130225004073GB00012</t>
  </si>
  <si>
    <t xml:space="preserve"> 河北乐亭经济开发区北海东路南侧、国有建设用地北侧</t>
  </si>
  <si>
    <t xml:space="preserve"> 唐山加特机械制造有限公司  </t>
  </si>
  <si>
    <t>河北乐亭经济开发区沿海公路南侧、国有建设用地西侧</t>
  </si>
  <si>
    <t>130225004073GB00010</t>
  </si>
  <si>
    <t xml:space="preserve"> 河北乐亭经济开发区沿海公路南侧、国有建设用地西侧</t>
  </si>
  <si>
    <t xml:space="preserve"> 乐亭汇吉源环保设备有限公司  </t>
  </si>
  <si>
    <t>河北乐亭经济开发区秦皇岛道东侧、北海东路南侧</t>
  </si>
  <si>
    <t>130225004073GB00013</t>
  </si>
  <si>
    <t xml:space="preserve"> 河北乐亭经济开发区秦皇岛道东侧、北海东路南侧</t>
  </si>
  <si>
    <t>港兴大街以南、繁荣大路以东</t>
  </si>
  <si>
    <t>2022-010</t>
  </si>
  <si>
    <t xml:space="preserve"> 港兴大街以南、繁荣大路以东</t>
  </si>
  <si>
    <t xml:space="preserve"> 小于或等于1</t>
  </si>
  <si>
    <t xml:space="preserve"> 仓储用地</t>
  </si>
  <si>
    <t>港滨街以南、湖林新河以西</t>
  </si>
  <si>
    <t>2022-009</t>
  </si>
  <si>
    <t xml:space="preserve"> 港滨街以南、湖林新河以西</t>
  </si>
  <si>
    <t xml:space="preserve"> 小于或等于0.6</t>
  </si>
  <si>
    <t xml:space="preserve"> 贾会彬  </t>
  </si>
  <si>
    <t>港前街以南、海富路以东</t>
  </si>
  <si>
    <t>2022-003</t>
  </si>
  <si>
    <t xml:space="preserve"> 港前街以南、海富路以东</t>
  </si>
  <si>
    <t xml:space="preserve"> 河北扩疆铁塔制造有限公司  </t>
  </si>
  <si>
    <t>河北乐亭经济开发区天津道西侧、唐山浩昌杰环保科技发展有限公司南侧</t>
  </si>
  <si>
    <t>130225020001GB00247</t>
  </si>
  <si>
    <t xml:space="preserve"> 河北乐亭经济开发区天津道西侧、唐山浩昌杰环保科技发展有限公司南侧</t>
  </si>
  <si>
    <t xml:space="preserve"> 大于或等于0.8</t>
  </si>
  <si>
    <t xml:space="preserve"> 唐山浩昌杰环保科技有限公司  </t>
  </si>
  <si>
    <t>河北乐亭经济开发区天津道西侧、唐山泰岳化工有限公司南侧</t>
  </si>
  <si>
    <t>130225020001GB00330</t>
  </si>
  <si>
    <t xml:space="preserve"> 河北乐亭经济开发区天津道西侧、唐山泰岳化工有限公司南侧</t>
  </si>
  <si>
    <t xml:space="preserve"> 唐山睿典再生资源有限公司  </t>
  </si>
  <si>
    <t>河北乐亭经济开发区天津道西侧、唐山浩昌杰环保科技发展有限公司北侧</t>
  </si>
  <si>
    <t>130225020001GB00246</t>
  </si>
  <si>
    <t xml:space="preserve"> 河北乐亭经济开发区天津道西侧、唐山浩昌杰环保科技发展有限公司北侧</t>
  </si>
  <si>
    <t>河北乐亭经济开发区渤海路南侧、唐山石勇机械设备制造有限公司西侧</t>
  </si>
  <si>
    <t>130225020001GB00312</t>
  </si>
  <si>
    <t xml:space="preserve"> 河北乐亭经济开发区渤海路南侧、唐山石勇机械设备制造有限公司西侧</t>
  </si>
  <si>
    <t xml:space="preserve"> 唐山瑞乐实业有限公司  </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</si>
</sst>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8" formatCode="[DBNum1][$-804]yyyy&quot;年&quot;m&quot;月&quot;d&quot;日&quot;;@"/>
    <numFmt numFmtId="179" formatCode="0_ "/>
    <numFmt numFmtId="180" formatCode="yyyy/m/d;@"/>
    <numFmt numFmtId="181" formatCode="0.00_ "/>
    <numFmt numFmtId="182" formatCode="0.0_);[Red]\(0.0\)"/>
    <numFmt numFmtId="183" formatCode="0.0%"/>
    <numFmt numFmtId="184" formatCode="0_);[Red]\(0\)"/>
    <numFmt numFmtId="185" formatCode="yyyy&quot;年&quot;m&quot;月&quot;d&quot;日&quot;;@"/>
    <numFmt numFmtId="186" formatCode="0.00_);[Red]\(0.00\)"/>
    <numFmt numFmtId="187" formatCode="yyyy&quot;年&quot;m&quot;月&quot;;@"/>
    <numFmt numFmtId="188" formatCode="0.000_);[Red]\(0.000\)"/>
    <numFmt numFmtId="189" formatCode="0.0000_ "/>
    <numFmt numFmtId="190" formatCode="0.0_ "/>
    <numFmt numFmtId="191" formatCode="0.000%"/>
    <numFmt numFmtId="192" formatCode="0_ ;[Red]\-0\ "/>
    <numFmt numFmtId="193" formatCode="&quot;￥&quot;#,##0.00;[Red]\-&quot;￥&quot;#,##0.00"/>
    <numFmt numFmtId="194" formatCode="0.000_ "/>
    <numFmt numFmtId="195" formatCode="0;_쐀"/>
    <numFmt numFmtId="196" formatCode="[$-F800]dddd\,\ mmmm\ dd\,\ yyyy"/>
    <numFmt numFmtId="197" formatCode="0.0000_);[Red]\(0.0000\)"/>
  </numFmts>
  <fonts count="255">
    <font>
      <sz val="11"/>
      <color theme="1"/>
      <name val="宋体"/>
      <charset val="134"/>
      <scheme val="minor"/>
    </font>
    <font>
      <sz val="12"/>
      <color theme="1"/>
      <name val="宋体"/>
      <family val="3"/>
      <charset val="134"/>
      <scheme val="minor"/>
    </font>
    <font>
      <sz val="12"/>
      <color rgb="FFFF0000"/>
      <name val="宋体"/>
      <family val="3"/>
      <charset val="134"/>
      <scheme val="minor"/>
    </font>
    <font>
      <sz val="11"/>
      <color theme="1"/>
      <name val="宋体"/>
      <family val="3"/>
      <charset val="134"/>
      <scheme val="minor"/>
    </font>
    <font>
      <sz val="10"/>
      <name val="宋体"/>
      <family val="3"/>
      <charset val="134"/>
    </font>
    <font>
      <b/>
      <sz val="10"/>
      <name val="宋体"/>
      <family val="3"/>
      <charset val="134"/>
    </font>
    <font>
      <b/>
      <sz val="10"/>
      <color rgb="FFFF0000"/>
      <name val="宋体"/>
      <family val="3"/>
      <charset val="134"/>
    </font>
    <font>
      <b/>
      <sz val="11"/>
      <color theme="1"/>
      <name val="宋体"/>
      <family val="3"/>
      <charset val="134"/>
      <scheme val="minor"/>
    </font>
    <font>
      <b/>
      <sz val="11"/>
      <color rgb="FFFF0000"/>
      <name val="宋体"/>
      <family val="3"/>
      <charset val="134"/>
      <scheme val="minor"/>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0"/>
      <color theme="1"/>
      <name val="宋体"/>
      <family val="3"/>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sz val="10"/>
      <color indexed="8"/>
      <name val="Arial"/>
      <family val="2"/>
    </font>
    <font>
      <sz val="10"/>
      <name val="Arial"/>
      <family val="2"/>
    </font>
    <font>
      <sz val="10"/>
      <color indexed="10"/>
      <name val="Arial"/>
      <family val="2"/>
    </font>
    <font>
      <b/>
      <sz val="10"/>
      <color indexed="10"/>
      <name val="Arial"/>
      <family val="2"/>
    </font>
    <font>
      <b/>
      <sz val="10"/>
      <name val="Arial"/>
      <family val="2"/>
    </font>
    <font>
      <b/>
      <sz val="10"/>
      <color indexed="8"/>
      <name val="Arial"/>
      <family val="2"/>
    </font>
    <font>
      <sz val="10"/>
      <color theme="9" tint="-0.249977111117893"/>
      <name val="Arial"/>
      <family val="2"/>
    </font>
    <font>
      <b/>
      <sz val="10"/>
      <color indexed="8"/>
      <name val="宋体"/>
      <family val="3"/>
      <charset val="134"/>
    </font>
    <font>
      <sz val="10"/>
      <color indexed="8"/>
      <name val="楷体_GB2312"/>
      <charset val="134"/>
    </font>
    <font>
      <b/>
      <sz val="12"/>
      <color indexed="8"/>
      <name val="Arial"/>
      <family val="2"/>
    </font>
    <font>
      <b/>
      <sz val="10"/>
      <color theme="1"/>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1"/>
      <name val="Arial"/>
      <family val="2"/>
    </font>
    <font>
      <b/>
      <sz val="16"/>
      <color rgb="FFFF0000"/>
      <name val="Arial"/>
      <family val="2"/>
    </font>
    <font>
      <b/>
      <sz val="16"/>
      <name val="Arial"/>
      <family val="2"/>
    </font>
    <font>
      <b/>
      <sz val="16"/>
      <color indexed="10"/>
      <name val="Arial"/>
      <family val="2"/>
    </font>
    <font>
      <b/>
      <sz val="12"/>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name val="宋体"/>
      <family val="3"/>
      <charset val="134"/>
    </font>
    <font>
      <sz val="11"/>
      <color indexed="8"/>
      <name val="仿宋_GB2312"/>
      <charset val="134"/>
    </font>
    <font>
      <b/>
      <sz val="11"/>
      <color indexed="10"/>
      <name val="Arial"/>
      <family val="2"/>
    </font>
    <font>
      <b/>
      <sz val="11"/>
      <color indexed="53"/>
      <name val="Arial"/>
      <family val="2"/>
    </font>
    <font>
      <b/>
      <sz val="16"/>
      <color indexed="8"/>
      <name val="Arial"/>
      <family val="2"/>
    </font>
    <font>
      <sz val="12"/>
      <name val="Arial"/>
      <family val="2"/>
    </font>
    <font>
      <sz val="11"/>
      <color theme="1"/>
      <name val="Arial"/>
      <family val="2"/>
    </font>
    <font>
      <sz val="11"/>
      <name val="仿宋_GB2312"/>
      <charset val="134"/>
    </font>
    <font>
      <b/>
      <sz val="12"/>
      <name val="仿宋_GB2312"/>
      <charset val="134"/>
    </font>
    <font>
      <b/>
      <sz val="11"/>
      <name val="仿宋_GB2312"/>
      <charset val="134"/>
    </font>
    <font>
      <b/>
      <sz val="16"/>
      <name val="宋体"/>
      <family val="3"/>
      <charset val="134"/>
    </font>
    <font>
      <b/>
      <sz val="12"/>
      <color indexed="10"/>
      <name val="Arial"/>
      <family val="2"/>
    </font>
    <font>
      <sz val="11"/>
      <color rgb="FFFF0000"/>
      <name val="仿宋_GB2312"/>
      <charset val="134"/>
    </font>
    <font>
      <sz val="11"/>
      <color theme="1"/>
      <name val="仿宋_GB2312"/>
      <charset val="134"/>
    </font>
    <font>
      <sz val="12"/>
      <name val="仿宋_GB2312"/>
      <charset val="134"/>
    </font>
    <font>
      <sz val="11"/>
      <color rgb="FFFF0000"/>
      <name val="楷体_GB2312"/>
      <charset val="134"/>
    </font>
    <font>
      <b/>
      <sz val="12"/>
      <color theme="1"/>
      <name val="Arial"/>
      <family val="2"/>
    </font>
    <font>
      <b/>
      <sz val="10"/>
      <name val="仿宋_GB2312"/>
      <charset val="134"/>
    </font>
    <font>
      <i/>
      <sz val="10"/>
      <name val="仿宋_GB2312"/>
      <charset val="134"/>
    </font>
    <font>
      <i/>
      <sz val="10"/>
      <name val="Arial"/>
      <family val="2"/>
    </font>
    <font>
      <i/>
      <sz val="10"/>
      <name val="宋体"/>
      <family val="3"/>
      <charset val="134"/>
    </font>
    <font>
      <sz val="9"/>
      <name val="宋体"/>
      <family val="3"/>
      <charset val="134"/>
    </font>
    <font>
      <sz val="9"/>
      <name val="Arial"/>
      <family val="2"/>
    </font>
    <font>
      <b/>
      <sz val="10"/>
      <color theme="9" tint="-0.249977111117893"/>
      <name val="Arial"/>
      <family val="2"/>
    </font>
    <font>
      <sz val="10"/>
      <color theme="1"/>
      <name val="Arial"/>
      <family val="2"/>
    </font>
    <font>
      <sz val="12"/>
      <name val="宋体"/>
      <family val="3"/>
      <charset val="134"/>
    </font>
    <font>
      <b/>
      <sz val="12"/>
      <name val="宋体"/>
      <family val="3"/>
      <charset val="134"/>
    </font>
    <font>
      <sz val="12"/>
      <color indexed="10"/>
      <name val="Arial"/>
      <family val="2"/>
    </font>
    <font>
      <sz val="14"/>
      <name val="Arial"/>
      <family val="2"/>
    </font>
    <font>
      <sz val="10"/>
      <name val="楷体_GB2312"/>
      <charset val="134"/>
    </font>
    <font>
      <b/>
      <sz val="10"/>
      <color indexed="8"/>
      <name val="楷体_GB2312"/>
      <charset val="134"/>
    </font>
    <font>
      <i/>
      <sz val="10"/>
      <color indexed="8"/>
      <name val="宋体"/>
      <family val="3"/>
      <charset val="134"/>
    </font>
    <font>
      <sz val="10"/>
      <color indexed="8"/>
      <name val="仿宋_GB2312"/>
      <charset val="134"/>
    </font>
    <font>
      <sz val="10"/>
      <color indexed="8"/>
      <name val="宋体"/>
      <family val="3"/>
      <charset val="134"/>
    </font>
    <font>
      <b/>
      <sz val="10"/>
      <color rgb="FFFF0000"/>
      <name val="Arial"/>
      <family val="2"/>
    </font>
    <font>
      <b/>
      <sz val="20"/>
      <name val="Arial"/>
      <family val="2"/>
    </font>
    <font>
      <b/>
      <sz val="10"/>
      <color indexed="8"/>
      <name val="仿宋_GB2312"/>
      <charset val="134"/>
    </font>
    <font>
      <b/>
      <sz val="11"/>
      <color rgb="FFFF0000"/>
      <name val="宋体"/>
      <family val="3"/>
      <charset val="134"/>
    </font>
    <font>
      <sz val="12"/>
      <color indexed="8"/>
      <name val="Arial"/>
      <family val="2"/>
    </font>
    <font>
      <b/>
      <sz val="20"/>
      <color indexed="10"/>
      <name val="Arial"/>
      <family val="2"/>
    </font>
    <font>
      <sz val="20"/>
      <color indexed="8"/>
      <name val="Arial"/>
      <family val="2"/>
    </font>
    <font>
      <sz val="20"/>
      <name val="Arial"/>
      <family val="2"/>
    </font>
    <font>
      <b/>
      <sz val="12"/>
      <color rgb="FFFF0000"/>
      <name val="楷体_GB2312"/>
      <charset val="134"/>
    </font>
    <font>
      <sz val="12"/>
      <name val="楷体_GB2312"/>
      <charset val="134"/>
    </font>
    <font>
      <sz val="12"/>
      <color theme="1"/>
      <name val="楷体_GB2312"/>
      <charset val="134"/>
    </font>
    <font>
      <sz val="12"/>
      <color theme="1"/>
      <name val="Arial"/>
      <family val="2"/>
    </font>
    <font>
      <sz val="11"/>
      <color theme="1"/>
      <name val="楷体_GB2312"/>
      <charset val="134"/>
    </font>
    <font>
      <sz val="10"/>
      <color rgb="FFFF0000"/>
      <name val="Arial"/>
      <family val="2"/>
    </font>
    <font>
      <b/>
      <sz val="12"/>
      <name val="楷体_GB2312"/>
      <charset val="134"/>
    </font>
    <font>
      <b/>
      <sz val="12"/>
      <color rgb="FFFF0000"/>
      <name val="Arial"/>
      <family val="2"/>
    </font>
    <font>
      <sz val="12"/>
      <color rgb="FF000000"/>
      <name val="楷体_GB2312"/>
      <charset val="134"/>
    </font>
    <font>
      <sz val="14"/>
      <color theme="1"/>
      <name val="Arial"/>
      <family val="2"/>
    </font>
    <font>
      <sz val="10"/>
      <color indexed="62"/>
      <name val="Arial"/>
      <family val="2"/>
    </font>
    <font>
      <sz val="12"/>
      <color rgb="FFFF0000"/>
      <name val="楷体_GB2312"/>
      <charset val="134"/>
    </font>
    <font>
      <b/>
      <sz val="16"/>
      <color rgb="FFFF0000"/>
      <name val="宋体"/>
      <family val="3"/>
      <charset val="134"/>
      <scheme val="minor"/>
    </font>
    <font>
      <b/>
      <sz val="12"/>
      <color theme="1"/>
      <name val="宋体"/>
      <family val="3"/>
      <charset val="134"/>
      <scheme val="minor"/>
    </font>
    <font>
      <b/>
      <sz val="10"/>
      <color theme="1"/>
      <name val="楷体_GB2312"/>
      <charset val="134"/>
    </font>
    <font>
      <sz val="11"/>
      <color indexed="8"/>
      <name val="楷体_GB2312"/>
      <charset val="134"/>
    </font>
    <font>
      <b/>
      <sz val="10"/>
      <color theme="9" tint="-0.249977111117893"/>
      <name val="宋体"/>
      <family val="3"/>
      <charset val="134"/>
    </font>
    <font>
      <sz val="10"/>
      <color rgb="FF707070"/>
      <name val="Arial"/>
      <family val="2"/>
    </font>
    <font>
      <b/>
      <sz val="10"/>
      <color rgb="FF707070"/>
      <name val="Arial"/>
      <family val="2"/>
    </font>
    <font>
      <sz val="10"/>
      <name val="楷体_GB2312"/>
      <charset val="134"/>
    </font>
    <font>
      <b/>
      <sz val="10"/>
      <color theme="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12"/>
      <color rgb="FFFF0000"/>
      <name val="仿宋_GB2312"/>
      <charset val="134"/>
    </font>
    <font>
      <sz val="10"/>
      <name val="仿宋_GB2312"/>
      <charset val="134"/>
    </font>
    <font>
      <sz val="10"/>
      <color rgb="FF000000"/>
      <name val="仿宋_GB2312"/>
      <charset val="134"/>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9"/>
      <color theme="1"/>
      <name val="仿宋_GB2312"/>
      <charset val="134"/>
    </font>
    <font>
      <sz val="9"/>
      <color theme="1"/>
      <name val="仿宋_GB2312"/>
      <charset val="134"/>
    </font>
    <font>
      <b/>
      <sz val="9"/>
      <color theme="1"/>
      <name val="宋体"/>
      <family val="3"/>
      <charset val="134"/>
      <scheme val="minor"/>
    </font>
    <font>
      <sz val="11"/>
      <color rgb="FFFF0000"/>
      <name val="宋体"/>
      <family val="3"/>
      <charset val="134"/>
      <scheme val="minor"/>
    </font>
    <font>
      <sz val="11"/>
      <color theme="1"/>
      <name val="宋体"/>
      <family val="3"/>
      <charset val="134"/>
    </font>
    <font>
      <b/>
      <sz val="11"/>
      <color theme="1"/>
      <name val="宋体"/>
      <family val="3"/>
      <charset val="134"/>
    </font>
    <font>
      <sz val="10"/>
      <color theme="1"/>
      <name val="宋体"/>
      <family val="3"/>
      <charset val="134"/>
      <scheme val="minor"/>
    </font>
    <font>
      <b/>
      <sz val="10"/>
      <color theme="1"/>
      <name val="宋体"/>
      <family val="3"/>
      <charset val="134"/>
      <scheme val="minor"/>
    </font>
    <font>
      <b/>
      <sz val="16"/>
      <color rgb="FFFF0000"/>
      <name val="仿宋_GB2312"/>
      <charset val="134"/>
    </font>
    <font>
      <b/>
      <sz val="11"/>
      <name val="楷体_GB2312"/>
      <charset val="134"/>
    </font>
    <font>
      <b/>
      <sz val="11"/>
      <color theme="0" tint="-0.499984740745262"/>
      <name val="Arial"/>
      <family val="2"/>
    </font>
    <font>
      <b/>
      <sz val="10"/>
      <name val="楷体_GB2312"/>
      <charset val="134"/>
    </font>
    <font>
      <sz val="10"/>
      <color rgb="FFFF0000"/>
      <name val="仿宋_GB2312"/>
      <charset val="134"/>
    </font>
    <font>
      <sz val="11"/>
      <name val="楷体_GB2312"/>
      <charset val="134"/>
    </font>
    <font>
      <b/>
      <sz val="10"/>
      <color rgb="FFFF0000"/>
      <name val="仿宋_GB2312"/>
      <charset val="134"/>
    </font>
    <font>
      <b/>
      <sz val="11"/>
      <color rgb="FFFF0000"/>
      <name val="Arial"/>
      <family val="2"/>
    </font>
    <font>
      <sz val="10"/>
      <color theme="1"/>
      <name val="楷体_GB2312"/>
      <charset val="134"/>
    </font>
    <font>
      <sz val="10"/>
      <color theme="9" tint="-0.249977111117893"/>
      <name val="宋体"/>
      <family val="3"/>
      <charset val="134"/>
      <scheme val="minor"/>
    </font>
    <font>
      <b/>
      <sz val="11"/>
      <color rgb="FFFF0000"/>
      <name val="楷体_GB2312"/>
      <charset val="134"/>
    </font>
    <font>
      <sz val="11"/>
      <name val="宋体"/>
      <family val="3"/>
      <charset val="134"/>
    </font>
    <font>
      <sz val="10"/>
      <color rgb="FFFF0000"/>
      <name val="宋体"/>
      <family val="3"/>
      <charset val="134"/>
      <scheme val="minor"/>
    </font>
    <font>
      <sz val="10"/>
      <color indexed="53"/>
      <name val="Arial"/>
      <family val="2"/>
    </font>
    <font>
      <b/>
      <sz val="14"/>
      <color indexed="10"/>
      <name val="Arial"/>
      <family val="2"/>
    </font>
    <font>
      <b/>
      <sz val="14"/>
      <name val="Arial"/>
      <family val="2"/>
    </font>
    <font>
      <sz val="12"/>
      <color indexed="53"/>
      <name val="Arial"/>
      <family val="2"/>
    </font>
    <font>
      <sz val="11"/>
      <color rgb="FFFF0000"/>
      <name val="宋体"/>
      <family val="3"/>
      <charset val="134"/>
    </font>
    <font>
      <b/>
      <sz val="11"/>
      <color indexed="8"/>
      <name val="仿宋_GB2312"/>
      <charset val="134"/>
    </font>
    <font>
      <sz val="11"/>
      <color indexed="8"/>
      <name val="Arial"/>
      <family val="2"/>
    </font>
    <font>
      <sz val="11"/>
      <name val="Arial"/>
      <family val="2"/>
    </font>
    <font>
      <sz val="11"/>
      <color rgb="FF000000"/>
      <name val="宋体"/>
      <family val="3"/>
      <charset val="134"/>
    </font>
    <font>
      <sz val="11"/>
      <color indexed="8"/>
      <name val="宋体"/>
      <family val="3"/>
      <charset val="134"/>
    </font>
    <font>
      <b/>
      <sz val="11"/>
      <color theme="1"/>
      <name val="Arial"/>
      <family val="2"/>
    </font>
    <font>
      <b/>
      <sz val="11"/>
      <color indexed="8"/>
      <name val="楷体_GB2312"/>
      <charset val="134"/>
    </font>
    <font>
      <b/>
      <sz val="11"/>
      <color indexed="8"/>
      <name val="宋体"/>
      <family val="3"/>
      <charset val="134"/>
    </font>
    <font>
      <b/>
      <sz val="14"/>
      <color rgb="FFFF0000"/>
      <name val="楷体_GB2312"/>
      <charset val="134"/>
    </font>
    <font>
      <sz val="12"/>
      <color indexed="8"/>
      <name val="楷体_GB2312"/>
      <charset val="134"/>
    </font>
    <font>
      <sz val="11"/>
      <color rgb="FFFF0000"/>
      <name val="Arial"/>
      <family val="2"/>
    </font>
    <font>
      <u/>
      <sz val="10"/>
      <color indexed="8"/>
      <name val="Arial"/>
      <family val="2"/>
    </font>
    <font>
      <b/>
      <sz val="8"/>
      <color indexed="8"/>
      <name val="Arial"/>
      <family val="2"/>
    </font>
    <font>
      <b/>
      <sz val="9"/>
      <color indexed="8"/>
      <name val="Arial"/>
      <family val="2"/>
    </font>
    <font>
      <b/>
      <sz val="14"/>
      <color rgb="FFFF0000"/>
      <name val="Arial"/>
      <family val="2"/>
    </font>
    <font>
      <b/>
      <u/>
      <sz val="12"/>
      <color theme="1"/>
      <name val="Arial"/>
      <family val="2"/>
    </font>
    <font>
      <u/>
      <sz val="12"/>
      <color indexed="8"/>
      <name val="Arial"/>
      <family val="2"/>
    </font>
    <font>
      <b/>
      <u/>
      <sz val="12"/>
      <color indexed="8"/>
      <name val="Arial"/>
      <family val="2"/>
    </font>
    <font>
      <b/>
      <sz val="14"/>
      <color indexed="8"/>
      <name val="Arial"/>
      <family val="2"/>
    </font>
    <font>
      <sz val="14"/>
      <color indexed="8"/>
      <name val="Arial"/>
      <family val="2"/>
    </font>
    <font>
      <sz val="9"/>
      <color theme="1"/>
      <name val="Arial"/>
      <family val="2"/>
    </font>
    <font>
      <sz val="9"/>
      <color rgb="FFE36C0A"/>
      <name val="Arial"/>
      <family val="2"/>
    </font>
    <font>
      <b/>
      <sz val="9"/>
      <color theme="1"/>
      <name val="Arial"/>
      <family val="2"/>
    </font>
    <font>
      <b/>
      <u/>
      <sz val="9"/>
      <color rgb="FFE36C0A"/>
      <name val="Arial"/>
      <family val="2"/>
    </font>
    <font>
      <sz val="12"/>
      <color rgb="FF000000"/>
      <name val="Arial"/>
      <family val="2"/>
    </font>
    <font>
      <sz val="9"/>
      <color indexed="8"/>
      <name val="Arial"/>
      <family val="2"/>
    </font>
    <font>
      <b/>
      <sz val="10"/>
      <color rgb="FFE36C0A"/>
      <name val="Arial"/>
      <family val="2"/>
    </font>
    <font>
      <sz val="10"/>
      <color rgb="FFE36C0A"/>
      <name val="Arial"/>
      <family val="2"/>
    </font>
    <font>
      <sz val="10"/>
      <color rgb="FF000000"/>
      <name val="Arial"/>
      <family val="2"/>
    </font>
    <font>
      <sz val="10"/>
      <color rgb="FF000000"/>
      <name val="宋体"/>
      <family val="3"/>
      <charset val="134"/>
    </font>
    <font>
      <sz val="11"/>
      <color rgb="FF666666"/>
      <name val="微软雅黑"/>
      <family val="2"/>
      <charset val="134"/>
    </font>
    <font>
      <sz val="11"/>
      <color theme="1"/>
      <name val="宋体"/>
      <family val="3"/>
      <charset val="134"/>
      <scheme val="minor"/>
    </font>
    <font>
      <sz val="14"/>
      <color indexed="8"/>
      <name val="仿宋_GB2312"/>
      <charset val="134"/>
    </font>
    <font>
      <b/>
      <sz val="14"/>
      <color indexed="10"/>
      <name val="仿宋_GB2312"/>
      <charset val="134"/>
    </font>
    <font>
      <b/>
      <sz val="14"/>
      <color indexed="8"/>
      <name val="仿宋_GB2312"/>
      <charset val="134"/>
    </font>
    <font>
      <sz val="11"/>
      <color indexed="10"/>
      <name val="楷体_GB2312"/>
      <charset val="134"/>
    </font>
    <font>
      <sz val="12"/>
      <color theme="1"/>
      <name val="宋体"/>
      <family val="3"/>
      <charset val="134"/>
      <scheme val="minor"/>
    </font>
    <font>
      <sz val="9"/>
      <color indexed="8"/>
      <name val="宋体"/>
      <family val="3"/>
      <charset val="134"/>
    </font>
    <font>
      <sz val="9"/>
      <color rgb="FFFF0000"/>
      <name val="宋体"/>
      <family val="3"/>
      <charset val="134"/>
    </font>
    <font>
      <sz val="12"/>
      <color indexed="8"/>
      <name val="仿宋_GB2312"/>
      <charset val="134"/>
    </font>
    <font>
      <sz val="12"/>
      <color theme="9" tint="-0.249977111117893"/>
      <name val="仿宋_GB2312"/>
      <charset val="134"/>
    </font>
    <font>
      <sz val="12"/>
      <color rgb="FFFF0000"/>
      <name val="仿宋_GB2312"/>
      <charset val="134"/>
    </font>
    <font>
      <b/>
      <sz val="12"/>
      <color indexed="8"/>
      <name val="仿宋_GB2312"/>
      <charset val="134"/>
    </font>
    <font>
      <sz val="9"/>
      <color theme="1"/>
      <name val="宋体"/>
      <family val="3"/>
      <charset val="134"/>
      <scheme val="minor"/>
    </font>
    <font>
      <sz val="12"/>
      <color rgb="FFFF0000"/>
      <name val="宋体"/>
      <family val="3"/>
      <charset val="134"/>
      <scheme val="minor"/>
    </font>
    <font>
      <b/>
      <sz val="12"/>
      <color rgb="FFFF0000"/>
      <name val="宋体"/>
      <family val="3"/>
      <charset val="134"/>
      <scheme val="major"/>
    </font>
    <font>
      <b/>
      <sz val="12"/>
      <color theme="1"/>
      <name val="宋体"/>
      <family val="3"/>
      <charset val="134"/>
      <scheme val="major"/>
    </font>
    <font>
      <b/>
      <sz val="12"/>
      <color rgb="FFFF0000"/>
      <name val="宋体"/>
      <family val="3"/>
      <charset val="134"/>
      <scheme val="minor"/>
    </font>
    <font>
      <b/>
      <sz val="12"/>
      <color indexed="13"/>
      <name val="Arial"/>
      <family val="2"/>
    </font>
    <font>
      <sz val="12"/>
      <color theme="1"/>
      <name val="仿宋_GB2312"/>
      <charset val="134"/>
    </font>
    <font>
      <sz val="12"/>
      <color indexed="53"/>
      <name val="仿宋_GB2312"/>
      <charset val="134"/>
    </font>
    <font>
      <sz val="14"/>
      <color theme="1"/>
      <name val="仿宋_GB2312"/>
      <charset val="134"/>
    </font>
    <font>
      <sz val="10.5"/>
      <color theme="1"/>
      <name val="仿宋_GB2312"/>
      <charset val="134"/>
    </font>
    <font>
      <sz val="10.5"/>
      <color theme="9" tint="-0.249977111117893"/>
      <name val="仿宋_GB2312"/>
      <charset val="134"/>
    </font>
    <font>
      <sz val="10.5"/>
      <color rgb="FFE36C0A"/>
      <name val="仿宋_GB2312"/>
      <charset val="134"/>
    </font>
    <font>
      <b/>
      <sz val="10.5"/>
      <color rgb="FFE36C0A"/>
      <name val="仿宋_GB2312"/>
      <charset val="134"/>
    </font>
    <font>
      <sz val="10.5"/>
      <color theme="1"/>
      <name val="宋体"/>
      <family val="3"/>
      <charset val="134"/>
      <scheme val="minor"/>
    </font>
    <font>
      <b/>
      <u/>
      <sz val="10.5"/>
      <color rgb="FFE36C0A"/>
      <name val="仿宋_GB2312"/>
      <charset val="134"/>
    </font>
    <font>
      <b/>
      <sz val="18"/>
      <color theme="1"/>
      <name val="仿宋_GB2312"/>
      <charset val="134"/>
    </font>
    <font>
      <b/>
      <sz val="14"/>
      <color theme="1"/>
      <name val="仿宋_GB2312"/>
      <charset val="134"/>
    </font>
    <font>
      <b/>
      <sz val="14"/>
      <color rgb="FF000000"/>
      <name val="仿宋_GB2312"/>
      <charset val="134"/>
    </font>
    <font>
      <sz val="14"/>
      <color theme="9" tint="-0.249977111117893"/>
      <name val="仿宋_GB2312"/>
      <charset val="134"/>
    </font>
    <font>
      <i/>
      <sz val="14"/>
      <color theme="3" tint="0.39994506668294322"/>
      <name val="仿宋_GB2312"/>
      <charset val="134"/>
    </font>
    <font>
      <b/>
      <sz val="10.5"/>
      <color theme="1"/>
      <name val="黑体"/>
      <family val="3"/>
      <charset val="134"/>
    </font>
    <font>
      <sz val="12"/>
      <color theme="1"/>
      <name val="楷体_GB2312"/>
      <charset val="134"/>
    </font>
    <font>
      <b/>
      <sz val="18"/>
      <color indexed="10"/>
      <name val="΢ȭхڬˎ̥"/>
      <charset val="134"/>
    </font>
    <font>
      <sz val="10"/>
      <color theme="9" tint="-0.249977111117893"/>
      <name val="楷体_GB2312"/>
      <charset val="134"/>
    </font>
    <font>
      <b/>
      <sz val="10"/>
      <color indexed="10"/>
      <name val="仿宋_GB2312"/>
      <charset val="134"/>
    </font>
    <font>
      <b/>
      <sz val="16"/>
      <color indexed="10"/>
      <name val="仿宋_GB2312"/>
      <charset val="134"/>
    </font>
    <font>
      <b/>
      <sz val="16"/>
      <name val="仿宋_GB2312"/>
      <charset val="134"/>
    </font>
    <font>
      <sz val="11"/>
      <color theme="9" tint="-0.249977111117893"/>
      <name val="仿宋_GB2312"/>
      <charset val="134"/>
    </font>
    <font>
      <b/>
      <sz val="11"/>
      <color theme="9" tint="-0.249977111117893"/>
      <name val="Arial"/>
      <family val="2"/>
    </font>
    <font>
      <b/>
      <sz val="11"/>
      <color theme="9" tint="-0.249977111117893"/>
      <name val="仿宋_GB2312"/>
      <charset val="134"/>
    </font>
    <font>
      <b/>
      <sz val="16"/>
      <color indexed="8"/>
      <name val="仿宋_GB2312"/>
      <charset val="134"/>
    </font>
    <font>
      <b/>
      <sz val="16"/>
      <color indexed="10"/>
      <name val="宋体"/>
      <family val="3"/>
      <charset val="134"/>
    </font>
    <font>
      <b/>
      <sz val="10"/>
      <color indexed="53"/>
      <name val="宋体"/>
      <family val="3"/>
      <charset val="134"/>
    </font>
    <font>
      <b/>
      <i/>
      <sz val="10"/>
      <color rgb="FFFF0000"/>
      <name val="宋体"/>
      <family val="3"/>
      <charset val="134"/>
    </font>
    <font>
      <vertAlign val="subscript"/>
      <sz val="10"/>
      <color indexed="8"/>
      <name val="仿宋_GB2312"/>
      <charset val="134"/>
    </font>
    <font>
      <vertAlign val="superscript"/>
      <sz val="12"/>
      <color theme="1"/>
      <name val="楷体_GB2312"/>
      <charset val="134"/>
    </font>
    <font>
      <vertAlign val="subscript"/>
      <sz val="12"/>
      <color theme="1"/>
      <name val="Arial"/>
      <family val="2"/>
    </font>
    <font>
      <vertAlign val="subscript"/>
      <sz val="14"/>
      <color theme="1"/>
      <name val="Arial"/>
      <family val="2"/>
    </font>
    <font>
      <vertAlign val="superscript"/>
      <sz val="14"/>
      <color theme="1"/>
      <name val="Arial"/>
      <family val="2"/>
    </font>
    <font>
      <sz val="10"/>
      <color rgb="FF707070"/>
      <name val="宋体"/>
      <family val="3"/>
      <charset val="134"/>
    </font>
    <font>
      <sz val="10"/>
      <color indexed="10"/>
      <name val="仿宋_GB2312"/>
      <charset val="134"/>
    </font>
    <font>
      <sz val="10"/>
      <color indexed="10"/>
      <name val="宋体"/>
      <family val="3"/>
      <charset val="134"/>
    </font>
    <font>
      <sz val="10"/>
      <color theme="9" tint="-0.249977111117893"/>
      <name val="宋体"/>
      <family val="3"/>
      <charset val="134"/>
    </font>
    <font>
      <sz val="11"/>
      <color indexed="10"/>
      <name val="宋体"/>
      <family val="3"/>
      <charset val="134"/>
    </font>
    <font>
      <b/>
      <vertAlign val="subscript"/>
      <sz val="11"/>
      <color indexed="8"/>
      <name val="仿宋_GB2312"/>
      <charset val="134"/>
    </font>
    <font>
      <sz val="11"/>
      <color indexed="10"/>
      <name val="仿宋_GB2312"/>
      <charset val="134"/>
    </font>
    <font>
      <b/>
      <sz val="8"/>
      <color indexed="8"/>
      <name val="仿宋_GB2312"/>
      <charset val="134"/>
    </font>
    <font>
      <sz val="9"/>
      <color indexed="8"/>
      <name val="仿宋_GB2312"/>
      <charset val="134"/>
    </font>
    <font>
      <b/>
      <u/>
      <sz val="12"/>
      <color indexed="8"/>
      <name val="仿宋_GB2312"/>
      <charset val="134"/>
    </font>
    <font>
      <vertAlign val="superscript"/>
      <sz val="10"/>
      <color indexed="8"/>
      <name val="Arial"/>
      <family val="2"/>
    </font>
    <font>
      <b/>
      <sz val="14"/>
      <color indexed="10"/>
      <name val="楷体_GB2312"/>
      <charset val="134"/>
    </font>
    <font>
      <sz val="10"/>
      <color rgb="FFFF0000"/>
      <name val="楷体_GB2312"/>
      <charset val="134"/>
    </font>
    <font>
      <b/>
      <sz val="12"/>
      <color indexed="13"/>
      <name val="仿宋_GB2312"/>
      <charset val="134"/>
    </font>
    <font>
      <b/>
      <sz val="12"/>
      <color indexed="10"/>
      <name val="仿宋_GB2312"/>
      <charset val="134"/>
    </font>
    <font>
      <i/>
      <sz val="12"/>
      <color theme="3" tint="0.39994506668294322"/>
      <name val="仿宋_GB2312"/>
      <charset val="134"/>
    </font>
    <font>
      <i/>
      <sz val="10.5"/>
      <color theme="9" tint="-0.249977111117893"/>
      <name val="仿宋_GB2312"/>
      <charset val="134"/>
    </font>
    <font>
      <i/>
      <sz val="10.5"/>
      <color theme="3" tint="0.39994506668294322"/>
      <name val="仿宋_GB2312"/>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4"/>
      <name val="楷体_GB2312"/>
      <charset val="134"/>
    </font>
    <font>
      <b/>
      <sz val="9"/>
      <name val="宋体"/>
      <family val="3"/>
      <charset val="134"/>
    </font>
    <font>
      <b/>
      <sz val="8"/>
      <name val="宋体"/>
      <family val="3"/>
      <charset val="134"/>
    </font>
    <font>
      <sz val="9"/>
      <name val="宋体"/>
      <family val="3"/>
      <charset val="134"/>
      <scheme val="minor"/>
    </font>
  </fonts>
  <fills count="25">
    <fill>
      <patternFill patternType="none"/>
    </fill>
    <fill>
      <patternFill patternType="gray125"/>
    </fill>
    <fill>
      <patternFill patternType="solid">
        <fgColor rgb="FFFFFF00"/>
        <bgColor indexed="64"/>
      </patternFill>
    </fill>
    <fill>
      <patternFill patternType="solid">
        <fgColor theme="0" tint="-0.249977111117893"/>
        <bgColor indexed="64"/>
      </patternFill>
    </fill>
    <fill>
      <patternFill patternType="solid">
        <fgColor theme="8" tint="0.59999389629810485"/>
        <bgColor indexed="64"/>
      </patternFill>
    </fill>
    <fill>
      <patternFill patternType="solid">
        <fgColor indexed="13"/>
        <bgColor indexed="64"/>
      </patternFill>
    </fill>
    <fill>
      <patternFill patternType="solid">
        <fgColor theme="0"/>
        <bgColor indexed="64"/>
      </patternFill>
    </fill>
    <fill>
      <patternFill patternType="solid">
        <fgColor indexed="9"/>
        <bgColor indexed="64"/>
      </patternFill>
    </fill>
    <fill>
      <patternFill patternType="solid">
        <fgColor theme="9" tint="-0.249977111117893"/>
        <bgColor indexed="64"/>
      </patternFill>
    </fill>
    <fill>
      <patternFill patternType="solid">
        <fgColor rgb="FFFFFFFF"/>
        <bgColor indexed="64"/>
      </patternFill>
    </fill>
    <fill>
      <patternFill patternType="solid">
        <fgColor theme="0" tint="-0.14996795556505021"/>
        <bgColor indexed="64"/>
      </patternFill>
    </fill>
    <fill>
      <patternFill patternType="solid">
        <fgColor theme="6" tint="0.39994506668294322"/>
        <bgColor indexed="64"/>
      </patternFill>
    </fill>
    <fill>
      <patternFill patternType="solid">
        <fgColor rgb="FFF0F0F0"/>
        <bgColor indexed="64"/>
      </patternFill>
    </fill>
    <fill>
      <patternFill patternType="solid">
        <fgColor theme="8" tint="0.39994506668294322"/>
        <bgColor indexed="64"/>
      </patternFill>
    </fill>
    <fill>
      <patternFill patternType="solid">
        <fgColor theme="7" tint="0.39994506668294322"/>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1" tint="0.499984740745262"/>
        <bgColor indexed="64"/>
      </patternFill>
    </fill>
    <fill>
      <patternFill patternType="solid">
        <fgColor theme="3" tint="0.39997558519241921"/>
        <bgColor indexed="64"/>
      </patternFill>
    </fill>
    <fill>
      <patternFill patternType="solid">
        <fgColor rgb="FF4EF862"/>
        <bgColor indexed="64"/>
      </patternFill>
    </fill>
    <fill>
      <patternFill patternType="solid">
        <fgColor rgb="FF50F650"/>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2">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thin">
        <color auto="1"/>
      </top>
      <bottom/>
      <diagonal/>
    </border>
    <border>
      <left/>
      <right/>
      <top style="medium">
        <color auto="1"/>
      </top>
      <bottom/>
      <diagonal/>
    </border>
    <border>
      <left/>
      <right style="thin">
        <color auto="1"/>
      </right>
      <top style="medium">
        <color auto="1"/>
      </top>
      <bottom style="thin">
        <color auto="1"/>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thin">
        <color auto="1"/>
      </right>
      <top style="thin">
        <color auto="1"/>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thin">
        <color auto="1"/>
      </right>
      <top style="medium">
        <color auto="1"/>
      </top>
      <bottom style="medium">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top style="thin">
        <color rgb="FFDFE8ED"/>
      </top>
      <bottom style="thin">
        <color rgb="FFDFE8ED"/>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thin">
        <color rgb="FFDFE8ED"/>
      </top>
      <bottom style="thick">
        <color auto="1"/>
      </bottom>
      <diagonal/>
    </border>
    <border>
      <left/>
      <right/>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medium">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style="slantDashDot">
        <color auto="1"/>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double">
        <color rgb="FFFF0000"/>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8">
    <xf numFmtId="0" fontId="0" fillId="0" borderId="0">
      <alignment vertical="center"/>
    </xf>
    <xf numFmtId="9" fontId="3" fillId="0" borderId="0" applyFont="0" applyFill="0" applyBorder="0" applyAlignment="0" applyProtection="0">
      <alignment vertical="center"/>
    </xf>
    <xf numFmtId="9" fontId="70" fillId="0" borderId="0" applyFont="0" applyFill="0" applyBorder="0" applyAlignment="0" applyProtection="0">
      <alignment vertical="center"/>
    </xf>
    <xf numFmtId="178"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xf numFmtId="0" fontId="3" fillId="0" borderId="0">
      <alignment vertical="center"/>
    </xf>
    <xf numFmtId="0" fontId="70" fillId="0" borderId="0"/>
    <xf numFmtId="0" fontId="3" fillId="0" borderId="0">
      <alignment vertical="center"/>
    </xf>
    <xf numFmtId="0" fontId="3" fillId="0" borderId="0"/>
    <xf numFmtId="0" fontId="211" fillId="0" borderId="0">
      <alignment vertical="center"/>
    </xf>
    <xf numFmtId="0" fontId="211" fillId="0" borderId="0">
      <alignment vertical="center"/>
    </xf>
    <xf numFmtId="0" fontId="3" fillId="0" borderId="0">
      <alignment vertical="center"/>
    </xf>
    <xf numFmtId="0" fontId="211" fillId="0" borderId="0">
      <alignment vertical="center"/>
    </xf>
    <xf numFmtId="0" fontId="178" fillId="0" borderId="0"/>
  </cellStyleXfs>
  <cellXfs count="3962">
    <xf numFmtId="0" fontId="0" fillId="0" borderId="0" xfId="0">
      <alignment vertical="center"/>
    </xf>
    <xf numFmtId="0" fontId="1" fillId="0" borderId="0" xfId="0" applyNumberFormat="1" applyFont="1" applyFill="1" applyAlignment="1"/>
    <xf numFmtId="0" fontId="2" fillId="2" borderId="0" xfId="0" applyNumberFormat="1" applyFont="1" applyFill="1" applyAlignment="1"/>
    <xf numFmtId="0" fontId="1" fillId="2" borderId="0" xfId="0" applyNumberFormat="1" applyFont="1" applyFill="1" applyAlignment="1"/>
    <xf numFmtId="0" fontId="1" fillId="0" borderId="1" xfId="0" applyNumberFormat="1" applyFont="1" applyFill="1" applyBorder="1" applyAlignment="1">
      <alignment horizontal="left"/>
    </xf>
    <xf numFmtId="0" fontId="2" fillId="2" borderId="1" xfId="0" applyNumberFormat="1" applyFont="1" applyFill="1" applyBorder="1" applyAlignment="1">
      <alignment horizontal="left"/>
    </xf>
    <xf numFmtId="0" fontId="2" fillId="2" borderId="1" xfId="0" applyNumberFormat="1" applyFont="1" applyFill="1" applyBorder="1" applyAlignment="1">
      <alignment horizontal="left"/>
    </xf>
    <xf numFmtId="0" fontId="1" fillId="2" borderId="1" xfId="0" applyNumberFormat="1" applyFont="1" applyFill="1" applyBorder="1" applyAlignment="1">
      <alignment horizontal="left"/>
    </xf>
    <xf numFmtId="14" fontId="1" fillId="0" borderId="1" xfId="0" applyNumberFormat="1" applyFont="1" applyFill="1" applyBorder="1" applyAlignment="1">
      <alignment horizontal="left"/>
    </xf>
    <xf numFmtId="14" fontId="2" fillId="2" borderId="1" xfId="0" applyNumberFormat="1" applyFont="1" applyFill="1" applyBorder="1" applyAlignment="1">
      <alignment horizontal="left"/>
    </xf>
    <xf numFmtId="14" fontId="1" fillId="2" borderId="1" xfId="0" applyNumberFormat="1" applyFont="1" applyFill="1" applyBorder="1" applyAlignment="1">
      <alignment horizontal="left"/>
    </xf>
    <xf numFmtId="0" fontId="2" fillId="0" borderId="0" xfId="0" applyNumberFormat="1" applyFont="1" applyFill="1" applyAlignment="1"/>
    <xf numFmtId="0" fontId="0" fillId="3" borderId="0" xfId="0" applyFill="1" applyBorder="1" applyAlignment="1"/>
    <xf numFmtId="0" fontId="0" fillId="3" borderId="0" xfId="0" applyFill="1" applyAlignment="1"/>
    <xf numFmtId="0" fontId="3" fillId="0" borderId="0" xfId="0" applyFont="1" applyAlignment="1"/>
    <xf numFmtId="0" fontId="4" fillId="3" borderId="0" xfId="8" applyFont="1" applyFill="1"/>
    <xf numFmtId="0" fontId="4" fillId="0" borderId="0" xfId="8" applyFont="1"/>
    <xf numFmtId="0" fontId="0" fillId="0" borderId="0" xfId="0" applyAlignment="1"/>
    <xf numFmtId="0" fontId="4" fillId="3" borderId="0" xfId="8" applyFont="1" applyFill="1" applyBorder="1"/>
    <xf numFmtId="0" fontId="5" fillId="3" borderId="1" xfId="8" applyFont="1" applyFill="1" applyBorder="1" applyAlignment="1">
      <alignment horizontal="center"/>
    </xf>
    <xf numFmtId="14" fontId="6" fillId="3" borderId="1" xfId="8" applyNumberFormat="1" applyFont="1" applyFill="1" applyBorder="1" applyAlignment="1" applyProtection="1">
      <alignment horizontal="center"/>
    </xf>
    <xf numFmtId="179" fontId="4" fillId="3" borderId="2" xfId="8" applyNumberFormat="1" applyFont="1" applyFill="1" applyBorder="1" applyAlignment="1">
      <alignment horizontal="center"/>
    </xf>
    <xf numFmtId="0" fontId="7" fillId="3" borderId="0" xfId="0" applyFont="1" applyFill="1" applyAlignment="1"/>
    <xf numFmtId="0" fontId="5" fillId="3" borderId="3" xfId="8" applyFont="1" applyFill="1" applyBorder="1" applyAlignment="1">
      <alignment horizontal="center"/>
    </xf>
    <xf numFmtId="0" fontId="6" fillId="3" borderId="3" xfId="8" applyFont="1" applyFill="1" applyBorder="1" applyAlignment="1" applyProtection="1">
      <alignment horizontal="center"/>
    </xf>
    <xf numFmtId="10" fontId="6" fillId="3" borderId="1" xfId="8" applyNumberFormat="1" applyFont="1" applyFill="1" applyBorder="1" applyAlignment="1">
      <alignment horizontal="center"/>
    </xf>
    <xf numFmtId="0" fontId="8" fillId="3" borderId="1" xfId="0" applyFont="1" applyFill="1" applyBorder="1" applyAlignment="1">
      <alignment horizontal="center"/>
    </xf>
    <xf numFmtId="0" fontId="4" fillId="3" borderId="4" xfId="8" applyFont="1" applyFill="1" applyBorder="1"/>
    <xf numFmtId="0" fontId="9" fillId="3" borderId="5" xfId="8" applyFont="1" applyFill="1" applyBorder="1" applyAlignment="1">
      <alignment horizontal="center" vertical="center" wrapText="1"/>
    </xf>
    <xf numFmtId="0" fontId="4" fillId="3" borderId="6" xfId="8" applyFont="1" applyFill="1" applyBorder="1"/>
    <xf numFmtId="0" fontId="9" fillId="3" borderId="1" xfId="8" applyFont="1" applyFill="1" applyBorder="1" applyAlignment="1">
      <alignment horizontal="center" vertical="center" wrapText="1"/>
    </xf>
    <xf numFmtId="0" fontId="4" fillId="3" borderId="7" xfId="8" applyFont="1" applyFill="1" applyBorder="1"/>
    <xf numFmtId="0" fontId="9" fillId="3" borderId="8" xfId="8" applyFont="1" applyFill="1" applyBorder="1" applyAlignment="1">
      <alignment horizontal="center" vertical="center" wrapText="1"/>
    </xf>
    <xf numFmtId="0" fontId="4" fillId="3" borderId="0" xfId="8" applyNumberFormat="1" applyFont="1" applyFill="1" applyAlignment="1">
      <alignment horizontal="center"/>
    </xf>
    <xf numFmtId="0" fontId="4" fillId="3" borderId="0" xfId="8" applyFont="1" applyFill="1" applyAlignment="1">
      <alignment horizontal="right"/>
    </xf>
    <xf numFmtId="14" fontId="4" fillId="3" borderId="0" xfId="8" applyNumberFormat="1" applyFont="1" applyFill="1" applyAlignment="1">
      <alignment horizontal="center"/>
    </xf>
    <xf numFmtId="0" fontId="10" fillId="3" borderId="0" xfId="8" applyNumberFormat="1" applyFont="1" applyFill="1" applyAlignment="1">
      <alignment horizontal="center"/>
    </xf>
    <xf numFmtId="0" fontId="11" fillId="3" borderId="0" xfId="8" applyFont="1" applyFill="1" applyAlignment="1">
      <alignment horizontal="left"/>
    </xf>
    <xf numFmtId="14" fontId="10" fillId="3" borderId="0" xfId="8" applyNumberFormat="1" applyFont="1" applyFill="1" applyAlignment="1">
      <alignment horizontal="center"/>
    </xf>
    <xf numFmtId="0" fontId="10" fillId="3" borderId="0" xfId="8" applyFont="1" applyFill="1"/>
    <xf numFmtId="0" fontId="12" fillId="3" borderId="0" xfId="8" applyFont="1" applyFill="1"/>
    <xf numFmtId="0" fontId="13" fillId="3" borderId="0" xfId="8" applyFont="1" applyFill="1"/>
    <xf numFmtId="0" fontId="9" fillId="3" borderId="0" xfId="8" applyFont="1" applyFill="1" applyAlignment="1"/>
    <xf numFmtId="0" fontId="14" fillId="3" borderId="9" xfId="8" applyFont="1" applyFill="1" applyBorder="1" applyAlignment="1">
      <alignment horizontal="center" vertical="center"/>
    </xf>
    <xf numFmtId="0" fontId="14" fillId="3" borderId="9" xfId="8" applyFont="1" applyFill="1" applyBorder="1" applyAlignment="1">
      <alignment vertical="center"/>
    </xf>
    <xf numFmtId="0" fontId="14" fillId="3" borderId="10" xfId="8" applyFont="1" applyFill="1" applyBorder="1" applyAlignment="1">
      <alignment vertical="center"/>
    </xf>
    <xf numFmtId="0" fontId="14" fillId="3" borderId="11" xfId="8" applyFont="1" applyFill="1" applyBorder="1" applyAlignment="1">
      <alignment vertical="center"/>
    </xf>
    <xf numFmtId="0" fontId="14" fillId="3" borderId="12" xfId="8" applyFont="1" applyFill="1" applyBorder="1" applyAlignment="1">
      <alignment vertical="center"/>
    </xf>
    <xf numFmtId="0" fontId="9" fillId="3" borderId="0" xfId="8" applyFont="1" applyFill="1"/>
    <xf numFmtId="0" fontId="14" fillId="3" borderId="3" xfId="8" applyFont="1" applyFill="1" applyBorder="1" applyAlignment="1">
      <alignment horizontal="center" vertical="center" wrapText="1"/>
    </xf>
    <xf numFmtId="0" fontId="14" fillId="3" borderId="3" xfId="8" applyFont="1" applyFill="1" applyBorder="1" applyAlignment="1">
      <alignment vertical="center" wrapText="1"/>
    </xf>
    <xf numFmtId="0" fontId="4" fillId="3" borderId="1" xfId="8" applyFont="1" applyFill="1" applyBorder="1"/>
    <xf numFmtId="0" fontId="15" fillId="3" borderId="0" xfId="8" applyFont="1" applyFill="1" applyAlignment="1">
      <alignment vertical="center"/>
    </xf>
    <xf numFmtId="0" fontId="15" fillId="3" borderId="1" xfId="8" applyFont="1" applyFill="1" applyBorder="1" applyAlignment="1">
      <alignment horizontal="left" vertical="center" wrapText="1"/>
    </xf>
    <xf numFmtId="180" fontId="15" fillId="3" borderId="1" xfId="8" applyNumberFormat="1" applyFont="1" applyFill="1" applyBorder="1" applyAlignment="1">
      <alignment horizontal="center" vertical="center" wrapText="1"/>
    </xf>
    <xf numFmtId="0" fontId="15" fillId="3" borderId="1" xfId="8" applyFont="1" applyFill="1" applyBorder="1" applyAlignment="1">
      <alignment horizontal="center" vertical="center" wrapText="1"/>
    </xf>
    <xf numFmtId="14" fontId="4" fillId="3" borderId="1" xfId="8" applyNumberFormat="1" applyFont="1" applyFill="1" applyBorder="1" applyAlignment="1">
      <alignment horizontal="center" wrapText="1"/>
    </xf>
    <xf numFmtId="0" fontId="4" fillId="3" borderId="1" xfId="8" applyFont="1" applyFill="1" applyBorder="1" applyAlignment="1">
      <alignment horizontal="center" wrapText="1"/>
    </xf>
    <xf numFmtId="0" fontId="16" fillId="3" borderId="0" xfId="8" applyFont="1" applyFill="1" applyAlignment="1">
      <alignment vertical="center"/>
    </xf>
    <xf numFmtId="14" fontId="17" fillId="3" borderId="1" xfId="8" applyNumberFormat="1" applyFont="1" applyFill="1" applyBorder="1" applyAlignment="1">
      <alignment horizontal="center" wrapText="1"/>
    </xf>
    <xf numFmtId="0" fontId="17" fillId="3" borderId="1" xfId="8" applyFont="1" applyFill="1" applyBorder="1" applyAlignment="1">
      <alignment horizontal="center" wrapText="1"/>
    </xf>
    <xf numFmtId="0" fontId="16" fillId="3" borderId="1" xfId="8" applyFont="1" applyFill="1" applyBorder="1" applyAlignment="1">
      <alignment horizontal="left" vertical="center" wrapText="1"/>
    </xf>
    <xf numFmtId="14" fontId="9" fillId="3" borderId="1" xfId="8" applyNumberFormat="1" applyFont="1" applyFill="1" applyBorder="1" applyAlignment="1">
      <alignment horizontal="center" wrapText="1"/>
    </xf>
    <xf numFmtId="0" fontId="9" fillId="3" borderId="1" xfId="8" applyFont="1" applyFill="1" applyBorder="1" applyAlignment="1">
      <alignment horizontal="center" wrapText="1"/>
    </xf>
    <xf numFmtId="0" fontId="0" fillId="3" borderId="2" xfId="0" applyFill="1" applyBorder="1" applyAlignment="1"/>
    <xf numFmtId="0" fontId="4" fillId="3" borderId="13" xfId="8" applyFont="1" applyFill="1" applyBorder="1" applyAlignment="1">
      <alignment horizontal="center"/>
    </xf>
    <xf numFmtId="0" fontId="9" fillId="3" borderId="4" xfId="8" applyFont="1" applyFill="1" applyBorder="1" applyAlignment="1">
      <alignment horizontal="center" vertical="center" wrapText="1"/>
    </xf>
    <xf numFmtId="0" fontId="4" fillId="3" borderId="5" xfId="8" applyNumberFormat="1" applyFont="1" applyFill="1" applyBorder="1" applyAlignment="1">
      <alignment horizontal="center"/>
    </xf>
    <xf numFmtId="0" fontId="4" fillId="3" borderId="14" xfId="8" applyFont="1" applyFill="1" applyBorder="1" applyAlignment="1">
      <alignment horizontal="center"/>
    </xf>
    <xf numFmtId="0" fontId="9" fillId="3" borderId="6" xfId="8" applyFont="1" applyFill="1" applyBorder="1" applyAlignment="1">
      <alignment horizontal="center" vertical="center" wrapText="1"/>
    </xf>
    <xf numFmtId="0" fontId="4" fillId="3" borderId="1" xfId="8" applyNumberFormat="1" applyFont="1" applyFill="1" applyBorder="1" applyAlignment="1">
      <alignment horizontal="center"/>
    </xf>
    <xf numFmtId="0" fontId="4" fillId="3" borderId="15" xfId="8" applyFont="1" applyFill="1" applyBorder="1" applyAlignment="1">
      <alignment horizontal="center"/>
    </xf>
    <xf numFmtId="0" fontId="9" fillId="3" borderId="7" xfId="8" applyFont="1" applyFill="1" applyBorder="1" applyAlignment="1">
      <alignment horizontal="center" vertical="center" wrapText="1"/>
    </xf>
    <xf numFmtId="0" fontId="4" fillId="3" borderId="8" xfId="8" applyNumberFormat="1" applyFont="1" applyFill="1" applyBorder="1" applyAlignment="1">
      <alignment horizontal="center"/>
    </xf>
    <xf numFmtId="0" fontId="14" fillId="3" borderId="1" xfId="8" applyFont="1" applyFill="1" applyBorder="1" applyAlignment="1">
      <alignment horizontal="center" vertical="center" wrapText="1"/>
    </xf>
    <xf numFmtId="14" fontId="15" fillId="3" borderId="1" xfId="8" applyNumberFormat="1" applyFont="1" applyFill="1" applyBorder="1" applyAlignment="1">
      <alignment horizontal="center" vertical="center" wrapText="1"/>
    </xf>
    <xf numFmtId="181" fontId="18" fillId="3" borderId="1" xfId="8" applyNumberFormat="1" applyFont="1" applyFill="1" applyBorder="1" applyAlignment="1">
      <alignment horizontal="center"/>
    </xf>
    <xf numFmtId="0" fontId="10" fillId="0" borderId="0" xfId="8" applyFont="1"/>
    <xf numFmtId="0" fontId="12" fillId="0" borderId="0" xfId="8" applyFont="1"/>
    <xf numFmtId="0" fontId="9" fillId="0" borderId="0" xfId="8" applyFont="1" applyAlignment="1"/>
    <xf numFmtId="0" fontId="9" fillId="0" borderId="0" xfId="8" applyFont="1"/>
    <xf numFmtId="0" fontId="15" fillId="2" borderId="0" xfId="8" applyFont="1" applyFill="1" applyAlignment="1">
      <alignment vertical="center"/>
    </xf>
    <xf numFmtId="0" fontId="10" fillId="0" borderId="0" xfId="0" applyFont="1" applyAlignment="1"/>
    <xf numFmtId="0" fontId="19" fillId="0" borderId="0" xfId="0" applyFont="1" applyAlignment="1"/>
    <xf numFmtId="0" fontId="4" fillId="3" borderId="0" xfId="8" applyFont="1" applyFill="1" applyBorder="1" applyAlignment="1">
      <alignment horizontal="center" wrapText="1"/>
    </xf>
    <xf numFmtId="14" fontId="4" fillId="3" borderId="0" xfId="8" applyNumberFormat="1" applyFont="1" applyFill="1" applyBorder="1" applyAlignment="1">
      <alignment horizontal="center" wrapText="1"/>
    </xf>
    <xf numFmtId="0" fontId="20" fillId="0" borderId="0" xfId="0" applyFont="1" applyProtection="1">
      <alignment vertical="center"/>
      <protection locked="0"/>
    </xf>
    <xf numFmtId="0" fontId="21" fillId="0" borderId="0" xfId="0" applyFont="1" applyFill="1" applyAlignment="1" applyProtection="1">
      <alignment horizontal="center" vertical="center"/>
      <protection locked="0"/>
    </xf>
    <xf numFmtId="0" fontId="22" fillId="0" borderId="0" xfId="0" applyFont="1" applyFill="1" applyAlignment="1" applyProtection="1">
      <alignment horizontal="center" vertical="center"/>
      <protection locked="0"/>
    </xf>
    <xf numFmtId="0" fontId="20" fillId="0" borderId="0" xfId="0" applyFont="1" applyFill="1" applyAlignment="1" applyProtection="1">
      <alignment horizontal="center" vertical="center"/>
      <protection locked="0"/>
    </xf>
    <xf numFmtId="0" fontId="20" fillId="0" borderId="0" xfId="0" applyFont="1" applyAlignment="1" applyProtection="1">
      <alignment horizontal="center" vertical="center" wrapText="1"/>
    </xf>
    <xf numFmtId="0" fontId="23" fillId="0" borderId="0" xfId="0" applyFont="1" applyProtection="1">
      <alignment vertical="center"/>
    </xf>
    <xf numFmtId="0" fontId="20" fillId="0" borderId="0" xfId="0" applyFont="1" applyProtection="1">
      <alignment vertical="center"/>
    </xf>
    <xf numFmtId="0" fontId="20" fillId="0" borderId="0" xfId="0" applyFont="1" applyAlignment="1" applyProtection="1">
      <alignment horizontal="center" vertical="center"/>
    </xf>
    <xf numFmtId="0" fontId="20" fillId="0" borderId="0" xfId="0" applyNumberFormat="1" applyFont="1" applyAlignment="1" applyProtection="1">
      <alignment horizontal="center" vertical="center"/>
    </xf>
    <xf numFmtId="0" fontId="20" fillId="3" borderId="1" xfId="0" applyFont="1" applyFill="1" applyBorder="1" applyProtection="1">
      <alignment vertical="center"/>
    </xf>
    <xf numFmtId="0" fontId="20" fillId="3" borderId="8" xfId="0" applyFont="1" applyFill="1" applyBorder="1" applyAlignment="1" applyProtection="1">
      <alignment horizontal="center" vertical="center"/>
    </xf>
    <xf numFmtId="0" fontId="24" fillId="3" borderId="18" xfId="0" applyNumberFormat="1" applyFont="1" applyFill="1" applyBorder="1" applyAlignment="1" applyProtection="1">
      <alignment vertical="center" wrapText="1"/>
      <protection locked="0"/>
    </xf>
    <xf numFmtId="0" fontId="20" fillId="2" borderId="19" xfId="0" applyNumberFormat="1" applyFont="1" applyFill="1" applyBorder="1" applyAlignment="1" applyProtection="1">
      <alignment horizontal="center" vertical="center" wrapText="1"/>
      <protection locked="0"/>
    </xf>
    <xf numFmtId="0" fontId="20" fillId="3" borderId="4" xfId="0" applyNumberFormat="1" applyFont="1" applyFill="1" applyBorder="1" applyAlignment="1" applyProtection="1">
      <alignment horizontal="center" vertical="center" wrapText="1"/>
    </xf>
    <xf numFmtId="0" fontId="20" fillId="3" borderId="5" xfId="0" applyNumberFormat="1" applyFont="1" applyFill="1" applyBorder="1" applyAlignment="1" applyProtection="1">
      <alignment horizontal="center" vertical="center" wrapText="1"/>
    </xf>
    <xf numFmtId="0" fontId="23" fillId="3" borderId="20" xfId="0" applyNumberFormat="1" applyFont="1" applyFill="1" applyBorder="1" applyAlignment="1" applyProtection="1">
      <alignment vertical="center" textRotation="255" wrapText="1"/>
      <protection locked="0"/>
    </xf>
    <xf numFmtId="0" fontId="20" fillId="3" borderId="21" xfId="0" applyNumberFormat="1" applyFont="1" applyFill="1" applyBorder="1" applyAlignment="1" applyProtection="1">
      <alignment horizontal="center" vertical="center"/>
    </xf>
    <xf numFmtId="0" fontId="20" fillId="0" borderId="6" xfId="0" applyNumberFormat="1" applyFont="1" applyFill="1" applyBorder="1" applyAlignment="1" applyProtection="1">
      <alignment horizontal="center" vertical="center" wrapText="1"/>
      <protection locked="0"/>
    </xf>
    <xf numFmtId="0" fontId="20" fillId="0" borderId="1" xfId="0" applyNumberFormat="1" applyFont="1" applyFill="1" applyBorder="1" applyAlignment="1" applyProtection="1">
      <alignment horizontal="center" vertical="center" wrapText="1"/>
      <protection locked="0"/>
    </xf>
    <xf numFmtId="0" fontId="23" fillId="3" borderId="20" xfId="0" applyNumberFormat="1" applyFont="1" applyFill="1" applyBorder="1" applyAlignment="1" applyProtection="1">
      <alignment vertical="center" wrapText="1"/>
      <protection locked="0"/>
    </xf>
    <xf numFmtId="0" fontId="20" fillId="3" borderId="21" xfId="0" applyNumberFormat="1" applyFont="1" applyFill="1" applyBorder="1" applyAlignment="1" applyProtection="1">
      <alignment horizontal="center" vertical="center" wrapText="1"/>
    </xf>
    <xf numFmtId="0" fontId="20" fillId="0" borderId="22" xfId="0" applyNumberFormat="1" applyFont="1" applyFill="1" applyBorder="1" applyAlignment="1" applyProtection="1">
      <alignment horizontal="center" vertical="center" wrapText="1"/>
      <protection locked="0"/>
    </xf>
    <xf numFmtId="0" fontId="21" fillId="0" borderId="9" xfId="0" applyNumberFormat="1" applyFont="1" applyFill="1" applyBorder="1" applyAlignment="1" applyProtection="1">
      <alignment horizontal="center" vertical="center" wrapText="1"/>
      <protection locked="0"/>
    </xf>
    <xf numFmtId="0" fontId="25" fillId="3" borderId="20" xfId="0" applyNumberFormat="1" applyFont="1" applyFill="1" applyBorder="1" applyAlignment="1" applyProtection="1">
      <alignment vertical="center" wrapText="1"/>
      <protection locked="0"/>
    </xf>
    <xf numFmtId="0" fontId="26" fillId="0" borderId="23" xfId="0" applyNumberFormat="1" applyFont="1" applyFill="1" applyBorder="1" applyAlignment="1" applyProtection="1">
      <alignment horizontal="center" vertical="center" wrapText="1"/>
      <protection locked="0"/>
    </xf>
    <xf numFmtId="0" fontId="20" fillId="0" borderId="24" xfId="0" applyNumberFormat="1" applyFont="1" applyFill="1" applyBorder="1" applyAlignment="1" applyProtection="1">
      <alignment horizontal="center" vertical="center" wrapText="1"/>
      <protection locked="0"/>
    </xf>
    <xf numFmtId="0" fontId="20" fillId="0" borderId="25" xfId="0" applyNumberFormat="1" applyFont="1" applyFill="1" applyBorder="1" applyAlignment="1" applyProtection="1">
      <alignment horizontal="center" vertical="center" wrapText="1"/>
      <protection locked="0"/>
    </xf>
    <xf numFmtId="0" fontId="20" fillId="3" borderId="26" xfId="0" applyNumberFormat="1" applyFont="1" applyFill="1" applyBorder="1" applyAlignment="1" applyProtection="1">
      <alignment horizontal="center" vertical="center" wrapText="1"/>
    </xf>
    <xf numFmtId="0" fontId="20" fillId="3" borderId="27" xfId="0" applyNumberFormat="1" applyFont="1" applyFill="1" applyBorder="1" applyAlignment="1" applyProtection="1">
      <alignment horizontal="center" vertical="center" wrapText="1"/>
    </xf>
    <xf numFmtId="0" fontId="21" fillId="3" borderId="28" xfId="0" applyNumberFormat="1" applyFont="1" applyFill="1" applyBorder="1" applyAlignment="1" applyProtection="1">
      <alignment horizontal="center" vertical="center" wrapText="1"/>
    </xf>
    <xf numFmtId="0" fontId="26" fillId="0" borderId="21" xfId="0" applyNumberFormat="1" applyFont="1" applyFill="1" applyBorder="1" applyAlignment="1" applyProtection="1">
      <alignment horizontal="center" vertical="center" wrapText="1"/>
      <protection locked="0"/>
    </xf>
    <xf numFmtId="0" fontId="20" fillId="0" borderId="29" xfId="0" applyNumberFormat="1" applyFont="1" applyFill="1" applyBorder="1" applyAlignment="1" applyProtection="1">
      <alignment horizontal="center" vertical="center" wrapText="1"/>
      <protection locked="0"/>
    </xf>
    <xf numFmtId="0" fontId="20" fillId="0" borderId="3" xfId="0" applyNumberFormat="1" applyFont="1" applyFill="1" applyBorder="1" applyAlignment="1" applyProtection="1">
      <alignment horizontal="center" vertical="center" wrapText="1"/>
      <protection locked="0"/>
    </xf>
    <xf numFmtId="0" fontId="26" fillId="3" borderId="21" xfId="0" applyNumberFormat="1" applyFont="1" applyFill="1" applyBorder="1" applyAlignment="1" applyProtection="1">
      <alignment horizontal="center" vertical="center" wrapText="1"/>
    </xf>
    <xf numFmtId="0" fontId="20" fillId="3" borderId="22" xfId="0" applyNumberFormat="1" applyFont="1" applyFill="1" applyBorder="1" applyAlignment="1" applyProtection="1">
      <alignment horizontal="center" vertical="center" wrapText="1"/>
    </xf>
    <xf numFmtId="0" fontId="21" fillId="3" borderId="9" xfId="0" applyNumberFormat="1" applyFont="1" applyFill="1" applyBorder="1" applyAlignment="1" applyProtection="1">
      <alignment horizontal="center" vertical="center" wrapText="1"/>
    </xf>
    <xf numFmtId="0" fontId="20" fillId="0" borderId="27" xfId="0" applyNumberFormat="1" applyFont="1" applyFill="1" applyBorder="1" applyAlignment="1" applyProtection="1">
      <alignment horizontal="center" vertical="center" wrapText="1"/>
      <protection locked="0"/>
    </xf>
    <xf numFmtId="0" fontId="21" fillId="0" borderId="28" xfId="0" applyNumberFormat="1" applyFont="1" applyFill="1" applyBorder="1" applyAlignment="1" applyProtection="1">
      <alignment horizontal="center" vertical="center" wrapText="1"/>
      <protection locked="0"/>
    </xf>
    <xf numFmtId="0" fontId="27" fillId="3" borderId="30" xfId="0" applyNumberFormat="1" applyFont="1" applyFill="1" applyBorder="1" applyAlignment="1" applyProtection="1">
      <alignment horizontal="center" vertical="center" wrapText="1"/>
    </xf>
    <xf numFmtId="0" fontId="28" fillId="4" borderId="19" xfId="0" applyNumberFormat="1" applyFont="1" applyFill="1" applyBorder="1" applyAlignment="1" applyProtection="1">
      <alignment horizontal="center" vertical="center" wrapText="1"/>
    </xf>
    <xf numFmtId="0" fontId="20" fillId="4" borderId="4" xfId="0" applyNumberFormat="1" applyFont="1" applyFill="1" applyBorder="1" applyAlignment="1" applyProtection="1">
      <alignment horizontal="center" vertical="center" wrapText="1"/>
      <protection locked="0"/>
    </xf>
    <xf numFmtId="0" fontId="20" fillId="4" borderId="5" xfId="0" applyNumberFormat="1" applyFont="1" applyFill="1" applyBorder="1" applyAlignment="1" applyProtection="1">
      <alignment horizontal="center" vertical="center" wrapText="1"/>
      <protection locked="0"/>
    </xf>
    <xf numFmtId="0" fontId="25" fillId="4" borderId="31" xfId="0" applyNumberFormat="1" applyFont="1" applyFill="1" applyBorder="1" applyAlignment="1" applyProtection="1">
      <alignment vertical="center" wrapText="1"/>
      <protection locked="0"/>
    </xf>
    <xf numFmtId="0" fontId="20" fillId="4" borderId="32" xfId="0" applyNumberFormat="1" applyFont="1" applyFill="1" applyBorder="1" applyAlignment="1" applyProtection="1">
      <alignment horizontal="center" vertical="center" wrapText="1"/>
    </xf>
    <xf numFmtId="0" fontId="20" fillId="4" borderId="7" xfId="0" applyNumberFormat="1" applyFont="1" applyFill="1" applyBorder="1" applyAlignment="1" applyProtection="1">
      <alignment horizontal="center" vertical="center" wrapText="1"/>
      <protection locked="0"/>
    </xf>
    <xf numFmtId="0" fontId="21" fillId="4" borderId="8" xfId="0" applyNumberFormat="1" applyFont="1" applyFill="1" applyBorder="1" applyAlignment="1" applyProtection="1">
      <alignment horizontal="center" vertical="center" wrapText="1"/>
      <protection locked="0"/>
    </xf>
    <xf numFmtId="0" fontId="20" fillId="3" borderId="0" xfId="0" applyFont="1" applyFill="1" applyProtection="1">
      <alignment vertical="center"/>
    </xf>
    <xf numFmtId="0" fontId="20" fillId="3" borderId="0" xfId="0" applyFont="1" applyFill="1" applyAlignment="1" applyProtection="1">
      <alignment horizontal="center" vertical="center"/>
    </xf>
    <xf numFmtId="0" fontId="20" fillId="3" borderId="0" xfId="0" applyFont="1" applyFill="1" applyAlignment="1" applyProtection="1">
      <alignment horizontal="center" vertical="center"/>
      <protection locked="0"/>
    </xf>
    <xf numFmtId="0" fontId="29" fillId="3" borderId="1" xfId="0" applyFont="1" applyFill="1" applyBorder="1" applyProtection="1">
      <alignment vertical="center"/>
    </xf>
    <xf numFmtId="0" fontId="29" fillId="3" borderId="1" xfId="0" applyFont="1" applyFill="1" applyBorder="1" applyAlignment="1" applyProtection="1">
      <alignment horizontal="center" vertical="center"/>
    </xf>
    <xf numFmtId="0" fontId="25" fillId="3" borderId="1" xfId="0" applyFont="1" applyFill="1" applyBorder="1" applyAlignment="1" applyProtection="1">
      <alignment horizontal="center" vertical="center"/>
    </xf>
    <xf numFmtId="0" fontId="20" fillId="3" borderId="1" xfId="0" applyFont="1" applyFill="1" applyBorder="1" applyAlignment="1" applyProtection="1">
      <alignment horizontal="center" vertical="center"/>
    </xf>
    <xf numFmtId="0" fontId="20" fillId="3" borderId="10" xfId="0" applyFont="1" applyFill="1" applyBorder="1" applyAlignment="1" applyProtection="1">
      <alignment horizontal="center" vertical="center"/>
    </xf>
    <xf numFmtId="0" fontId="20" fillId="3" borderId="12" xfId="0" applyFont="1" applyFill="1" applyBorder="1" applyAlignment="1" applyProtection="1">
      <alignment horizontal="center" vertical="center"/>
    </xf>
    <xf numFmtId="0" fontId="20" fillId="3" borderId="1" xfId="0" applyFont="1" applyFill="1" applyBorder="1" applyAlignment="1" applyProtection="1">
      <alignment horizontal="center" vertical="center" wrapText="1"/>
    </xf>
    <xf numFmtId="0" fontId="20" fillId="2" borderId="1" xfId="0" applyFont="1" applyFill="1" applyBorder="1" applyAlignment="1" applyProtection="1">
      <alignment horizontal="center" vertical="center" wrapText="1"/>
      <protection locked="0"/>
    </xf>
    <xf numFmtId="0" fontId="23" fillId="0" borderId="1" xfId="0" applyFont="1" applyFill="1" applyBorder="1" applyAlignment="1" applyProtection="1">
      <alignment horizontal="center" vertical="center"/>
      <protection locked="0"/>
    </xf>
    <xf numFmtId="0" fontId="30" fillId="3" borderId="1" xfId="0" applyFont="1" applyFill="1" applyBorder="1" applyAlignment="1" applyProtection="1">
      <alignment horizontal="center" vertical="center"/>
    </xf>
    <xf numFmtId="0" fontId="30" fillId="5" borderId="1" xfId="0" applyFont="1" applyFill="1" applyBorder="1" applyAlignment="1" applyProtection="1">
      <alignment horizontal="center" vertical="center"/>
      <protection locked="0"/>
    </xf>
    <xf numFmtId="0" fontId="20" fillId="0" borderId="1" xfId="0" applyFont="1" applyBorder="1" applyProtection="1">
      <alignment vertical="center"/>
      <protection locked="0"/>
    </xf>
    <xf numFmtId="0" fontId="20" fillId="0" borderId="1" xfId="0" applyFont="1" applyBorder="1" applyAlignment="1" applyProtection="1">
      <alignment horizontal="center" vertical="center"/>
      <protection locked="0"/>
    </xf>
    <xf numFmtId="0" fontId="23" fillId="5" borderId="1" xfId="0" applyFont="1" applyFill="1" applyBorder="1" applyAlignment="1" applyProtection="1">
      <alignment horizontal="center" vertical="center"/>
      <protection locked="0"/>
    </xf>
    <xf numFmtId="0" fontId="22" fillId="0" borderId="1" xfId="0" applyNumberFormat="1" applyFont="1" applyFill="1" applyBorder="1" applyAlignment="1" applyProtection="1">
      <alignment horizontal="center" vertical="center" wrapText="1"/>
      <protection locked="0"/>
    </xf>
    <xf numFmtId="0" fontId="22" fillId="0" borderId="1" xfId="0" applyNumberFormat="1" applyFont="1" applyFill="1" applyBorder="1" applyAlignment="1" applyProtection="1">
      <alignment horizontal="left" vertical="center" wrapText="1"/>
      <protection locked="0"/>
    </xf>
    <xf numFmtId="0" fontId="22" fillId="0" borderId="10" xfId="0" applyNumberFormat="1" applyFont="1" applyFill="1" applyBorder="1" applyAlignment="1" applyProtection="1">
      <alignment horizontal="center" vertical="center" wrapText="1"/>
      <protection locked="0"/>
    </xf>
    <xf numFmtId="0" fontId="20" fillId="0" borderId="10" xfId="0" applyNumberFormat="1" applyFont="1" applyFill="1" applyBorder="1" applyAlignment="1" applyProtection="1">
      <alignment horizontal="center" vertical="center" wrapText="1"/>
      <protection locked="0"/>
    </xf>
    <xf numFmtId="0" fontId="21" fillId="0" borderId="18" xfId="0" applyNumberFormat="1" applyFont="1" applyFill="1" applyBorder="1" applyAlignment="1" applyProtection="1">
      <alignment horizontal="center" vertical="center" wrapText="1"/>
      <protection locked="0"/>
    </xf>
    <xf numFmtId="0" fontId="20" fillId="0" borderId="18" xfId="0" applyNumberFormat="1" applyFont="1" applyFill="1" applyBorder="1" applyAlignment="1" applyProtection="1">
      <alignment horizontal="center" vertical="center" wrapText="1"/>
      <protection locked="0"/>
    </xf>
    <xf numFmtId="0" fontId="20" fillId="0" borderId="25" xfId="0" applyNumberFormat="1" applyFont="1" applyFill="1" applyBorder="1" applyAlignment="1" applyProtection="1">
      <alignment horizontal="left" vertical="center" wrapText="1"/>
      <protection locked="0"/>
    </xf>
    <xf numFmtId="0" fontId="20" fillId="0" borderId="33" xfId="0" applyNumberFormat="1" applyFont="1" applyFill="1" applyBorder="1" applyAlignment="1" applyProtection="1">
      <alignment horizontal="center" vertical="center" wrapText="1"/>
      <protection locked="0"/>
    </xf>
    <xf numFmtId="0" fontId="20" fillId="0" borderId="34" xfId="0" applyNumberFormat="1" applyFont="1" applyFill="1" applyBorder="1" applyAlignment="1" applyProtection="1">
      <alignment horizontal="center" vertical="center" wrapText="1"/>
      <protection locked="0"/>
    </xf>
    <xf numFmtId="0" fontId="20" fillId="0" borderId="20" xfId="0" applyFont="1" applyFill="1" applyBorder="1" applyAlignment="1" applyProtection="1">
      <alignment horizontal="center" vertical="center"/>
      <protection locked="0"/>
    </xf>
    <xf numFmtId="0" fontId="20" fillId="0" borderId="35" xfId="0" applyNumberFormat="1" applyFont="1" applyFill="1" applyBorder="1" applyAlignment="1" applyProtection="1">
      <alignment horizontal="center" vertical="center" wrapText="1"/>
      <protection locked="0"/>
    </xf>
    <xf numFmtId="0" fontId="20" fillId="0" borderId="35" xfId="0" applyFont="1" applyFill="1" applyBorder="1" applyAlignment="1" applyProtection="1">
      <alignment horizontal="center" vertical="center" wrapText="1"/>
      <protection locked="0"/>
    </xf>
    <xf numFmtId="0" fontId="20" fillId="0" borderId="3" xfId="0" applyNumberFormat="1" applyFont="1" applyFill="1" applyBorder="1" applyAlignment="1" applyProtection="1">
      <alignment horizontal="left" vertical="center" wrapText="1"/>
      <protection locked="0"/>
    </xf>
    <xf numFmtId="0" fontId="20" fillId="0" borderId="36" xfId="0" applyFont="1" applyFill="1" applyBorder="1" applyAlignment="1" applyProtection="1">
      <alignment horizontal="center" vertical="center"/>
      <protection locked="0"/>
    </xf>
    <xf numFmtId="0" fontId="20" fillId="0" borderId="37" xfId="0" applyNumberFormat="1" applyFont="1" applyFill="1" applyBorder="1" applyAlignment="1" applyProtection="1">
      <alignment horizontal="center" vertical="center" wrapText="1"/>
      <protection locked="0"/>
    </xf>
    <xf numFmtId="0" fontId="20" fillId="0" borderId="37" xfId="0" applyFont="1" applyFill="1" applyBorder="1" applyAlignment="1" applyProtection="1">
      <alignment horizontal="center" vertical="center" wrapText="1"/>
      <protection locked="0"/>
    </xf>
    <xf numFmtId="0" fontId="21" fillId="0" borderId="38" xfId="0" applyNumberFormat="1" applyFont="1" applyFill="1" applyBorder="1" applyAlignment="1" applyProtection="1">
      <alignment horizontal="center" vertical="center" wrapText="1"/>
      <protection locked="0"/>
    </xf>
    <xf numFmtId="0" fontId="20" fillId="4" borderId="5" xfId="0" applyNumberFormat="1" applyFont="1" applyFill="1" applyBorder="1" applyAlignment="1" applyProtection="1">
      <alignment horizontal="left" vertical="center" wrapText="1"/>
      <protection locked="0"/>
    </xf>
    <xf numFmtId="0" fontId="20" fillId="4" borderId="39" xfId="0" applyNumberFormat="1" applyFont="1" applyFill="1" applyBorder="1" applyAlignment="1" applyProtection="1">
      <alignment horizontal="center" vertical="center" wrapText="1"/>
      <protection locked="0"/>
    </xf>
    <xf numFmtId="0" fontId="20" fillId="4" borderId="40" xfId="0" applyFont="1" applyFill="1" applyBorder="1" applyAlignment="1" applyProtection="1">
      <alignment horizontal="center" vertical="center"/>
      <protection locked="0"/>
    </xf>
    <xf numFmtId="0" fontId="20" fillId="4" borderId="41" xfId="0" applyNumberFormat="1" applyFont="1" applyFill="1" applyBorder="1" applyAlignment="1" applyProtection="1">
      <alignment horizontal="center" vertical="center" wrapText="1"/>
      <protection locked="0"/>
    </xf>
    <xf numFmtId="0" fontId="20" fillId="4" borderId="41" xfId="0" applyFont="1" applyFill="1" applyBorder="1" applyAlignment="1" applyProtection="1">
      <alignment horizontal="center" vertical="center" wrapText="1"/>
      <protection locked="0"/>
    </xf>
    <xf numFmtId="0" fontId="21" fillId="4" borderId="42" xfId="0" applyNumberFormat="1" applyFont="1" applyFill="1" applyBorder="1" applyAlignment="1" applyProtection="1">
      <alignment horizontal="center" vertical="center" wrapText="1"/>
      <protection locked="0"/>
    </xf>
    <xf numFmtId="0" fontId="20" fillId="6" borderId="0" xfId="0" applyFont="1" applyFill="1" applyProtection="1">
      <alignment vertical="center"/>
      <protection locked="0"/>
    </xf>
    <xf numFmtId="0" fontId="20" fillId="3" borderId="44" xfId="0" applyNumberFormat="1" applyFont="1" applyFill="1" applyBorder="1" applyAlignment="1" applyProtection="1">
      <alignment horizontal="center" vertical="center" wrapText="1"/>
    </xf>
    <xf numFmtId="0" fontId="20" fillId="3" borderId="45" xfId="0" applyNumberFormat="1" applyFont="1" applyFill="1" applyBorder="1" applyAlignment="1" applyProtection="1">
      <alignment horizontal="center" vertical="center" wrapText="1"/>
    </xf>
    <xf numFmtId="0" fontId="21" fillId="6" borderId="0" xfId="0" applyFont="1" applyFill="1" applyAlignment="1" applyProtection="1">
      <alignment horizontal="center" vertical="center"/>
      <protection locked="0"/>
    </xf>
    <xf numFmtId="0" fontId="20" fillId="0" borderId="46" xfId="0" applyNumberFormat="1" applyFont="1" applyFill="1" applyBorder="1" applyAlignment="1" applyProtection="1">
      <alignment horizontal="center" vertical="center" wrapText="1"/>
      <protection locked="0"/>
    </xf>
    <xf numFmtId="0" fontId="22" fillId="3" borderId="47" xfId="0" applyNumberFormat="1" applyFont="1" applyFill="1" applyBorder="1" applyAlignment="1" applyProtection="1">
      <alignment horizontal="center" vertical="center" wrapText="1"/>
    </xf>
    <xf numFmtId="0" fontId="22" fillId="6" borderId="0" xfId="0" applyFont="1" applyFill="1" applyAlignment="1" applyProtection="1">
      <alignment horizontal="center" vertical="center"/>
      <protection locked="0"/>
    </xf>
    <xf numFmtId="0" fontId="21" fillId="0" borderId="47" xfId="0" applyNumberFormat="1" applyFont="1" applyFill="1" applyBorder="1" applyAlignment="1" applyProtection="1">
      <alignment horizontal="center" vertical="center" wrapText="1"/>
      <protection locked="0"/>
    </xf>
    <xf numFmtId="0" fontId="21" fillId="3" borderId="48" xfId="0" applyNumberFormat="1" applyFont="1" applyFill="1" applyBorder="1" applyAlignment="1" applyProtection="1">
      <alignment horizontal="center" vertical="center" wrapText="1"/>
    </xf>
    <xf numFmtId="0" fontId="20" fillId="0" borderId="49" xfId="0" applyNumberFormat="1" applyFont="1" applyFill="1" applyBorder="1" applyAlignment="1" applyProtection="1">
      <alignment horizontal="center" vertical="center" wrapText="1"/>
      <protection locked="0"/>
    </xf>
    <xf numFmtId="0" fontId="20" fillId="0" borderId="50" xfId="0" applyNumberFormat="1" applyFont="1" applyFill="1" applyBorder="1" applyAlignment="1" applyProtection="1">
      <alignment horizontal="center" vertical="center" wrapText="1"/>
      <protection locked="0"/>
    </xf>
    <xf numFmtId="0" fontId="20" fillId="6" borderId="0" xfId="0" applyFont="1" applyFill="1" applyAlignment="1" applyProtection="1">
      <alignment horizontal="center" vertical="center"/>
      <protection locked="0"/>
    </xf>
    <xf numFmtId="0" fontId="21" fillId="3" borderId="51" xfId="0" applyNumberFormat="1" applyFont="1" applyFill="1" applyBorder="1" applyAlignment="1" applyProtection="1">
      <alignment horizontal="center" vertical="center" wrapText="1"/>
    </xf>
    <xf numFmtId="9" fontId="20" fillId="0" borderId="35" xfId="0" applyNumberFormat="1" applyFont="1" applyFill="1" applyBorder="1" applyAlignment="1" applyProtection="1">
      <alignment horizontal="center" vertical="center" wrapText="1"/>
      <protection locked="0"/>
    </xf>
    <xf numFmtId="0" fontId="20" fillId="0" borderId="35" xfId="0" applyFont="1" applyFill="1" applyBorder="1" applyAlignment="1" applyProtection="1">
      <alignment horizontal="center" vertical="center"/>
      <protection locked="0"/>
    </xf>
    <xf numFmtId="0" fontId="20" fillId="0" borderId="48" xfId="0" applyFont="1" applyFill="1" applyBorder="1" applyAlignment="1" applyProtection="1">
      <alignment horizontal="center" vertical="center"/>
      <protection locked="0"/>
    </xf>
    <xf numFmtId="0" fontId="20" fillId="0" borderId="48" xfId="0" applyNumberFormat="1" applyFont="1" applyFill="1" applyBorder="1" applyAlignment="1" applyProtection="1">
      <alignment horizontal="center" vertical="center" wrapText="1"/>
      <protection locked="0"/>
    </xf>
    <xf numFmtId="9" fontId="20" fillId="0" borderId="37" xfId="0" applyNumberFormat="1" applyFont="1" applyFill="1" applyBorder="1" applyAlignment="1" applyProtection="1">
      <alignment horizontal="center" vertical="center" wrapText="1"/>
      <protection locked="0"/>
    </xf>
    <xf numFmtId="0" fontId="20" fillId="0" borderId="37" xfId="0" applyFont="1" applyFill="1" applyBorder="1" applyAlignment="1" applyProtection="1">
      <alignment horizontal="center" vertical="center"/>
      <protection locked="0"/>
    </xf>
    <xf numFmtId="0" fontId="20" fillId="0" borderId="50" xfId="0" applyFont="1" applyFill="1" applyBorder="1" applyAlignment="1" applyProtection="1">
      <alignment horizontal="center" vertical="center"/>
      <protection locked="0"/>
    </xf>
    <xf numFmtId="0" fontId="20" fillId="3" borderId="50" xfId="0" applyNumberFormat="1" applyFont="1" applyFill="1" applyBorder="1" applyAlignment="1" applyProtection="1">
      <alignment horizontal="center" vertical="center" wrapText="1"/>
    </xf>
    <xf numFmtId="0" fontId="21" fillId="0" borderId="52" xfId="0" applyNumberFormat="1" applyFont="1" applyFill="1" applyBorder="1" applyAlignment="1" applyProtection="1">
      <alignment horizontal="center" vertical="center" wrapText="1"/>
      <protection locked="0"/>
    </xf>
    <xf numFmtId="9" fontId="20" fillId="4" borderId="41" xfId="0" applyNumberFormat="1" applyFont="1" applyFill="1" applyBorder="1" applyAlignment="1" applyProtection="1">
      <alignment horizontal="center" vertical="center" wrapText="1"/>
      <protection locked="0"/>
    </xf>
    <xf numFmtId="0" fontId="20" fillId="4" borderId="41" xfId="0" applyFont="1" applyFill="1" applyBorder="1" applyAlignment="1" applyProtection="1">
      <alignment horizontal="center" vertical="center"/>
      <protection locked="0"/>
    </xf>
    <xf numFmtId="0" fontId="20" fillId="4" borderId="45" xfId="0" applyFont="1" applyFill="1" applyBorder="1" applyAlignment="1" applyProtection="1">
      <alignment horizontal="center" vertical="center"/>
      <protection locked="0"/>
    </xf>
    <xf numFmtId="0" fontId="21" fillId="4" borderId="53" xfId="0" applyNumberFormat="1" applyFont="1" applyFill="1" applyBorder="1" applyAlignment="1" applyProtection="1">
      <alignment horizontal="center" vertical="center" wrapText="1"/>
      <protection locked="0"/>
    </xf>
    <xf numFmtId="0" fontId="20" fillId="3" borderId="0" xfId="0" applyNumberFormat="1" applyFont="1" applyFill="1" applyAlignment="1" applyProtection="1">
      <alignment horizontal="center" vertical="center"/>
      <protection locked="0"/>
    </xf>
    <xf numFmtId="0" fontId="20" fillId="3" borderId="0" xfId="0" applyFont="1" applyFill="1" applyProtection="1">
      <alignment vertical="center"/>
      <protection locked="0"/>
    </xf>
    <xf numFmtId="0" fontId="20" fillId="3" borderId="11" xfId="0" applyFont="1" applyFill="1" applyBorder="1" applyAlignment="1" applyProtection="1">
      <alignment horizontal="center" vertical="center"/>
    </xf>
    <xf numFmtId="0" fontId="20" fillId="3" borderId="1" xfId="0" applyNumberFormat="1" applyFont="1" applyFill="1" applyBorder="1" applyAlignment="1" applyProtection="1">
      <alignment horizontal="center" vertical="center"/>
    </xf>
    <xf numFmtId="0" fontId="20" fillId="3" borderId="1" xfId="0" applyNumberFormat="1" applyFont="1" applyFill="1" applyBorder="1" applyAlignment="1" applyProtection="1">
      <alignment horizontal="center" vertical="center" wrapText="1"/>
    </xf>
    <xf numFmtId="0" fontId="20" fillId="0" borderId="0" xfId="0" applyFont="1" applyAlignment="1" applyProtection="1">
      <alignment horizontal="center" vertical="center" wrapText="1"/>
      <protection locked="0"/>
    </xf>
    <xf numFmtId="0" fontId="23" fillId="0" borderId="1" xfId="0" applyNumberFormat="1" applyFont="1" applyBorder="1" applyAlignment="1" applyProtection="1">
      <alignment horizontal="center" vertical="center"/>
      <protection locked="0"/>
    </xf>
    <xf numFmtId="0" fontId="23" fillId="3" borderId="1" xfId="0" applyFont="1" applyFill="1" applyBorder="1" applyAlignment="1" applyProtection="1">
      <alignment horizontal="center" vertical="center"/>
    </xf>
    <xf numFmtId="0" fontId="23" fillId="0" borderId="0" xfId="0" applyFont="1" applyProtection="1">
      <alignment vertical="center"/>
      <protection locked="0"/>
    </xf>
    <xf numFmtId="0" fontId="20" fillId="0" borderId="0" xfId="0" applyFont="1" applyAlignment="1" applyProtection="1">
      <alignment horizontal="center" vertical="center"/>
      <protection locked="0"/>
    </xf>
    <xf numFmtId="0" fontId="20" fillId="0" borderId="0" xfId="0" applyNumberFormat="1" applyFont="1" applyAlignment="1" applyProtection="1">
      <alignment horizontal="center" vertical="center"/>
      <protection locked="0"/>
    </xf>
    <xf numFmtId="0" fontId="31" fillId="0" borderId="0" xfId="0" applyFont="1" applyFill="1" applyAlignment="1" applyProtection="1">
      <alignment horizontal="center" vertical="center"/>
    </xf>
    <xf numFmtId="0" fontId="32" fillId="0" borderId="0" xfId="0" applyFont="1" applyFill="1" applyAlignment="1" applyProtection="1">
      <alignment horizontal="center" vertical="center"/>
    </xf>
    <xf numFmtId="0" fontId="33" fillId="0" borderId="0" xfId="0" applyFont="1" applyFill="1" applyAlignment="1" applyProtection="1">
      <alignment horizontal="center" vertical="center"/>
    </xf>
    <xf numFmtId="0" fontId="34" fillId="0" borderId="0" xfId="0" applyFont="1" applyFill="1" applyAlignment="1" applyProtection="1">
      <alignment horizontal="center" vertical="center"/>
    </xf>
    <xf numFmtId="0" fontId="35" fillId="0" borderId="0" xfId="0" applyFont="1" applyFill="1" applyAlignment="1" applyProtection="1">
      <alignment horizontal="center" vertical="center"/>
    </xf>
    <xf numFmtId="49" fontId="32" fillId="0" borderId="0" xfId="0" applyNumberFormat="1" applyFont="1" applyFill="1" applyAlignment="1" applyProtection="1">
      <alignment horizontal="center" vertical="center"/>
    </xf>
    <xf numFmtId="0" fontId="36" fillId="0" borderId="0" xfId="0" applyFont="1" applyFill="1" applyAlignment="1" applyProtection="1">
      <alignment horizontal="center" vertical="center"/>
    </xf>
    <xf numFmtId="182" fontId="36" fillId="0" borderId="0" xfId="0" applyNumberFormat="1" applyFont="1" applyFill="1" applyAlignment="1" applyProtection="1">
      <alignment horizontal="center" vertical="center"/>
    </xf>
    <xf numFmtId="183" fontId="36" fillId="0" borderId="0" xfId="0" applyNumberFormat="1" applyFont="1" applyFill="1" applyAlignment="1" applyProtection="1">
      <alignment horizontal="center" vertical="center"/>
    </xf>
    <xf numFmtId="0" fontId="37" fillId="3" borderId="18" xfId="0" applyFont="1" applyFill="1" applyBorder="1" applyAlignment="1" applyProtection="1">
      <alignment vertical="center"/>
    </xf>
    <xf numFmtId="0" fontId="38" fillId="5" borderId="54" xfId="0" applyFont="1" applyFill="1" applyBorder="1" applyAlignment="1" applyProtection="1">
      <alignment horizontal="right" vertical="center"/>
      <protection locked="0"/>
    </xf>
    <xf numFmtId="0" fontId="38" fillId="3" borderId="0" xfId="0" applyFont="1" applyFill="1" applyAlignment="1" applyProtection="1">
      <alignment horizontal="center" vertical="center"/>
    </xf>
    <xf numFmtId="0" fontId="38" fillId="5" borderId="54" xfId="0" applyFont="1" applyFill="1" applyBorder="1" applyAlignment="1" applyProtection="1">
      <alignment vertical="center"/>
      <protection locked="0"/>
    </xf>
    <xf numFmtId="0" fontId="38" fillId="3" borderId="54" xfId="0" applyFont="1" applyFill="1" applyBorder="1" applyAlignment="1" applyProtection="1">
      <alignment vertical="center"/>
    </xf>
    <xf numFmtId="0" fontId="38" fillId="2" borderId="1" xfId="0" applyFont="1" applyFill="1" applyBorder="1" applyAlignment="1" applyProtection="1">
      <alignment horizontal="center" vertical="center"/>
      <protection locked="0"/>
    </xf>
    <xf numFmtId="0" fontId="39" fillId="3" borderId="54" xfId="0" applyFont="1" applyFill="1" applyBorder="1" applyAlignment="1" applyProtection="1">
      <alignment vertical="center"/>
    </xf>
    <xf numFmtId="0" fontId="40" fillId="3" borderId="1" xfId="5" applyFont="1" applyFill="1" applyBorder="1" applyAlignment="1" applyProtection="1">
      <alignment vertical="center"/>
    </xf>
    <xf numFmtId="0" fontId="40" fillId="3" borderId="1" xfId="0" applyFont="1" applyFill="1" applyBorder="1" applyAlignment="1" applyProtection="1">
      <alignment horizontal="right" vertical="center"/>
    </xf>
    <xf numFmtId="0" fontId="40" fillId="3" borderId="0" xfId="0" applyFont="1" applyFill="1" applyBorder="1" applyAlignment="1" applyProtection="1">
      <alignment vertical="center"/>
      <protection locked="0"/>
    </xf>
    <xf numFmtId="0" fontId="38" fillId="3" borderId="0" xfId="0" applyFont="1" applyFill="1" applyBorder="1" applyAlignment="1" applyProtection="1">
      <alignment vertical="center"/>
      <protection locked="0"/>
    </xf>
    <xf numFmtId="0" fontId="39" fillId="3" borderId="0" xfId="0" applyFont="1" applyFill="1" applyBorder="1" applyAlignment="1" applyProtection="1">
      <alignment vertical="center"/>
      <protection locked="0"/>
    </xf>
    <xf numFmtId="0" fontId="40" fillId="3" borderId="9" xfId="5" applyFont="1" applyFill="1" applyBorder="1" applyAlignment="1" applyProtection="1">
      <alignment vertical="center"/>
    </xf>
    <xf numFmtId="184" fontId="40" fillId="3" borderId="9" xfId="0" applyNumberFormat="1" applyFont="1" applyFill="1" applyBorder="1" applyAlignment="1" applyProtection="1">
      <alignment horizontal="right" vertical="center"/>
    </xf>
    <xf numFmtId="0" fontId="40" fillId="3" borderId="9" xfId="0" applyFont="1" applyFill="1" applyBorder="1" applyAlignment="1" applyProtection="1">
      <alignment horizontal="center" vertical="center"/>
    </xf>
    <xf numFmtId="0" fontId="40" fillId="3" borderId="9" xfId="0" applyFont="1" applyFill="1" applyBorder="1" applyAlignment="1" applyProtection="1">
      <alignment horizontal="right" vertical="center"/>
    </xf>
    <xf numFmtId="0" fontId="41" fillId="3" borderId="19" xfId="0" applyFont="1" applyFill="1" applyBorder="1" applyAlignment="1" applyProtection="1">
      <alignment vertical="center" wrapText="1"/>
    </xf>
    <xf numFmtId="0" fontId="41" fillId="3" borderId="55" xfId="0" applyFont="1" applyFill="1" applyBorder="1" applyAlignment="1" applyProtection="1">
      <alignment vertical="center" wrapText="1"/>
    </xf>
    <xf numFmtId="0" fontId="41" fillId="3" borderId="21" xfId="0" applyFont="1" applyFill="1" applyBorder="1" applyAlignment="1" applyProtection="1">
      <alignment vertical="center" wrapText="1"/>
    </xf>
    <xf numFmtId="0" fontId="41" fillId="3" borderId="0" xfId="0" applyFont="1" applyFill="1" applyBorder="1" applyAlignment="1" applyProtection="1">
      <alignment vertical="center" wrapText="1"/>
    </xf>
    <xf numFmtId="0" fontId="41" fillId="3" borderId="32" xfId="0" applyFont="1" applyFill="1" applyBorder="1" applyAlignment="1" applyProtection="1">
      <alignment vertical="center" wrapText="1"/>
    </xf>
    <xf numFmtId="0" fontId="41" fillId="3" borderId="17" xfId="0" applyFont="1" applyFill="1" applyBorder="1" applyAlignment="1" applyProtection="1">
      <alignment vertical="center" wrapText="1"/>
    </xf>
    <xf numFmtId="0" fontId="43" fillId="3" borderId="59" xfId="0" applyFont="1" applyFill="1" applyBorder="1" applyAlignment="1" applyProtection="1">
      <alignment vertical="center" wrapText="1"/>
    </xf>
    <xf numFmtId="0" fontId="43" fillId="3" borderId="44" xfId="0" applyFont="1" applyFill="1" applyBorder="1" applyAlignment="1" applyProtection="1">
      <alignment horizontal="left" vertical="center" wrapText="1"/>
    </xf>
    <xf numFmtId="185" fontId="32" fillId="3" borderId="60" xfId="0" applyNumberFormat="1" applyFont="1" applyFill="1" applyBorder="1" applyAlignment="1" applyProtection="1">
      <alignment horizontal="center" vertical="center" wrapText="1"/>
    </xf>
    <xf numFmtId="0" fontId="32" fillId="3" borderId="61" xfId="0" applyNumberFormat="1" applyFont="1" applyFill="1" applyBorder="1" applyAlignment="1" applyProtection="1">
      <alignment horizontal="center" vertical="center" wrapText="1"/>
    </xf>
    <xf numFmtId="185" fontId="32" fillId="0" borderId="62" xfId="0" applyNumberFormat="1" applyFont="1" applyFill="1" applyBorder="1" applyAlignment="1" applyProtection="1">
      <alignment horizontal="center" vertical="center" wrapText="1"/>
      <protection locked="0"/>
    </xf>
    <xf numFmtId="0" fontId="32" fillId="3" borderId="63" xfId="0" applyNumberFormat="1" applyFont="1" applyFill="1" applyBorder="1" applyAlignment="1" applyProtection="1">
      <alignment horizontal="center" vertical="center" wrapText="1"/>
    </xf>
    <xf numFmtId="185" fontId="32" fillId="0" borderId="60" xfId="0" applyNumberFormat="1" applyFont="1" applyFill="1" applyBorder="1" applyAlignment="1" applyProtection="1">
      <alignment horizontal="center" vertical="center" wrapText="1"/>
      <protection locked="0"/>
    </xf>
    <xf numFmtId="0" fontId="43" fillId="3" borderId="64" xfId="0" applyFont="1" applyFill="1" applyBorder="1" applyAlignment="1" applyProtection="1">
      <alignment vertical="center" wrapText="1"/>
    </xf>
    <xf numFmtId="0" fontId="43" fillId="3" borderId="46" xfId="0" applyFont="1" applyFill="1" applyBorder="1" applyAlignment="1" applyProtection="1">
      <alignment horizontal="left" vertical="center" wrapText="1"/>
    </xf>
    <xf numFmtId="49" fontId="32" fillId="5" borderId="60" xfId="0" applyNumberFormat="1" applyFont="1" applyFill="1" applyBorder="1" applyAlignment="1" applyProtection="1">
      <alignment horizontal="center" vertical="center" wrapText="1"/>
      <protection locked="0"/>
    </xf>
    <xf numFmtId="0" fontId="43" fillId="3" borderId="65" xfId="0" applyFont="1" applyFill="1" applyBorder="1" applyAlignment="1" applyProtection="1">
      <alignment vertical="center" wrapText="1"/>
    </xf>
    <xf numFmtId="0" fontId="43" fillId="3" borderId="66" xfId="0" applyFont="1" applyFill="1" applyBorder="1" applyAlignment="1" applyProtection="1">
      <alignment horizontal="left" vertical="center" wrapText="1"/>
    </xf>
    <xf numFmtId="0" fontId="32" fillId="0" borderId="59" xfId="0" applyNumberFormat="1" applyFont="1" applyFill="1" applyBorder="1" applyAlignment="1" applyProtection="1">
      <alignment horizontal="center" vertical="center" wrapText="1"/>
      <protection locked="0"/>
    </xf>
    <xf numFmtId="0" fontId="32" fillId="3" borderId="13" xfId="0" applyNumberFormat="1" applyFont="1" applyFill="1" applyBorder="1" applyAlignment="1" applyProtection="1">
      <alignment horizontal="center" vertical="center" wrapText="1"/>
    </xf>
    <xf numFmtId="49" fontId="32" fillId="5" borderId="4" xfId="0" applyNumberFormat="1" applyFont="1" applyFill="1" applyBorder="1" applyAlignment="1" applyProtection="1">
      <alignment horizontal="center" vertical="center" wrapText="1"/>
      <protection locked="0"/>
    </xf>
    <xf numFmtId="0" fontId="44" fillId="3" borderId="64" xfId="0" applyFont="1" applyFill="1" applyBorder="1" applyAlignment="1" applyProtection="1">
      <alignment vertical="center" wrapText="1"/>
    </xf>
    <xf numFmtId="49" fontId="32" fillId="0" borderId="6" xfId="0" applyNumberFormat="1" applyFont="1" applyFill="1" applyBorder="1" applyAlignment="1" applyProtection="1">
      <alignment horizontal="center" vertical="center" wrapText="1"/>
      <protection locked="0"/>
    </xf>
    <xf numFmtId="0" fontId="32" fillId="3" borderId="14" xfId="0" applyNumberFormat="1" applyFont="1" applyFill="1" applyBorder="1" applyAlignment="1" applyProtection="1">
      <alignment horizontal="center" vertical="center" wrapText="1"/>
    </xf>
    <xf numFmtId="49" fontId="32" fillId="0" borderId="11" xfId="0" applyNumberFormat="1" applyFont="1" applyFill="1" applyBorder="1" applyAlignment="1" applyProtection="1">
      <alignment horizontal="center" vertical="center" wrapText="1"/>
      <protection locked="0"/>
    </xf>
    <xf numFmtId="0" fontId="41" fillId="6" borderId="65" xfId="0" applyFont="1" applyFill="1" applyBorder="1" applyAlignment="1" applyProtection="1">
      <alignment vertical="center" wrapText="1"/>
    </xf>
    <xf numFmtId="0" fontId="43" fillId="6" borderId="66" xfId="0" applyFont="1" applyFill="1" applyBorder="1" applyAlignment="1" applyProtection="1">
      <alignment horizontal="left" vertical="center" wrapText="1"/>
      <protection locked="0"/>
    </xf>
    <xf numFmtId="0" fontId="32" fillId="0" borderId="29" xfId="0" applyNumberFormat="1" applyFont="1" applyFill="1" applyBorder="1" applyAlignment="1" applyProtection="1">
      <alignment horizontal="center" vertical="center" wrapText="1"/>
      <protection locked="0"/>
    </xf>
    <xf numFmtId="0" fontId="32" fillId="0" borderId="64" xfId="0" applyNumberFormat="1" applyFont="1" applyFill="1" applyBorder="1" applyAlignment="1" applyProtection="1">
      <alignment horizontal="center" vertical="center" wrapText="1"/>
      <protection locked="0"/>
    </xf>
    <xf numFmtId="0" fontId="32" fillId="3" borderId="66" xfId="0" applyNumberFormat="1" applyFont="1" applyFill="1" applyBorder="1" applyAlignment="1" applyProtection="1">
      <alignment horizontal="center" vertical="center" wrapText="1"/>
    </xf>
    <xf numFmtId="0" fontId="41" fillId="6" borderId="32" xfId="0" applyFont="1" applyFill="1" applyBorder="1" applyAlignment="1" applyProtection="1">
      <alignment vertical="center" wrapText="1"/>
    </xf>
    <xf numFmtId="0" fontId="43" fillId="6" borderId="67" xfId="0" applyFont="1" applyFill="1" applyBorder="1" applyAlignment="1" applyProtection="1">
      <alignment horizontal="left" vertical="center" wrapText="1"/>
      <protection locked="0"/>
    </xf>
    <xf numFmtId="0" fontId="36" fillId="0" borderId="64" xfId="0" applyNumberFormat="1" applyFont="1" applyFill="1" applyBorder="1" applyAlignment="1" applyProtection="1">
      <alignment horizontal="center" vertical="center" wrapText="1"/>
      <protection locked="0"/>
    </xf>
    <xf numFmtId="0" fontId="36" fillId="3" borderId="14" xfId="0" applyNumberFormat="1" applyFont="1" applyFill="1" applyBorder="1" applyAlignment="1" applyProtection="1">
      <alignment horizontal="center" vertical="center" wrapText="1"/>
    </xf>
    <xf numFmtId="0" fontId="45" fillId="3" borderId="68" xfId="0" applyFont="1" applyFill="1" applyBorder="1" applyAlignment="1" applyProtection="1">
      <alignment vertical="center" wrapText="1"/>
    </xf>
    <xf numFmtId="0" fontId="32" fillId="3" borderId="40" xfId="0" applyFont="1" applyFill="1" applyBorder="1" applyAlignment="1" applyProtection="1">
      <alignment horizontal="center" vertical="center" wrapText="1"/>
    </xf>
    <xf numFmtId="0" fontId="36" fillId="3" borderId="69" xfId="0" applyNumberFormat="1" applyFont="1" applyFill="1" applyBorder="1" applyAlignment="1" applyProtection="1">
      <alignment horizontal="center" vertical="center" wrapText="1"/>
    </xf>
    <xf numFmtId="0" fontId="36" fillId="3" borderId="70" xfId="0" applyNumberFormat="1" applyFont="1" applyFill="1" applyBorder="1" applyAlignment="1" applyProtection="1">
      <alignment horizontal="center" vertical="center" wrapText="1"/>
    </xf>
    <xf numFmtId="49" fontId="36" fillId="0" borderId="71" xfId="0" applyNumberFormat="1" applyFont="1" applyFill="1" applyBorder="1" applyAlignment="1" applyProtection="1">
      <alignment horizontal="center" vertical="center" wrapText="1"/>
      <protection locked="0"/>
    </xf>
    <xf numFmtId="0" fontId="36" fillId="3" borderId="40" xfId="0" applyNumberFormat="1" applyFont="1" applyFill="1" applyBorder="1" applyAlignment="1" applyProtection="1">
      <alignment horizontal="center" vertical="center" wrapText="1"/>
    </xf>
    <xf numFmtId="49" fontId="36" fillId="0" borderId="69" xfId="0" applyNumberFormat="1" applyFont="1" applyFill="1" applyBorder="1" applyAlignment="1" applyProtection="1">
      <alignment horizontal="center" vertical="center" wrapText="1"/>
      <protection locked="0"/>
    </xf>
    <xf numFmtId="0" fontId="41" fillId="3" borderId="68" xfId="0" applyFont="1" applyFill="1" applyBorder="1" applyAlignment="1" applyProtection="1">
      <alignment vertical="center" wrapText="1"/>
    </xf>
    <xf numFmtId="0" fontId="36" fillId="3" borderId="0" xfId="0" applyFont="1" applyFill="1" applyBorder="1" applyAlignment="1" applyProtection="1">
      <alignment horizontal="center" vertical="center"/>
    </xf>
    <xf numFmtId="0" fontId="36" fillId="5" borderId="29" xfId="0" applyNumberFormat="1" applyFont="1" applyFill="1" applyBorder="1" applyAlignment="1" applyProtection="1">
      <alignment horizontal="center" vertical="center" wrapText="1"/>
      <protection locked="0"/>
    </xf>
    <xf numFmtId="0" fontId="36" fillId="3" borderId="72" xfId="0" applyNumberFormat="1" applyFont="1" applyFill="1" applyBorder="1" applyAlignment="1" applyProtection="1">
      <alignment horizontal="center" vertical="center" wrapText="1"/>
    </xf>
    <xf numFmtId="0" fontId="36" fillId="3" borderId="34" xfId="0" applyNumberFormat="1" applyFont="1" applyFill="1" applyBorder="1" applyAlignment="1" applyProtection="1">
      <alignment horizontal="center" vertical="center" wrapText="1"/>
    </xf>
    <xf numFmtId="0" fontId="36" fillId="3" borderId="73" xfId="0" applyNumberFormat="1" applyFont="1" applyFill="1" applyBorder="1" applyAlignment="1" applyProtection="1">
      <alignment horizontal="center" vertical="center" wrapText="1"/>
    </xf>
    <xf numFmtId="0" fontId="46" fillId="3" borderId="57" xfId="0" applyFont="1" applyFill="1" applyBorder="1" applyAlignment="1" applyProtection="1">
      <alignment horizontal="center" vertical="center" wrapText="1"/>
    </xf>
    <xf numFmtId="0" fontId="36" fillId="3" borderId="22" xfId="0" applyNumberFormat="1" applyFont="1" applyFill="1" applyBorder="1" applyAlignment="1" applyProtection="1">
      <alignment horizontal="center" vertical="center" wrapText="1"/>
    </xf>
    <xf numFmtId="0" fontId="36" fillId="3" borderId="57" xfId="0" applyNumberFormat="1" applyFont="1" applyFill="1" applyBorder="1" applyAlignment="1" applyProtection="1">
      <alignment horizontal="center" vertical="center" wrapText="1"/>
    </xf>
    <xf numFmtId="49" fontId="36" fillId="0" borderId="58" xfId="0" applyNumberFormat="1" applyFont="1" applyFill="1" applyBorder="1" applyAlignment="1" applyProtection="1">
      <alignment horizontal="center" vertical="center" wrapText="1"/>
      <protection locked="0"/>
    </xf>
    <xf numFmtId="0" fontId="36" fillId="3" borderId="18" xfId="0" applyNumberFormat="1" applyFont="1" applyFill="1" applyBorder="1" applyAlignment="1" applyProtection="1">
      <alignment horizontal="center" vertical="center" wrapText="1"/>
    </xf>
    <xf numFmtId="49" fontId="36" fillId="0" borderId="22" xfId="0" applyNumberFormat="1" applyFont="1" applyFill="1" applyBorder="1" applyAlignment="1" applyProtection="1">
      <alignment horizontal="center" vertical="center" wrapText="1"/>
      <protection locked="0"/>
    </xf>
    <xf numFmtId="0" fontId="32" fillId="3" borderId="72" xfId="0" applyFont="1" applyFill="1" applyBorder="1" applyAlignment="1" applyProtection="1">
      <alignment horizontal="center" vertical="center" wrapText="1"/>
    </xf>
    <xf numFmtId="0" fontId="36" fillId="5" borderId="68" xfId="0" applyNumberFormat="1" applyFont="1" applyFill="1" applyBorder="1" applyAlignment="1" applyProtection="1">
      <alignment horizontal="center" vertical="center" wrapText="1"/>
      <protection locked="0"/>
    </xf>
    <xf numFmtId="0" fontId="46" fillId="3" borderId="73" xfId="0" applyFont="1" applyFill="1" applyBorder="1" applyAlignment="1" applyProtection="1">
      <alignment horizontal="center" vertical="center" wrapText="1"/>
    </xf>
    <xf numFmtId="49" fontId="36" fillId="0" borderId="74" xfId="0" applyNumberFormat="1" applyFont="1" applyFill="1" applyBorder="1" applyAlignment="1" applyProtection="1">
      <alignment horizontal="center" vertical="center" wrapText="1"/>
      <protection locked="0"/>
    </xf>
    <xf numFmtId="0" fontId="36" fillId="3" borderId="20" xfId="0" applyNumberFormat="1" applyFont="1" applyFill="1" applyBorder="1" applyAlignment="1" applyProtection="1">
      <alignment horizontal="center" vertical="center" wrapText="1"/>
    </xf>
    <xf numFmtId="49" fontId="36" fillId="0" borderId="68" xfId="0" applyNumberFormat="1" applyFont="1" applyFill="1" applyBorder="1" applyAlignment="1" applyProtection="1">
      <alignment horizontal="center" vertical="center" wrapText="1"/>
      <protection locked="0"/>
    </xf>
    <xf numFmtId="0" fontId="32" fillId="3" borderId="73" xfId="0" applyFont="1" applyFill="1" applyBorder="1" applyAlignment="1" applyProtection="1">
      <alignment horizontal="center" vertical="center" wrapText="1"/>
    </xf>
    <xf numFmtId="0" fontId="32" fillId="3" borderId="18" xfId="0" applyFont="1" applyFill="1" applyBorder="1" applyAlignment="1" applyProtection="1">
      <alignment horizontal="center" vertical="center" wrapText="1"/>
    </xf>
    <xf numFmtId="0" fontId="32" fillId="3" borderId="34" xfId="0" applyFont="1" applyFill="1" applyBorder="1" applyAlignment="1" applyProtection="1">
      <alignment horizontal="center" vertical="center" wrapText="1"/>
    </xf>
    <xf numFmtId="0" fontId="36" fillId="5" borderId="64" xfId="0" applyNumberFormat="1" applyFont="1" applyFill="1" applyBorder="1" applyAlignment="1" applyProtection="1">
      <alignment horizontal="center" vertical="center" wrapText="1"/>
      <protection locked="0"/>
    </xf>
    <xf numFmtId="0" fontId="36" fillId="3" borderId="10" xfId="0" applyNumberFormat="1" applyFont="1" applyFill="1" applyBorder="1" applyAlignment="1" applyProtection="1">
      <alignment horizontal="center" vertical="center" wrapText="1"/>
    </xf>
    <xf numFmtId="0" fontId="32" fillId="0" borderId="18" xfId="0" applyFont="1" applyFill="1" applyBorder="1" applyAlignment="1" applyProtection="1">
      <alignment horizontal="center" vertical="center" wrapText="1"/>
      <protection locked="0"/>
    </xf>
    <xf numFmtId="0" fontId="43" fillId="3" borderId="68" xfId="0" applyFont="1" applyFill="1" applyBorder="1" applyAlignment="1" applyProtection="1">
      <alignment vertical="center" wrapText="1"/>
    </xf>
    <xf numFmtId="0" fontId="36" fillId="0" borderId="75" xfId="0" applyNumberFormat="1" applyFont="1" applyFill="1" applyBorder="1" applyAlignment="1" applyProtection="1">
      <alignment horizontal="center" vertical="center" wrapText="1"/>
      <protection locked="0"/>
    </xf>
    <xf numFmtId="0" fontId="32" fillId="3" borderId="73" xfId="0" applyNumberFormat="1" applyFont="1" applyFill="1" applyBorder="1" applyAlignment="1" applyProtection="1">
      <alignment horizontal="center" vertical="center" wrapText="1"/>
    </xf>
    <xf numFmtId="0" fontId="32" fillId="3" borderId="20" xfId="0" applyNumberFormat="1" applyFont="1" applyFill="1" applyBorder="1" applyAlignment="1" applyProtection="1">
      <alignment horizontal="center" vertical="center" wrapText="1"/>
    </xf>
    <xf numFmtId="0" fontId="45" fillId="3" borderId="69" xfId="0" applyFont="1" applyFill="1" applyBorder="1" applyAlignment="1" applyProtection="1">
      <alignment vertical="center" wrapText="1"/>
    </xf>
    <xf numFmtId="0" fontId="32" fillId="3" borderId="39" xfId="0" applyFont="1" applyFill="1" applyBorder="1" applyAlignment="1" applyProtection="1">
      <alignment horizontal="center" vertical="center" wrapText="1"/>
    </xf>
    <xf numFmtId="0" fontId="36" fillId="5" borderId="4" xfId="0" applyNumberFormat="1" applyFont="1" applyFill="1" applyBorder="1" applyAlignment="1" applyProtection="1">
      <alignment horizontal="center" vertical="center" wrapText="1"/>
      <protection locked="0"/>
    </xf>
    <xf numFmtId="0" fontId="36" fillId="3" borderId="13" xfId="0" applyNumberFormat="1" applyFont="1" applyFill="1" applyBorder="1" applyAlignment="1" applyProtection="1">
      <alignment horizontal="center" vertical="center" wrapText="1"/>
    </xf>
    <xf numFmtId="0" fontId="36" fillId="3" borderId="39" xfId="0" applyNumberFormat="1" applyFont="1" applyFill="1" applyBorder="1" applyAlignment="1" applyProtection="1">
      <alignment horizontal="center" vertical="center" wrapText="1"/>
    </xf>
    <xf numFmtId="0" fontId="47" fillId="3" borderId="68" xfId="0" applyFont="1" applyFill="1" applyBorder="1" applyAlignment="1" applyProtection="1">
      <alignment vertical="center" textRotation="255" wrapText="1"/>
    </xf>
    <xf numFmtId="0" fontId="32" fillId="3" borderId="10" xfId="0" applyFont="1" applyFill="1" applyBorder="1" applyAlignment="1" applyProtection="1">
      <alignment horizontal="center" vertical="center" wrapText="1"/>
    </xf>
    <xf numFmtId="9" fontId="32" fillId="0" borderId="64" xfId="0" applyNumberFormat="1" applyFont="1" applyFill="1" applyBorder="1" applyAlignment="1" applyProtection="1">
      <alignment horizontal="center" vertical="center" wrapText="1"/>
      <protection locked="0"/>
    </xf>
    <xf numFmtId="9" fontId="32" fillId="0" borderId="11" xfId="0" applyNumberFormat="1" applyFont="1" applyFill="1" applyBorder="1" applyAlignment="1" applyProtection="1">
      <alignment horizontal="center" vertical="center" wrapText="1"/>
      <protection locked="0"/>
    </xf>
    <xf numFmtId="9" fontId="32" fillId="0" borderId="6" xfId="0" applyNumberFormat="1" applyFont="1" applyFill="1" applyBorder="1" applyAlignment="1" applyProtection="1">
      <alignment horizontal="center" vertical="center" wrapText="1"/>
      <protection locked="0"/>
    </xf>
    <xf numFmtId="0" fontId="41" fillId="3" borderId="68" xfId="0" applyFont="1" applyFill="1" applyBorder="1" applyAlignment="1" applyProtection="1">
      <alignment vertical="center" textRotation="255" wrapText="1"/>
    </xf>
    <xf numFmtId="0" fontId="36" fillId="5" borderId="6" xfId="0" applyNumberFormat="1" applyFont="1" applyFill="1" applyBorder="1" applyAlignment="1" applyProtection="1">
      <alignment horizontal="center" vertical="center" wrapText="1"/>
      <protection locked="0"/>
    </xf>
    <xf numFmtId="0" fontId="32" fillId="5" borderId="64" xfId="0" applyNumberFormat="1" applyFont="1" applyFill="1" applyBorder="1" applyAlignment="1" applyProtection="1">
      <alignment horizontal="center" vertical="center" wrapText="1"/>
      <protection locked="0"/>
    </xf>
    <xf numFmtId="0" fontId="43" fillId="3" borderId="68" xfId="0" applyFont="1" applyFill="1" applyBorder="1" applyAlignment="1" applyProtection="1">
      <alignment vertical="center" textRotation="255" wrapText="1"/>
    </xf>
    <xf numFmtId="0" fontId="41" fillId="3" borderId="76" xfId="0" applyFont="1" applyFill="1" applyBorder="1" applyAlignment="1" applyProtection="1">
      <alignment vertical="center" textRotation="255" wrapText="1"/>
    </xf>
    <xf numFmtId="0" fontId="32" fillId="0" borderId="42" xfId="0" applyFont="1" applyFill="1" applyBorder="1" applyAlignment="1" applyProtection="1">
      <alignment horizontal="center" vertical="center" wrapText="1"/>
      <protection locked="0"/>
    </xf>
    <xf numFmtId="0" fontId="36" fillId="0" borderId="77" xfId="0" applyNumberFormat="1" applyFont="1" applyFill="1" applyBorder="1" applyAlignment="1" applyProtection="1">
      <alignment horizontal="center" vertical="center" wrapText="1"/>
      <protection locked="0"/>
    </xf>
    <xf numFmtId="0" fontId="36" fillId="3" borderId="15" xfId="0" applyNumberFormat="1" applyFont="1" applyFill="1" applyBorder="1" applyAlignment="1" applyProtection="1">
      <alignment horizontal="center" vertical="center" wrapText="1"/>
    </xf>
    <xf numFmtId="0" fontId="32" fillId="0" borderId="77" xfId="0" applyNumberFormat="1" applyFont="1" applyFill="1" applyBorder="1" applyAlignment="1" applyProtection="1">
      <alignment horizontal="center" vertical="center" wrapText="1"/>
      <protection locked="0"/>
    </xf>
    <xf numFmtId="0" fontId="36" fillId="3" borderId="42" xfId="0" applyNumberFormat="1" applyFont="1" applyFill="1" applyBorder="1" applyAlignment="1" applyProtection="1">
      <alignment horizontal="center" vertical="center" wrapText="1"/>
    </xf>
    <xf numFmtId="49" fontId="41" fillId="3" borderId="59" xfId="0" applyNumberFormat="1" applyFont="1" applyFill="1" applyBorder="1" applyAlignment="1" applyProtection="1">
      <alignment vertical="center"/>
    </xf>
    <xf numFmtId="49" fontId="41" fillId="3" borderId="78" xfId="0" applyNumberFormat="1" applyFont="1" applyFill="1" applyBorder="1" applyAlignment="1" applyProtection="1">
      <alignment vertical="center"/>
    </xf>
    <xf numFmtId="0" fontId="41" fillId="3" borderId="59" xfId="0" applyNumberFormat="1" applyFont="1" applyFill="1" applyBorder="1" applyAlignment="1" applyProtection="1">
      <alignment horizontal="right" vertical="center" wrapText="1"/>
    </xf>
    <xf numFmtId="0" fontId="41" fillId="3" borderId="44" xfId="0" applyNumberFormat="1" applyFont="1" applyFill="1" applyBorder="1" applyAlignment="1" applyProtection="1">
      <alignment vertical="center" wrapText="1"/>
    </xf>
    <xf numFmtId="0" fontId="48" fillId="7" borderId="78" xfId="0" applyNumberFormat="1" applyFont="1" applyFill="1" applyBorder="1" applyAlignment="1" applyProtection="1">
      <alignment vertical="center" wrapText="1"/>
      <protection locked="0"/>
    </xf>
    <xf numFmtId="0" fontId="48" fillId="3" borderId="78" xfId="0" applyNumberFormat="1" applyFont="1" applyFill="1" applyBorder="1" applyAlignment="1" applyProtection="1">
      <alignment vertical="center" wrapText="1"/>
    </xf>
    <xf numFmtId="0" fontId="48" fillId="7" borderId="59" xfId="0" applyNumberFormat="1" applyFont="1" applyFill="1" applyBorder="1" applyAlignment="1" applyProtection="1">
      <alignment vertical="center" wrapText="1"/>
      <protection locked="0"/>
    </xf>
    <xf numFmtId="0" fontId="48" fillId="3" borderId="44" xfId="0" applyNumberFormat="1" applyFont="1" applyFill="1" applyBorder="1" applyAlignment="1" applyProtection="1">
      <alignment vertical="center" wrapText="1"/>
    </xf>
    <xf numFmtId="49" fontId="41" fillId="3" borderId="77" xfId="0" applyNumberFormat="1" applyFont="1" applyFill="1" applyBorder="1" applyAlignment="1" applyProtection="1">
      <alignment vertical="center"/>
    </xf>
    <xf numFmtId="49" fontId="41" fillId="3" borderId="79" xfId="0" applyNumberFormat="1" applyFont="1" applyFill="1" applyBorder="1" applyAlignment="1" applyProtection="1">
      <alignment vertical="center"/>
    </xf>
    <xf numFmtId="0" fontId="41" fillId="3" borderId="77" xfId="0" applyNumberFormat="1" applyFont="1" applyFill="1" applyBorder="1" applyAlignment="1" applyProtection="1">
      <alignment vertical="center" wrapText="1"/>
    </xf>
    <xf numFmtId="0" fontId="24" fillId="8" borderId="53" xfId="0" applyNumberFormat="1" applyFont="1" applyFill="1" applyBorder="1" applyAlignment="1" applyProtection="1">
      <alignment horizontal="left" vertical="center" wrapText="1"/>
      <protection locked="0"/>
    </xf>
    <xf numFmtId="0" fontId="41" fillId="3" borderId="79" xfId="0" applyNumberFormat="1" applyFont="1" applyFill="1" applyBorder="1" applyAlignment="1" applyProtection="1">
      <alignment vertical="center" wrapText="1"/>
    </xf>
    <xf numFmtId="183" fontId="41" fillId="8" borderId="53" xfId="0" applyNumberFormat="1" applyFont="1" applyFill="1" applyBorder="1" applyAlignment="1" applyProtection="1">
      <alignment horizontal="left" vertical="center" wrapText="1"/>
      <protection locked="0"/>
    </xf>
    <xf numFmtId="49" fontId="41" fillId="0" borderId="32" xfId="0" applyNumberFormat="1" applyFont="1" applyFill="1" applyBorder="1" applyAlignment="1" applyProtection="1">
      <alignment vertical="center"/>
      <protection locked="0"/>
    </xf>
    <xf numFmtId="49" fontId="41" fillId="0" borderId="67" xfId="0" applyNumberFormat="1" applyFont="1" applyFill="1" applyBorder="1" applyAlignment="1" applyProtection="1">
      <alignment vertical="center"/>
      <protection locked="0"/>
    </xf>
    <xf numFmtId="0" fontId="41" fillId="3" borderId="17" xfId="0" applyNumberFormat="1" applyFont="1" applyFill="1" applyBorder="1" applyAlignment="1" applyProtection="1">
      <alignment vertical="center" wrapText="1"/>
    </xf>
    <xf numFmtId="0" fontId="36" fillId="9" borderId="0" xfId="0" applyFont="1" applyFill="1" applyAlignment="1" applyProtection="1">
      <alignment horizontal="center" vertical="center"/>
      <protection locked="0"/>
    </xf>
    <xf numFmtId="9" fontId="36" fillId="9" borderId="0" xfId="0" applyNumberFormat="1" applyFont="1" applyFill="1" applyAlignment="1" applyProtection="1">
      <alignment horizontal="center" vertical="center"/>
      <protection locked="0"/>
    </xf>
    <xf numFmtId="0" fontId="41" fillId="3" borderId="1" xfId="0" applyFont="1" applyFill="1" applyBorder="1" applyAlignment="1" applyProtection="1">
      <alignment horizontal="left" vertical="center"/>
    </xf>
    <xf numFmtId="0" fontId="41" fillId="3" borderId="1" xfId="0" applyFont="1" applyFill="1" applyBorder="1" applyAlignment="1" applyProtection="1">
      <alignment horizontal="center" vertical="center" wrapText="1"/>
    </xf>
    <xf numFmtId="183" fontId="36" fillId="3" borderId="10" xfId="0" applyNumberFormat="1" applyFont="1" applyFill="1" applyBorder="1" applyAlignment="1" applyProtection="1">
      <alignment horizontal="center" vertical="center"/>
    </xf>
    <xf numFmtId="183" fontId="36" fillId="3" borderId="11" xfId="0" applyNumberFormat="1" applyFont="1" applyFill="1" applyBorder="1" applyAlignment="1" applyProtection="1">
      <alignment vertical="center"/>
    </xf>
    <xf numFmtId="0" fontId="41" fillId="3" borderId="11" xfId="0" applyFont="1" applyFill="1" applyBorder="1" applyAlignment="1" applyProtection="1">
      <alignment horizontal="center" vertical="center" wrapText="1"/>
    </xf>
    <xf numFmtId="0" fontId="35" fillId="9" borderId="0" xfId="0" applyFont="1" applyFill="1" applyAlignment="1" applyProtection="1">
      <alignment horizontal="center" vertical="center"/>
      <protection locked="0"/>
    </xf>
    <xf numFmtId="0" fontId="35" fillId="3" borderId="0" xfId="0" applyFont="1" applyFill="1" applyAlignment="1" applyProtection="1">
      <alignment horizontal="center" vertical="center"/>
      <protection locked="0"/>
    </xf>
    <xf numFmtId="14" fontId="36" fillId="3" borderId="0" xfId="0" applyNumberFormat="1" applyFont="1" applyFill="1" applyAlignment="1" applyProtection="1">
      <alignment horizontal="center" vertical="center"/>
      <protection locked="0"/>
    </xf>
    <xf numFmtId="186" fontId="36" fillId="3" borderId="0" xfId="0" applyNumberFormat="1" applyFont="1" applyFill="1" applyAlignment="1" applyProtection="1">
      <alignment horizontal="center" vertical="center"/>
      <protection locked="0"/>
    </xf>
    <xf numFmtId="0" fontId="36" fillId="3" borderId="0" xfId="0" applyFont="1" applyFill="1" applyAlignment="1" applyProtection="1">
      <alignment horizontal="center" vertical="center"/>
      <protection locked="0"/>
    </xf>
    <xf numFmtId="0" fontId="49" fillId="3" borderId="0" xfId="0" applyFont="1" applyFill="1" applyBorder="1" applyAlignment="1" applyProtection="1"/>
    <xf numFmtId="0" fontId="36" fillId="3" borderId="0" xfId="0" applyFont="1" applyFill="1" applyAlignment="1" applyProtection="1">
      <alignment horizontal="center" vertical="center"/>
    </xf>
    <xf numFmtId="0" fontId="36" fillId="3" borderId="0" xfId="0" applyFont="1" applyFill="1" applyBorder="1" applyAlignment="1" applyProtection="1"/>
    <xf numFmtId="0" fontId="36" fillId="3" borderId="0" xfId="0" applyFont="1" applyFill="1" applyBorder="1" applyAlignment="1" applyProtection="1">
      <alignment horizontal="center"/>
    </xf>
    <xf numFmtId="0" fontId="43" fillId="3" borderId="19" xfId="0" applyNumberFormat="1" applyFont="1" applyFill="1" applyBorder="1" applyAlignment="1" applyProtection="1">
      <alignment vertical="center" wrapText="1"/>
    </xf>
    <xf numFmtId="0" fontId="43" fillId="3" borderId="71" xfId="0" applyNumberFormat="1" applyFont="1" applyFill="1" applyBorder="1" applyAlignment="1" applyProtection="1">
      <alignment vertical="center" wrapText="1"/>
    </xf>
    <xf numFmtId="187" fontId="32" fillId="3" borderId="56" xfId="0" applyNumberFormat="1" applyFont="1" applyFill="1" applyBorder="1" applyAlignment="1" applyProtection="1">
      <alignment horizontal="center" vertical="center" wrapText="1"/>
    </xf>
    <xf numFmtId="187" fontId="32" fillId="3" borderId="5" xfId="0" applyNumberFormat="1" applyFont="1" applyFill="1" applyBorder="1" applyAlignment="1" applyProtection="1">
      <alignment horizontal="center" vertical="center" wrapText="1"/>
    </xf>
    <xf numFmtId="0" fontId="43" fillId="3" borderId="21" xfId="0" applyNumberFormat="1" applyFont="1" applyFill="1" applyBorder="1" applyAlignment="1" applyProtection="1">
      <alignment vertical="center" wrapText="1"/>
    </xf>
    <xf numFmtId="0" fontId="43" fillId="3" borderId="74" xfId="0" applyNumberFormat="1" applyFont="1" applyFill="1" applyBorder="1" applyAlignment="1" applyProtection="1">
      <alignment vertical="center" wrapText="1"/>
    </xf>
    <xf numFmtId="0" fontId="32" fillId="3" borderId="58" xfId="0" applyNumberFormat="1" applyFont="1" applyFill="1" applyBorder="1" applyAlignment="1" applyProtection="1">
      <alignment horizontal="center" vertical="center" wrapText="1"/>
    </xf>
    <xf numFmtId="0" fontId="32" fillId="0" borderId="9" xfId="0" applyNumberFormat="1" applyFont="1" applyFill="1" applyBorder="1" applyAlignment="1" applyProtection="1">
      <alignment horizontal="center" vertical="center" wrapText="1"/>
      <protection locked="0"/>
    </xf>
    <xf numFmtId="0" fontId="43" fillId="3" borderId="32" xfId="0" applyNumberFormat="1" applyFont="1" applyFill="1" applyBorder="1" applyAlignment="1" applyProtection="1">
      <alignment vertical="center"/>
    </xf>
    <xf numFmtId="0" fontId="43" fillId="3" borderId="43" xfId="0" applyNumberFormat="1" applyFont="1" applyFill="1" applyBorder="1" applyAlignment="1" applyProtection="1">
      <alignment vertical="center" wrapText="1"/>
    </xf>
    <xf numFmtId="0" fontId="32" fillId="0" borderId="43" xfId="0" applyNumberFormat="1" applyFont="1" applyFill="1" applyBorder="1" applyAlignment="1" applyProtection="1">
      <alignment horizontal="center" vertical="center" wrapText="1"/>
      <protection locked="0"/>
    </xf>
    <xf numFmtId="0" fontId="32" fillId="0" borderId="80" xfId="0" applyNumberFormat="1" applyFont="1" applyFill="1" applyBorder="1" applyAlignment="1" applyProtection="1">
      <alignment horizontal="center" vertical="center" wrapText="1"/>
      <protection locked="0"/>
    </xf>
    <xf numFmtId="0" fontId="43" fillId="3" borderId="20" xfId="0" applyNumberFormat="1" applyFont="1" applyFill="1" applyBorder="1" applyAlignment="1" applyProtection="1">
      <alignment vertical="center" wrapText="1"/>
    </xf>
    <xf numFmtId="0" fontId="32" fillId="3" borderId="81" xfId="0" applyNumberFormat="1" applyFont="1" applyFill="1" applyBorder="1" applyAlignment="1" applyProtection="1">
      <alignment horizontal="center" vertical="center" wrapText="1"/>
    </xf>
    <xf numFmtId="0" fontId="32" fillId="0" borderId="3" xfId="0" applyNumberFormat="1" applyFont="1" applyFill="1" applyBorder="1" applyAlignment="1" applyProtection="1">
      <alignment horizontal="center" vertical="center" wrapText="1"/>
      <protection locked="0"/>
    </xf>
    <xf numFmtId="0" fontId="41" fillId="3" borderId="69" xfId="0" applyNumberFormat="1" applyFont="1" applyFill="1" applyBorder="1" applyAlignment="1" applyProtection="1">
      <alignment vertical="center" wrapText="1"/>
    </xf>
    <xf numFmtId="0" fontId="32" fillId="3" borderId="41" xfId="0" applyNumberFormat="1" applyFont="1" applyFill="1" applyBorder="1" applyAlignment="1" applyProtection="1">
      <alignment horizontal="center" vertical="center" wrapText="1"/>
    </xf>
    <xf numFmtId="0" fontId="36" fillId="3" borderId="5" xfId="0" applyNumberFormat="1" applyFont="1" applyFill="1" applyBorder="1" applyAlignment="1" applyProtection="1">
      <alignment horizontal="center" vertical="center" wrapText="1"/>
    </xf>
    <xf numFmtId="0" fontId="36" fillId="0" borderId="5" xfId="0" applyNumberFormat="1" applyFont="1" applyFill="1" applyBorder="1" applyAlignment="1" applyProtection="1">
      <alignment horizontal="center" vertical="center" wrapText="1"/>
      <protection locked="0"/>
    </xf>
    <xf numFmtId="0" fontId="41" fillId="3" borderId="68" xfId="0" applyNumberFormat="1" applyFont="1" applyFill="1" applyBorder="1" applyAlignment="1" applyProtection="1">
      <alignment vertical="center" wrapText="1"/>
    </xf>
    <xf numFmtId="0" fontId="34" fillId="3" borderId="82" xfId="0" applyNumberFormat="1" applyFont="1" applyFill="1" applyBorder="1" applyAlignment="1" applyProtection="1">
      <alignment horizontal="center" vertical="center" wrapText="1"/>
    </xf>
    <xf numFmtId="0" fontId="36" fillId="0" borderId="83" xfId="0" applyNumberFormat="1" applyFont="1" applyFill="1" applyBorder="1" applyAlignment="1" applyProtection="1">
      <alignment horizontal="center" vertical="center" wrapText="1"/>
      <protection locked="0"/>
    </xf>
    <xf numFmtId="0" fontId="32" fillId="3" borderId="84" xfId="0" applyNumberFormat="1" applyFont="1" applyFill="1" applyBorder="1" applyAlignment="1" applyProtection="1">
      <alignment horizontal="center" vertical="center" wrapText="1"/>
    </xf>
    <xf numFmtId="0" fontId="36" fillId="0" borderId="85" xfId="0" applyNumberFormat="1" applyFont="1" applyFill="1" applyBorder="1" applyAlignment="1" applyProtection="1">
      <alignment horizontal="center" vertical="center" wrapText="1"/>
      <protection locked="0"/>
    </xf>
    <xf numFmtId="0" fontId="32" fillId="3" borderId="82" xfId="0" applyNumberFormat="1" applyFont="1" applyFill="1" applyBorder="1" applyAlignment="1" applyProtection="1">
      <alignment horizontal="center" vertical="center" wrapText="1"/>
    </xf>
    <xf numFmtId="0" fontId="36" fillId="3" borderId="35" xfId="0" applyNumberFormat="1" applyFont="1" applyFill="1" applyBorder="1" applyAlignment="1" applyProtection="1">
      <alignment horizontal="center" vertical="center" wrapText="1"/>
    </xf>
    <xf numFmtId="0" fontId="36" fillId="0" borderId="1" xfId="0" applyNumberFormat="1" applyFont="1" applyFill="1" applyBorder="1" applyAlignment="1" applyProtection="1">
      <alignment horizontal="center" vertical="center" wrapText="1"/>
      <protection locked="0"/>
    </xf>
    <xf numFmtId="0" fontId="32" fillId="0" borderId="83" xfId="0" applyNumberFormat="1" applyFont="1" applyFill="1" applyBorder="1" applyAlignment="1" applyProtection="1">
      <alignment horizontal="center" vertical="center" wrapText="1"/>
      <protection locked="0"/>
    </xf>
    <xf numFmtId="0" fontId="47" fillId="3" borderId="68" xfId="0" applyNumberFormat="1" applyFont="1" applyFill="1" applyBorder="1" applyAlignment="1" applyProtection="1">
      <alignment vertical="center" wrapText="1"/>
    </xf>
    <xf numFmtId="0" fontId="32" fillId="0" borderId="85" xfId="0" applyNumberFormat="1" applyFont="1" applyFill="1" applyBorder="1" applyAlignment="1" applyProtection="1">
      <alignment horizontal="center" vertical="center" wrapText="1"/>
      <protection locked="0"/>
    </xf>
    <xf numFmtId="0" fontId="34" fillId="0" borderId="85" xfId="0" applyNumberFormat="1" applyFont="1" applyFill="1" applyBorder="1" applyAlignment="1" applyProtection="1">
      <alignment horizontal="center" vertical="center" wrapText="1"/>
      <protection locked="0"/>
    </xf>
    <xf numFmtId="0" fontId="34" fillId="0" borderId="83" xfId="0" applyNumberFormat="1" applyFont="1" applyFill="1" applyBorder="1" applyAlignment="1" applyProtection="1">
      <alignment horizontal="center" vertical="center" wrapText="1"/>
      <protection locked="0"/>
    </xf>
    <xf numFmtId="0" fontId="32" fillId="3" borderId="5" xfId="0" applyNumberFormat="1" applyFont="1" applyFill="1" applyBorder="1" applyAlignment="1" applyProtection="1">
      <alignment horizontal="center" vertical="center" wrapText="1"/>
    </xf>
    <xf numFmtId="0" fontId="36" fillId="3" borderId="83" xfId="0" applyNumberFormat="1" applyFont="1" applyFill="1" applyBorder="1" applyAlignment="1" applyProtection="1">
      <alignment horizontal="center" vertical="center" wrapText="1"/>
    </xf>
    <xf numFmtId="0" fontId="46" fillId="3" borderId="84" xfId="0" applyNumberFormat="1" applyFont="1" applyFill="1" applyBorder="1" applyAlignment="1" applyProtection="1">
      <alignment horizontal="center" vertical="center" wrapText="1"/>
    </xf>
    <xf numFmtId="0" fontId="32" fillId="3" borderId="85" xfId="0" applyNumberFormat="1" applyFont="1" applyFill="1" applyBorder="1" applyAlignment="1" applyProtection="1">
      <alignment horizontal="center" vertical="center" wrapText="1"/>
    </xf>
    <xf numFmtId="0" fontId="36" fillId="3" borderId="85" xfId="0" applyNumberFormat="1" applyFont="1" applyFill="1" applyBorder="1" applyAlignment="1" applyProtection="1">
      <alignment horizontal="center" vertical="center" wrapText="1"/>
    </xf>
    <xf numFmtId="182" fontId="38" fillId="3" borderId="54" xfId="0" applyNumberFormat="1" applyFont="1" applyFill="1" applyBorder="1" applyAlignment="1" applyProtection="1">
      <alignment horizontal="center" vertical="center"/>
    </xf>
    <xf numFmtId="183" fontId="38" fillId="3" borderId="54" xfId="0" applyNumberFormat="1" applyFont="1" applyFill="1" applyBorder="1" applyAlignment="1" applyProtection="1">
      <alignment vertical="center"/>
      <protection locked="0"/>
    </xf>
    <xf numFmtId="0" fontId="38" fillId="3" borderId="54" xfId="0" applyFont="1" applyFill="1" applyBorder="1" applyAlignment="1" applyProtection="1">
      <alignment horizontal="center" vertical="center"/>
      <protection locked="0"/>
    </xf>
    <xf numFmtId="0" fontId="38" fillId="3" borderId="0" xfId="0" applyFont="1" applyFill="1" applyBorder="1" applyAlignment="1" applyProtection="1">
      <alignment horizontal="center" vertical="center"/>
      <protection locked="0"/>
    </xf>
    <xf numFmtId="182" fontId="38" fillId="3" borderId="0" xfId="0" applyNumberFormat="1" applyFont="1" applyFill="1" applyBorder="1" applyAlignment="1" applyProtection="1">
      <alignment horizontal="center" vertical="center"/>
      <protection locked="0"/>
    </xf>
    <xf numFmtId="183" fontId="38" fillId="3" borderId="0" xfId="0" applyNumberFormat="1" applyFont="1" applyFill="1" applyBorder="1" applyAlignment="1" applyProtection="1">
      <alignment vertical="center"/>
      <protection locked="0"/>
    </xf>
    <xf numFmtId="182" fontId="32" fillId="3" borderId="11" xfId="0" applyNumberFormat="1" applyFont="1" applyFill="1" applyBorder="1" applyAlignment="1" applyProtection="1">
      <alignment horizontal="center" vertical="center" wrapText="1"/>
    </xf>
    <xf numFmtId="183" fontId="32" fillId="3" borderId="0" xfId="0" applyNumberFormat="1" applyFont="1" applyFill="1" applyBorder="1" applyAlignment="1" applyProtection="1">
      <alignment vertical="center" wrapText="1"/>
      <protection locked="0"/>
    </xf>
    <xf numFmtId="0" fontId="36" fillId="3" borderId="0" xfId="0" applyFont="1" applyFill="1" applyBorder="1" applyAlignment="1" applyProtection="1">
      <alignment horizontal="center" vertical="center"/>
      <protection locked="0"/>
    </xf>
    <xf numFmtId="0" fontId="32" fillId="3" borderId="11" xfId="0" applyNumberFormat="1" applyFont="1" applyFill="1" applyBorder="1" applyAlignment="1" applyProtection="1">
      <alignment horizontal="center" vertical="center" wrapText="1"/>
    </xf>
    <xf numFmtId="183" fontId="32" fillId="3" borderId="0" xfId="0" applyNumberFormat="1" applyFont="1" applyFill="1" applyBorder="1" applyAlignment="1" applyProtection="1">
      <alignment horizontal="center" vertical="center" wrapText="1"/>
      <protection locked="0"/>
    </xf>
    <xf numFmtId="0" fontId="32" fillId="3" borderId="0" xfId="0" applyFont="1" applyFill="1" applyBorder="1" applyAlignment="1" applyProtection="1">
      <alignment horizontal="center" vertical="center"/>
      <protection locked="0"/>
    </xf>
    <xf numFmtId="0" fontId="32" fillId="3" borderId="74" xfId="0" applyFont="1" applyFill="1" applyBorder="1" applyAlignment="1" applyProtection="1">
      <alignment horizontal="center" vertical="center"/>
      <protection locked="0"/>
    </xf>
    <xf numFmtId="0" fontId="36" fillId="3" borderId="1" xfId="0" applyFont="1" applyFill="1" applyBorder="1" applyAlignment="1" applyProtection="1">
      <alignment horizontal="center" vertical="center" wrapText="1"/>
    </xf>
    <xf numFmtId="183" fontId="33" fillId="3" borderId="0" xfId="0" applyNumberFormat="1" applyFont="1" applyFill="1" applyBorder="1" applyAlignment="1" applyProtection="1">
      <alignment horizontal="center" vertical="center" wrapText="1"/>
      <protection locked="0"/>
    </xf>
    <xf numFmtId="0" fontId="33" fillId="3" borderId="0" xfId="0" applyFont="1" applyFill="1" applyBorder="1" applyAlignment="1" applyProtection="1">
      <alignment horizontal="center" vertical="center"/>
      <protection locked="0"/>
    </xf>
    <xf numFmtId="0" fontId="33" fillId="3" borderId="74" xfId="0" applyFont="1" applyFill="1" applyBorder="1" applyAlignment="1" applyProtection="1">
      <alignment horizontal="center" vertical="center"/>
      <protection locked="0"/>
    </xf>
    <xf numFmtId="0" fontId="50" fillId="3" borderId="11" xfId="0" applyNumberFormat="1" applyFont="1" applyFill="1" applyBorder="1" applyAlignment="1" applyProtection="1">
      <alignment horizontal="center" vertical="center" wrapText="1"/>
    </xf>
    <xf numFmtId="183" fontId="34" fillId="3" borderId="0" xfId="0" applyNumberFormat="1" applyFont="1" applyFill="1" applyBorder="1" applyAlignment="1" applyProtection="1">
      <alignment horizontal="center" vertical="center" wrapText="1"/>
      <protection locked="0"/>
    </xf>
    <xf numFmtId="0" fontId="36" fillId="3" borderId="74" xfId="0" applyFont="1" applyFill="1" applyBorder="1" applyAlignment="1" applyProtection="1">
      <alignment horizontal="center" vertical="center"/>
      <protection locked="0"/>
    </xf>
    <xf numFmtId="183" fontId="35" fillId="3" borderId="0" xfId="0" applyNumberFormat="1" applyFont="1" applyFill="1" applyBorder="1" applyAlignment="1" applyProtection="1">
      <alignment horizontal="center" vertical="center" wrapText="1"/>
      <protection locked="0"/>
    </xf>
    <xf numFmtId="0" fontId="50" fillId="0" borderId="22" xfId="0" applyNumberFormat="1" applyFont="1" applyFill="1" applyBorder="1" applyAlignment="1" applyProtection="1">
      <alignment horizontal="center" vertical="center" wrapText="1"/>
      <protection locked="0"/>
    </xf>
    <xf numFmtId="0" fontId="50" fillId="3" borderId="29" xfId="0" applyNumberFormat="1" applyFont="1" applyFill="1" applyBorder="1" applyAlignment="1" applyProtection="1">
      <alignment horizontal="center" vertical="center" wrapText="1"/>
    </xf>
    <xf numFmtId="0" fontId="50" fillId="3" borderId="6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34" fillId="3" borderId="0" xfId="0" applyFont="1" applyFill="1" applyBorder="1" applyAlignment="1" applyProtection="1">
      <alignment horizontal="center" vertical="center"/>
      <protection locked="0"/>
    </xf>
    <xf numFmtId="0" fontId="34" fillId="3" borderId="74" xfId="0" applyFont="1" applyFill="1" applyBorder="1" applyAlignment="1" applyProtection="1">
      <alignment horizontal="center" vertical="center"/>
      <protection locked="0"/>
    </xf>
    <xf numFmtId="182" fontId="36" fillId="3" borderId="11" xfId="0" applyNumberFormat="1" applyFont="1" applyFill="1" applyBorder="1" applyAlignment="1" applyProtection="1">
      <alignment horizontal="center" vertical="center"/>
    </xf>
    <xf numFmtId="183" fontId="36" fillId="3" borderId="0" xfId="0" applyNumberFormat="1" applyFont="1" applyFill="1" applyBorder="1" applyAlignment="1" applyProtection="1">
      <alignment vertical="center" wrapText="1"/>
      <protection locked="0"/>
    </xf>
    <xf numFmtId="186" fontId="36" fillId="8" borderId="46" xfId="0" applyNumberFormat="1" applyFont="1" applyFill="1" applyBorder="1" applyAlignment="1" applyProtection="1">
      <alignment horizontal="left" vertical="center" wrapText="1"/>
    </xf>
    <xf numFmtId="182" fontId="36" fillId="3" borderId="1" xfId="0" applyNumberFormat="1" applyFont="1" applyFill="1" applyBorder="1" applyAlignment="1" applyProtection="1">
      <alignment horizontal="center" vertical="center" wrapText="1"/>
    </xf>
    <xf numFmtId="0" fontId="36" fillId="3" borderId="10" xfId="0" applyFont="1" applyFill="1" applyBorder="1" applyAlignment="1" applyProtection="1">
      <alignment horizontal="center" vertical="center" wrapText="1"/>
    </xf>
    <xf numFmtId="182" fontId="36" fillId="9" borderId="0" xfId="0" applyNumberFormat="1" applyFont="1" applyFill="1" applyAlignment="1" applyProtection="1">
      <alignment horizontal="center" vertical="center"/>
      <protection locked="0"/>
    </xf>
    <xf numFmtId="183" fontId="36" fillId="3" borderId="0" xfId="0" applyNumberFormat="1" applyFont="1" applyFill="1" applyAlignment="1" applyProtection="1">
      <alignment horizontal="center" vertical="center"/>
      <protection locked="0"/>
    </xf>
    <xf numFmtId="182" fontId="35" fillId="9" borderId="0" xfId="0" applyNumberFormat="1" applyFont="1" applyFill="1" applyAlignment="1" applyProtection="1">
      <alignment horizontal="center" vertical="center"/>
      <protection locked="0"/>
    </xf>
    <xf numFmtId="183" fontId="35" fillId="3" borderId="0" xfId="0" applyNumberFormat="1" applyFont="1" applyFill="1" applyAlignment="1" applyProtection="1">
      <alignment horizontal="center" vertical="center"/>
      <protection locked="0"/>
    </xf>
    <xf numFmtId="182" fontId="35" fillId="3" borderId="0" xfId="0" applyNumberFormat="1" applyFont="1" applyFill="1" applyAlignment="1" applyProtection="1">
      <alignment horizontal="center" vertical="center"/>
      <protection locked="0"/>
    </xf>
    <xf numFmtId="182" fontId="36" fillId="3" borderId="0" xfId="0" applyNumberFormat="1" applyFont="1" applyFill="1" applyAlignment="1" applyProtection="1">
      <alignment horizontal="center" vertical="center"/>
      <protection locked="0"/>
    </xf>
    <xf numFmtId="182" fontId="36" fillId="3" borderId="0" xfId="0" applyNumberFormat="1" applyFont="1" applyFill="1" applyBorder="1" applyAlignment="1" applyProtection="1">
      <alignment horizontal="center"/>
    </xf>
    <xf numFmtId="183" fontId="36" fillId="3" borderId="0" xfId="0" applyNumberFormat="1" applyFont="1" applyFill="1" applyBorder="1" applyAlignment="1" applyProtection="1"/>
    <xf numFmtId="0" fontId="36" fillId="3" borderId="0" xfId="0" applyFont="1" applyFill="1" applyBorder="1" applyAlignment="1" applyProtection="1">
      <protection locked="0"/>
    </xf>
    <xf numFmtId="49" fontId="32" fillId="3" borderId="0" xfId="0" applyNumberFormat="1" applyFont="1" applyFill="1" applyBorder="1" applyAlignment="1" applyProtection="1">
      <alignment horizontal="center" vertical="center"/>
      <protection locked="0"/>
    </xf>
    <xf numFmtId="0" fontId="32" fillId="0" borderId="18" xfId="0" applyNumberFormat="1" applyFont="1" applyFill="1" applyBorder="1" applyAlignment="1" applyProtection="1">
      <alignment horizontal="center" vertical="center" wrapText="1"/>
      <protection locked="0"/>
    </xf>
    <xf numFmtId="0" fontId="32" fillId="0" borderId="57" xfId="0" applyNumberFormat="1" applyFont="1" applyFill="1" applyBorder="1" applyAlignment="1" applyProtection="1">
      <alignment horizontal="center" vertical="center" wrapText="1"/>
      <protection locked="0"/>
    </xf>
    <xf numFmtId="9" fontId="32" fillId="3" borderId="0" xfId="0" applyNumberFormat="1" applyFont="1" applyFill="1" applyBorder="1" applyAlignment="1" applyProtection="1">
      <alignment horizontal="center" vertical="center" wrapText="1"/>
      <protection locked="0"/>
    </xf>
    <xf numFmtId="0" fontId="32" fillId="0" borderId="16" xfId="0" applyNumberFormat="1" applyFont="1" applyFill="1" applyBorder="1" applyAlignment="1" applyProtection="1">
      <alignment horizontal="center" vertical="center" wrapText="1"/>
      <protection locked="0"/>
    </xf>
    <xf numFmtId="0" fontId="32" fillId="0" borderId="86" xfId="0" applyNumberFormat="1" applyFont="1" applyFill="1" applyBorder="1" applyAlignment="1" applyProtection="1">
      <alignment horizontal="center" vertical="center" wrapText="1"/>
      <protection locked="0"/>
    </xf>
    <xf numFmtId="0" fontId="32" fillId="0" borderId="3" xfId="0" applyNumberFormat="1" applyFont="1" applyFill="1" applyBorder="1" applyAlignment="1" applyProtection="1">
      <alignment horizontal="left" vertical="center" wrapText="1"/>
      <protection locked="0"/>
    </xf>
    <xf numFmtId="0" fontId="32" fillId="0" borderId="72" xfId="0" applyNumberFormat="1" applyFont="1" applyFill="1" applyBorder="1" applyAlignment="1" applyProtection="1">
      <alignment horizontal="center" vertical="center" wrapText="1"/>
      <protection locked="0"/>
    </xf>
    <xf numFmtId="0" fontId="32" fillId="3" borderId="0" xfId="0" applyNumberFormat="1" applyFont="1" applyFill="1" applyBorder="1" applyAlignment="1" applyProtection="1">
      <alignment horizontal="center" vertical="center" wrapText="1"/>
      <protection locked="0"/>
    </xf>
    <xf numFmtId="0" fontId="51" fillId="3" borderId="0" xfId="0" applyFont="1" applyFill="1" applyBorder="1" applyAlignment="1" applyProtection="1">
      <alignment vertical="center"/>
      <protection locked="0"/>
    </xf>
    <xf numFmtId="0" fontId="35" fillId="0" borderId="5" xfId="0" applyNumberFormat="1" applyFont="1" applyFill="1" applyBorder="1" applyAlignment="1" applyProtection="1">
      <alignment horizontal="center" vertical="center" wrapText="1"/>
      <protection locked="0"/>
    </xf>
    <xf numFmtId="0" fontId="35" fillId="0" borderId="5" xfId="0" applyNumberFormat="1" applyFont="1" applyFill="1" applyBorder="1" applyAlignment="1" applyProtection="1">
      <alignment horizontal="left" vertical="center" wrapText="1"/>
      <protection locked="0"/>
    </xf>
    <xf numFmtId="0" fontId="35" fillId="0" borderId="13" xfId="0" applyNumberFormat="1" applyFont="1" applyFill="1" applyBorder="1" applyAlignment="1" applyProtection="1">
      <alignment horizontal="center" vertical="center" wrapText="1"/>
      <protection locked="0"/>
    </xf>
    <xf numFmtId="0" fontId="35" fillId="3" borderId="0" xfId="0" applyNumberFormat="1" applyFont="1" applyFill="1" applyBorder="1" applyAlignment="1" applyProtection="1">
      <alignment horizontal="center" vertical="center" wrapText="1"/>
      <protection locked="0"/>
    </xf>
    <xf numFmtId="0" fontId="32" fillId="3" borderId="0" xfId="0" applyFont="1" applyFill="1" applyBorder="1" applyAlignment="1" applyProtection="1">
      <alignment horizontal="center" vertical="center" wrapText="1"/>
      <protection locked="0"/>
    </xf>
    <xf numFmtId="0" fontId="36" fillId="0" borderId="87" xfId="0" applyNumberFormat="1" applyFont="1" applyFill="1" applyBorder="1" applyAlignment="1" applyProtection="1">
      <alignment horizontal="center" vertical="center" wrapText="1"/>
      <protection locked="0"/>
    </xf>
    <xf numFmtId="0" fontId="36" fillId="3" borderId="0" xfId="0" applyNumberFormat="1" applyFont="1" applyFill="1" applyBorder="1" applyAlignment="1" applyProtection="1">
      <alignment horizontal="center" vertical="center" wrapText="1"/>
      <protection locked="0"/>
    </xf>
    <xf numFmtId="0" fontId="35" fillId="0" borderId="85" xfId="0" applyNumberFormat="1" applyFont="1" applyFill="1" applyBorder="1" applyAlignment="1" applyProtection="1">
      <alignment horizontal="center" vertical="center" wrapText="1"/>
      <protection locked="0"/>
    </xf>
    <xf numFmtId="0" fontId="35" fillId="0" borderId="85" xfId="0" applyNumberFormat="1" applyFont="1" applyFill="1" applyBorder="1" applyAlignment="1" applyProtection="1">
      <alignment horizontal="left" vertical="center" wrapText="1"/>
      <protection locked="0"/>
    </xf>
    <xf numFmtId="0" fontId="35" fillId="0" borderId="88"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left" vertical="center" wrapText="1"/>
      <protection locked="0"/>
    </xf>
    <xf numFmtId="0" fontId="35" fillId="0" borderId="14" xfId="0" applyNumberFormat="1" applyFont="1" applyFill="1" applyBorder="1" applyAlignment="1" applyProtection="1">
      <alignment horizontal="center" vertical="center" wrapText="1"/>
      <protection locked="0"/>
    </xf>
    <xf numFmtId="0" fontId="34" fillId="0" borderId="85" xfId="0" applyNumberFormat="1" applyFont="1" applyFill="1" applyBorder="1" applyAlignment="1" applyProtection="1">
      <alignment horizontal="left" vertical="center" wrapText="1"/>
      <protection locked="0"/>
    </xf>
    <xf numFmtId="0" fontId="34" fillId="0" borderId="88" xfId="0" applyNumberFormat="1" applyFont="1" applyFill="1" applyBorder="1" applyAlignment="1" applyProtection="1">
      <alignment horizontal="center" vertical="center" wrapText="1"/>
      <protection locked="0"/>
    </xf>
    <xf numFmtId="0" fontId="34" fillId="3" borderId="0" xfId="0" applyNumberFormat="1" applyFont="1" applyFill="1" applyBorder="1" applyAlignment="1" applyProtection="1">
      <alignment horizontal="center" vertical="center" wrapText="1"/>
      <protection locked="0"/>
    </xf>
    <xf numFmtId="0" fontId="34" fillId="3" borderId="0" xfId="0" applyFont="1" applyFill="1" applyBorder="1" applyAlignment="1" applyProtection="1">
      <alignment horizontal="center" vertical="center" wrapText="1"/>
      <protection locked="0"/>
    </xf>
    <xf numFmtId="0" fontId="34" fillId="0" borderId="87" xfId="0" applyNumberFormat="1" applyFont="1" applyFill="1" applyBorder="1" applyAlignment="1" applyProtection="1">
      <alignment horizontal="center" vertical="center" wrapText="1"/>
      <protection locked="0"/>
    </xf>
    <xf numFmtId="0" fontId="35" fillId="3" borderId="5" xfId="0" applyNumberFormat="1" applyFont="1" applyFill="1" applyBorder="1" applyAlignment="1" applyProtection="1">
      <alignment horizontal="center" vertical="center" wrapText="1"/>
    </xf>
    <xf numFmtId="0" fontId="35" fillId="3" borderId="5" xfId="0" applyNumberFormat="1" applyFont="1" applyFill="1" applyBorder="1" applyAlignment="1" applyProtection="1">
      <alignment horizontal="left" vertical="center" wrapText="1"/>
    </xf>
    <xf numFmtId="0" fontId="35" fillId="3" borderId="13" xfId="0" applyNumberFormat="1" applyFont="1" applyFill="1" applyBorder="1" applyAlignment="1" applyProtection="1">
      <alignment horizontal="center" vertical="center" wrapText="1"/>
    </xf>
    <xf numFmtId="0" fontId="32" fillId="3" borderId="0" xfId="0" applyFont="1" applyFill="1" applyBorder="1" applyAlignment="1" applyProtection="1">
      <alignment vertical="center" wrapText="1"/>
      <protection locked="0"/>
    </xf>
    <xf numFmtId="0" fontId="36" fillId="3" borderId="87" xfId="0" applyNumberFormat="1" applyFont="1" applyFill="1" applyBorder="1" applyAlignment="1" applyProtection="1">
      <alignment horizontal="center" vertical="center" wrapText="1"/>
    </xf>
    <xf numFmtId="0" fontId="35" fillId="3" borderId="85" xfId="0" applyNumberFormat="1" applyFont="1" applyFill="1" applyBorder="1" applyAlignment="1" applyProtection="1">
      <alignment horizontal="center" vertical="center" wrapText="1"/>
    </xf>
    <xf numFmtId="0" fontId="35" fillId="3" borderId="85" xfId="0" applyNumberFormat="1" applyFont="1" applyFill="1" applyBorder="1" applyAlignment="1" applyProtection="1">
      <alignment horizontal="left" vertical="center" wrapText="1"/>
    </xf>
    <xf numFmtId="0" fontId="35" fillId="3" borderId="88" xfId="0" applyNumberFormat="1" applyFont="1" applyFill="1" applyBorder="1" applyAlignment="1" applyProtection="1">
      <alignment horizontal="center" vertical="center" wrapText="1"/>
    </xf>
    <xf numFmtId="0" fontId="36" fillId="3" borderId="1" xfId="0" applyFont="1" applyFill="1" applyBorder="1" applyAlignment="1" applyProtection="1">
      <alignment horizontal="center" vertical="center"/>
    </xf>
    <xf numFmtId="0" fontId="36" fillId="3" borderId="35" xfId="0" applyFont="1" applyFill="1" applyBorder="1" applyAlignment="1" applyProtection="1">
      <alignment horizontal="center" vertical="center"/>
    </xf>
    <xf numFmtId="188" fontId="32" fillId="3" borderId="10" xfId="0" applyNumberFormat="1" applyFont="1" applyFill="1" applyBorder="1" applyAlignment="1" applyProtection="1">
      <alignment horizontal="center" vertical="center"/>
    </xf>
    <xf numFmtId="49" fontId="32" fillId="3" borderId="11" xfId="0" applyNumberFormat="1" applyFont="1" applyFill="1" applyBorder="1" applyAlignment="1" applyProtection="1">
      <alignment horizontal="center" vertical="center"/>
    </xf>
    <xf numFmtId="0" fontId="32" fillId="3" borderId="35" xfId="0" applyFont="1" applyFill="1" applyBorder="1" applyAlignment="1" applyProtection="1">
      <alignment horizontal="center" vertical="center"/>
    </xf>
    <xf numFmtId="0" fontId="32" fillId="3" borderId="1" xfId="0" applyFont="1" applyFill="1" applyBorder="1" applyAlignment="1" applyProtection="1">
      <alignment horizontal="center" vertical="center" wrapText="1"/>
    </xf>
    <xf numFmtId="188" fontId="36" fillId="3" borderId="10" xfId="0" applyNumberFormat="1" applyFont="1" applyFill="1" applyBorder="1" applyAlignment="1" applyProtection="1">
      <alignment horizontal="center" vertical="center"/>
    </xf>
    <xf numFmtId="49" fontId="36" fillId="3" borderId="11" xfId="0" applyNumberFormat="1" applyFont="1" applyFill="1" applyBorder="1" applyAlignment="1" applyProtection="1">
      <alignment horizontal="center" vertical="center"/>
    </xf>
    <xf numFmtId="0" fontId="34" fillId="3" borderId="1" xfId="0" applyFont="1" applyFill="1" applyBorder="1" applyAlignment="1" applyProtection="1">
      <alignment horizontal="center" vertical="center" wrapText="1"/>
    </xf>
    <xf numFmtId="188" fontId="34" fillId="3" borderId="10" xfId="0" applyNumberFormat="1" applyFont="1" applyFill="1" applyBorder="1" applyAlignment="1" applyProtection="1">
      <alignment horizontal="center" vertical="center"/>
    </xf>
    <xf numFmtId="49" fontId="34" fillId="3" borderId="11" xfId="0" applyNumberFormat="1" applyFont="1" applyFill="1" applyBorder="1" applyAlignment="1" applyProtection="1">
      <alignment horizontal="center" vertical="center"/>
    </xf>
    <xf numFmtId="0" fontId="34" fillId="3" borderId="35" xfId="0" applyFont="1" applyFill="1" applyBorder="1" applyAlignment="1" applyProtection="1">
      <alignment horizontal="center" vertical="center"/>
    </xf>
    <xf numFmtId="0" fontId="36" fillId="3" borderId="1" xfId="0" applyNumberFormat="1" applyFont="1" applyFill="1" applyBorder="1" applyAlignment="1" applyProtection="1">
      <alignment horizontal="center" vertical="center"/>
    </xf>
    <xf numFmtId="49" fontId="32" fillId="3" borderId="0" xfId="0" applyNumberFormat="1" applyFont="1" applyFill="1" applyAlignment="1" applyProtection="1">
      <alignment horizontal="center" vertical="center"/>
      <protection locked="0"/>
    </xf>
    <xf numFmtId="0" fontId="32" fillId="3" borderId="0" xfId="0" applyFont="1" applyFill="1" applyAlignment="1" applyProtection="1">
      <alignment horizontal="center" vertical="center"/>
      <protection locked="0"/>
    </xf>
    <xf numFmtId="9" fontId="34" fillId="3" borderId="0" xfId="0" applyNumberFormat="1" applyFont="1" applyFill="1" applyBorder="1" applyAlignment="1" applyProtection="1">
      <alignment horizontal="center" vertical="center" wrapText="1"/>
      <protection locked="0"/>
    </xf>
    <xf numFmtId="0" fontId="34" fillId="3" borderId="0" xfId="0" applyFont="1" applyFill="1" applyAlignment="1" applyProtection="1">
      <alignment horizontal="center" vertical="center"/>
      <protection locked="0"/>
    </xf>
    <xf numFmtId="9" fontId="34" fillId="3" borderId="0" xfId="0" applyNumberFormat="1" applyFont="1" applyFill="1" applyBorder="1" applyAlignment="1" applyProtection="1">
      <alignment horizontal="center" vertical="center"/>
      <protection locked="0"/>
    </xf>
    <xf numFmtId="0" fontId="31" fillId="3" borderId="0" xfId="0" applyFont="1" applyFill="1" applyBorder="1" applyAlignment="1" applyProtection="1">
      <alignment horizontal="center" vertical="center"/>
      <protection locked="0"/>
    </xf>
    <xf numFmtId="0" fontId="38" fillId="3" borderId="89" xfId="0" applyFont="1" applyFill="1" applyBorder="1" applyAlignment="1" applyProtection="1">
      <alignment horizontal="center" vertical="center"/>
      <protection locked="0"/>
    </xf>
    <xf numFmtId="0" fontId="31" fillId="3" borderId="0" xfId="0" applyFont="1" applyFill="1" applyAlignment="1" applyProtection="1">
      <alignment horizontal="center" vertical="center"/>
      <protection locked="0"/>
    </xf>
    <xf numFmtId="0" fontId="32" fillId="3" borderId="1" xfId="0" applyNumberFormat="1" applyFont="1" applyFill="1" applyBorder="1" applyAlignment="1" applyProtection="1">
      <alignment horizontal="center" vertical="center"/>
    </xf>
    <xf numFmtId="0" fontId="32" fillId="3" borderId="1" xfId="0" applyFont="1" applyFill="1" applyBorder="1" applyAlignment="1" applyProtection="1">
      <alignment horizontal="center" vertical="center"/>
    </xf>
    <xf numFmtId="0" fontId="34" fillId="3" borderId="1" xfId="0" applyFont="1" applyFill="1" applyBorder="1" applyAlignment="1" applyProtection="1">
      <alignment horizontal="center" vertical="center"/>
    </xf>
    <xf numFmtId="0" fontId="36" fillId="3" borderId="3" xfId="0" applyFont="1" applyFill="1" applyBorder="1" applyAlignment="1" applyProtection="1">
      <alignment vertical="center" textRotation="255" wrapText="1"/>
    </xf>
    <xf numFmtId="0" fontId="46" fillId="3" borderId="35" xfId="0" applyNumberFormat="1" applyFont="1" applyFill="1" applyBorder="1" applyAlignment="1" applyProtection="1">
      <alignment horizontal="center" vertical="center" wrapText="1"/>
    </xf>
    <xf numFmtId="0" fontId="52" fillId="3" borderId="35" xfId="0" applyNumberFormat="1" applyFont="1" applyFill="1" applyBorder="1" applyAlignment="1" applyProtection="1">
      <alignment horizontal="center" vertical="center" wrapText="1"/>
    </xf>
    <xf numFmtId="0" fontId="32" fillId="3" borderId="35" xfId="0" applyNumberFormat="1" applyFont="1" applyFill="1" applyBorder="1" applyAlignment="1" applyProtection="1">
      <alignment horizontal="center" vertical="center" wrapText="1"/>
    </xf>
    <xf numFmtId="0" fontId="43" fillId="3" borderId="68" xfId="0" applyNumberFormat="1" applyFont="1" applyFill="1" applyBorder="1" applyAlignment="1" applyProtection="1">
      <alignment vertical="center" wrapText="1"/>
    </xf>
    <xf numFmtId="0" fontId="32" fillId="3" borderId="1" xfId="0" applyNumberFormat="1" applyFont="1" applyFill="1" applyBorder="1" applyAlignment="1" applyProtection="1">
      <alignment horizontal="center" vertical="center" wrapText="1"/>
    </xf>
    <xf numFmtId="0" fontId="32" fillId="3" borderId="83" xfId="0" applyNumberFormat="1" applyFont="1" applyFill="1" applyBorder="1" applyAlignment="1" applyProtection="1">
      <alignment horizontal="center" vertical="center" wrapText="1"/>
    </xf>
    <xf numFmtId="0" fontId="41" fillId="3" borderId="68" xfId="0" applyNumberFormat="1" applyFont="1" applyFill="1" applyBorder="1" applyAlignment="1" applyProtection="1">
      <alignment vertical="center" textRotation="255" wrapText="1"/>
    </xf>
    <xf numFmtId="0" fontId="32" fillId="0" borderId="1" xfId="0" applyNumberFormat="1" applyFont="1" applyFill="1" applyBorder="1" applyAlignment="1" applyProtection="1">
      <alignment horizontal="center" vertical="center" wrapText="1"/>
      <protection locked="0"/>
    </xf>
    <xf numFmtId="0" fontId="47" fillId="3" borderId="68" xfId="0" applyNumberFormat="1" applyFont="1" applyFill="1" applyBorder="1" applyAlignment="1" applyProtection="1">
      <alignment vertical="center" textRotation="255" wrapText="1"/>
    </xf>
    <xf numFmtId="0" fontId="36" fillId="3" borderId="84" xfId="0" applyNumberFormat="1" applyFont="1" applyFill="1" applyBorder="1" applyAlignment="1" applyProtection="1">
      <alignment horizontal="center" vertical="center" wrapText="1"/>
    </xf>
    <xf numFmtId="0" fontId="36" fillId="0" borderId="0" xfId="0" applyFont="1" applyFill="1" applyAlignment="1" applyProtection="1">
      <alignment horizontal="center" vertical="center"/>
      <protection locked="0"/>
    </xf>
    <xf numFmtId="0" fontId="36" fillId="3" borderId="88" xfId="0" applyNumberFormat="1" applyFont="1" applyFill="1" applyBorder="1" applyAlignment="1" applyProtection="1">
      <alignment horizontal="center" vertical="center" wrapText="1"/>
    </xf>
    <xf numFmtId="0" fontId="32" fillId="0" borderId="85" xfId="0" applyNumberFormat="1" applyFont="1" applyFill="1" applyBorder="1" applyAlignment="1" applyProtection="1">
      <alignment horizontal="left" vertical="center" wrapText="1"/>
      <protection locked="0"/>
    </xf>
    <xf numFmtId="0" fontId="32" fillId="0" borderId="88" xfId="0" applyNumberFormat="1" applyFont="1" applyFill="1" applyBorder="1" applyAlignment="1" applyProtection="1">
      <alignment horizontal="center" vertical="center" wrapText="1"/>
      <protection locked="0"/>
    </xf>
    <xf numFmtId="0" fontId="35" fillId="3" borderId="35" xfId="0" applyNumberFormat="1" applyFont="1" applyFill="1" applyBorder="1" applyAlignment="1" applyProtection="1">
      <alignment horizontal="center" vertical="center" wrapText="1"/>
    </xf>
    <xf numFmtId="0" fontId="35" fillId="3" borderId="35" xfId="0" applyNumberFormat="1" applyFont="1" applyFill="1" applyBorder="1" applyAlignment="1" applyProtection="1">
      <alignment horizontal="left" vertical="center" wrapText="1"/>
    </xf>
    <xf numFmtId="0" fontId="35" fillId="3" borderId="73" xfId="0" applyNumberFormat="1" applyFont="1" applyFill="1" applyBorder="1" applyAlignment="1" applyProtection="1">
      <alignment horizontal="center" vertical="center" wrapText="1"/>
    </xf>
    <xf numFmtId="0" fontId="32" fillId="3" borderId="88" xfId="0" applyNumberFormat="1" applyFont="1" applyFill="1" applyBorder="1" applyAlignment="1" applyProtection="1">
      <alignment horizontal="center" vertical="center" wrapText="1"/>
    </xf>
    <xf numFmtId="0" fontId="34" fillId="0" borderId="1" xfId="0" applyNumberFormat="1" applyFont="1" applyFill="1" applyBorder="1" applyAlignment="1" applyProtection="1">
      <alignment horizontal="center" vertical="center" wrapText="1"/>
      <protection locked="0"/>
    </xf>
    <xf numFmtId="0" fontId="34" fillId="0" borderId="1" xfId="0" applyNumberFormat="1" applyFont="1" applyFill="1" applyBorder="1" applyAlignment="1" applyProtection="1">
      <alignment horizontal="left" vertical="center" wrapText="1"/>
      <protection locked="0"/>
    </xf>
    <xf numFmtId="0" fontId="34" fillId="0" borderId="14" xfId="0" applyNumberFormat="1" applyFont="1" applyFill="1" applyBorder="1" applyAlignment="1" applyProtection="1">
      <alignment horizontal="center" vertical="center" wrapText="1"/>
      <protection locked="0"/>
    </xf>
    <xf numFmtId="0" fontId="36" fillId="3" borderId="0" xfId="0" applyFont="1" applyFill="1" applyBorder="1" applyAlignment="1" applyProtection="1">
      <alignment horizontal="center" vertical="center" wrapText="1"/>
      <protection locked="0"/>
    </xf>
    <xf numFmtId="182" fontId="36" fillId="0" borderId="0" xfId="0" applyNumberFormat="1" applyFont="1" applyFill="1" applyAlignment="1" applyProtection="1">
      <alignment horizontal="center" vertical="center"/>
      <protection locked="0"/>
    </xf>
    <xf numFmtId="183" fontId="36" fillId="0" borderId="0" xfId="0" applyNumberFormat="1" applyFont="1" applyFill="1" applyAlignment="1" applyProtection="1">
      <alignment horizontal="center" vertical="center"/>
      <protection locked="0"/>
    </xf>
    <xf numFmtId="9" fontId="36" fillId="3" borderId="0" xfId="0" applyNumberFormat="1" applyFont="1" applyFill="1" applyBorder="1" applyAlignment="1" applyProtection="1">
      <alignment horizontal="center" vertical="center" wrapText="1"/>
      <protection locked="0"/>
    </xf>
    <xf numFmtId="0" fontId="53" fillId="3" borderId="9" xfId="0" applyFont="1" applyFill="1" applyBorder="1" applyAlignment="1" applyProtection="1">
      <alignment horizontal="center" vertical="center"/>
    </xf>
    <xf numFmtId="49" fontId="32" fillId="5" borderId="56" xfId="0" applyNumberFormat="1" applyFont="1" applyFill="1" applyBorder="1" applyAlignment="1" applyProtection="1">
      <alignment horizontal="center" vertical="center" wrapText="1"/>
      <protection locked="0"/>
    </xf>
    <xf numFmtId="0" fontId="32" fillId="3" borderId="70" xfId="0" applyFont="1" applyFill="1" applyBorder="1" applyAlignment="1" applyProtection="1">
      <alignment horizontal="center" vertical="center" wrapText="1"/>
    </xf>
    <xf numFmtId="0" fontId="36" fillId="3" borderId="73" xfId="0" applyFont="1" applyFill="1" applyBorder="1" applyAlignment="1" applyProtection="1">
      <alignment horizontal="center" vertical="center"/>
    </xf>
    <xf numFmtId="0" fontId="32" fillId="3" borderId="57" xfId="0" applyFont="1" applyFill="1" applyBorder="1" applyAlignment="1" applyProtection="1">
      <alignment horizontal="center" vertical="center" wrapText="1"/>
    </xf>
    <xf numFmtId="0" fontId="32" fillId="0" borderId="57" xfId="0" applyFont="1" applyFill="1" applyBorder="1" applyAlignment="1" applyProtection="1">
      <alignment horizontal="center" vertical="center" wrapText="1"/>
      <protection locked="0"/>
    </xf>
    <xf numFmtId="0" fontId="43" fillId="3" borderId="21" xfId="0" applyFont="1" applyFill="1" applyBorder="1" applyAlignment="1" applyProtection="1">
      <alignment vertical="center" wrapText="1"/>
    </xf>
    <xf numFmtId="0" fontId="32" fillId="0" borderId="15" xfId="0" applyFont="1" applyFill="1" applyBorder="1" applyAlignment="1" applyProtection="1">
      <alignment horizontal="center" vertical="center" wrapText="1"/>
      <protection locked="0"/>
    </xf>
    <xf numFmtId="0" fontId="32" fillId="3" borderId="86" xfId="0" applyNumberFormat="1" applyFont="1" applyFill="1" applyBorder="1" applyAlignment="1" applyProtection="1">
      <alignment horizontal="center" vertical="center" wrapText="1"/>
    </xf>
    <xf numFmtId="0" fontId="32" fillId="0" borderId="76" xfId="0" applyNumberFormat="1" applyFont="1" applyFill="1" applyBorder="1" applyAlignment="1" applyProtection="1">
      <alignment horizontal="center" vertical="center" wrapText="1"/>
      <protection locked="0"/>
    </xf>
    <xf numFmtId="0" fontId="32" fillId="3" borderId="16" xfId="0" applyNumberFormat="1" applyFont="1" applyFill="1" applyBorder="1" applyAlignment="1" applyProtection="1">
      <alignment horizontal="center" vertical="center" wrapText="1"/>
    </xf>
    <xf numFmtId="0" fontId="32" fillId="3" borderId="13" xfId="0" applyFont="1" applyFill="1" applyBorder="1" applyAlignment="1" applyProtection="1">
      <alignment horizontal="center" vertical="center" wrapText="1"/>
    </xf>
    <xf numFmtId="0" fontId="36" fillId="3" borderId="29" xfId="0" applyNumberFormat="1" applyFont="1" applyFill="1" applyBorder="1" applyAlignment="1" applyProtection="1">
      <alignment horizontal="center" vertical="center" wrapText="1"/>
    </xf>
    <xf numFmtId="0" fontId="47" fillId="3" borderId="21" xfId="0" applyFont="1" applyFill="1" applyBorder="1" applyAlignment="1" applyProtection="1">
      <alignment vertical="center" textRotation="255" wrapText="1"/>
    </xf>
    <xf numFmtId="0" fontId="32" fillId="3" borderId="14" xfId="0" applyFont="1" applyFill="1" applyBorder="1" applyAlignment="1" applyProtection="1">
      <alignment horizontal="center" vertical="center" wrapText="1"/>
    </xf>
    <xf numFmtId="49" fontId="32" fillId="0" borderId="64" xfId="0" applyNumberFormat="1" applyFont="1" applyFill="1" applyBorder="1" applyAlignment="1" applyProtection="1">
      <alignment horizontal="center" vertical="center" wrapText="1"/>
      <protection locked="0"/>
    </xf>
    <xf numFmtId="0" fontId="41" fillId="3" borderId="21" xfId="0" applyFont="1" applyFill="1" applyBorder="1" applyAlignment="1" applyProtection="1">
      <alignment vertical="center" textRotation="255" wrapText="1"/>
    </xf>
    <xf numFmtId="0" fontId="43" fillId="3" borderId="21" xfId="0" applyFont="1" applyFill="1" applyBorder="1" applyAlignment="1" applyProtection="1">
      <alignment vertical="center" textRotation="255" wrapText="1"/>
    </xf>
    <xf numFmtId="0" fontId="41" fillId="3" borderId="32" xfId="0" applyFont="1" applyFill="1" applyBorder="1" applyAlignment="1" applyProtection="1">
      <alignment vertical="center" textRotation="255" wrapText="1"/>
    </xf>
    <xf numFmtId="49" fontId="54" fillId="3" borderId="59" xfId="0" applyNumberFormat="1" applyFont="1" applyFill="1" applyBorder="1" applyAlignment="1" applyProtection="1">
      <alignment vertical="center"/>
    </xf>
    <xf numFmtId="49" fontId="54" fillId="2" borderId="78" xfId="0" applyNumberFormat="1" applyFont="1" applyFill="1" applyBorder="1" applyAlignment="1" applyProtection="1">
      <alignment vertical="center"/>
      <protection locked="0"/>
    </xf>
    <xf numFmtId="0" fontId="36" fillId="3" borderId="0" xfId="0" applyFont="1" applyFill="1" applyBorder="1" applyAlignment="1" applyProtection="1">
      <alignment horizontal="center"/>
      <protection locked="0"/>
    </xf>
    <xf numFmtId="0" fontId="32" fillId="3" borderId="58" xfId="0" applyNumberFormat="1" applyFont="1" applyFill="1" applyBorder="1" applyAlignment="1" applyProtection="1">
      <alignment horizontal="center" vertical="center" wrapText="1"/>
      <protection locked="0"/>
    </xf>
    <xf numFmtId="182" fontId="36" fillId="3" borderId="0" xfId="0" applyNumberFormat="1" applyFont="1" applyFill="1" applyBorder="1" applyAlignment="1" applyProtection="1">
      <alignment horizontal="center"/>
      <protection locked="0"/>
    </xf>
    <xf numFmtId="183" fontId="36" fillId="3" borderId="0" xfId="0" applyNumberFormat="1" applyFont="1" applyFill="1" applyBorder="1" applyAlignment="1" applyProtection="1">
      <protection locked="0"/>
    </xf>
    <xf numFmtId="49" fontId="36" fillId="0" borderId="5" xfId="0" applyNumberFormat="1" applyFont="1" applyFill="1" applyBorder="1" applyAlignment="1" applyProtection="1">
      <alignment horizontal="center" vertical="center" wrapText="1"/>
      <protection locked="0"/>
    </xf>
    <xf numFmtId="49" fontId="35" fillId="0" borderId="5" xfId="0" applyNumberFormat="1" applyFont="1" applyFill="1" applyBorder="1" applyAlignment="1" applyProtection="1">
      <alignment horizontal="center" vertical="center" wrapText="1"/>
      <protection locked="0"/>
    </xf>
    <xf numFmtId="49" fontId="35" fillId="0" borderId="5" xfId="0" applyNumberFormat="1" applyFont="1" applyFill="1" applyBorder="1" applyAlignment="1" applyProtection="1">
      <alignment horizontal="left" vertical="center" wrapText="1"/>
      <protection locked="0"/>
    </xf>
    <xf numFmtId="49" fontId="35" fillId="0" borderId="13" xfId="0" applyNumberFormat="1" applyFont="1" applyFill="1" applyBorder="1" applyAlignment="1" applyProtection="1">
      <alignment horizontal="center" vertical="center" wrapText="1"/>
      <protection locked="0"/>
    </xf>
    <xf numFmtId="0" fontId="36" fillId="0" borderId="35" xfId="0" applyNumberFormat="1" applyFont="1" applyFill="1" applyBorder="1" applyAlignment="1" applyProtection="1">
      <alignment horizontal="center" vertical="center" wrapText="1"/>
      <protection locked="0"/>
    </xf>
    <xf numFmtId="0" fontId="35" fillId="0" borderId="35" xfId="0" applyNumberFormat="1" applyFont="1" applyFill="1" applyBorder="1" applyAlignment="1" applyProtection="1">
      <alignment horizontal="center" vertical="center" wrapText="1"/>
      <protection locked="0"/>
    </xf>
    <xf numFmtId="0" fontId="35" fillId="0" borderId="35" xfId="0" applyNumberFormat="1" applyFont="1" applyFill="1" applyBorder="1" applyAlignment="1" applyProtection="1">
      <alignment horizontal="left" vertical="center" wrapText="1"/>
      <protection locked="0"/>
    </xf>
    <xf numFmtId="0" fontId="35" fillId="0" borderId="73" xfId="0" applyNumberFormat="1" applyFont="1" applyFill="1" applyBorder="1" applyAlignment="1" applyProtection="1">
      <alignment horizontal="center" vertical="center" wrapText="1"/>
      <protection locked="0"/>
    </xf>
    <xf numFmtId="0" fontId="38" fillId="3" borderId="54" xfId="0" applyFont="1" applyFill="1" applyBorder="1" applyAlignment="1" applyProtection="1">
      <alignment horizontal="right" vertical="center"/>
    </xf>
    <xf numFmtId="0" fontId="41" fillId="3" borderId="64" xfId="0" applyFont="1" applyFill="1" applyBorder="1" applyAlignment="1" applyProtection="1">
      <alignment vertical="center" wrapText="1"/>
    </xf>
    <xf numFmtId="0" fontId="32" fillId="0" borderId="6" xfId="0" applyNumberFormat="1" applyFont="1" applyFill="1" applyBorder="1" applyAlignment="1" applyProtection="1">
      <alignment horizontal="center" vertical="center" wrapText="1"/>
      <protection locked="0"/>
    </xf>
    <xf numFmtId="0" fontId="32" fillId="0" borderId="11"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49" fontId="36" fillId="5" borderId="74" xfId="0" applyNumberFormat="1" applyFont="1" applyFill="1" applyBorder="1" applyAlignment="1" applyProtection="1">
      <alignment horizontal="center" vertical="center" wrapText="1"/>
      <protection locked="0"/>
    </xf>
    <xf numFmtId="49" fontId="36" fillId="5" borderId="68" xfId="0" applyNumberFormat="1" applyFont="1" applyFill="1" applyBorder="1" applyAlignment="1" applyProtection="1">
      <alignment horizontal="center" vertical="center" wrapText="1"/>
      <protection locked="0"/>
    </xf>
    <xf numFmtId="49" fontId="36" fillId="5" borderId="81" xfId="0" applyNumberFormat="1" applyFont="1" applyFill="1" applyBorder="1" applyAlignment="1" applyProtection="1">
      <alignment horizontal="center" vertical="center" wrapText="1"/>
      <protection locked="0"/>
    </xf>
    <xf numFmtId="49" fontId="36" fillId="5" borderId="29" xfId="0" applyNumberFormat="1" applyFont="1" applyFill="1" applyBorder="1" applyAlignment="1" applyProtection="1">
      <alignment horizontal="center" vertical="center" wrapText="1"/>
      <protection locked="0"/>
    </xf>
    <xf numFmtId="0" fontId="32" fillId="3" borderId="20" xfId="0" applyFont="1" applyFill="1" applyBorder="1" applyAlignment="1" applyProtection="1">
      <alignment horizontal="center" vertical="center" wrapText="1"/>
    </xf>
    <xf numFmtId="0" fontId="32" fillId="0" borderId="10" xfId="0" applyFont="1" applyFill="1" applyBorder="1" applyAlignment="1" applyProtection="1">
      <alignment horizontal="center" vertical="center" wrapText="1"/>
      <protection locked="0"/>
    </xf>
    <xf numFmtId="0" fontId="32" fillId="3" borderId="72" xfId="0" applyNumberFormat="1" applyFont="1" applyFill="1" applyBorder="1" applyAlignment="1" applyProtection="1">
      <alignment horizontal="center" vertical="center" wrapText="1"/>
    </xf>
    <xf numFmtId="0" fontId="32" fillId="3" borderId="34" xfId="0" applyNumberFormat="1" applyFont="1" applyFill="1" applyBorder="1" applyAlignment="1" applyProtection="1">
      <alignment horizontal="center" vertical="center" wrapText="1"/>
    </xf>
    <xf numFmtId="0" fontId="41" fillId="3" borderId="76" xfId="0" applyFont="1" applyFill="1" applyBorder="1" applyAlignment="1" applyProtection="1">
      <alignment vertical="center" wrapText="1"/>
    </xf>
    <xf numFmtId="0" fontId="32" fillId="3" borderId="10" xfId="0" applyNumberFormat="1" applyFont="1" applyFill="1" applyBorder="1" applyAlignment="1" applyProtection="1">
      <alignment horizontal="center" vertical="center" wrapText="1"/>
    </xf>
    <xf numFmtId="0" fontId="46" fillId="3" borderId="10" xfId="0" applyFont="1" applyFill="1" applyBorder="1" applyAlignment="1" applyProtection="1">
      <alignment horizontal="center" vertical="center" wrapText="1"/>
    </xf>
    <xf numFmtId="0" fontId="36" fillId="3" borderId="3" xfId="0" applyNumberFormat="1" applyFont="1" applyFill="1" applyBorder="1" applyAlignment="1" applyProtection="1">
      <alignment horizontal="center" vertical="center" wrapText="1"/>
    </xf>
    <xf numFmtId="0" fontId="34" fillId="3" borderId="35" xfId="0" applyNumberFormat="1" applyFont="1" applyFill="1" applyBorder="1" applyAlignment="1" applyProtection="1">
      <alignment horizontal="center" vertical="center" wrapText="1"/>
    </xf>
    <xf numFmtId="0" fontId="34" fillId="0" borderId="3" xfId="0" applyNumberFormat="1" applyFont="1" applyFill="1" applyBorder="1" applyAlignment="1" applyProtection="1">
      <alignment horizontal="center" vertical="center" wrapText="1"/>
      <protection locked="0"/>
    </xf>
    <xf numFmtId="0" fontId="47" fillId="3" borderId="76" xfId="0" applyNumberFormat="1" applyFont="1" applyFill="1" applyBorder="1" applyAlignment="1" applyProtection="1">
      <alignment vertical="center" wrapText="1"/>
    </xf>
    <xf numFmtId="0" fontId="32" fillId="3" borderId="80" xfId="0" applyNumberFormat="1" applyFont="1" applyFill="1" applyBorder="1" applyAlignment="1" applyProtection="1">
      <alignment horizontal="center" vertical="center" wrapText="1"/>
    </xf>
    <xf numFmtId="0" fontId="32" fillId="0" borderId="8" xfId="0" applyNumberFormat="1" applyFont="1" applyFill="1" applyBorder="1" applyAlignment="1" applyProtection="1">
      <alignment horizontal="center" vertical="center" wrapText="1"/>
      <protection locked="0"/>
    </xf>
    <xf numFmtId="0" fontId="34" fillId="0" borderId="8" xfId="0" applyNumberFormat="1" applyFont="1" applyFill="1" applyBorder="1" applyAlignment="1" applyProtection="1">
      <alignment horizontal="center" vertical="center" wrapText="1"/>
      <protection locked="0"/>
    </xf>
    <xf numFmtId="0" fontId="36" fillId="0" borderId="3" xfId="0" applyNumberFormat="1" applyFont="1" applyFill="1" applyBorder="1" applyAlignment="1" applyProtection="1">
      <alignment horizontal="center" vertical="center" wrapText="1"/>
      <protection locked="0"/>
    </xf>
    <xf numFmtId="0" fontId="41" fillId="3" borderId="76" xfId="0" applyNumberFormat="1" applyFont="1" applyFill="1" applyBorder="1" applyAlignment="1" applyProtection="1">
      <alignment vertical="center" wrapText="1"/>
    </xf>
    <xf numFmtId="0" fontId="36" fillId="0" borderId="8" xfId="0" applyNumberFormat="1" applyFont="1" applyFill="1" applyBorder="1" applyAlignment="1" applyProtection="1">
      <alignment horizontal="center" vertical="center" wrapText="1"/>
      <protection locked="0"/>
    </xf>
    <xf numFmtId="0" fontId="32" fillId="3" borderId="20" xfId="0" applyNumberFormat="1" applyFont="1" applyFill="1" applyBorder="1" applyAlignment="1" applyProtection="1">
      <alignment horizontal="center" vertical="center"/>
    </xf>
    <xf numFmtId="0" fontId="34" fillId="0" borderId="3" xfId="0" applyNumberFormat="1" applyFont="1" applyFill="1" applyBorder="1" applyAlignment="1" applyProtection="1">
      <alignment horizontal="left" vertical="center" wrapText="1"/>
      <protection locked="0"/>
    </xf>
    <xf numFmtId="0" fontId="34" fillId="0" borderId="72" xfId="0" applyNumberFormat="1" applyFont="1" applyFill="1" applyBorder="1" applyAlignment="1" applyProtection="1">
      <alignment horizontal="center" vertical="center" wrapText="1"/>
      <protection locked="0"/>
    </xf>
    <xf numFmtId="0" fontId="34" fillId="3" borderId="0" xfId="0" applyFont="1" applyFill="1" applyBorder="1" applyAlignment="1" applyProtection="1">
      <alignment vertical="center" wrapText="1"/>
      <protection locked="0"/>
    </xf>
    <xf numFmtId="0" fontId="34" fillId="0" borderId="15" xfId="0" applyNumberFormat="1" applyFont="1" applyFill="1" applyBorder="1" applyAlignment="1" applyProtection="1">
      <alignment horizontal="center" vertical="center" wrapText="1"/>
      <protection locked="0"/>
    </xf>
    <xf numFmtId="0" fontId="35" fillId="0" borderId="3" xfId="0" applyNumberFormat="1" applyFont="1" applyFill="1" applyBorder="1" applyAlignment="1" applyProtection="1">
      <alignment horizontal="center" vertical="center" wrapText="1"/>
      <protection locked="0"/>
    </xf>
    <xf numFmtId="0" fontId="35" fillId="0" borderId="3" xfId="0" applyNumberFormat="1" applyFont="1" applyFill="1" applyBorder="1" applyAlignment="1" applyProtection="1">
      <alignment horizontal="left" vertical="center" wrapText="1"/>
      <protection locked="0"/>
    </xf>
    <xf numFmtId="0" fontId="35" fillId="0" borderId="72" xfId="0" applyNumberFormat="1" applyFont="1" applyFill="1" applyBorder="1" applyAlignment="1" applyProtection="1">
      <alignment horizontal="center" vertical="center" wrapText="1"/>
      <protection locked="0"/>
    </xf>
    <xf numFmtId="0" fontId="36" fillId="0" borderId="15" xfId="0" applyNumberFormat="1" applyFont="1" applyFill="1" applyBorder="1" applyAlignment="1" applyProtection="1">
      <alignment horizontal="center" vertical="center" wrapText="1"/>
      <protection locked="0"/>
    </xf>
    <xf numFmtId="0" fontId="36" fillId="0" borderId="20" xfId="0" applyFont="1" applyFill="1" applyBorder="1" applyAlignment="1" applyProtection="1">
      <alignment horizontal="center" vertical="center"/>
    </xf>
    <xf numFmtId="0" fontId="32" fillId="0" borderId="81" xfId="0" applyNumberFormat="1" applyFont="1" applyFill="1" applyBorder="1" applyAlignment="1" applyProtection="1">
      <alignment horizontal="center" vertical="center" wrapText="1"/>
      <protection locked="0"/>
    </xf>
    <xf numFmtId="49" fontId="36" fillId="3" borderId="71" xfId="0" applyNumberFormat="1" applyFont="1" applyFill="1" applyBorder="1" applyAlignment="1" applyProtection="1">
      <alignment horizontal="center" vertical="center" wrapText="1"/>
    </xf>
    <xf numFmtId="0" fontId="36" fillId="3" borderId="48" xfId="0" applyFont="1" applyFill="1" applyBorder="1" applyAlignment="1" applyProtection="1">
      <alignment horizontal="center" vertical="center"/>
    </xf>
    <xf numFmtId="0" fontId="36" fillId="5" borderId="81" xfId="0" applyNumberFormat="1" applyFont="1" applyFill="1" applyBorder="1" applyAlignment="1" applyProtection="1">
      <alignment horizontal="center" vertical="center" wrapText="1"/>
      <protection locked="0"/>
    </xf>
    <xf numFmtId="0" fontId="36" fillId="3" borderId="58" xfId="0" applyNumberFormat="1" applyFont="1" applyFill="1" applyBorder="1" applyAlignment="1" applyProtection="1">
      <alignment horizontal="center" vertical="center" wrapText="1"/>
    </xf>
    <xf numFmtId="0" fontId="36" fillId="5" borderId="74" xfId="0" applyNumberFormat="1" applyFont="1" applyFill="1" applyBorder="1" applyAlignment="1" applyProtection="1">
      <alignment horizontal="center" vertical="center" wrapText="1"/>
      <protection locked="0"/>
    </xf>
    <xf numFmtId="0" fontId="36" fillId="0" borderId="12" xfId="0" applyNumberFormat="1" applyFont="1" applyFill="1" applyBorder="1" applyAlignment="1" applyProtection="1">
      <alignment horizontal="center" vertical="center" wrapText="1"/>
      <protection locked="0"/>
    </xf>
    <xf numFmtId="0" fontId="36" fillId="5" borderId="12" xfId="0" applyNumberFormat="1" applyFont="1" applyFill="1" applyBorder="1" applyAlignment="1" applyProtection="1">
      <alignment horizontal="center" vertical="center" wrapText="1"/>
      <protection locked="0"/>
    </xf>
    <xf numFmtId="0" fontId="32" fillId="5" borderId="81" xfId="0" applyNumberFormat="1" applyFont="1" applyFill="1" applyBorder="1" applyAlignment="1" applyProtection="1">
      <alignment horizontal="center" vertical="center" wrapText="1"/>
      <protection locked="0"/>
    </xf>
    <xf numFmtId="0" fontId="32" fillId="5" borderId="29" xfId="0" applyNumberFormat="1" applyFont="1" applyFill="1" applyBorder="1" applyAlignment="1" applyProtection="1">
      <alignment horizontal="center" vertical="center" wrapText="1"/>
      <protection locked="0"/>
    </xf>
    <xf numFmtId="0" fontId="32" fillId="0" borderId="14" xfId="0" applyFont="1" applyFill="1" applyBorder="1" applyAlignment="1" applyProtection="1">
      <alignment horizontal="center" vertical="center" wrapText="1"/>
      <protection locked="0"/>
    </xf>
    <xf numFmtId="0" fontId="36" fillId="0" borderId="79" xfId="0" applyNumberFormat="1" applyFont="1" applyFill="1" applyBorder="1" applyAlignment="1" applyProtection="1">
      <alignment horizontal="center" vertical="center" wrapText="1"/>
      <protection locked="0"/>
    </xf>
    <xf numFmtId="49" fontId="36" fillId="5" borderId="6" xfId="0" applyNumberFormat="1" applyFont="1" applyFill="1" applyBorder="1" applyAlignment="1" applyProtection="1">
      <alignment horizontal="center" vertical="center" wrapText="1"/>
      <protection locked="0"/>
    </xf>
    <xf numFmtId="0" fontId="32" fillId="0" borderId="58" xfId="0" applyNumberFormat="1" applyFont="1" applyFill="1" applyBorder="1" applyAlignment="1" applyProtection="1">
      <alignment horizontal="center" vertical="center" wrapText="1"/>
      <protection locked="0"/>
    </xf>
    <xf numFmtId="0" fontId="38" fillId="3" borderId="20" xfId="0" applyFont="1" applyFill="1" applyBorder="1" applyAlignment="1" applyProtection="1">
      <alignment horizontal="center" vertical="center"/>
      <protection locked="0"/>
    </xf>
    <xf numFmtId="0" fontId="36" fillId="3" borderId="20" xfId="0" applyFont="1" applyFill="1" applyBorder="1" applyAlignment="1" applyProtection="1">
      <alignment horizontal="center" vertical="center"/>
      <protection locked="0"/>
    </xf>
    <xf numFmtId="0" fontId="35" fillId="3" borderId="20" xfId="0" applyFont="1" applyFill="1" applyBorder="1" applyAlignment="1" applyProtection="1">
      <alignment horizontal="center" vertical="center"/>
      <protection locked="0"/>
    </xf>
    <xf numFmtId="0" fontId="36" fillId="3" borderId="20" xfId="0" applyFont="1" applyFill="1" applyBorder="1" applyAlignment="1" applyProtection="1">
      <protection locked="0"/>
    </xf>
    <xf numFmtId="49" fontId="32" fillId="3" borderId="20" xfId="0" applyNumberFormat="1" applyFont="1" applyFill="1" applyBorder="1" applyAlignment="1" applyProtection="1">
      <alignment horizontal="center" vertical="center"/>
      <protection locked="0"/>
    </xf>
    <xf numFmtId="9" fontId="32" fillId="3" borderId="20" xfId="0" applyNumberFormat="1" applyFont="1" applyFill="1" applyBorder="1" applyAlignment="1" applyProtection="1">
      <alignment horizontal="center" vertical="center" wrapText="1"/>
      <protection locked="0"/>
    </xf>
    <xf numFmtId="0" fontId="51" fillId="3" borderId="20" xfId="0" applyFont="1" applyFill="1" applyBorder="1" applyAlignment="1" applyProtection="1">
      <alignment vertical="center"/>
      <protection locked="0"/>
    </xf>
    <xf numFmtId="0" fontId="32" fillId="3" borderId="20" xfId="0" applyFont="1" applyFill="1" applyBorder="1" applyAlignment="1" applyProtection="1">
      <alignment horizontal="center" vertical="center" wrapText="1"/>
      <protection locked="0"/>
    </xf>
    <xf numFmtId="0" fontId="32" fillId="0" borderId="90" xfId="0" applyNumberFormat="1" applyFont="1" applyFill="1" applyBorder="1" applyAlignment="1" applyProtection="1">
      <alignment horizontal="center" vertical="center"/>
      <protection locked="0"/>
    </xf>
    <xf numFmtId="0" fontId="34" fillId="3" borderId="20" xfId="0" applyFont="1" applyFill="1" applyBorder="1" applyAlignment="1" applyProtection="1">
      <alignment horizontal="center" vertical="center" wrapText="1"/>
      <protection locked="0"/>
    </xf>
    <xf numFmtId="0" fontId="34" fillId="3" borderId="20" xfId="0" applyFont="1" applyFill="1" applyBorder="1" applyAlignment="1" applyProtection="1">
      <alignment horizontal="center" vertical="center"/>
      <protection locked="0"/>
    </xf>
    <xf numFmtId="0" fontId="34" fillId="3" borderId="20" xfId="0" applyFont="1" applyFill="1" applyBorder="1" applyAlignment="1" applyProtection="1">
      <alignment vertical="center" wrapText="1"/>
      <protection locked="0"/>
    </xf>
    <xf numFmtId="0" fontId="32" fillId="3" borderId="20" xfId="0" applyFont="1" applyFill="1" applyBorder="1" applyAlignment="1" applyProtection="1">
      <alignment vertical="center" wrapText="1"/>
      <protection locked="0"/>
    </xf>
    <xf numFmtId="0" fontId="36" fillId="0" borderId="85" xfId="0" applyNumberFormat="1" applyFont="1" applyFill="1" applyBorder="1" applyAlignment="1" applyProtection="1">
      <alignment horizontal="left" vertical="center" wrapText="1"/>
      <protection locked="0"/>
    </xf>
    <xf numFmtId="0" fontId="36" fillId="0" borderId="88" xfId="0" applyNumberFormat="1" applyFont="1" applyFill="1" applyBorder="1" applyAlignment="1" applyProtection="1">
      <alignment horizontal="center" vertical="center" wrapText="1"/>
      <protection locked="0"/>
    </xf>
    <xf numFmtId="0" fontId="36" fillId="3" borderId="20" xfId="0" applyFont="1" applyFill="1" applyBorder="1" applyAlignment="1" applyProtection="1">
      <alignment horizontal="center" vertical="center" wrapText="1"/>
      <protection locked="0"/>
    </xf>
    <xf numFmtId="0" fontId="36" fillId="0" borderId="20" xfId="0" applyFont="1" applyFill="1" applyBorder="1" applyAlignment="1" applyProtection="1">
      <alignment horizontal="center" vertical="center"/>
      <protection locked="0"/>
    </xf>
    <xf numFmtId="0" fontId="55" fillId="5" borderId="54" xfId="0" applyFont="1" applyFill="1" applyBorder="1" applyAlignment="1" applyProtection="1">
      <alignment vertical="center"/>
      <protection locked="0"/>
    </xf>
    <xf numFmtId="49" fontId="36" fillId="3" borderId="69" xfId="0" applyNumberFormat="1" applyFont="1" applyFill="1" applyBorder="1" applyAlignment="1" applyProtection="1">
      <alignment horizontal="center" vertical="center" wrapText="1"/>
    </xf>
    <xf numFmtId="0" fontId="46" fillId="3" borderId="18" xfId="0" applyFont="1" applyFill="1" applyBorder="1" applyAlignment="1" applyProtection="1">
      <alignment horizontal="center" vertical="center" wrapText="1"/>
    </xf>
    <xf numFmtId="0" fontId="46" fillId="3" borderId="20" xfId="0" applyFont="1" applyFill="1" applyBorder="1" applyAlignment="1" applyProtection="1">
      <alignment horizontal="center" vertical="center" wrapText="1"/>
    </xf>
    <xf numFmtId="49" fontId="36" fillId="3" borderId="22" xfId="0" applyNumberFormat="1" applyFont="1" applyFill="1" applyBorder="1" applyAlignment="1" applyProtection="1">
      <alignment horizontal="center" vertical="center" wrapText="1"/>
    </xf>
    <xf numFmtId="0" fontId="36" fillId="5" borderId="4" xfId="0" applyFont="1" applyFill="1" applyBorder="1" applyAlignment="1" applyProtection="1">
      <alignment horizontal="center" vertical="center" wrapText="1"/>
      <protection locked="0"/>
    </xf>
    <xf numFmtId="0" fontId="36" fillId="5" borderId="6" xfId="0" applyFont="1" applyFill="1" applyBorder="1" applyAlignment="1" applyProtection="1">
      <alignment horizontal="center" vertical="center" wrapText="1"/>
      <protection locked="0"/>
    </xf>
    <xf numFmtId="0" fontId="36" fillId="5" borderId="11" xfId="0" applyFont="1" applyFill="1" applyBorder="1" applyAlignment="1" applyProtection="1">
      <alignment horizontal="center" vertical="center" wrapText="1"/>
      <protection locked="0"/>
    </xf>
    <xf numFmtId="17" fontId="34" fillId="0" borderId="64" xfId="0" applyNumberFormat="1" applyFont="1" applyFill="1" applyBorder="1" applyAlignment="1" applyProtection="1">
      <alignment horizontal="center" vertical="center" wrapText="1"/>
      <protection locked="0"/>
    </xf>
    <xf numFmtId="0" fontId="34" fillId="0" borderId="64" xfId="0" applyNumberFormat="1" applyFont="1" applyFill="1" applyBorder="1" applyAlignment="1" applyProtection="1">
      <alignment horizontal="center" vertical="center" wrapText="1"/>
      <protection locked="0"/>
    </xf>
    <xf numFmtId="0" fontId="32" fillId="3" borderId="0" xfId="0" applyFont="1" applyFill="1" applyAlignment="1" applyProtection="1">
      <alignment horizontal="center" vertical="center"/>
    </xf>
    <xf numFmtId="0" fontId="51" fillId="0" borderId="85" xfId="0" applyNumberFormat="1" applyFont="1" applyFill="1" applyBorder="1" applyAlignment="1" applyProtection="1">
      <alignment horizontal="center" vertical="center" wrapText="1"/>
      <protection locked="0"/>
    </xf>
    <xf numFmtId="0" fontId="50" fillId="0" borderId="0" xfId="0" applyFont="1" applyFill="1" applyAlignment="1" applyProtection="1">
      <alignment horizontal="center" vertical="center"/>
    </xf>
    <xf numFmtId="0" fontId="38" fillId="3" borderId="10" xfId="0" applyFont="1" applyFill="1" applyBorder="1" applyAlignment="1" applyProtection="1">
      <alignment horizontal="right" vertical="center"/>
    </xf>
    <xf numFmtId="0" fontId="38" fillId="3" borderId="12" xfId="0" applyFont="1" applyFill="1" applyBorder="1" applyAlignment="1" applyProtection="1">
      <alignment horizontal="center" vertical="center"/>
    </xf>
    <xf numFmtId="0" fontId="38" fillId="5" borderId="12" xfId="0" applyFont="1" applyFill="1" applyBorder="1" applyAlignment="1" applyProtection="1">
      <alignment vertical="center"/>
      <protection locked="0"/>
    </xf>
    <xf numFmtId="0" fontId="40" fillId="3" borderId="3" xfId="0" applyFont="1" applyFill="1" applyBorder="1" applyAlignment="1" applyProtection="1">
      <alignment horizontal="right" vertical="center"/>
    </xf>
    <xf numFmtId="0" fontId="56" fillId="3" borderId="0" xfId="0" applyFont="1" applyFill="1" applyBorder="1" applyAlignment="1" applyProtection="1">
      <alignment vertical="center"/>
      <protection locked="0"/>
    </xf>
    <xf numFmtId="49" fontId="32" fillId="5" borderId="62" xfId="0" applyNumberFormat="1" applyFont="1" applyFill="1" applyBorder="1" applyAlignment="1" applyProtection="1">
      <alignment horizontal="center" vertical="center" wrapText="1"/>
      <protection locked="0"/>
    </xf>
    <xf numFmtId="0" fontId="32" fillId="3" borderId="39" xfId="0" applyNumberFormat="1" applyFont="1" applyFill="1" applyBorder="1" applyAlignment="1" applyProtection="1">
      <alignment horizontal="center" vertical="center" wrapText="1"/>
    </xf>
    <xf numFmtId="49" fontId="36" fillId="5" borderId="11" xfId="0" applyNumberFormat="1" applyFont="1" applyFill="1" applyBorder="1" applyAlignment="1" applyProtection="1">
      <alignment horizontal="center" vertical="center" wrapText="1"/>
      <protection locked="0"/>
    </xf>
    <xf numFmtId="49" fontId="32" fillId="0" borderId="81" xfId="0" applyNumberFormat="1" applyFont="1" applyFill="1" applyBorder="1" applyAlignment="1" applyProtection="1">
      <alignment horizontal="center" vertical="center" wrapText="1"/>
      <protection locked="0"/>
    </xf>
    <xf numFmtId="49" fontId="32" fillId="0" borderId="29" xfId="0" applyNumberFormat="1" applyFont="1" applyFill="1" applyBorder="1" applyAlignment="1" applyProtection="1">
      <alignment horizontal="center" vertical="center" wrapText="1"/>
      <protection locked="0"/>
    </xf>
    <xf numFmtId="0" fontId="36" fillId="5" borderId="56" xfId="0" applyFont="1" applyFill="1" applyBorder="1" applyAlignment="1" applyProtection="1">
      <alignment horizontal="center" vertical="center" wrapText="1"/>
      <protection locked="0"/>
    </xf>
    <xf numFmtId="0" fontId="36" fillId="0" borderId="83" xfId="0" applyNumberFormat="1" applyFont="1" applyFill="1" applyBorder="1" applyAlignment="1" applyProtection="1">
      <alignment horizontal="center" vertical="center" wrapText="1"/>
    </xf>
    <xf numFmtId="0" fontId="38" fillId="3" borderId="0" xfId="0" applyFont="1" applyFill="1" applyBorder="1" applyAlignment="1" applyProtection="1">
      <alignment horizontal="center" vertical="center"/>
    </xf>
    <xf numFmtId="182" fontId="40" fillId="3" borderId="0" xfId="0" applyNumberFormat="1" applyFont="1" applyFill="1" applyBorder="1" applyAlignment="1" applyProtection="1">
      <alignment horizontal="center" vertical="center"/>
      <protection locked="0"/>
    </xf>
    <xf numFmtId="183" fontId="40" fillId="3" borderId="0" xfId="0" applyNumberFormat="1" applyFont="1" applyFill="1" applyBorder="1" applyAlignment="1" applyProtection="1">
      <alignment vertical="center"/>
      <protection locked="0"/>
    </xf>
    <xf numFmtId="0" fontId="40" fillId="3" borderId="0" xfId="0" applyFont="1" applyFill="1" applyBorder="1" applyAlignment="1" applyProtection="1">
      <alignment horizontal="center" vertical="center"/>
      <protection locked="0"/>
    </xf>
    <xf numFmtId="0" fontId="40" fillId="3" borderId="0" xfId="0" applyFont="1" applyFill="1" applyBorder="1" applyAlignment="1" applyProtection="1">
      <alignment horizontal="center" vertical="center"/>
    </xf>
    <xf numFmtId="182" fontId="32" fillId="3" borderId="44" xfId="0" applyNumberFormat="1" applyFont="1" applyFill="1" applyBorder="1" applyAlignment="1" applyProtection="1">
      <alignment horizontal="center" vertical="center" wrapText="1"/>
    </xf>
    <xf numFmtId="182" fontId="32" fillId="3" borderId="46" xfId="0" applyNumberFormat="1" applyFont="1" applyFill="1" applyBorder="1" applyAlignment="1" applyProtection="1">
      <alignment horizontal="center" vertical="center" wrapText="1"/>
    </xf>
    <xf numFmtId="0" fontId="32" fillId="3" borderId="46" xfId="0" applyNumberFormat="1" applyFont="1" applyFill="1" applyBorder="1" applyAlignment="1" applyProtection="1">
      <alignment horizontal="center" vertical="center" wrapText="1"/>
    </xf>
    <xf numFmtId="0" fontId="50" fillId="0" borderId="46" xfId="0" applyNumberFormat="1" applyFont="1" applyFill="1" applyBorder="1" applyAlignment="1" applyProtection="1">
      <alignment horizontal="center" vertical="center" wrapText="1"/>
      <protection locked="0"/>
    </xf>
    <xf numFmtId="0" fontId="50" fillId="3" borderId="46" xfId="0" applyNumberFormat="1" applyFont="1" applyFill="1" applyBorder="1" applyAlignment="1" applyProtection="1">
      <alignment horizontal="center" vertical="center" wrapText="1"/>
    </xf>
    <xf numFmtId="0" fontId="50" fillId="0" borderId="91" xfId="0" applyNumberFormat="1" applyFont="1" applyFill="1" applyBorder="1" applyAlignment="1" applyProtection="1">
      <alignment horizontal="center" vertical="center" wrapText="1"/>
      <protection locked="0"/>
    </xf>
    <xf numFmtId="0" fontId="50" fillId="3" borderId="92" xfId="0" applyNumberFormat="1" applyFont="1" applyFill="1" applyBorder="1" applyAlignment="1" applyProtection="1">
      <alignment horizontal="center" vertical="center" wrapText="1"/>
    </xf>
    <xf numFmtId="0" fontId="50" fillId="3" borderId="93" xfId="0" applyNumberFormat="1" applyFont="1" applyFill="1" applyBorder="1" applyAlignment="1" applyProtection="1">
      <alignment horizontal="center" vertical="center" wrapText="1"/>
    </xf>
    <xf numFmtId="0" fontId="36" fillId="0" borderId="11" xfId="0" applyNumberFormat="1" applyFont="1" applyFill="1" applyBorder="1" applyAlignment="1" applyProtection="1">
      <alignment horizontal="center" vertical="center" wrapText="1"/>
      <protection locked="0"/>
    </xf>
    <xf numFmtId="182" fontId="36" fillId="3" borderId="46" xfId="0" applyNumberFormat="1" applyFont="1" applyFill="1" applyBorder="1" applyAlignment="1" applyProtection="1">
      <alignment horizontal="center" vertical="center"/>
    </xf>
    <xf numFmtId="182" fontId="36" fillId="3" borderId="15" xfId="0" applyNumberFormat="1" applyFont="1" applyFill="1" applyBorder="1" applyAlignment="1" applyProtection="1">
      <alignment horizontal="center" vertical="center" wrapText="1"/>
    </xf>
    <xf numFmtId="0" fontId="36" fillId="0" borderId="87" xfId="0" applyNumberFormat="1" applyFont="1" applyFill="1" applyBorder="1" applyAlignment="1" applyProtection="1">
      <alignment horizontal="center" vertical="center" wrapText="1"/>
    </xf>
    <xf numFmtId="0" fontId="31" fillId="3" borderId="0" xfId="0" applyFont="1" applyFill="1" applyBorder="1" applyAlignment="1" applyProtection="1">
      <alignment horizontal="center" vertical="center"/>
    </xf>
    <xf numFmtId="0" fontId="50" fillId="3" borderId="0" xfId="0" applyFont="1" applyFill="1" applyBorder="1" applyAlignment="1" applyProtection="1">
      <alignment horizontal="center" vertical="center"/>
    </xf>
    <xf numFmtId="0" fontId="50" fillId="3" borderId="0" xfId="0" applyFont="1" applyFill="1" applyAlignment="1" applyProtection="1">
      <alignment horizontal="center" vertical="center"/>
    </xf>
    <xf numFmtId="0" fontId="34" fillId="3" borderId="85" xfId="0" applyNumberFormat="1" applyFont="1" applyFill="1" applyBorder="1" applyAlignment="1" applyProtection="1">
      <alignment horizontal="center" vertical="center" wrapText="1"/>
    </xf>
    <xf numFmtId="0" fontId="34" fillId="3" borderId="85" xfId="0" applyNumberFormat="1" applyFont="1" applyFill="1" applyBorder="1" applyAlignment="1" applyProtection="1">
      <alignment horizontal="left" vertical="center" wrapText="1"/>
    </xf>
    <xf numFmtId="0" fontId="34" fillId="3" borderId="88" xfId="0" applyNumberFormat="1" applyFont="1" applyFill="1" applyBorder="1" applyAlignment="1" applyProtection="1">
      <alignment horizontal="center" vertical="center" wrapText="1"/>
    </xf>
    <xf numFmtId="0" fontId="34" fillId="3" borderId="1" xfId="0" applyNumberFormat="1" applyFont="1" applyFill="1" applyBorder="1" applyAlignment="1" applyProtection="1">
      <alignment horizontal="center" vertical="center" wrapText="1"/>
    </xf>
    <xf numFmtId="0" fontId="34" fillId="3" borderId="1" xfId="0" applyNumberFormat="1" applyFont="1" applyFill="1" applyBorder="1" applyAlignment="1" applyProtection="1">
      <alignment horizontal="left" vertical="center" wrapText="1"/>
    </xf>
    <xf numFmtId="0" fontId="34" fillId="3" borderId="14" xfId="0" applyNumberFormat="1" applyFont="1" applyFill="1" applyBorder="1" applyAlignment="1" applyProtection="1">
      <alignment horizontal="center" vertical="center" wrapText="1"/>
    </xf>
    <xf numFmtId="0" fontId="34" fillId="3" borderId="83" xfId="0" applyNumberFormat="1" applyFont="1" applyFill="1" applyBorder="1" applyAlignment="1" applyProtection="1">
      <alignment horizontal="center" vertical="center" wrapText="1"/>
    </xf>
    <xf numFmtId="0" fontId="34" fillId="3" borderId="87" xfId="0" applyNumberFormat="1" applyFont="1" applyFill="1" applyBorder="1" applyAlignment="1" applyProtection="1">
      <alignment horizontal="center" vertical="center" wrapText="1"/>
    </xf>
    <xf numFmtId="0" fontId="57" fillId="0" borderId="0" xfId="0" applyFont="1" applyFill="1" applyAlignment="1" applyProtection="1">
      <alignment horizontal="left" vertical="center"/>
      <protection locked="0"/>
    </xf>
    <xf numFmtId="0" fontId="52" fillId="0" borderId="0" xfId="0" applyFont="1" applyFill="1" applyAlignment="1" applyProtection="1">
      <alignment horizontal="center" vertical="center"/>
      <protection locked="0"/>
    </xf>
    <xf numFmtId="0" fontId="58" fillId="3" borderId="19" xfId="0" applyFont="1" applyFill="1" applyBorder="1" applyAlignment="1" applyProtection="1">
      <alignment horizontal="center" vertical="center"/>
    </xf>
    <xf numFmtId="0" fontId="59" fillId="3" borderId="55" xfId="0" applyFont="1" applyFill="1" applyBorder="1" applyAlignment="1" applyProtection="1">
      <alignment horizontal="center" vertical="center"/>
    </xf>
    <xf numFmtId="0" fontId="52" fillId="3" borderId="55" xfId="0" applyFont="1" applyFill="1" applyBorder="1" applyAlignment="1" applyProtection="1">
      <alignment horizontal="center" vertical="center"/>
    </xf>
    <xf numFmtId="0" fontId="52" fillId="3" borderId="45" xfId="0" applyFont="1" applyFill="1" applyBorder="1" applyAlignment="1" applyProtection="1">
      <alignment horizontal="center" vertical="center"/>
    </xf>
    <xf numFmtId="0" fontId="59" fillId="3" borderId="65" xfId="0" applyFont="1" applyFill="1" applyBorder="1" applyProtection="1">
      <alignment vertical="center"/>
    </xf>
    <xf numFmtId="0" fontId="58" fillId="3" borderId="1" xfId="0" applyFont="1" applyFill="1" applyBorder="1" applyAlignment="1" applyProtection="1">
      <alignment horizontal="center" vertical="center"/>
    </xf>
    <xf numFmtId="0" fontId="58" fillId="3" borderId="10" xfId="0" applyFont="1" applyFill="1" applyBorder="1" applyAlignment="1" applyProtection="1">
      <alignment horizontal="center" vertical="center"/>
    </xf>
    <xf numFmtId="0" fontId="58" fillId="3" borderId="94" xfId="0" applyFont="1" applyFill="1" applyBorder="1" applyAlignment="1" applyProtection="1">
      <alignment horizontal="center" vertical="center"/>
    </xf>
    <xf numFmtId="0" fontId="58" fillId="3" borderId="14" xfId="0" applyFont="1" applyFill="1" applyBorder="1" applyAlignment="1" applyProtection="1">
      <alignment horizontal="center" vertical="center"/>
    </xf>
    <xf numFmtId="0" fontId="50" fillId="3" borderId="29" xfId="0" applyFont="1" applyFill="1" applyBorder="1" applyAlignment="1" applyProtection="1">
      <alignment horizontal="center" vertical="center"/>
    </xf>
    <xf numFmtId="0" fontId="50" fillId="0" borderId="3" xfId="0" applyFont="1" applyBorder="1" applyAlignment="1" applyProtection="1">
      <alignment horizontal="center" vertical="center"/>
      <protection locked="0"/>
    </xf>
    <xf numFmtId="0" fontId="58" fillId="0" borderId="3" xfId="0" applyFont="1" applyBorder="1" applyAlignment="1" applyProtection="1">
      <alignment horizontal="center" vertical="center"/>
      <protection locked="0"/>
    </xf>
    <xf numFmtId="0" fontId="50" fillId="0" borderId="34" xfId="0" applyFont="1" applyBorder="1" applyAlignment="1" applyProtection="1">
      <alignment horizontal="center" vertical="center"/>
      <protection locked="0"/>
    </xf>
    <xf numFmtId="0" fontId="50" fillId="0" borderId="95" xfId="0" applyFont="1" applyFill="1" applyBorder="1" applyAlignment="1" applyProtection="1">
      <alignment horizontal="center" vertical="center"/>
      <protection locked="0"/>
    </xf>
    <xf numFmtId="0" fontId="50" fillId="0" borderId="72" xfId="0" applyFont="1" applyBorder="1" applyAlignment="1" applyProtection="1">
      <alignment horizontal="center" vertical="center"/>
      <protection locked="0"/>
    </xf>
    <xf numFmtId="0" fontId="50" fillId="3" borderId="6" xfId="0" applyFont="1" applyFill="1" applyBorder="1" applyAlignment="1" applyProtection="1">
      <alignment horizontal="center" vertical="center"/>
    </xf>
    <xf numFmtId="0" fontId="50" fillId="0" borderId="1" xfId="0" applyFont="1" applyBorder="1" applyAlignment="1" applyProtection="1">
      <alignment horizontal="center" vertical="center"/>
      <protection locked="0"/>
    </xf>
    <xf numFmtId="0" fontId="59" fillId="0" borderId="1" xfId="0" applyFont="1" applyBorder="1" applyAlignment="1" applyProtection="1">
      <alignment horizontal="center" vertical="center"/>
      <protection locked="0"/>
    </xf>
    <xf numFmtId="0" fontId="50" fillId="0" borderId="10" xfId="0" applyFont="1" applyBorder="1" applyAlignment="1" applyProtection="1">
      <alignment horizontal="center" vertical="center"/>
      <protection locked="0"/>
    </xf>
    <xf numFmtId="0" fontId="50" fillId="0" borderId="94" xfId="0" applyFont="1" applyFill="1" applyBorder="1" applyAlignment="1" applyProtection="1">
      <alignment horizontal="center" vertical="center"/>
      <protection locked="0"/>
    </xf>
    <xf numFmtId="0" fontId="50" fillId="0" borderId="14" xfId="0" applyFont="1" applyBorder="1" applyAlignment="1" applyProtection="1">
      <alignment horizontal="center" vertical="center"/>
      <protection locked="0"/>
    </xf>
    <xf numFmtId="0" fontId="58" fillId="0" borderId="1" xfId="0" applyFont="1" applyBorder="1" applyAlignment="1" applyProtection="1">
      <alignment horizontal="center" vertical="center"/>
      <protection locked="0"/>
    </xf>
    <xf numFmtId="0" fontId="51" fillId="0" borderId="94" xfId="0" applyFont="1" applyFill="1" applyBorder="1" applyAlignment="1" applyProtection="1">
      <alignment horizontal="center" vertical="center"/>
      <protection locked="0"/>
    </xf>
    <xf numFmtId="0" fontId="58" fillId="3" borderId="7" xfId="0" applyFont="1" applyFill="1" applyBorder="1" applyAlignment="1" applyProtection="1">
      <alignment horizontal="center" vertical="center"/>
    </xf>
    <xf numFmtId="0" fontId="50" fillId="3" borderId="8" xfId="0" applyFont="1" applyFill="1" applyBorder="1" applyAlignment="1" applyProtection="1">
      <alignment horizontal="center" vertical="center"/>
    </xf>
    <xf numFmtId="0" fontId="59" fillId="3" borderId="17" xfId="0" applyFont="1" applyFill="1" applyBorder="1" applyAlignment="1" applyProtection="1">
      <alignment horizontal="center" vertical="center"/>
    </xf>
    <xf numFmtId="0" fontId="59" fillId="3" borderId="96" xfId="0" applyFont="1" applyFill="1" applyBorder="1" applyAlignment="1" applyProtection="1">
      <alignment horizontal="left" vertical="center"/>
    </xf>
    <xf numFmtId="0" fontId="52" fillId="3" borderId="17" xfId="0" applyFont="1" applyFill="1" applyBorder="1" applyAlignment="1" applyProtection="1">
      <alignment horizontal="center" vertical="center"/>
    </xf>
    <xf numFmtId="0" fontId="52" fillId="3" borderId="67" xfId="0" applyFont="1" applyFill="1" applyBorder="1" applyAlignment="1" applyProtection="1">
      <alignment horizontal="center" vertical="center"/>
    </xf>
    <xf numFmtId="0" fontId="60" fillId="0" borderId="0" xfId="0" applyFont="1" applyFill="1" applyAlignment="1" applyProtection="1">
      <alignment horizontal="left" vertical="center"/>
      <protection locked="0"/>
    </xf>
    <xf numFmtId="182" fontId="52" fillId="0" borderId="0" xfId="0" applyNumberFormat="1" applyFont="1" applyFill="1" applyAlignment="1" applyProtection="1">
      <alignment horizontal="center" vertical="center"/>
      <protection locked="0"/>
    </xf>
    <xf numFmtId="0" fontId="58" fillId="3" borderId="55" xfId="0" applyFont="1" applyFill="1" applyBorder="1" applyAlignment="1" applyProtection="1">
      <alignment horizontal="center" vertical="center"/>
    </xf>
    <xf numFmtId="0" fontId="59" fillId="3" borderId="45" xfId="0" applyFont="1" applyFill="1" applyBorder="1" applyAlignment="1" applyProtection="1">
      <alignment horizontal="center" vertical="center"/>
    </xf>
    <xf numFmtId="0" fontId="59" fillId="3" borderId="89" xfId="0" applyFont="1" applyFill="1" applyBorder="1" applyAlignment="1" applyProtection="1">
      <alignment horizontal="center" vertical="center"/>
    </xf>
    <xf numFmtId="0" fontId="58" fillId="3" borderId="81" xfId="0" applyFont="1" applyFill="1" applyBorder="1" applyAlignment="1" applyProtection="1">
      <alignment horizontal="center" vertical="center"/>
    </xf>
    <xf numFmtId="189" fontId="50" fillId="3" borderId="72" xfId="0" applyNumberFormat="1" applyFont="1" applyFill="1" applyBorder="1" applyAlignment="1" applyProtection="1">
      <alignment horizontal="center" vertical="center"/>
    </xf>
    <xf numFmtId="0" fontId="58" fillId="3" borderId="11" xfId="0" applyFont="1" applyFill="1" applyBorder="1" applyAlignment="1" applyProtection="1">
      <alignment horizontal="center" vertical="center"/>
    </xf>
    <xf numFmtId="0" fontId="50" fillId="3" borderId="1" xfId="0" applyFont="1" applyFill="1" applyBorder="1" applyAlignment="1" applyProtection="1">
      <alignment horizontal="center" vertical="center"/>
    </xf>
    <xf numFmtId="0" fontId="50" fillId="3" borderId="14" xfId="0" applyFont="1" applyFill="1" applyBorder="1" applyAlignment="1" applyProtection="1">
      <alignment horizontal="center" vertical="center"/>
    </xf>
    <xf numFmtId="190" fontId="50" fillId="3" borderId="14" xfId="0" applyNumberFormat="1" applyFont="1" applyFill="1" applyBorder="1" applyAlignment="1" applyProtection="1">
      <alignment horizontal="center" vertical="center"/>
    </xf>
    <xf numFmtId="190" fontId="50" fillId="0" borderId="14" xfId="0" applyNumberFormat="1" applyFont="1" applyBorder="1" applyAlignment="1" applyProtection="1">
      <alignment horizontal="center" vertical="center"/>
      <protection locked="0"/>
    </xf>
    <xf numFmtId="0" fontId="58" fillId="3" borderId="97" xfId="0" applyFont="1" applyFill="1" applyBorder="1" applyAlignment="1" applyProtection="1">
      <alignment horizontal="center" vertical="center"/>
    </xf>
    <xf numFmtId="0" fontId="50" fillId="0" borderId="8" xfId="0" applyFont="1" applyBorder="1" applyAlignment="1" applyProtection="1">
      <alignment horizontal="center" vertical="center"/>
      <protection locked="0"/>
    </xf>
    <xf numFmtId="190" fontId="50" fillId="3" borderId="15" xfId="0" applyNumberFormat="1" applyFont="1" applyFill="1" applyBorder="1" applyAlignment="1" applyProtection="1">
      <alignment horizontal="center" vertical="center"/>
    </xf>
    <xf numFmtId="0" fontId="50" fillId="6" borderId="0" xfId="0" applyFont="1" applyFill="1" applyAlignment="1" applyProtection="1">
      <alignment vertical="center"/>
      <protection locked="0"/>
    </xf>
    <xf numFmtId="0" fontId="24" fillId="6" borderId="0" xfId="0" applyFont="1" applyFill="1" applyAlignment="1" applyProtection="1">
      <alignment vertical="center"/>
      <protection locked="0"/>
    </xf>
    <xf numFmtId="0" fontId="24" fillId="0" borderId="0" xfId="0" applyFont="1" applyFill="1" applyAlignment="1" applyProtection="1">
      <alignment vertical="center"/>
      <protection locked="0"/>
    </xf>
    <xf numFmtId="0" fontId="21" fillId="0" borderId="0" xfId="0" applyFont="1" applyFill="1" applyAlignment="1" applyProtection="1">
      <alignment vertical="center"/>
      <protection locked="0"/>
    </xf>
    <xf numFmtId="0" fontId="21" fillId="7" borderId="0" xfId="0" applyFont="1" applyFill="1" applyAlignment="1" applyProtection="1">
      <alignment horizontal="left" vertical="center"/>
      <protection locked="0"/>
    </xf>
    <xf numFmtId="0" fontId="21" fillId="7" borderId="0" xfId="0" applyFont="1" applyFill="1" applyAlignment="1" applyProtection="1">
      <alignment vertical="center"/>
      <protection locked="0"/>
    </xf>
    <xf numFmtId="0" fontId="21" fillId="7" borderId="0" xfId="0" applyFont="1" applyFill="1" applyAlignment="1" applyProtection="1">
      <alignment horizontal="center" vertical="center"/>
      <protection locked="0"/>
    </xf>
    <xf numFmtId="0" fontId="21" fillId="6" borderId="0" xfId="0" applyFont="1" applyFill="1" applyAlignment="1" applyProtection="1">
      <alignment vertical="center"/>
      <protection locked="0"/>
    </xf>
    <xf numFmtId="0" fontId="37" fillId="3" borderId="59" xfId="5" applyFont="1" applyFill="1" applyBorder="1" applyAlignment="1" applyProtection="1">
      <alignment vertical="center"/>
    </xf>
    <xf numFmtId="0" fontId="40" fillId="3" borderId="78" xfId="5" applyFont="1" applyFill="1" applyBorder="1" applyAlignment="1" applyProtection="1">
      <alignment vertical="center"/>
    </xf>
    <xf numFmtId="0" fontId="40" fillId="3" borderId="55" xfId="5" applyFont="1" applyFill="1" applyBorder="1" applyAlignment="1" applyProtection="1">
      <alignment vertical="center"/>
      <protection locked="0"/>
    </xf>
    <xf numFmtId="0" fontId="40" fillId="3" borderId="0" xfId="5" applyFont="1" applyFill="1" applyBorder="1" applyAlignment="1" applyProtection="1">
      <alignment vertical="center"/>
      <protection locked="0"/>
    </xf>
    <xf numFmtId="0" fontId="40" fillId="3" borderId="9" xfId="5" applyFont="1" applyFill="1" applyBorder="1" applyAlignment="1" applyProtection="1">
      <alignment horizontal="right" vertical="center"/>
    </xf>
    <xf numFmtId="0" fontId="40" fillId="9" borderId="0" xfId="5" applyFont="1" applyFill="1" applyBorder="1" applyAlignment="1" applyProtection="1">
      <alignment vertical="center"/>
      <protection locked="0"/>
    </xf>
    <xf numFmtId="0" fontId="54" fillId="3" borderId="9" xfId="5" applyFont="1" applyFill="1" applyBorder="1" applyAlignment="1" applyProtection="1">
      <alignment vertical="center"/>
    </xf>
    <xf numFmtId="0" fontId="41" fillId="3" borderId="9" xfId="0" applyFont="1" applyFill="1" applyBorder="1" applyAlignment="1" applyProtection="1">
      <alignment vertical="center"/>
    </xf>
    <xf numFmtId="0" fontId="40" fillId="3" borderId="1" xfId="0" applyFont="1" applyFill="1" applyBorder="1" applyAlignment="1" applyProtection="1">
      <alignment vertical="center"/>
    </xf>
    <xf numFmtId="0" fontId="31" fillId="9" borderId="0" xfId="0" applyFont="1" applyFill="1" applyAlignment="1" applyProtection="1">
      <alignment horizontal="center" vertical="center"/>
      <protection locked="0"/>
    </xf>
    <xf numFmtId="0" fontId="40" fillId="3" borderId="0" xfId="5" applyFont="1" applyFill="1" applyBorder="1" applyAlignment="1" applyProtection="1">
      <alignment vertical="center"/>
    </xf>
    <xf numFmtId="0" fontId="40" fillId="3" borderId="18" xfId="0" applyFont="1" applyFill="1" applyBorder="1" applyAlignment="1" applyProtection="1">
      <alignment vertical="center"/>
    </xf>
    <xf numFmtId="0" fontId="61" fillId="3" borderId="58" xfId="0" applyFont="1" applyFill="1" applyBorder="1" applyAlignment="1" applyProtection="1">
      <alignment horizontal="left" vertical="center"/>
    </xf>
    <xf numFmtId="0" fontId="24" fillId="3" borderId="4" xfId="5" applyFont="1" applyFill="1" applyBorder="1" applyAlignment="1" applyProtection="1">
      <alignment horizontal="left" vertical="center"/>
    </xf>
    <xf numFmtId="0" fontId="24" fillId="3" borderId="39" xfId="5" applyFont="1" applyFill="1" applyBorder="1" applyAlignment="1" applyProtection="1">
      <alignment vertical="center"/>
    </xf>
    <xf numFmtId="179" fontId="24" fillId="3" borderId="5" xfId="5" applyNumberFormat="1" applyFont="1" applyFill="1" applyBorder="1" applyAlignment="1" applyProtection="1">
      <alignment horizontal="center" vertical="center"/>
    </xf>
    <xf numFmtId="0" fontId="24" fillId="3" borderId="5" xfId="5" applyFont="1" applyFill="1" applyBorder="1" applyAlignment="1" applyProtection="1">
      <alignment horizontal="center" vertical="center"/>
    </xf>
    <xf numFmtId="0" fontId="5" fillId="3" borderId="13" xfId="5" applyFont="1" applyFill="1" applyBorder="1" applyAlignment="1" applyProtection="1">
      <alignment horizontal="left" vertical="center"/>
    </xf>
    <xf numFmtId="49" fontId="24" fillId="3" borderId="6" xfId="5" applyNumberFormat="1" applyFont="1" applyFill="1" applyBorder="1" applyAlignment="1" applyProtection="1">
      <alignment horizontal="left" vertical="center"/>
    </xf>
    <xf numFmtId="0" fontId="24" fillId="3" borderId="10" xfId="5" applyFont="1" applyFill="1" applyBorder="1" applyAlignment="1" applyProtection="1">
      <alignment vertical="center"/>
    </xf>
    <xf numFmtId="179" fontId="24" fillId="3" borderId="1" xfId="5" applyNumberFormat="1" applyFont="1" applyFill="1" applyBorder="1" applyAlignment="1" applyProtection="1">
      <alignment horizontal="center" vertical="center"/>
    </xf>
    <xf numFmtId="0" fontId="24" fillId="3" borderId="1" xfId="5" applyFont="1" applyFill="1" applyBorder="1" applyAlignment="1" applyProtection="1">
      <alignment horizontal="center" vertical="center"/>
    </xf>
    <xf numFmtId="0" fontId="62" fillId="2" borderId="14" xfId="5" applyFont="1" applyFill="1" applyBorder="1" applyAlignment="1" applyProtection="1">
      <alignment vertical="center"/>
      <protection locked="0"/>
    </xf>
    <xf numFmtId="0" fontId="63" fillId="3" borderId="10" xfId="5" applyFont="1" applyFill="1" applyBorder="1" applyAlignment="1" applyProtection="1">
      <alignment vertical="center"/>
    </xf>
    <xf numFmtId="179" fontId="21" fillId="0" borderId="1" xfId="5" applyNumberFormat="1" applyFont="1" applyFill="1" applyBorder="1" applyAlignment="1" applyProtection="1">
      <alignment horizontal="center" vertical="center"/>
      <protection locked="0"/>
    </xf>
    <xf numFmtId="0" fontId="21" fillId="0" borderId="1" xfId="5" applyFont="1" applyFill="1" applyBorder="1" applyAlignment="1" applyProtection="1">
      <alignment horizontal="center" vertical="center"/>
      <protection locked="0"/>
    </xf>
    <xf numFmtId="0" fontId="24" fillId="3" borderId="14" xfId="5" applyFont="1" applyFill="1" applyBorder="1" applyAlignment="1" applyProtection="1">
      <alignment horizontal="left" vertical="center"/>
    </xf>
    <xf numFmtId="181" fontId="24" fillId="3" borderId="1" xfId="5" applyNumberFormat="1" applyFont="1" applyFill="1" applyBorder="1" applyAlignment="1" applyProtection="1">
      <alignment horizontal="center" vertical="center"/>
    </xf>
    <xf numFmtId="9" fontId="24" fillId="3" borderId="10" xfId="5" applyNumberFormat="1" applyFont="1" applyFill="1" applyBorder="1" applyAlignment="1" applyProtection="1">
      <alignment horizontal="center" vertical="center"/>
    </xf>
    <xf numFmtId="0" fontId="21" fillId="3" borderId="14" xfId="5" applyFont="1" applyFill="1" applyBorder="1" applyAlignment="1" applyProtection="1">
      <alignment vertical="center" wrapText="1"/>
    </xf>
    <xf numFmtId="0" fontId="21" fillId="3" borderId="10" xfId="5" applyFont="1" applyFill="1" applyBorder="1" applyAlignment="1" applyProtection="1">
      <alignment vertical="center"/>
    </xf>
    <xf numFmtId="179" fontId="21" fillId="3" borderId="1" xfId="5" applyNumberFormat="1" applyFont="1" applyFill="1" applyBorder="1" applyAlignment="1" applyProtection="1">
      <alignment horizontal="center" vertical="center"/>
    </xf>
    <xf numFmtId="179" fontId="21" fillId="3" borderId="1" xfId="5" applyNumberFormat="1" applyFont="1" applyFill="1" applyBorder="1" applyAlignment="1" applyProtection="1">
      <alignment vertical="center"/>
    </xf>
    <xf numFmtId="10" fontId="21" fillId="3" borderId="1" xfId="5" applyNumberFormat="1" applyFont="1" applyFill="1" applyBorder="1" applyAlignment="1" applyProtection="1">
      <alignment horizontal="center" vertical="center"/>
    </xf>
    <xf numFmtId="0" fontId="4" fillId="3" borderId="14" xfId="5" applyFont="1" applyFill="1" applyBorder="1" applyAlignment="1" applyProtection="1">
      <alignment horizontal="left" vertical="center"/>
    </xf>
    <xf numFmtId="49" fontId="5" fillId="3" borderId="6" xfId="5" applyNumberFormat="1" applyFont="1" applyFill="1" applyBorder="1" applyAlignment="1" applyProtection="1">
      <alignment horizontal="left" vertical="center"/>
    </xf>
    <xf numFmtId="0" fontId="64" fillId="3" borderId="10" xfId="5" applyFont="1" applyFill="1" applyBorder="1" applyAlignment="1" applyProtection="1">
      <alignment vertical="center"/>
    </xf>
    <xf numFmtId="179" fontId="64" fillId="3" borderId="1" xfId="5" applyNumberFormat="1" applyFont="1" applyFill="1" applyBorder="1" applyAlignment="1" applyProtection="1">
      <alignment horizontal="center" vertical="center"/>
    </xf>
    <xf numFmtId="0" fontId="65" fillId="3" borderId="10" xfId="5" applyFont="1" applyFill="1" applyBorder="1" applyAlignment="1" applyProtection="1">
      <alignment vertical="center"/>
    </xf>
    <xf numFmtId="179" fontId="64" fillId="0" borderId="1" xfId="5" applyNumberFormat="1" applyFont="1" applyFill="1" applyBorder="1" applyAlignment="1" applyProtection="1">
      <alignment horizontal="center" vertical="center"/>
      <protection locked="0"/>
    </xf>
    <xf numFmtId="10" fontId="21" fillId="3" borderId="10" xfId="5" applyNumberFormat="1" applyFont="1" applyFill="1" applyBorder="1" applyAlignment="1" applyProtection="1">
      <alignment horizontal="center" vertical="center"/>
    </xf>
    <xf numFmtId="0" fontId="4" fillId="3" borderId="14" xfId="5" applyFont="1" applyFill="1" applyBorder="1" applyAlignment="1" applyProtection="1">
      <alignment vertical="center" wrapText="1"/>
    </xf>
    <xf numFmtId="49" fontId="24" fillId="3" borderId="6" xfId="0" applyNumberFormat="1" applyFont="1" applyFill="1" applyBorder="1" applyAlignment="1" applyProtection="1">
      <alignment horizontal="left" vertical="center"/>
    </xf>
    <xf numFmtId="0" fontId="24" fillId="3" borderId="1" xfId="0" applyNumberFormat="1" applyFont="1" applyFill="1" applyBorder="1" applyAlignment="1" applyProtection="1">
      <alignment horizontal="center" vertical="center"/>
    </xf>
    <xf numFmtId="0" fontId="24" fillId="3" borderId="1" xfId="0" applyFont="1" applyFill="1" applyBorder="1" applyAlignment="1" applyProtection="1">
      <alignment horizontal="right" vertical="center"/>
    </xf>
    <xf numFmtId="0" fontId="24" fillId="3" borderId="1" xfId="0" applyFont="1" applyFill="1" applyBorder="1" applyAlignment="1" applyProtection="1">
      <alignment horizontal="left" vertical="center"/>
    </xf>
    <xf numFmtId="10" fontId="24" fillId="3" borderId="10" xfId="5" applyNumberFormat="1" applyFont="1" applyFill="1" applyBorder="1" applyAlignment="1" applyProtection="1">
      <alignment horizontal="center" vertical="center"/>
    </xf>
    <xf numFmtId="0" fontId="24" fillId="3" borderId="14" xfId="0" applyFont="1" applyFill="1" applyBorder="1" applyAlignment="1" applyProtection="1">
      <alignment vertical="center" wrapText="1"/>
    </xf>
    <xf numFmtId="0" fontId="6" fillId="6" borderId="0" xfId="0" applyFont="1" applyFill="1" applyAlignment="1" applyProtection="1">
      <alignment vertical="center"/>
      <protection locked="0"/>
    </xf>
    <xf numFmtId="9" fontId="24" fillId="0" borderId="10" xfId="5" applyNumberFormat="1" applyFont="1" applyFill="1" applyBorder="1" applyAlignment="1" applyProtection="1">
      <alignment horizontal="center" vertical="center"/>
      <protection locked="0"/>
    </xf>
    <xf numFmtId="0" fontId="24" fillId="3" borderId="10" xfId="5" applyNumberFormat="1" applyFont="1" applyFill="1" applyBorder="1" applyAlignment="1" applyProtection="1">
      <alignment horizontal="center" vertical="center"/>
    </xf>
    <xf numFmtId="49" fontId="24" fillId="3" borderId="7" xfId="5" applyNumberFormat="1" applyFont="1" applyFill="1" applyBorder="1" applyAlignment="1" applyProtection="1">
      <alignment horizontal="left" vertical="center"/>
    </xf>
    <xf numFmtId="0" fontId="24" fillId="3" borderId="42" xfId="5" applyFont="1" applyFill="1" applyBorder="1" applyAlignment="1" applyProtection="1">
      <alignment vertical="center"/>
    </xf>
    <xf numFmtId="179" fontId="24" fillId="3" borderId="8" xfId="5" applyNumberFormat="1" applyFont="1" applyFill="1" applyBorder="1" applyAlignment="1" applyProtection="1">
      <alignment horizontal="center" vertical="center"/>
    </xf>
    <xf numFmtId="181" fontId="24" fillId="3" borderId="8" xfId="5" applyNumberFormat="1" applyFont="1" applyFill="1" applyBorder="1" applyAlignment="1" applyProtection="1">
      <alignment horizontal="center" vertical="center"/>
    </xf>
    <xf numFmtId="9" fontId="24" fillId="3" borderId="42" xfId="5" applyNumberFormat="1" applyFont="1" applyFill="1" applyBorder="1" applyAlignment="1" applyProtection="1">
      <alignment horizontal="center" vertical="center"/>
    </xf>
    <xf numFmtId="0" fontId="24" fillId="3" borderId="15" xfId="0" applyFont="1" applyFill="1" applyBorder="1" applyAlignment="1" applyProtection="1">
      <alignment vertical="center" wrapText="1"/>
    </xf>
    <xf numFmtId="0" fontId="21" fillId="0" borderId="0" xfId="0" applyFont="1" applyFill="1" applyAlignment="1" applyProtection="1">
      <alignment horizontal="left" vertical="center"/>
      <protection locked="0"/>
    </xf>
    <xf numFmtId="0" fontId="4" fillId="0" borderId="0" xfId="10" applyFont="1" applyAlignment="1">
      <alignment horizontal="left"/>
    </xf>
    <xf numFmtId="0" fontId="4" fillId="0" borderId="0" xfId="10" applyFont="1" applyAlignment="1">
      <alignment horizontal="right"/>
    </xf>
    <xf numFmtId="0" fontId="66" fillId="0" borderId="0" xfId="10" applyFont="1" applyAlignment="1">
      <alignment horizontal="left"/>
    </xf>
    <xf numFmtId="0" fontId="66" fillId="0" borderId="0" xfId="10" applyFont="1" applyFill="1" applyAlignment="1" applyProtection="1">
      <alignment horizontal="left"/>
      <protection locked="0"/>
    </xf>
    <xf numFmtId="0" fontId="66" fillId="0" borderId="0" xfId="10" applyFont="1" applyAlignment="1" applyProtection="1">
      <alignment horizontal="left"/>
      <protection locked="0"/>
    </xf>
    <xf numFmtId="0" fontId="67" fillId="0" borderId="0" xfId="10" applyFont="1" applyAlignment="1" applyProtection="1">
      <alignment horizontal="left"/>
      <protection locked="0"/>
    </xf>
    <xf numFmtId="0" fontId="67" fillId="0" borderId="0" xfId="10" applyFont="1" applyAlignment="1" applyProtection="1">
      <alignment horizontal="left" vertical="center"/>
      <protection locked="0"/>
    </xf>
    <xf numFmtId="49" fontId="55" fillId="3" borderId="89" xfId="10" applyNumberFormat="1" applyFont="1" applyFill="1" applyBorder="1" applyAlignment="1" applyProtection="1"/>
    <xf numFmtId="0" fontId="31" fillId="3" borderId="0" xfId="10" applyFont="1" applyFill="1" applyAlignment="1" applyProtection="1">
      <alignment horizontal="center" vertical="center"/>
    </xf>
    <xf numFmtId="0" fontId="21" fillId="3" borderId="0" xfId="10" applyFont="1" applyFill="1" applyBorder="1" applyAlignment="1" applyProtection="1">
      <alignment vertical="center"/>
    </xf>
    <xf numFmtId="49" fontId="50" fillId="3" borderId="0" xfId="10" applyNumberFormat="1" applyFont="1" applyFill="1" applyBorder="1" applyAlignment="1" applyProtection="1">
      <alignment horizontal="center"/>
    </xf>
    <xf numFmtId="0" fontId="50" fillId="3" borderId="0" xfId="10" applyNumberFormat="1" applyFont="1" applyFill="1" applyBorder="1" applyAlignment="1" applyProtection="1">
      <alignment horizontal="center"/>
    </xf>
    <xf numFmtId="0" fontId="50" fillId="0" borderId="0" xfId="10" applyNumberFormat="1" applyFont="1" applyFill="1" applyBorder="1" applyAlignment="1" applyProtection="1">
      <alignment horizontal="center"/>
      <protection locked="0"/>
    </xf>
    <xf numFmtId="0" fontId="24" fillId="3" borderId="1" xfId="5" applyFont="1" applyFill="1" applyBorder="1" applyAlignment="1" applyProtection="1">
      <alignment vertical="center"/>
    </xf>
    <xf numFmtId="184" fontId="25" fillId="3" borderId="1" xfId="10" applyNumberFormat="1" applyFont="1" applyFill="1" applyBorder="1" applyAlignment="1" applyProtection="1">
      <alignment horizontal="right" vertical="center"/>
    </xf>
    <xf numFmtId="49" fontId="21" fillId="3" borderId="0" xfId="10" applyNumberFormat="1" applyFont="1" applyFill="1" applyBorder="1" applyAlignment="1" applyProtection="1"/>
    <xf numFmtId="49" fontId="24" fillId="3" borderId="0" xfId="10" applyNumberFormat="1" applyFont="1" applyFill="1" applyBorder="1" applyAlignment="1" applyProtection="1"/>
    <xf numFmtId="49" fontId="24" fillId="0" borderId="0" xfId="10" applyNumberFormat="1" applyFont="1" applyFill="1" applyBorder="1" applyAlignment="1" applyProtection="1">
      <protection locked="0"/>
    </xf>
    <xf numFmtId="0" fontId="4" fillId="0" borderId="0" xfId="10" applyFont="1" applyAlignment="1" applyProtection="1">
      <alignment horizontal="left"/>
      <protection locked="0"/>
    </xf>
    <xf numFmtId="0" fontId="24" fillId="3" borderId="9" xfId="5" applyFont="1" applyFill="1" applyBorder="1" applyAlignment="1" applyProtection="1">
      <alignment vertical="center"/>
    </xf>
    <xf numFmtId="0" fontId="25" fillId="3" borderId="9" xfId="10" applyFont="1" applyFill="1" applyBorder="1" applyAlignment="1" applyProtection="1">
      <alignment horizontal="right" vertical="center"/>
    </xf>
    <xf numFmtId="0" fontId="4" fillId="3" borderId="1" xfId="10" applyFont="1" applyFill="1" applyBorder="1" applyAlignment="1" applyProtection="1">
      <alignment vertical="center"/>
    </xf>
    <xf numFmtId="0" fontId="21" fillId="0" borderId="1" xfId="10" applyFont="1" applyFill="1" applyBorder="1" applyAlignment="1" applyProtection="1">
      <alignment horizontal="left" vertical="center"/>
      <protection locked="0"/>
    </xf>
    <xf numFmtId="0" fontId="5" fillId="3" borderId="0" xfId="5" applyFont="1" applyFill="1" applyBorder="1" applyAlignment="1" applyProtection="1">
      <alignment vertical="center"/>
    </xf>
    <xf numFmtId="0" fontId="20" fillId="0" borderId="8" xfId="10" applyFont="1" applyFill="1" applyBorder="1" applyAlignment="1" applyProtection="1">
      <alignment horizontal="left" vertical="center"/>
      <protection locked="0"/>
    </xf>
    <xf numFmtId="0" fontId="4" fillId="3" borderId="20" xfId="10" applyFont="1" applyFill="1" applyBorder="1" applyAlignment="1" applyProtection="1">
      <alignment vertical="center"/>
    </xf>
    <xf numFmtId="0" fontId="24" fillId="0" borderId="63" xfId="10" applyFont="1" applyFill="1" applyBorder="1" applyAlignment="1" applyProtection="1">
      <alignment horizontal="left" vertical="center"/>
      <protection locked="0"/>
    </xf>
    <xf numFmtId="0" fontId="24" fillId="3" borderId="99" xfId="10" applyFont="1" applyFill="1" applyBorder="1" applyAlignment="1">
      <alignment vertical="center"/>
    </xf>
    <xf numFmtId="0" fontId="24" fillId="3" borderId="100" xfId="10" applyFont="1" applyFill="1" applyBorder="1" applyAlignment="1">
      <alignment vertical="center"/>
    </xf>
    <xf numFmtId="0" fontId="24" fillId="0" borderId="0" xfId="10" applyFont="1" applyFill="1" applyBorder="1" applyAlignment="1" applyProtection="1">
      <alignment vertical="center"/>
      <protection locked="0"/>
    </xf>
    <xf numFmtId="0" fontId="24" fillId="3" borderId="65" xfId="10" applyFont="1" applyFill="1" applyBorder="1" applyAlignment="1">
      <alignment horizontal="left" vertical="center"/>
    </xf>
    <xf numFmtId="0" fontId="24" fillId="3" borderId="89" xfId="10" applyFont="1" applyFill="1" applyBorder="1" applyAlignment="1">
      <alignment horizontal="left" vertical="center"/>
    </xf>
    <xf numFmtId="0" fontId="24" fillId="3" borderId="81" xfId="10" applyFont="1" applyFill="1" applyBorder="1" applyAlignment="1">
      <alignment horizontal="left" vertical="center"/>
    </xf>
    <xf numFmtId="184" fontId="24" fillId="3" borderId="34" xfId="10" applyNumberFormat="1" applyFont="1" applyFill="1" applyBorder="1" applyAlignment="1">
      <alignment horizontal="left" vertical="center"/>
    </xf>
    <xf numFmtId="10" fontId="24" fillId="3" borderId="89" xfId="10" applyNumberFormat="1" applyFont="1" applyFill="1" applyBorder="1" applyAlignment="1">
      <alignment horizontal="left" vertical="center"/>
    </xf>
    <xf numFmtId="184" fontId="24" fillId="3" borderId="66" xfId="10" applyNumberFormat="1" applyFont="1" applyFill="1" applyBorder="1" applyAlignment="1">
      <alignment horizontal="left" vertical="center"/>
    </xf>
    <xf numFmtId="184" fontId="24" fillId="0" borderId="0" xfId="10" applyNumberFormat="1" applyFont="1" applyFill="1" applyBorder="1" applyAlignment="1" applyProtection="1">
      <alignment horizontal="left" vertical="center"/>
      <protection locked="0"/>
    </xf>
    <xf numFmtId="0" fontId="24" fillId="3" borderId="6" xfId="10" applyFont="1" applyFill="1" applyBorder="1" applyAlignment="1">
      <alignment horizontal="left" vertical="center"/>
    </xf>
    <xf numFmtId="0" fontId="24" fillId="3" borderId="10" xfId="10" applyFont="1" applyFill="1" applyBorder="1" applyAlignment="1">
      <alignment horizontal="left" vertical="center"/>
    </xf>
    <xf numFmtId="0" fontId="24" fillId="3" borderId="11" xfId="10" applyFont="1" applyFill="1" applyBorder="1" applyAlignment="1">
      <alignment horizontal="left" vertical="center"/>
    </xf>
    <xf numFmtId="184" fontId="24" fillId="3" borderId="1" xfId="10" applyNumberFormat="1" applyFont="1" applyFill="1" applyBorder="1" applyAlignment="1">
      <alignment horizontal="left" vertical="center"/>
    </xf>
    <xf numFmtId="0" fontId="24" fillId="3" borderId="1" xfId="10" applyFont="1" applyFill="1" applyBorder="1" applyAlignment="1">
      <alignment horizontal="left" vertical="center"/>
    </xf>
    <xf numFmtId="0" fontId="24" fillId="3" borderId="14" xfId="10" applyFont="1" applyFill="1" applyBorder="1" applyAlignment="1">
      <alignment horizontal="left" vertical="center"/>
    </xf>
    <xf numFmtId="0" fontId="24" fillId="0" borderId="0" xfId="10" applyFont="1" applyFill="1" applyBorder="1" applyAlignment="1" applyProtection="1">
      <alignment horizontal="left" vertical="center"/>
      <protection locked="0"/>
    </xf>
    <xf numFmtId="9" fontId="24" fillId="0" borderId="1" xfId="10" applyNumberFormat="1" applyFont="1" applyFill="1" applyBorder="1" applyAlignment="1" applyProtection="1">
      <alignment horizontal="left" vertical="center"/>
      <protection locked="0"/>
    </xf>
    <xf numFmtId="0" fontId="24" fillId="3" borderId="14" xfId="10" applyFont="1" applyFill="1" applyBorder="1" applyAlignment="1">
      <alignment vertical="center"/>
    </xf>
    <xf numFmtId="183" fontId="24" fillId="3" borderId="1" xfId="10" applyNumberFormat="1" applyFont="1" applyFill="1" applyBorder="1" applyAlignment="1">
      <alignment horizontal="left" vertical="center"/>
    </xf>
    <xf numFmtId="49" fontId="21" fillId="3" borderId="6" xfId="10" applyNumberFormat="1" applyFont="1" applyFill="1" applyBorder="1" applyAlignment="1">
      <alignment horizontal="left" vertical="center"/>
    </xf>
    <xf numFmtId="0" fontId="21" fillId="3" borderId="10" xfId="10" applyFont="1" applyFill="1" applyBorder="1" applyAlignment="1">
      <alignment horizontal="left" vertical="center"/>
    </xf>
    <xf numFmtId="0" fontId="21" fillId="3" borderId="11" xfId="10" applyFont="1" applyFill="1" applyBorder="1" applyAlignment="1">
      <alignment horizontal="left" vertical="center"/>
    </xf>
    <xf numFmtId="184" fontId="21" fillId="3" borderId="1" xfId="10" applyNumberFormat="1" applyFont="1" applyFill="1" applyBorder="1" applyAlignment="1">
      <alignment horizontal="left" vertical="center"/>
    </xf>
    <xf numFmtId="183" fontId="21" fillId="3" borderId="1" xfId="10" applyNumberFormat="1" applyFont="1" applyFill="1" applyBorder="1" applyAlignment="1">
      <alignment horizontal="left" vertical="center"/>
    </xf>
    <xf numFmtId="0" fontId="4" fillId="3" borderId="11" xfId="10" applyFont="1" applyFill="1" applyBorder="1" applyAlignment="1">
      <alignment horizontal="right" vertical="center"/>
    </xf>
    <xf numFmtId="186" fontId="21" fillId="0" borderId="1" xfId="10" applyNumberFormat="1" applyFont="1" applyFill="1" applyBorder="1" applyAlignment="1" applyProtection="1">
      <alignment horizontal="left" vertical="center"/>
      <protection locked="0"/>
    </xf>
    <xf numFmtId="183" fontId="21" fillId="3" borderId="11" xfId="10" applyNumberFormat="1" applyFont="1" applyFill="1" applyBorder="1" applyAlignment="1">
      <alignment horizontal="right" vertical="center"/>
    </xf>
    <xf numFmtId="179" fontId="21" fillId="0" borderId="1" xfId="10" applyNumberFormat="1" applyFont="1" applyFill="1" applyBorder="1" applyAlignment="1" applyProtection="1">
      <alignment horizontal="left" vertical="center"/>
      <protection locked="0"/>
    </xf>
    <xf numFmtId="184" fontId="21" fillId="0" borderId="1" xfId="10" applyNumberFormat="1" applyFont="1" applyFill="1" applyBorder="1" applyAlignment="1" applyProtection="1">
      <alignment horizontal="left" vertical="center"/>
      <protection locked="0"/>
    </xf>
    <xf numFmtId="183" fontId="21" fillId="0" borderId="1" xfId="10" applyNumberFormat="1" applyFont="1" applyFill="1" applyBorder="1" applyAlignment="1" applyProtection="1">
      <alignment horizontal="left" vertical="center"/>
      <protection locked="0"/>
    </xf>
    <xf numFmtId="0" fontId="24" fillId="3" borderId="7" xfId="10" applyFont="1" applyFill="1" applyBorder="1" applyAlignment="1">
      <alignment horizontal="left" vertical="center"/>
    </xf>
    <xf numFmtId="184" fontId="24" fillId="3" borderId="8" xfId="10" applyNumberFormat="1" applyFont="1" applyFill="1" applyBorder="1" applyAlignment="1">
      <alignment horizontal="left" vertical="center"/>
    </xf>
    <xf numFmtId="183" fontId="24" fillId="0" borderId="8" xfId="10" applyNumberFormat="1" applyFont="1" applyFill="1" applyBorder="1" applyAlignment="1" applyProtection="1">
      <alignment horizontal="left" vertical="center"/>
      <protection locked="0"/>
    </xf>
    <xf numFmtId="0" fontId="24" fillId="3" borderId="15" xfId="10" applyFont="1" applyFill="1" applyBorder="1" applyAlignment="1">
      <alignment vertical="center"/>
    </xf>
    <xf numFmtId="184" fontId="24" fillId="3" borderId="89" xfId="10" applyNumberFormat="1" applyFont="1" applyFill="1" applyBorder="1" applyAlignment="1">
      <alignment horizontal="left" vertical="center"/>
    </xf>
    <xf numFmtId="183" fontId="24" fillId="0" borderId="89" xfId="10" applyNumberFormat="1" applyFont="1" applyFill="1" applyBorder="1" applyAlignment="1" applyProtection="1">
      <alignment horizontal="left" vertical="center"/>
      <protection locked="0"/>
    </xf>
    <xf numFmtId="0" fontId="24" fillId="3" borderId="48" xfId="10" applyFont="1" applyFill="1" applyBorder="1" applyAlignment="1">
      <alignment vertical="center"/>
    </xf>
    <xf numFmtId="0" fontId="24" fillId="3" borderId="98" xfId="10" applyFont="1" applyFill="1" applyBorder="1" applyAlignment="1">
      <alignment vertical="center"/>
    </xf>
    <xf numFmtId="0" fontId="24" fillId="3" borderId="66" xfId="10" applyFont="1" applyFill="1" applyBorder="1" applyAlignment="1">
      <alignment horizontal="left" vertical="center"/>
    </xf>
    <xf numFmtId="0" fontId="24" fillId="3" borderId="101" xfId="10" applyFont="1" applyFill="1" applyBorder="1" applyAlignment="1">
      <alignment horizontal="left" vertical="center"/>
    </xf>
    <xf numFmtId="0" fontId="68" fillId="0" borderId="10" xfId="10" applyFont="1" applyFill="1" applyBorder="1" applyAlignment="1" applyProtection="1">
      <alignment horizontal="left" vertical="center"/>
      <protection locked="0"/>
    </xf>
    <xf numFmtId="0" fontId="68" fillId="0" borderId="101" xfId="10" applyFont="1" applyFill="1" applyBorder="1" applyAlignment="1" applyProtection="1">
      <alignment horizontal="left" vertical="center"/>
      <protection locked="0"/>
    </xf>
    <xf numFmtId="0" fontId="68" fillId="0" borderId="11" xfId="10" applyFont="1" applyFill="1" applyBorder="1" applyAlignment="1" applyProtection="1">
      <alignment horizontal="left" vertical="center"/>
      <protection locked="0"/>
    </xf>
    <xf numFmtId="0" fontId="21" fillId="0" borderId="0" xfId="10" applyFont="1" applyFill="1" applyBorder="1" applyAlignment="1" applyProtection="1">
      <alignment horizontal="left" vertical="center"/>
      <protection locked="0"/>
    </xf>
    <xf numFmtId="0" fontId="21" fillId="3" borderId="64" xfId="10" applyFont="1" applyFill="1" applyBorder="1" applyAlignment="1">
      <alignment horizontal="left" vertical="center"/>
    </xf>
    <xf numFmtId="0" fontId="21" fillId="3" borderId="1" xfId="10" applyFont="1" applyFill="1" applyBorder="1" applyAlignment="1">
      <alignment horizontal="left" vertical="center"/>
    </xf>
    <xf numFmtId="184" fontId="21" fillId="3" borderId="10" xfId="10" applyNumberFormat="1" applyFont="1" applyFill="1" applyBorder="1" applyAlignment="1">
      <alignment horizontal="left" vertical="center"/>
    </xf>
    <xf numFmtId="184" fontId="21" fillId="3" borderId="101" xfId="10" applyNumberFormat="1" applyFont="1" applyFill="1" applyBorder="1" applyAlignment="1">
      <alignment horizontal="left" vertical="center"/>
    </xf>
    <xf numFmtId="184" fontId="21" fillId="3" borderId="11" xfId="10" applyNumberFormat="1" applyFont="1" applyFill="1" applyBorder="1" applyAlignment="1">
      <alignment horizontal="left" vertical="center"/>
    </xf>
    <xf numFmtId="0" fontId="21" fillId="3" borderId="14" xfId="10" applyFont="1" applyFill="1" applyBorder="1" applyAlignment="1">
      <alignment horizontal="left" vertical="center"/>
    </xf>
    <xf numFmtId="0" fontId="21" fillId="0" borderId="0" xfId="10" applyFont="1" applyFill="1" applyBorder="1" applyAlignment="1" applyProtection="1">
      <alignment horizontal="right" vertical="center"/>
      <protection locked="0"/>
    </xf>
    <xf numFmtId="0" fontId="21" fillId="3" borderId="64" xfId="10" applyFont="1" applyFill="1" applyBorder="1" applyAlignment="1">
      <alignment horizontal="right" vertical="center"/>
    </xf>
    <xf numFmtId="0" fontId="21" fillId="3" borderId="1" xfId="10" applyFont="1" applyFill="1" applyBorder="1" applyAlignment="1">
      <alignment horizontal="right" vertical="center"/>
    </xf>
    <xf numFmtId="184" fontId="21" fillId="3" borderId="10" xfId="10" applyNumberFormat="1" applyFont="1" applyFill="1" applyBorder="1" applyAlignment="1">
      <alignment horizontal="right" vertical="center"/>
    </xf>
    <xf numFmtId="183" fontId="21" fillId="0" borderId="101" xfId="10" applyNumberFormat="1" applyFont="1" applyFill="1" applyBorder="1" applyAlignment="1" applyProtection="1">
      <alignment horizontal="right" vertical="center"/>
      <protection locked="0"/>
    </xf>
    <xf numFmtId="183" fontId="21" fillId="0" borderId="11" xfId="10" applyNumberFormat="1" applyFont="1" applyFill="1" applyBorder="1" applyAlignment="1" applyProtection="1">
      <alignment horizontal="right" vertical="center"/>
      <protection locked="0"/>
    </xf>
    <xf numFmtId="0" fontId="21" fillId="3" borderId="14" xfId="10" applyFont="1" applyFill="1" applyBorder="1" applyAlignment="1">
      <alignment horizontal="right" vertical="center"/>
    </xf>
    <xf numFmtId="183" fontId="21" fillId="3" borderId="10" xfId="10" applyNumberFormat="1" applyFont="1" applyFill="1" applyBorder="1" applyAlignment="1">
      <alignment horizontal="right" vertical="center"/>
    </xf>
    <xf numFmtId="0" fontId="4" fillId="0" borderId="0" xfId="10" applyFont="1" applyAlignment="1" applyProtection="1">
      <alignment horizontal="right"/>
      <protection locked="0"/>
    </xf>
    <xf numFmtId="183" fontId="21" fillId="3" borderId="101" xfId="10" applyNumberFormat="1" applyFont="1" applyFill="1" applyBorder="1" applyAlignment="1">
      <alignment horizontal="right" vertical="center"/>
    </xf>
    <xf numFmtId="183" fontId="21" fillId="0" borderId="10" xfId="10" applyNumberFormat="1" applyFont="1" applyFill="1" applyBorder="1" applyAlignment="1" applyProtection="1">
      <alignment horizontal="right" vertical="center"/>
      <protection locked="0"/>
    </xf>
    <xf numFmtId="0" fontId="21" fillId="3" borderId="101" xfId="10" applyFont="1" applyFill="1" applyBorder="1" applyAlignment="1">
      <alignment horizontal="left" vertical="center"/>
    </xf>
    <xf numFmtId="10" fontId="21" fillId="0" borderId="10" xfId="10" applyNumberFormat="1" applyFont="1" applyFill="1" applyBorder="1" applyAlignment="1" applyProtection="1">
      <alignment horizontal="left" vertical="center"/>
      <protection locked="0"/>
    </xf>
    <xf numFmtId="10" fontId="21" fillId="0" borderId="101" xfId="10" applyNumberFormat="1" applyFont="1" applyFill="1" applyBorder="1" applyAlignment="1" applyProtection="1">
      <alignment horizontal="left" vertical="center"/>
      <protection locked="0"/>
    </xf>
    <xf numFmtId="10" fontId="21" fillId="0" borderId="11" xfId="10" applyNumberFormat="1" applyFont="1" applyFill="1" applyBorder="1" applyAlignment="1" applyProtection="1">
      <alignment horizontal="left" vertical="center"/>
      <protection locked="0"/>
    </xf>
    <xf numFmtId="183" fontId="21" fillId="0" borderId="10" xfId="10" applyNumberFormat="1" applyFont="1" applyFill="1" applyBorder="1" applyAlignment="1" applyProtection="1">
      <alignment horizontal="left" vertical="center"/>
      <protection locked="0"/>
    </xf>
    <xf numFmtId="183" fontId="21" fillId="0" borderId="101" xfId="10" applyNumberFormat="1" applyFont="1" applyFill="1" applyBorder="1" applyAlignment="1" applyProtection="1">
      <alignment horizontal="left" vertical="center"/>
      <protection locked="0"/>
    </xf>
    <xf numFmtId="183" fontId="21" fillId="0" borderId="11" xfId="10" applyNumberFormat="1" applyFont="1" applyFill="1" applyBorder="1" applyAlignment="1" applyProtection="1">
      <alignment horizontal="left" vertical="center"/>
      <protection locked="0"/>
    </xf>
    <xf numFmtId="186" fontId="21" fillId="0" borderId="0" xfId="10" applyNumberFormat="1" applyFont="1" applyFill="1" applyBorder="1" applyAlignment="1" applyProtection="1">
      <alignment horizontal="left" vertical="center"/>
      <protection locked="0"/>
    </xf>
    <xf numFmtId="0" fontId="21" fillId="3" borderId="8" xfId="10" applyFont="1" applyFill="1" applyBorder="1" applyAlignment="1">
      <alignment horizontal="left" vertical="center"/>
    </xf>
    <xf numFmtId="186" fontId="21" fillId="0" borderId="42" xfId="10" applyNumberFormat="1" applyFont="1" applyFill="1" applyBorder="1" applyAlignment="1" applyProtection="1">
      <alignment horizontal="left" vertical="center"/>
      <protection locked="0"/>
    </xf>
    <xf numFmtId="186" fontId="21" fillId="0" borderId="102" xfId="10" applyNumberFormat="1" applyFont="1" applyFill="1" applyBorder="1" applyAlignment="1" applyProtection="1">
      <alignment horizontal="left" vertical="center"/>
      <protection locked="0"/>
    </xf>
    <xf numFmtId="186" fontId="21" fillId="0" borderId="97" xfId="10" applyNumberFormat="1" applyFont="1" applyFill="1" applyBorder="1" applyAlignment="1" applyProtection="1">
      <alignment horizontal="left" vertical="center"/>
      <protection locked="0"/>
    </xf>
    <xf numFmtId="186" fontId="21" fillId="3" borderId="14" xfId="10" applyNumberFormat="1" applyFont="1" applyFill="1" applyBorder="1" applyAlignment="1">
      <alignment horizontal="left" vertical="center"/>
    </xf>
    <xf numFmtId="0" fontId="21" fillId="0" borderId="0" xfId="10" applyFont="1" applyFill="1" applyBorder="1" applyAlignment="1" applyProtection="1">
      <alignment horizontal="left"/>
      <protection locked="0"/>
    </xf>
    <xf numFmtId="0" fontId="21" fillId="3" borderId="6" xfId="10" applyFont="1" applyFill="1" applyBorder="1" applyAlignment="1">
      <alignment horizontal="left" vertical="center"/>
    </xf>
    <xf numFmtId="184" fontId="21" fillId="3" borderId="1" xfId="10" applyNumberFormat="1" applyFont="1" applyFill="1" applyBorder="1" applyAlignment="1">
      <alignment horizontal="left"/>
    </xf>
    <xf numFmtId="0" fontId="21" fillId="3" borderId="1" xfId="10" applyFont="1" applyFill="1" applyBorder="1" applyAlignment="1">
      <alignment horizontal="left"/>
    </xf>
    <xf numFmtId="0" fontId="21" fillId="3" borderId="14" xfId="10" applyFont="1" applyFill="1" applyBorder="1" applyAlignment="1">
      <alignment horizontal="left"/>
    </xf>
    <xf numFmtId="0" fontId="21" fillId="3" borderId="7" xfId="10" applyFont="1" applyFill="1" applyBorder="1" applyAlignment="1">
      <alignment horizontal="left" vertical="center"/>
    </xf>
    <xf numFmtId="184" fontId="21" fillId="3" borderId="8" xfId="10" applyNumberFormat="1" applyFont="1" applyFill="1" applyBorder="1" applyAlignment="1">
      <alignment horizontal="left" vertical="center"/>
    </xf>
    <xf numFmtId="0" fontId="21" fillId="3" borderId="8" xfId="10" applyFont="1" applyFill="1" applyBorder="1" applyAlignment="1">
      <alignment horizontal="left"/>
    </xf>
    <xf numFmtId="0" fontId="21" fillId="3" borderId="15" xfId="10" applyFont="1" applyFill="1" applyBorder="1" applyAlignment="1">
      <alignment horizontal="left" vertical="center"/>
    </xf>
    <xf numFmtId="0" fontId="4" fillId="0" borderId="0" xfId="10" applyFont="1" applyFill="1" applyAlignment="1" applyProtection="1">
      <alignment horizontal="left"/>
      <protection locked="0"/>
    </xf>
    <xf numFmtId="0" fontId="24" fillId="2" borderId="19" xfId="10" applyFont="1" applyFill="1" applyBorder="1" applyAlignment="1" applyProtection="1">
      <alignment vertical="center"/>
      <protection locked="0"/>
    </xf>
    <xf numFmtId="0" fontId="24" fillId="2" borderId="55" xfId="10" applyFont="1" applyFill="1" applyBorder="1" applyAlignment="1" applyProtection="1">
      <alignment vertical="center"/>
      <protection locked="0"/>
    </xf>
    <xf numFmtId="0" fontId="21" fillId="0" borderId="0" xfId="10" applyFont="1" applyAlignment="1" applyProtection="1">
      <alignment horizontal="left"/>
      <protection locked="0"/>
    </xf>
    <xf numFmtId="0" fontId="24" fillId="0" borderId="1" xfId="10" applyFont="1" applyFill="1" applyBorder="1" applyAlignment="1" applyProtection="1">
      <alignment horizontal="left" vertical="center"/>
      <protection locked="0"/>
    </xf>
    <xf numFmtId="179" fontId="69" fillId="0" borderId="1" xfId="5" applyNumberFormat="1" applyFont="1" applyBorder="1" applyAlignment="1" applyProtection="1">
      <alignment horizontal="left" vertical="center"/>
      <protection locked="0" hidden="1"/>
    </xf>
    <xf numFmtId="0" fontId="21" fillId="0" borderId="9" xfId="10" applyFont="1" applyFill="1" applyBorder="1" applyAlignment="1" applyProtection="1">
      <alignment horizontal="left" vertical="center"/>
      <protection locked="0"/>
    </xf>
    <xf numFmtId="0" fontId="30" fillId="3" borderId="64" xfId="10" applyFont="1" applyFill="1" applyBorder="1" applyAlignment="1" applyProtection="1">
      <alignment vertical="center"/>
      <protection locked="0"/>
    </xf>
    <xf numFmtId="0" fontId="30" fillId="3" borderId="12" xfId="10" applyFont="1" applyFill="1" applyBorder="1" applyAlignment="1" applyProtection="1">
      <alignment vertical="center"/>
      <protection locked="0"/>
    </xf>
    <xf numFmtId="0" fontId="24" fillId="3" borderId="12" xfId="10" applyFont="1" applyFill="1" applyBorder="1" applyAlignment="1" applyProtection="1">
      <alignment vertical="center"/>
      <protection locked="0"/>
    </xf>
    <xf numFmtId="0" fontId="24" fillId="3" borderId="6" xfId="10" applyFont="1" applyFill="1" applyBorder="1" applyAlignment="1" applyProtection="1">
      <alignment horizontal="left" vertical="center" wrapText="1"/>
      <protection locked="0"/>
    </xf>
    <xf numFmtId="0" fontId="21" fillId="3" borderId="10" xfId="10" applyFont="1" applyFill="1" applyBorder="1" applyAlignment="1" applyProtection="1">
      <alignment vertical="center"/>
      <protection locked="0"/>
    </xf>
    <xf numFmtId="0" fontId="21" fillId="3" borderId="1" xfId="10" applyFont="1" applyFill="1" applyBorder="1" applyAlignment="1" applyProtection="1">
      <alignment horizontal="left" vertical="center"/>
      <protection locked="0"/>
    </xf>
    <xf numFmtId="0" fontId="21" fillId="0" borderId="10" xfId="10" applyFont="1" applyFill="1" applyBorder="1" applyAlignment="1" applyProtection="1">
      <alignment vertical="center"/>
      <protection locked="0"/>
    </xf>
    <xf numFmtId="0" fontId="69" fillId="0" borderId="1" xfId="10" applyFont="1" applyFill="1" applyBorder="1" applyAlignment="1" applyProtection="1">
      <alignment horizontal="left" vertical="center"/>
      <protection locked="0"/>
    </xf>
    <xf numFmtId="9" fontId="21" fillId="0" borderId="1" xfId="10" applyNumberFormat="1" applyFont="1" applyFill="1" applyBorder="1" applyAlignment="1" applyProtection="1">
      <alignment horizontal="left" vertical="center"/>
      <protection locked="0"/>
    </xf>
    <xf numFmtId="0" fontId="24" fillId="3" borderId="10" xfId="10" applyFont="1" applyFill="1" applyBorder="1" applyAlignment="1" applyProtection="1">
      <alignment vertical="center"/>
      <protection locked="0"/>
    </xf>
    <xf numFmtId="0" fontId="30" fillId="3" borderId="1" xfId="10" applyFont="1" applyFill="1" applyBorder="1" applyAlignment="1" applyProtection="1">
      <alignment horizontal="left" vertical="center"/>
      <protection locked="0"/>
    </xf>
    <xf numFmtId="9" fontId="24" fillId="3" borderId="1" xfId="10" applyNumberFormat="1" applyFont="1" applyFill="1" applyBorder="1" applyAlignment="1" applyProtection="1">
      <alignment horizontal="left" vertical="center"/>
      <protection locked="0"/>
    </xf>
    <xf numFmtId="179" fontId="21" fillId="2" borderId="1" xfId="10" applyNumberFormat="1" applyFont="1" applyFill="1" applyBorder="1" applyAlignment="1" applyProtection="1">
      <alignment horizontal="left" vertical="center"/>
      <protection locked="0"/>
    </xf>
    <xf numFmtId="0" fontId="69" fillId="0" borderId="1" xfId="10" applyFont="1" applyFill="1" applyBorder="1" applyAlignment="1" applyProtection="1">
      <alignment horizontal="left" vertical="center" wrapText="1"/>
      <protection locked="0"/>
    </xf>
    <xf numFmtId="0" fontId="24" fillId="3" borderId="10" xfId="10" applyFont="1" applyFill="1" applyBorder="1" applyAlignment="1" applyProtection="1">
      <alignment vertical="center" wrapText="1"/>
      <protection locked="0"/>
    </xf>
    <xf numFmtId="0" fontId="24" fillId="3" borderId="12" xfId="10" applyFont="1" applyFill="1" applyBorder="1" applyAlignment="1" applyProtection="1">
      <alignment vertical="center" wrapText="1"/>
      <protection locked="0"/>
    </xf>
    <xf numFmtId="0" fontId="24" fillId="3" borderId="11" xfId="10" applyFont="1" applyFill="1" applyBorder="1" applyAlignment="1" applyProtection="1">
      <alignment vertical="center" wrapText="1"/>
      <protection locked="0"/>
    </xf>
    <xf numFmtId="0" fontId="30" fillId="3" borderId="18" xfId="10" applyFont="1" applyFill="1" applyBorder="1" applyAlignment="1" applyProtection="1">
      <alignment vertical="center"/>
      <protection locked="0"/>
    </xf>
    <xf numFmtId="0" fontId="30" fillId="3" borderId="54" xfId="10" applyFont="1" applyFill="1" applyBorder="1" applyAlignment="1" applyProtection="1">
      <alignment vertical="center"/>
      <protection locked="0"/>
    </xf>
    <xf numFmtId="0" fontId="30" fillId="3" borderId="58" xfId="10" applyFont="1" applyFill="1" applyBorder="1" applyAlignment="1" applyProtection="1">
      <alignment vertical="center"/>
      <protection locked="0"/>
    </xf>
    <xf numFmtId="0" fontId="69" fillId="3" borderId="1" xfId="10" applyFont="1" applyFill="1" applyBorder="1" applyAlignment="1" applyProtection="1">
      <alignment horizontal="left" vertical="center"/>
      <protection locked="0"/>
    </xf>
    <xf numFmtId="9" fontId="69" fillId="3" borderId="1" xfId="10" applyNumberFormat="1" applyFont="1" applyFill="1" applyBorder="1" applyAlignment="1" applyProtection="1">
      <alignment horizontal="left" vertical="center"/>
      <protection locked="0"/>
    </xf>
    <xf numFmtId="0" fontId="21" fillId="0" borderId="0" xfId="10" applyFont="1" applyAlignment="1" applyProtection="1">
      <alignment horizontal="right"/>
      <protection locked="0"/>
    </xf>
    <xf numFmtId="0" fontId="30" fillId="3" borderId="34" xfId="10" applyFont="1" applyFill="1" applyBorder="1" applyAlignment="1" applyProtection="1">
      <alignment vertical="center"/>
      <protection locked="0"/>
    </xf>
    <xf numFmtId="0" fontId="30" fillId="3" borderId="89" xfId="10" applyFont="1" applyFill="1" applyBorder="1" applyAlignment="1" applyProtection="1">
      <alignment vertical="center"/>
      <protection locked="0"/>
    </xf>
    <xf numFmtId="0" fontId="30" fillId="3" borderId="81" xfId="10" applyFont="1" applyFill="1" applyBorder="1" applyAlignment="1" applyProtection="1">
      <alignment vertical="center"/>
      <protection locked="0"/>
    </xf>
    <xf numFmtId="0" fontId="30" fillId="0" borderId="1" xfId="10" applyFont="1" applyFill="1" applyBorder="1" applyAlignment="1" applyProtection="1">
      <alignment horizontal="left" vertical="center"/>
      <protection locked="0"/>
    </xf>
    <xf numFmtId="0" fontId="5" fillId="3" borderId="76" xfId="10" applyFont="1" applyFill="1" applyBorder="1" applyAlignment="1" applyProtection="1">
      <alignment horizontal="left" vertical="center" wrapText="1"/>
      <protection locked="0"/>
    </xf>
    <xf numFmtId="0" fontId="14" fillId="3" borderId="80" xfId="10" applyFont="1" applyFill="1" applyBorder="1" applyAlignment="1" applyProtection="1">
      <alignment vertical="center"/>
      <protection locked="0"/>
    </xf>
    <xf numFmtId="0" fontId="4" fillId="3" borderId="80" xfId="10" applyFont="1" applyFill="1" applyBorder="1" applyAlignment="1" applyProtection="1">
      <alignment vertical="center"/>
      <protection locked="0"/>
    </xf>
    <xf numFmtId="0" fontId="70" fillId="0" borderId="80" xfId="10" applyFill="1" applyBorder="1" applyAlignment="1" applyProtection="1">
      <alignment horizontal="left" vertical="center"/>
      <protection locked="0"/>
    </xf>
    <xf numFmtId="9" fontId="21" fillId="0" borderId="8" xfId="10" applyNumberFormat="1" applyFont="1" applyFill="1" applyBorder="1" applyAlignment="1" applyProtection="1">
      <alignment horizontal="left" vertical="center"/>
      <protection locked="0"/>
    </xf>
    <xf numFmtId="0" fontId="21" fillId="0" borderId="0" xfId="10" applyFont="1" applyFill="1" applyAlignment="1" applyProtection="1">
      <alignment horizontal="left" vertical="center"/>
      <protection locked="0"/>
    </xf>
    <xf numFmtId="0" fontId="5" fillId="3" borderId="80" xfId="10" applyFont="1" applyFill="1" applyBorder="1" applyAlignment="1" applyProtection="1">
      <alignment vertical="center"/>
      <protection locked="0"/>
    </xf>
    <xf numFmtId="0" fontId="24" fillId="2" borderId="45" xfId="10" applyFont="1" applyFill="1" applyBorder="1" applyAlignment="1" applyProtection="1">
      <alignment vertical="center"/>
      <protection locked="0"/>
    </xf>
    <xf numFmtId="0" fontId="21" fillId="0" borderId="0" xfId="10" applyFont="1" applyAlignment="1" applyProtection="1">
      <alignment horizontal="left" vertical="center"/>
      <protection locked="0"/>
    </xf>
    <xf numFmtId="0" fontId="24" fillId="0" borderId="14" xfId="10" applyFont="1" applyFill="1" applyBorder="1" applyAlignment="1" applyProtection="1">
      <alignment horizontal="left" vertical="center"/>
      <protection locked="0"/>
    </xf>
    <xf numFmtId="0" fontId="24" fillId="3" borderId="14" xfId="10" applyFont="1" applyFill="1" applyBorder="1" applyAlignment="1" applyProtection="1">
      <alignment horizontal="left" vertical="center"/>
      <protection locked="0"/>
    </xf>
    <xf numFmtId="179" fontId="69" fillId="0" borderId="14" xfId="5" applyNumberFormat="1" applyFont="1" applyBorder="1" applyAlignment="1" applyProtection="1">
      <alignment horizontal="left" vertical="center"/>
      <protection locked="0" hidden="1"/>
    </xf>
    <xf numFmtId="179" fontId="21" fillId="3" borderId="14" xfId="10" applyNumberFormat="1" applyFont="1" applyFill="1" applyBorder="1" applyAlignment="1" applyProtection="1">
      <alignment horizontal="left" vertical="center"/>
      <protection locked="0"/>
    </xf>
    <xf numFmtId="0" fontId="21" fillId="0" borderId="57" xfId="10" applyFont="1" applyFill="1" applyBorder="1" applyAlignment="1" applyProtection="1">
      <alignment horizontal="left" vertical="center"/>
      <protection locked="0"/>
    </xf>
    <xf numFmtId="0" fontId="21" fillId="3" borderId="57" xfId="10" applyFont="1" applyFill="1" applyBorder="1" applyAlignment="1" applyProtection="1">
      <alignment horizontal="left" vertical="center"/>
      <protection locked="0"/>
    </xf>
    <xf numFmtId="0" fontId="21" fillId="0" borderId="14" xfId="10" applyFont="1" applyFill="1" applyBorder="1" applyAlignment="1" applyProtection="1">
      <alignment horizontal="left" vertical="center"/>
      <protection locked="0"/>
    </xf>
    <xf numFmtId="179" fontId="24" fillId="3" borderId="1" xfId="10" applyNumberFormat="1" applyFont="1" applyFill="1" applyBorder="1" applyAlignment="1" applyProtection="1">
      <alignment horizontal="left" vertical="center"/>
      <protection locked="0"/>
    </xf>
    <xf numFmtId="179" fontId="21" fillId="0" borderId="14" xfId="10" applyNumberFormat="1" applyFont="1" applyFill="1" applyBorder="1" applyAlignment="1" applyProtection="1">
      <alignment horizontal="left" vertical="center"/>
      <protection locked="0"/>
    </xf>
    <xf numFmtId="0" fontId="30" fillId="3" borderId="14" xfId="10" applyFont="1" applyFill="1" applyBorder="1" applyAlignment="1" applyProtection="1">
      <alignment horizontal="left" vertical="center"/>
      <protection locked="0"/>
    </xf>
    <xf numFmtId="0" fontId="69" fillId="0" borderId="14" xfId="10" applyFont="1" applyFill="1" applyBorder="1" applyAlignment="1" applyProtection="1">
      <alignment horizontal="left" vertical="center"/>
      <protection locked="0"/>
    </xf>
    <xf numFmtId="9" fontId="69" fillId="0" borderId="1" xfId="10" applyNumberFormat="1" applyFont="1" applyFill="1" applyBorder="1" applyAlignment="1" applyProtection="1">
      <alignment horizontal="left" vertical="center"/>
      <protection locked="0"/>
    </xf>
    <xf numFmtId="0" fontId="24" fillId="0" borderId="0" xfId="10" applyFont="1" applyFill="1" applyAlignment="1" applyProtection="1">
      <alignment horizontal="left" vertical="center"/>
      <protection locked="0"/>
    </xf>
    <xf numFmtId="9" fontId="30" fillId="0" borderId="1" xfId="10" applyNumberFormat="1" applyFont="1" applyFill="1" applyBorder="1" applyAlignment="1" applyProtection="1">
      <alignment horizontal="left" vertical="center"/>
      <protection locked="0"/>
    </xf>
    <xf numFmtId="183" fontId="69" fillId="0" borderId="8" xfId="10" applyNumberFormat="1" applyFont="1" applyFill="1" applyBorder="1" applyAlignment="1" applyProtection="1">
      <alignment horizontal="left" vertical="center"/>
      <protection locked="0"/>
    </xf>
    <xf numFmtId="0" fontId="71" fillId="0" borderId="86" xfId="10" applyFont="1" applyFill="1" applyBorder="1" applyAlignment="1" applyProtection="1">
      <alignment horizontal="left" vertical="center"/>
      <protection locked="0"/>
    </xf>
    <xf numFmtId="0" fontId="24" fillId="3" borderId="1" xfId="10" applyFont="1" applyFill="1" applyBorder="1" applyAlignment="1" applyProtection="1">
      <alignment horizontal="left" vertical="center"/>
      <protection locked="0"/>
    </xf>
    <xf numFmtId="179" fontId="21" fillId="3" borderId="1" xfId="10" applyNumberFormat="1" applyFont="1" applyFill="1" applyBorder="1" applyAlignment="1" applyProtection="1">
      <alignment horizontal="left" vertical="center"/>
      <protection locked="0"/>
    </xf>
    <xf numFmtId="0" fontId="21" fillId="3" borderId="9" xfId="10" applyFont="1" applyFill="1" applyBorder="1" applyAlignment="1" applyProtection="1">
      <alignment horizontal="left" vertical="center"/>
      <protection locked="0"/>
    </xf>
    <xf numFmtId="0" fontId="24" fillId="3" borderId="10" xfId="10" applyFont="1" applyFill="1" applyBorder="1" applyAlignment="1" applyProtection="1">
      <alignment horizontal="left" vertical="center"/>
      <protection locked="0"/>
    </xf>
    <xf numFmtId="0" fontId="67" fillId="0" borderId="0" xfId="10" applyFont="1" applyAlignment="1">
      <alignment horizontal="left"/>
    </xf>
    <xf numFmtId="0" fontId="31" fillId="0" borderId="0" xfId="0" applyFont="1" applyFill="1" applyAlignment="1" applyProtection="1">
      <alignment vertical="center"/>
      <protection locked="0"/>
    </xf>
    <xf numFmtId="0" fontId="72" fillId="0"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0" fillId="0" borderId="0" xfId="0" applyFont="1" applyFill="1" applyAlignment="1" applyProtection="1">
      <alignment horizontal="center" vertical="center"/>
      <protection locked="0"/>
    </xf>
    <xf numFmtId="0" fontId="50" fillId="0" borderId="0" xfId="0" applyFont="1" applyFill="1" applyAlignment="1" applyProtection="1">
      <alignment horizontal="left" vertical="center"/>
      <protection locked="0"/>
    </xf>
    <xf numFmtId="0" fontId="50" fillId="6" borderId="0" xfId="0" applyFont="1" applyFill="1" applyAlignment="1" applyProtection="1">
      <alignment horizontal="center" vertical="center"/>
      <protection locked="0"/>
    </xf>
    <xf numFmtId="49" fontId="38" fillId="3" borderId="89" xfId="0" applyNumberFormat="1" applyFont="1" applyFill="1" applyBorder="1" applyAlignment="1" applyProtection="1"/>
    <xf numFmtId="0" fontId="73" fillId="3" borderId="0" xfId="0" applyFont="1" applyFill="1" applyAlignment="1" applyProtection="1">
      <alignment horizontal="center" vertical="center"/>
    </xf>
    <xf numFmtId="49" fontId="38" fillId="5" borderId="103" xfId="0" applyNumberFormat="1" applyFont="1" applyFill="1" applyBorder="1" applyAlignment="1" applyProtection="1">
      <alignment horizontal="left"/>
      <protection locked="0"/>
    </xf>
    <xf numFmtId="0" fontId="31" fillId="2" borderId="0" xfId="0" applyFont="1" applyFill="1" applyAlignment="1" applyProtection="1">
      <alignment vertical="center"/>
      <protection locked="0"/>
    </xf>
    <xf numFmtId="49" fontId="70" fillId="3" borderId="0" xfId="0" applyNumberFormat="1" applyFont="1" applyFill="1" applyBorder="1" applyAlignment="1" applyProtection="1">
      <alignment horizontal="center"/>
    </xf>
    <xf numFmtId="0" fontId="50" fillId="3" borderId="0" xfId="0" applyNumberFormat="1" applyFont="1" applyFill="1" applyBorder="1" applyAlignment="1" applyProtection="1">
      <alignment horizontal="center"/>
    </xf>
    <xf numFmtId="179" fontId="38" fillId="3" borderId="89" xfId="0" applyNumberFormat="1" applyFont="1" applyFill="1" applyBorder="1" applyAlignment="1" applyProtection="1">
      <protection locked="0"/>
    </xf>
    <xf numFmtId="0" fontId="31" fillId="3" borderId="0" xfId="0" applyFont="1" applyFill="1" applyAlignment="1" applyProtection="1">
      <alignment vertical="center"/>
      <protection locked="0"/>
    </xf>
    <xf numFmtId="49" fontId="40" fillId="9" borderId="0" xfId="0" applyNumberFormat="1" applyFont="1" applyFill="1" applyBorder="1" applyAlignment="1" applyProtection="1">
      <alignment horizontal="center"/>
      <protection locked="0"/>
    </xf>
    <xf numFmtId="0" fontId="50" fillId="9" borderId="0" xfId="0" applyFont="1" applyFill="1" applyBorder="1" applyAlignment="1" applyProtection="1">
      <alignment vertical="center"/>
      <protection locked="0"/>
    </xf>
    <xf numFmtId="49" fontId="40" fillId="9" borderId="0" xfId="0" applyNumberFormat="1" applyFont="1" applyFill="1" applyBorder="1" applyAlignment="1" applyProtection="1">
      <protection locked="0"/>
    </xf>
    <xf numFmtId="179" fontId="40" fillId="3" borderId="0" xfId="0" applyNumberFormat="1" applyFont="1" applyFill="1" applyBorder="1" applyAlignment="1" applyProtection="1">
      <protection locked="0"/>
    </xf>
    <xf numFmtId="49" fontId="40" fillId="3" borderId="0" xfId="0" applyNumberFormat="1" applyFont="1" applyFill="1" applyBorder="1" applyAlignment="1" applyProtection="1">
      <alignment horizontal="center"/>
      <protection locked="0"/>
    </xf>
    <xf numFmtId="0" fontId="40" fillId="3" borderId="8" xfId="5" applyFont="1" applyFill="1" applyBorder="1" applyAlignment="1" applyProtection="1">
      <alignment vertical="center"/>
    </xf>
    <xf numFmtId="0" fontId="29" fillId="3" borderId="8" xfId="0" applyFont="1" applyFill="1" applyBorder="1" applyAlignment="1" applyProtection="1">
      <alignment horizontal="center" vertical="center"/>
    </xf>
    <xf numFmtId="49" fontId="38" fillId="3" borderId="0" xfId="0" applyNumberFormat="1" applyFont="1" applyFill="1" applyBorder="1" applyAlignment="1" applyProtection="1">
      <alignment horizontal="center"/>
    </xf>
    <xf numFmtId="49" fontId="20" fillId="3" borderId="4" xfId="0" applyNumberFormat="1" applyFont="1" applyFill="1" applyBorder="1" applyAlignment="1" applyProtection="1">
      <alignment horizontal="center" vertical="center"/>
    </xf>
    <xf numFmtId="0" fontId="20" fillId="3" borderId="5" xfId="0" applyFont="1" applyFill="1" applyBorder="1" applyAlignment="1" applyProtection="1">
      <alignment horizontal="center" vertical="center"/>
    </xf>
    <xf numFmtId="0" fontId="20" fillId="3" borderId="39" xfId="0" applyFont="1" applyFill="1" applyBorder="1" applyAlignment="1" applyProtection="1">
      <alignment horizontal="right" vertical="center"/>
    </xf>
    <xf numFmtId="0" fontId="20" fillId="3" borderId="44" xfId="0" applyFont="1" applyFill="1" applyBorder="1" applyAlignment="1" applyProtection="1">
      <alignment horizontal="center" vertical="center"/>
    </xf>
    <xf numFmtId="0" fontId="50" fillId="3" borderId="0" xfId="0" applyFont="1" applyFill="1" applyAlignment="1" applyProtection="1">
      <alignment vertical="center"/>
      <protection locked="0"/>
    </xf>
    <xf numFmtId="49" fontId="25" fillId="3" borderId="22" xfId="0" applyNumberFormat="1" applyFont="1" applyFill="1" applyBorder="1" applyAlignment="1" applyProtection="1">
      <alignment vertical="center"/>
    </xf>
    <xf numFmtId="0" fontId="25" fillId="3" borderId="9" xfId="0" applyFont="1" applyFill="1" applyBorder="1" applyAlignment="1" applyProtection="1">
      <alignment vertical="center" wrapText="1"/>
    </xf>
    <xf numFmtId="0" fontId="20" fillId="3" borderId="35" xfId="0" applyFont="1" applyFill="1" applyBorder="1" applyAlignment="1" applyProtection="1">
      <alignment horizontal="center" vertical="center"/>
    </xf>
    <xf numFmtId="0" fontId="74" fillId="3" borderId="9" xfId="0" applyFont="1" applyFill="1" applyBorder="1" applyAlignment="1" applyProtection="1">
      <alignment vertical="center"/>
    </xf>
    <xf numFmtId="0" fontId="20" fillId="3" borderId="34" xfId="0" applyFont="1" applyFill="1" applyBorder="1" applyAlignment="1" applyProtection="1">
      <alignment horizontal="right" vertical="center"/>
    </xf>
    <xf numFmtId="0" fontId="20" fillId="3" borderId="66" xfId="0" applyFont="1" applyFill="1" applyBorder="1" applyAlignment="1" applyProtection="1">
      <alignment horizontal="center" vertical="center"/>
    </xf>
    <xf numFmtId="49" fontId="20" fillId="3" borderId="22" xfId="0" applyNumberFormat="1" applyFont="1" applyFill="1" applyBorder="1" applyAlignment="1" applyProtection="1">
      <alignment horizontal="left" vertical="center"/>
    </xf>
    <xf numFmtId="0" fontId="25" fillId="3" borderId="9" xfId="0" applyFont="1" applyFill="1" applyBorder="1" applyAlignment="1" applyProtection="1">
      <alignment horizontal="center" vertical="center"/>
    </xf>
    <xf numFmtId="0" fontId="28" fillId="3" borderId="9" xfId="0" applyFont="1" applyFill="1" applyBorder="1" applyAlignment="1" applyProtection="1">
      <alignment vertical="center"/>
    </xf>
    <xf numFmtId="0" fontId="20" fillId="3" borderId="1" xfId="0" applyFont="1" applyFill="1" applyBorder="1" applyAlignment="1" applyProtection="1">
      <alignment horizontal="left" vertical="center"/>
    </xf>
    <xf numFmtId="0" fontId="25" fillId="3" borderId="14" xfId="0" applyFont="1" applyFill="1" applyBorder="1" applyAlignment="1" applyProtection="1">
      <alignment horizontal="center" vertical="center"/>
    </xf>
    <xf numFmtId="49" fontId="20" fillId="3" borderId="22" xfId="0" applyNumberFormat="1" applyFont="1" applyFill="1" applyBorder="1" applyAlignment="1" applyProtection="1">
      <alignment horizontal="center" vertical="center"/>
    </xf>
    <xf numFmtId="49" fontId="20" fillId="3" borderId="35" xfId="0" applyNumberFormat="1" applyFont="1" applyFill="1" applyBorder="1" applyAlignment="1" applyProtection="1">
      <alignment horizontal="left" vertical="center"/>
    </xf>
    <xf numFmtId="0" fontId="25" fillId="3" borderId="35" xfId="0" applyFont="1" applyFill="1" applyBorder="1" applyAlignment="1" applyProtection="1">
      <alignment horizontal="center" vertical="center"/>
    </xf>
    <xf numFmtId="0" fontId="20" fillId="3" borderId="35" xfId="0" applyFont="1" applyFill="1" applyBorder="1" applyAlignment="1" applyProtection="1">
      <alignment vertical="center"/>
    </xf>
    <xf numFmtId="49" fontId="20" fillId="3" borderId="68" xfId="0" applyNumberFormat="1" applyFont="1" applyFill="1" applyBorder="1" applyAlignment="1" applyProtection="1">
      <alignment horizontal="center" vertical="center"/>
    </xf>
    <xf numFmtId="49" fontId="20" fillId="3" borderId="74" xfId="0" applyNumberFormat="1" applyFont="1" applyFill="1" applyBorder="1" applyAlignment="1" applyProtection="1">
      <alignment horizontal="left" vertical="center"/>
    </xf>
    <xf numFmtId="49" fontId="25" fillId="3" borderId="68" xfId="0" applyNumberFormat="1" applyFont="1" applyFill="1" applyBorder="1" applyAlignment="1" applyProtection="1">
      <alignment vertical="center"/>
    </xf>
    <xf numFmtId="183" fontId="25" fillId="3" borderId="14" xfId="0" applyNumberFormat="1" applyFont="1" applyFill="1" applyBorder="1" applyAlignment="1" applyProtection="1">
      <alignment horizontal="center" vertical="center"/>
    </xf>
    <xf numFmtId="49" fontId="25" fillId="3" borderId="68" xfId="0" applyNumberFormat="1" applyFont="1" applyFill="1" applyBorder="1" applyAlignment="1" applyProtection="1">
      <alignment horizontal="center" vertical="center"/>
    </xf>
    <xf numFmtId="0" fontId="28" fillId="3" borderId="58" xfId="0" applyFont="1" applyFill="1" applyBorder="1" applyAlignment="1" applyProtection="1">
      <alignment vertical="center" wrapText="1"/>
    </xf>
    <xf numFmtId="0" fontId="28" fillId="3" borderId="58" xfId="0" applyFont="1" applyFill="1" applyBorder="1" applyAlignment="1" applyProtection="1">
      <alignment vertical="center"/>
    </xf>
    <xf numFmtId="0" fontId="28" fillId="3" borderId="9" xfId="0" applyFont="1" applyFill="1" applyBorder="1" applyAlignment="1" applyProtection="1">
      <alignment horizontal="left" vertical="center"/>
    </xf>
    <xf numFmtId="183" fontId="25" fillId="2" borderId="57" xfId="0" applyNumberFormat="1" applyFont="1" applyFill="1" applyBorder="1" applyAlignment="1" applyProtection="1">
      <alignment horizontal="center" vertical="center"/>
      <protection locked="0"/>
    </xf>
    <xf numFmtId="49" fontId="20" fillId="3" borderId="75" xfId="0" applyNumberFormat="1" applyFont="1" applyFill="1" applyBorder="1" applyAlignment="1" applyProtection="1">
      <alignment horizontal="center" vertical="center"/>
    </xf>
    <xf numFmtId="49" fontId="25" fillId="3" borderId="29" xfId="0" applyNumberFormat="1" applyFont="1" applyFill="1" applyBorder="1" applyAlignment="1" applyProtection="1">
      <alignment vertical="center"/>
    </xf>
    <xf numFmtId="0" fontId="76" fillId="3" borderId="1" xfId="0" applyFont="1" applyFill="1" applyBorder="1" applyAlignment="1" applyProtection="1">
      <alignment horizontal="right" vertical="center" wrapText="1"/>
    </xf>
    <xf numFmtId="0" fontId="25" fillId="3" borderId="1" xfId="0" applyFont="1" applyFill="1" applyBorder="1" applyAlignment="1" applyProtection="1">
      <alignment horizontal="center" vertical="center"/>
      <protection locked="0"/>
    </xf>
    <xf numFmtId="183" fontId="25" fillId="3" borderId="57" xfId="0" applyNumberFormat="1" applyFont="1" applyFill="1" applyBorder="1" applyAlignment="1" applyProtection="1">
      <alignment horizontal="center" vertical="center"/>
    </xf>
    <xf numFmtId="49" fontId="25" fillId="3" borderId="65" xfId="0" applyNumberFormat="1" applyFont="1" applyFill="1" applyBorder="1" applyAlignment="1" applyProtection="1">
      <alignment horizontal="center" vertical="center"/>
    </xf>
    <xf numFmtId="49" fontId="20" fillId="3" borderId="104" xfId="0" applyNumberFormat="1" applyFont="1" applyFill="1" applyBorder="1" applyAlignment="1" applyProtection="1">
      <alignment vertical="center"/>
    </xf>
    <xf numFmtId="0" fontId="28" fillId="3" borderId="105" xfId="0" applyFont="1" applyFill="1" applyBorder="1" applyAlignment="1" applyProtection="1">
      <alignment vertical="center" wrapText="1"/>
    </xf>
    <xf numFmtId="0" fontId="25" fillId="0" borderId="83" xfId="0" applyFont="1" applyFill="1" applyBorder="1" applyAlignment="1" applyProtection="1">
      <alignment horizontal="center" vertical="center"/>
      <protection locked="0"/>
    </xf>
    <xf numFmtId="0" fontId="20" fillId="3" borderId="83" xfId="0" applyFont="1" applyFill="1" applyBorder="1" applyAlignment="1" applyProtection="1">
      <alignment vertical="center"/>
    </xf>
    <xf numFmtId="0" fontId="77" fillId="3" borderId="83" xfId="0" applyFont="1" applyFill="1" applyBorder="1" applyAlignment="1" applyProtection="1">
      <alignment horizontal="left" vertical="center"/>
    </xf>
    <xf numFmtId="183" fontId="25" fillId="3" borderId="87" xfId="0" applyNumberFormat="1" applyFont="1" applyFill="1" applyBorder="1" applyAlignment="1" applyProtection="1">
      <alignment horizontal="center" vertical="center"/>
    </xf>
    <xf numFmtId="49" fontId="20" fillId="3" borderId="104" xfId="0" applyNumberFormat="1" applyFont="1" applyFill="1" applyBorder="1" applyAlignment="1" applyProtection="1">
      <alignment horizontal="center" vertical="center"/>
    </xf>
    <xf numFmtId="49" fontId="25" fillId="3" borderId="29" xfId="0" applyNumberFormat="1" applyFont="1" applyFill="1" applyBorder="1" applyAlignment="1" applyProtection="1">
      <alignment horizontal="left" vertical="center"/>
    </xf>
    <xf numFmtId="0" fontId="25" fillId="3" borderId="3" xfId="0" applyFont="1" applyFill="1" applyBorder="1" applyAlignment="1" applyProtection="1">
      <alignment horizontal="left" vertical="center"/>
    </xf>
    <xf numFmtId="0" fontId="25" fillId="3" borderId="3" xfId="0" applyFont="1" applyFill="1" applyBorder="1" applyAlignment="1" applyProtection="1">
      <alignment horizontal="center" vertical="center"/>
    </xf>
    <xf numFmtId="0" fontId="20" fillId="3" borderId="35" xfId="0" applyFont="1" applyFill="1" applyBorder="1" applyAlignment="1" applyProtection="1">
      <alignment horizontal="left" vertical="center"/>
    </xf>
    <xf numFmtId="183" fontId="20" fillId="3" borderId="73" xfId="0" applyNumberFormat="1" applyFont="1" applyFill="1" applyBorder="1" applyAlignment="1" applyProtection="1">
      <alignment horizontal="center" vertical="center"/>
    </xf>
    <xf numFmtId="49" fontId="20" fillId="3" borderId="6" xfId="0" applyNumberFormat="1" applyFont="1" applyFill="1" applyBorder="1" applyAlignment="1" applyProtection="1">
      <alignment horizontal="right" vertical="center"/>
    </xf>
    <xf numFmtId="0" fontId="69" fillId="3" borderId="10" xfId="0" applyFont="1" applyFill="1" applyBorder="1" applyAlignment="1" applyProtection="1">
      <alignment horizontal="center" vertical="center"/>
    </xf>
    <xf numFmtId="0" fontId="20" fillId="3" borderId="10" xfId="0" applyFont="1" applyFill="1" applyBorder="1" applyAlignment="1" applyProtection="1">
      <alignment horizontal="left" vertical="center" wrapText="1"/>
    </xf>
    <xf numFmtId="0" fontId="20" fillId="3" borderId="12" xfId="0" applyFont="1" applyFill="1" applyBorder="1" applyAlignment="1" applyProtection="1">
      <alignment horizontal="left" vertical="center" wrapText="1"/>
    </xf>
    <xf numFmtId="181" fontId="25" fillId="3" borderId="46" xfId="0" applyNumberFormat="1" applyFont="1" applyFill="1" applyBorder="1" applyAlignment="1" applyProtection="1">
      <alignment horizontal="center" vertical="center"/>
    </xf>
    <xf numFmtId="49" fontId="20" fillId="3" borderId="6" xfId="0" applyNumberFormat="1" applyFont="1" applyFill="1" applyBorder="1" applyAlignment="1" applyProtection="1">
      <alignment horizontal="center" vertical="center"/>
    </xf>
    <xf numFmtId="0" fontId="20" fillId="3" borderId="3" xfId="0" applyFont="1" applyFill="1" applyBorder="1" applyAlignment="1" applyProtection="1">
      <alignment horizontal="left" vertical="center"/>
    </xf>
    <xf numFmtId="183" fontId="20" fillId="3" borderId="72" xfId="0" applyNumberFormat="1" applyFont="1" applyFill="1" applyBorder="1" applyAlignment="1" applyProtection="1">
      <alignment horizontal="center" vertical="center"/>
    </xf>
    <xf numFmtId="0" fontId="72" fillId="3" borderId="0" xfId="0" applyFont="1" applyFill="1" applyAlignment="1" applyProtection="1">
      <alignment vertical="center"/>
      <protection locked="0"/>
    </xf>
    <xf numFmtId="183" fontId="20" fillId="3" borderId="14" xfId="0" applyNumberFormat="1" applyFont="1" applyFill="1" applyBorder="1" applyAlignment="1" applyProtection="1">
      <alignment horizontal="center" vertical="center"/>
    </xf>
    <xf numFmtId="0" fontId="20" fillId="3" borderId="46" xfId="0" applyFont="1" applyFill="1" applyBorder="1" applyAlignment="1" applyProtection="1">
      <alignment horizontal="center" vertical="center"/>
    </xf>
    <xf numFmtId="0" fontId="20" fillId="3" borderId="10" xfId="0" applyFont="1" applyFill="1" applyBorder="1" applyAlignment="1" applyProtection="1">
      <alignment vertical="center"/>
    </xf>
    <xf numFmtId="0" fontId="20" fillId="3" borderId="1" xfId="0" applyFont="1" applyFill="1" applyBorder="1" applyAlignment="1" applyProtection="1">
      <alignment vertical="center" wrapText="1"/>
    </xf>
    <xf numFmtId="49" fontId="20" fillId="3" borderId="22" xfId="0" applyNumberFormat="1" applyFont="1" applyFill="1" applyBorder="1" applyAlignment="1" applyProtection="1">
      <alignment horizontal="right" vertical="center"/>
    </xf>
    <xf numFmtId="49" fontId="20" fillId="3" borderId="29" xfId="0" applyNumberFormat="1" applyFont="1" applyFill="1" applyBorder="1" applyAlignment="1" applyProtection="1">
      <alignment horizontal="right" vertical="center"/>
    </xf>
    <xf numFmtId="0" fontId="77" fillId="3" borderId="10" xfId="0" applyFont="1" applyFill="1" applyBorder="1" applyAlignment="1" applyProtection="1">
      <alignment vertical="center"/>
    </xf>
    <xf numFmtId="0" fontId="77" fillId="3" borderId="1" xfId="0" applyFont="1" applyFill="1" applyBorder="1" applyAlignment="1" applyProtection="1">
      <alignment vertical="center"/>
    </xf>
    <xf numFmtId="0" fontId="20" fillId="3" borderId="14" xfId="0" applyFont="1" applyFill="1" applyBorder="1" applyAlignment="1" applyProtection="1">
      <alignment horizontal="center" vertical="center"/>
    </xf>
    <xf numFmtId="10" fontId="20" fillId="3" borderId="14" xfId="0" applyNumberFormat="1" applyFont="1" applyFill="1" applyBorder="1" applyAlignment="1" applyProtection="1">
      <alignment horizontal="center" vertical="center"/>
    </xf>
    <xf numFmtId="49" fontId="78" fillId="3" borderId="6" xfId="0" applyNumberFormat="1" applyFont="1" applyFill="1" applyBorder="1" applyAlignment="1" applyProtection="1">
      <alignment horizontal="center" vertical="center"/>
    </xf>
    <xf numFmtId="0" fontId="20" fillId="3" borderId="9" xfId="0" applyFont="1" applyFill="1" applyBorder="1" applyAlignment="1" applyProtection="1">
      <alignment horizontal="left" vertical="center"/>
    </xf>
    <xf numFmtId="49" fontId="25" fillId="3" borderId="22" xfId="0" applyNumberFormat="1" applyFont="1" applyFill="1" applyBorder="1" applyAlignment="1" applyProtection="1">
      <alignment horizontal="left" vertical="center"/>
    </xf>
    <xf numFmtId="49" fontId="25" fillId="3" borderId="68" xfId="0" applyNumberFormat="1" applyFont="1" applyFill="1" applyBorder="1" applyAlignment="1" applyProtection="1">
      <alignment horizontal="left" vertical="center"/>
    </xf>
    <xf numFmtId="49" fontId="78" fillId="3" borderId="104" xfId="0" applyNumberFormat="1" applyFont="1" applyFill="1" applyBorder="1" applyAlignment="1" applyProtection="1">
      <alignment horizontal="center" vertical="center"/>
    </xf>
    <xf numFmtId="0" fontId="20" fillId="3" borderId="83" xfId="0" applyFont="1" applyFill="1" applyBorder="1" applyAlignment="1" applyProtection="1">
      <alignment horizontal="center" vertical="center"/>
    </xf>
    <xf numFmtId="0" fontId="20" fillId="3" borderId="83" xfId="0" applyFont="1" applyFill="1" applyBorder="1" applyAlignment="1" applyProtection="1">
      <alignment horizontal="left" vertical="center" wrapText="1"/>
    </xf>
    <xf numFmtId="0" fontId="20" fillId="3" borderId="83" xfId="0" applyFont="1" applyFill="1" applyBorder="1" applyAlignment="1" applyProtection="1">
      <alignment horizontal="left" vertical="center"/>
    </xf>
    <xf numFmtId="183" fontId="20" fillId="3" borderId="87" xfId="0" applyNumberFormat="1" applyFont="1" applyFill="1" applyBorder="1" applyAlignment="1" applyProtection="1">
      <alignment horizontal="center" vertical="center"/>
    </xf>
    <xf numFmtId="49" fontId="25" fillId="3" borderId="7" xfId="0" applyNumberFormat="1" applyFont="1" applyFill="1" applyBorder="1" applyAlignment="1" applyProtection="1">
      <alignment horizontal="left" vertical="center"/>
    </xf>
    <xf numFmtId="0" fontId="20" fillId="3" borderId="34" xfId="0" applyFont="1" applyFill="1" applyBorder="1" applyAlignment="1" applyProtection="1">
      <alignment horizontal="left" vertical="center"/>
    </xf>
    <xf numFmtId="0" fontId="20" fillId="3" borderId="89" xfId="0" applyFont="1" applyFill="1" applyBorder="1" applyAlignment="1" applyProtection="1">
      <alignment horizontal="center" vertical="center"/>
    </xf>
    <xf numFmtId="49" fontId="24" fillId="3" borderId="0" xfId="0" applyNumberFormat="1" applyFont="1" applyFill="1" applyBorder="1" applyAlignment="1" applyProtection="1">
      <alignment horizontal="left" vertical="center"/>
      <protection locked="0"/>
    </xf>
    <xf numFmtId="0" fontId="20" fillId="8" borderId="1" xfId="0" applyFont="1" applyFill="1" applyBorder="1" applyAlignment="1" applyProtection="1">
      <alignment horizontal="center" vertical="center"/>
    </xf>
    <xf numFmtId="0" fontId="20" fillId="3" borderId="1" xfId="0" applyFont="1" applyFill="1" applyBorder="1" applyAlignment="1" applyProtection="1">
      <alignment horizontal="left" vertical="center" wrapText="1"/>
    </xf>
    <xf numFmtId="183" fontId="20" fillId="8" borderId="46" xfId="0" applyNumberFormat="1" applyFont="1" applyFill="1" applyBorder="1" applyAlignment="1" applyProtection="1">
      <alignment horizontal="center" vertical="center" wrapText="1"/>
    </xf>
    <xf numFmtId="49" fontId="79" fillId="3" borderId="0" xfId="0" applyNumberFormat="1" applyFont="1" applyFill="1" applyBorder="1" applyAlignment="1" applyProtection="1">
      <alignment horizontal="left" vertical="center"/>
      <protection locked="0"/>
    </xf>
    <xf numFmtId="49" fontId="80" fillId="3" borderId="0" xfId="0" applyNumberFormat="1" applyFont="1" applyFill="1" applyBorder="1" applyAlignment="1" applyProtection="1">
      <alignment horizontal="left" vertical="center"/>
      <protection locked="0"/>
    </xf>
    <xf numFmtId="0" fontId="20" fillId="5" borderId="1" xfId="0" applyFont="1" applyFill="1" applyBorder="1" applyAlignment="1" applyProtection="1">
      <alignment horizontal="left" vertical="center" wrapText="1"/>
      <protection locked="0"/>
    </xf>
    <xf numFmtId="0" fontId="51" fillId="3" borderId="0" xfId="0" applyFont="1" applyFill="1" applyAlignment="1" applyProtection="1">
      <protection locked="0"/>
    </xf>
    <xf numFmtId="0" fontId="20" fillId="3" borderId="9" xfId="0" applyFont="1" applyFill="1" applyBorder="1" applyAlignment="1" applyProtection="1">
      <alignment vertical="center"/>
    </xf>
    <xf numFmtId="0" fontId="20" fillId="3" borderId="9" xfId="0" applyFont="1" applyFill="1" applyBorder="1" applyAlignment="1" applyProtection="1">
      <alignment horizontal="center" vertical="center"/>
    </xf>
    <xf numFmtId="0" fontId="20" fillId="3" borderId="9" xfId="0" applyFont="1" applyFill="1" applyBorder="1" applyAlignment="1" applyProtection="1">
      <alignment horizontal="left" vertical="center" wrapText="1"/>
    </xf>
    <xf numFmtId="49" fontId="20" fillId="3" borderId="29" xfId="0" applyNumberFormat="1" applyFont="1" applyFill="1" applyBorder="1" applyAlignment="1" applyProtection="1">
      <alignment vertical="center"/>
    </xf>
    <xf numFmtId="0" fontId="20" fillId="3" borderId="3" xfId="0" applyFont="1" applyFill="1" applyBorder="1" applyAlignment="1" applyProtection="1">
      <alignment vertical="center"/>
    </xf>
    <xf numFmtId="0" fontId="20" fillId="3" borderId="3" xfId="0" applyFont="1" applyFill="1" applyBorder="1" applyAlignment="1" applyProtection="1">
      <alignment horizontal="center" vertical="center"/>
    </xf>
    <xf numFmtId="0" fontId="20" fillId="3" borderId="3" xfId="0" applyFont="1" applyFill="1" applyBorder="1" applyAlignment="1" applyProtection="1">
      <alignment horizontal="left" vertical="center" wrapText="1"/>
    </xf>
    <xf numFmtId="10" fontId="25" fillId="3" borderId="14" xfId="0" applyNumberFormat="1" applyFont="1" applyFill="1" applyBorder="1" applyAlignment="1" applyProtection="1">
      <alignment horizontal="center" vertical="center"/>
    </xf>
    <xf numFmtId="191" fontId="25" fillId="3" borderId="14" xfId="0" applyNumberFormat="1" applyFont="1" applyFill="1" applyBorder="1" applyAlignment="1" applyProtection="1">
      <alignment horizontal="center" vertical="center"/>
    </xf>
    <xf numFmtId="0" fontId="81" fillId="3" borderId="3" xfId="0" applyFont="1" applyFill="1" applyBorder="1" applyAlignment="1" applyProtection="1">
      <alignment horizontal="left" vertical="center" wrapText="1"/>
    </xf>
    <xf numFmtId="0" fontId="20" fillId="3" borderId="34" xfId="0" applyFont="1" applyFill="1" applyBorder="1" applyAlignment="1" applyProtection="1">
      <alignment horizontal="left" vertical="center" wrapText="1"/>
    </xf>
    <xf numFmtId="0" fontId="20" fillId="3" borderId="89" xfId="0" applyFont="1" applyFill="1" applyBorder="1" applyAlignment="1" applyProtection="1">
      <alignment horizontal="center" vertical="center" wrapText="1"/>
    </xf>
    <xf numFmtId="0" fontId="20" fillId="3" borderId="66" xfId="0" applyFont="1" applyFill="1" applyBorder="1" applyAlignment="1" applyProtection="1">
      <alignment horizontal="center" vertical="center" wrapText="1"/>
    </xf>
    <xf numFmtId="0" fontId="81" fillId="3" borderId="9" xfId="0" applyFont="1" applyFill="1" applyBorder="1" applyAlignment="1" applyProtection="1">
      <alignment vertical="center" wrapText="1"/>
    </xf>
    <xf numFmtId="0" fontId="25" fillId="3" borderId="35" xfId="0" applyFont="1" applyFill="1" applyBorder="1" applyAlignment="1" applyProtection="1">
      <alignment vertical="center" wrapText="1"/>
    </xf>
    <xf numFmtId="0" fontId="20" fillId="3" borderId="35" xfId="0" applyFont="1" applyFill="1" applyBorder="1" applyAlignment="1" applyProtection="1">
      <alignment horizontal="left" vertical="center" wrapText="1"/>
    </xf>
    <xf numFmtId="181" fontId="25" fillId="3" borderId="14" xfId="0" applyNumberFormat="1" applyFont="1" applyFill="1" applyBorder="1" applyAlignment="1" applyProtection="1">
      <alignment horizontal="center" vertical="center"/>
    </xf>
    <xf numFmtId="0" fontId="20" fillId="3" borderId="0" xfId="0" applyFont="1" applyFill="1" applyAlignment="1" applyProtection="1">
      <alignment vertical="center"/>
      <protection locked="0"/>
    </xf>
    <xf numFmtId="0" fontId="25" fillId="3" borderId="3" xfId="0" applyFont="1" applyFill="1" applyBorder="1" applyAlignment="1" applyProtection="1">
      <alignment vertical="center" wrapText="1"/>
    </xf>
    <xf numFmtId="0" fontId="25" fillId="3" borderId="8" xfId="0" applyFont="1" applyFill="1" applyBorder="1" applyAlignment="1" applyProtection="1">
      <alignment horizontal="left" vertical="center"/>
    </xf>
    <xf numFmtId="0" fontId="25" fillId="3" borderId="8" xfId="0" applyFont="1" applyFill="1" applyBorder="1" applyAlignment="1" applyProtection="1">
      <alignment horizontal="center" vertical="center"/>
    </xf>
    <xf numFmtId="0" fontId="20" fillId="3" borderId="8" xfId="0" applyFont="1" applyFill="1" applyBorder="1" applyAlignment="1" applyProtection="1">
      <alignment vertical="center"/>
    </xf>
    <xf numFmtId="0" fontId="20" fillId="3" borderId="8" xfId="0" applyFont="1" applyFill="1" applyBorder="1" applyAlignment="1" applyProtection="1">
      <alignment horizontal="left" vertical="center"/>
    </xf>
    <xf numFmtId="181" fontId="25" fillId="3" borderId="15" xfId="0" applyNumberFormat="1" applyFont="1" applyFill="1" applyBorder="1" applyAlignment="1" applyProtection="1">
      <alignment horizontal="center" vertical="center"/>
    </xf>
    <xf numFmtId="0" fontId="32" fillId="6" borderId="0" xfId="0" applyFont="1" applyFill="1" applyAlignment="1" applyProtection="1">
      <protection locked="0"/>
    </xf>
    <xf numFmtId="0" fontId="32" fillId="6" borderId="0" xfId="0" applyFont="1" applyFill="1" applyAlignment="1" applyProtection="1">
      <alignment horizontal="center"/>
      <protection locked="0"/>
    </xf>
    <xf numFmtId="0" fontId="82" fillId="6" borderId="0" xfId="0" applyFont="1" applyFill="1" applyAlignment="1" applyProtection="1">
      <protection locked="0"/>
    </xf>
    <xf numFmtId="0" fontId="32" fillId="3" borderId="0" xfId="0" applyFont="1" applyFill="1" applyAlignment="1" applyProtection="1">
      <alignment horizontal="center"/>
    </xf>
    <xf numFmtId="0" fontId="32" fillId="9" borderId="0" xfId="0" applyFont="1" applyFill="1" applyAlignment="1" applyProtection="1">
      <protection locked="0"/>
    </xf>
    <xf numFmtId="49" fontId="25" fillId="3" borderId="60" xfId="0" applyNumberFormat="1" applyFont="1" applyFill="1" applyBorder="1" applyAlignment="1" applyProtection="1">
      <alignment vertical="center"/>
    </xf>
    <xf numFmtId="0" fontId="25" fillId="3" borderId="106" xfId="0" applyFont="1" applyFill="1" applyBorder="1" applyAlignment="1" applyProtection="1">
      <alignment vertical="center" wrapText="1"/>
    </xf>
    <xf numFmtId="0" fontId="32" fillId="3" borderId="99" xfId="0" applyFont="1" applyFill="1" applyBorder="1" applyAlignment="1" applyProtection="1">
      <alignment horizontal="center"/>
    </xf>
    <xf numFmtId="0" fontId="32" fillId="9" borderId="99" xfId="0" applyFont="1" applyFill="1" applyBorder="1" applyAlignment="1" applyProtection="1">
      <protection locked="0"/>
    </xf>
    <xf numFmtId="0" fontId="32" fillId="9" borderId="100" xfId="0" applyFont="1" applyFill="1" applyBorder="1" applyAlignment="1" applyProtection="1">
      <protection locked="0"/>
    </xf>
    <xf numFmtId="49" fontId="27" fillId="3" borderId="69" xfId="0" applyNumberFormat="1" applyFont="1" applyFill="1" applyBorder="1" applyAlignment="1" applyProtection="1">
      <alignment vertical="center"/>
    </xf>
    <xf numFmtId="0" fontId="52" fillId="3" borderId="55" xfId="0" applyFont="1" applyFill="1" applyBorder="1" applyAlignment="1" applyProtection="1">
      <alignment vertical="center"/>
      <protection locked="0"/>
    </xf>
    <xf numFmtId="0" fontId="25" fillId="3" borderId="41" xfId="0" applyFont="1" applyFill="1" applyBorder="1" applyAlignment="1" applyProtection="1">
      <alignment horizontal="center" vertical="center"/>
    </xf>
    <xf numFmtId="0" fontId="20" fillId="3" borderId="41" xfId="0" applyFont="1" applyFill="1" applyBorder="1" applyAlignment="1" applyProtection="1">
      <alignment vertical="center"/>
    </xf>
    <xf numFmtId="0" fontId="77" fillId="3" borderId="5" xfId="0" applyFont="1" applyFill="1" applyBorder="1" applyAlignment="1" applyProtection="1">
      <alignment horizontal="left" vertical="center"/>
    </xf>
    <xf numFmtId="0" fontId="25" fillId="0" borderId="13" xfId="0" applyFont="1" applyFill="1" applyBorder="1" applyAlignment="1" applyProtection="1">
      <alignment horizontal="center" vertical="center"/>
      <protection locked="0"/>
    </xf>
    <xf numFmtId="181" fontId="21" fillId="6" borderId="0" xfId="0" applyNumberFormat="1" applyFont="1" applyFill="1" applyBorder="1" applyAlignment="1" applyProtection="1">
      <alignment horizontal="center" vertical="center"/>
      <protection locked="0"/>
    </xf>
    <xf numFmtId="49" fontId="24" fillId="6" borderId="0" xfId="0" applyNumberFormat="1" applyFont="1" applyFill="1" applyBorder="1" applyAlignment="1" applyProtection="1">
      <alignment horizontal="left" vertical="center"/>
      <protection locked="0"/>
    </xf>
    <xf numFmtId="0" fontId="50" fillId="6" borderId="0" xfId="0" applyFont="1" applyFill="1" applyBorder="1" applyAlignment="1" applyProtection="1">
      <alignment vertical="center"/>
      <protection locked="0"/>
    </xf>
    <xf numFmtId="183" fontId="25" fillId="0" borderId="14" xfId="0" applyNumberFormat="1" applyFont="1" applyFill="1" applyBorder="1" applyAlignment="1" applyProtection="1">
      <alignment horizontal="center" vertical="center"/>
      <protection locked="0"/>
    </xf>
    <xf numFmtId="183" fontId="20" fillId="3" borderId="57" xfId="0" applyNumberFormat="1" applyFont="1" applyFill="1" applyBorder="1" applyAlignment="1" applyProtection="1">
      <alignment horizontal="center" vertical="center"/>
    </xf>
    <xf numFmtId="49" fontId="25" fillId="3" borderId="6" xfId="0" applyNumberFormat="1" applyFont="1" applyFill="1" applyBorder="1" applyAlignment="1" applyProtection="1">
      <alignment horizontal="left" vertical="center"/>
    </xf>
    <xf numFmtId="0" fontId="25" fillId="3" borderId="1" xfId="0" applyFont="1" applyFill="1" applyBorder="1" applyAlignment="1" applyProtection="1">
      <alignment horizontal="left" vertical="center"/>
    </xf>
    <xf numFmtId="0" fontId="77" fillId="3" borderId="1" xfId="0" applyFont="1" applyFill="1" applyBorder="1" applyAlignment="1" applyProtection="1">
      <alignment horizontal="left" vertical="center"/>
    </xf>
    <xf numFmtId="0" fontId="20" fillId="3" borderId="10" xfId="0" applyFont="1" applyFill="1" applyBorder="1" applyAlignment="1" applyProtection="1">
      <alignment horizontal="left" vertical="center"/>
    </xf>
    <xf numFmtId="49" fontId="38" fillId="3" borderId="0" xfId="0" applyNumberFormat="1" applyFont="1" applyFill="1" applyBorder="1" applyAlignment="1" applyProtection="1">
      <alignment horizontal="center"/>
      <protection locked="0"/>
    </xf>
    <xf numFmtId="49" fontId="38" fillId="3" borderId="0" xfId="0" applyNumberFormat="1" applyFont="1" applyFill="1" applyBorder="1" applyAlignment="1" applyProtection="1">
      <alignment horizontal="left"/>
      <protection locked="0"/>
    </xf>
    <xf numFmtId="0" fontId="31" fillId="6" borderId="0" xfId="0" applyFont="1" applyFill="1" applyAlignment="1" applyProtection="1">
      <alignment vertical="center"/>
      <protection locked="0"/>
    </xf>
    <xf numFmtId="49" fontId="40" fillId="3" borderId="0" xfId="0" applyNumberFormat="1" applyFont="1" applyFill="1" applyBorder="1" applyAlignment="1" applyProtection="1">
      <alignment horizontal="left"/>
      <protection locked="0"/>
    </xf>
    <xf numFmtId="49" fontId="40" fillId="3" borderId="0" xfId="0" applyNumberFormat="1" applyFont="1" applyFill="1" applyBorder="1" applyAlignment="1" applyProtection="1">
      <alignment horizontal="center"/>
    </xf>
    <xf numFmtId="49" fontId="40" fillId="3" borderId="0" xfId="0" applyNumberFormat="1" applyFont="1" applyFill="1" applyBorder="1" applyAlignment="1" applyProtection="1">
      <alignment horizontal="left"/>
    </xf>
    <xf numFmtId="0" fontId="28" fillId="3" borderId="9" xfId="0" applyFont="1" applyFill="1" applyBorder="1" applyAlignment="1" applyProtection="1">
      <alignment vertical="center" wrapText="1"/>
    </xf>
    <xf numFmtId="0" fontId="20" fillId="3" borderId="0" xfId="0" applyFont="1" applyFill="1" applyBorder="1" applyAlignment="1" applyProtection="1">
      <alignment vertical="center"/>
    </xf>
    <xf numFmtId="183" fontId="25" fillId="3" borderId="47" xfId="0" applyNumberFormat="1" applyFont="1" applyFill="1" applyBorder="1" applyAlignment="1" applyProtection="1">
      <alignment horizontal="center" vertical="center"/>
    </xf>
    <xf numFmtId="0" fontId="28" fillId="3" borderId="107" xfId="0" applyFont="1" applyFill="1" applyBorder="1" applyAlignment="1" applyProtection="1">
      <alignment vertical="center" wrapText="1"/>
    </xf>
    <xf numFmtId="0" fontId="25" fillId="0" borderId="82" xfId="0" applyFont="1" applyFill="1" applyBorder="1" applyAlignment="1" applyProtection="1">
      <alignment horizontal="center" vertical="center"/>
      <protection locked="0"/>
    </xf>
    <xf numFmtId="183" fontId="25" fillId="3" borderId="108" xfId="0" applyNumberFormat="1" applyFont="1" applyFill="1" applyBorder="1" applyAlignment="1" applyProtection="1">
      <alignment horizontal="center" vertical="center"/>
    </xf>
    <xf numFmtId="0" fontId="25" fillId="3" borderId="34" xfId="0" applyFont="1" applyFill="1" applyBorder="1" applyAlignment="1" applyProtection="1">
      <alignment horizontal="center" vertical="center"/>
    </xf>
    <xf numFmtId="0" fontId="83" fillId="3" borderId="89" xfId="0" applyFont="1" applyFill="1" applyBorder="1" applyAlignment="1" applyProtection="1">
      <alignment vertical="center"/>
    </xf>
    <xf numFmtId="0" fontId="83" fillId="3" borderId="66" xfId="0" applyFont="1" applyFill="1" applyBorder="1" applyAlignment="1" applyProtection="1">
      <alignment vertical="center"/>
    </xf>
    <xf numFmtId="0" fontId="83" fillId="3" borderId="12" xfId="0" applyFont="1" applyFill="1" applyBorder="1" applyAlignment="1" applyProtection="1">
      <alignment vertical="center"/>
    </xf>
    <xf numFmtId="0" fontId="83" fillId="3" borderId="46" xfId="0" applyFont="1" applyFill="1" applyBorder="1" applyAlignment="1" applyProtection="1">
      <alignment vertical="center"/>
    </xf>
    <xf numFmtId="183" fontId="25" fillId="3" borderId="83" xfId="0" applyNumberFormat="1" applyFont="1" applyFill="1" applyBorder="1" applyAlignment="1" applyProtection="1">
      <alignment horizontal="center" vertical="center"/>
    </xf>
    <xf numFmtId="0" fontId="20" fillId="3" borderId="109" xfId="0" applyFont="1" applyFill="1" applyBorder="1" applyAlignment="1" applyProtection="1">
      <alignment horizontal="left" vertical="center"/>
    </xf>
    <xf numFmtId="0" fontId="83" fillId="3" borderId="110" xfId="0" applyFont="1" applyFill="1" applyBorder="1" applyAlignment="1" applyProtection="1">
      <alignment vertical="center"/>
    </xf>
    <xf numFmtId="0" fontId="83" fillId="3" borderId="108" xfId="0" applyFont="1" applyFill="1" applyBorder="1" applyAlignment="1" applyProtection="1">
      <alignment vertical="center"/>
    </xf>
    <xf numFmtId="0" fontId="72" fillId="6" borderId="0" xfId="0" applyFont="1" applyFill="1" applyAlignment="1" applyProtection="1">
      <alignment vertical="center"/>
      <protection locked="0"/>
    </xf>
    <xf numFmtId="0" fontId="24" fillId="3" borderId="0" xfId="0" applyFont="1" applyFill="1" applyBorder="1" applyAlignment="1" applyProtection="1">
      <alignment horizontal="left" vertical="center"/>
      <protection locked="0"/>
    </xf>
    <xf numFmtId="0" fontId="23" fillId="3" borderId="0" xfId="0" applyFont="1" applyFill="1" applyBorder="1" applyAlignment="1" applyProtection="1">
      <alignment horizontal="center" vertical="center"/>
      <protection locked="0"/>
    </xf>
    <xf numFmtId="0" fontId="20" fillId="3" borderId="0" xfId="0" applyFont="1" applyFill="1" applyBorder="1" applyAlignment="1" applyProtection="1">
      <alignment vertical="center"/>
      <protection locked="0"/>
    </xf>
    <xf numFmtId="0" fontId="21" fillId="3" borderId="0" xfId="0" applyFont="1" applyFill="1" applyBorder="1" applyAlignment="1" applyProtection="1">
      <alignment horizontal="left" vertical="center"/>
      <protection locked="0"/>
    </xf>
    <xf numFmtId="181" fontId="23" fillId="3" borderId="0" xfId="0" applyNumberFormat="1" applyFont="1" applyFill="1" applyBorder="1" applyAlignment="1" applyProtection="1">
      <alignment horizontal="center" vertical="center"/>
      <protection locked="0"/>
    </xf>
    <xf numFmtId="0" fontId="80" fillId="3" borderId="0" xfId="0" applyFont="1" applyFill="1" applyBorder="1" applyAlignment="1" applyProtection="1">
      <alignment horizontal="left" vertical="center"/>
      <protection locked="0"/>
    </xf>
    <xf numFmtId="0" fontId="84" fillId="3" borderId="0" xfId="0" applyFont="1" applyFill="1" applyBorder="1" applyAlignment="1" applyProtection="1">
      <alignment horizontal="center" vertical="center"/>
      <protection locked="0"/>
    </xf>
    <xf numFmtId="0" fontId="85" fillId="3" borderId="0" xfId="0" applyFont="1" applyFill="1" applyBorder="1" applyAlignment="1" applyProtection="1">
      <alignment vertical="center"/>
      <protection locked="0"/>
    </xf>
    <xf numFmtId="0" fontId="86" fillId="3" borderId="0" xfId="0" applyFont="1" applyFill="1" applyBorder="1" applyAlignment="1" applyProtection="1">
      <alignment horizontal="left" vertical="center"/>
      <protection locked="0"/>
    </xf>
    <xf numFmtId="181" fontId="84" fillId="3" borderId="0" xfId="0" applyNumberFormat="1" applyFont="1" applyFill="1" applyBorder="1" applyAlignment="1" applyProtection="1">
      <alignment horizontal="center" vertical="center"/>
      <protection locked="0"/>
    </xf>
    <xf numFmtId="0" fontId="51" fillId="3" borderId="0" xfId="0" applyFont="1" applyFill="1" applyAlignment="1" applyProtection="1">
      <alignment horizontal="left"/>
      <protection locked="0"/>
    </xf>
    <xf numFmtId="0" fontId="32" fillId="3" borderId="1" xfId="0" applyFont="1" applyFill="1" applyBorder="1" applyAlignment="1" applyProtection="1"/>
    <xf numFmtId="0" fontId="32" fillId="3" borderId="1" xfId="0" applyFont="1" applyFill="1" applyBorder="1" applyAlignment="1" applyProtection="1">
      <alignment horizontal="center"/>
    </xf>
    <xf numFmtId="0" fontId="43" fillId="3" borderId="0" xfId="0" applyFont="1" applyFill="1" applyAlignment="1" applyProtection="1">
      <alignment horizontal="left"/>
      <protection locked="0"/>
    </xf>
    <xf numFmtId="0" fontId="43" fillId="3" borderId="0" xfId="0" applyFont="1" applyFill="1" applyAlignment="1" applyProtection="1">
      <protection locked="0"/>
    </xf>
    <xf numFmtId="0" fontId="21" fillId="3" borderId="1" xfId="0" applyFont="1" applyFill="1" applyBorder="1" applyAlignment="1" applyProtection="1">
      <alignment horizontal="left"/>
    </xf>
    <xf numFmtId="184" fontId="21" fillId="3" borderId="1" xfId="0" applyNumberFormat="1" applyFont="1" applyFill="1" applyBorder="1" applyAlignment="1" applyProtection="1">
      <alignment horizontal="center"/>
    </xf>
    <xf numFmtId="0" fontId="21" fillId="3" borderId="1" xfId="0" applyFont="1" applyFill="1" applyBorder="1" applyAlignment="1" applyProtection="1">
      <alignment vertical="center" wrapText="1"/>
    </xf>
    <xf numFmtId="183" fontId="25" fillId="3" borderId="1" xfId="0" applyNumberFormat="1" applyFont="1" applyFill="1" applyBorder="1" applyAlignment="1" applyProtection="1">
      <alignment horizontal="center" vertical="center"/>
    </xf>
    <xf numFmtId="0" fontId="20" fillId="3" borderId="0" xfId="0" applyFont="1" applyFill="1" applyAlignment="1" applyProtection="1">
      <alignment horizontal="left" vertical="center"/>
      <protection locked="0"/>
    </xf>
    <xf numFmtId="0" fontId="30" fillId="3" borderId="1" xfId="0" applyFont="1" applyFill="1" applyBorder="1" applyAlignment="1" applyProtection="1">
      <alignment horizontal="left"/>
    </xf>
    <xf numFmtId="0" fontId="30" fillId="3" borderId="1" xfId="0" applyFont="1" applyFill="1" applyBorder="1" applyAlignment="1" applyProtection="1">
      <alignment horizontal="center"/>
    </xf>
    <xf numFmtId="0" fontId="23" fillId="3" borderId="1" xfId="0" applyFont="1" applyFill="1" applyBorder="1" applyAlignment="1" applyProtection="1">
      <alignment horizontal="left"/>
    </xf>
    <xf numFmtId="0" fontId="23" fillId="3" borderId="1" xfId="0" applyFont="1" applyFill="1" applyBorder="1" applyAlignment="1" applyProtection="1">
      <alignment horizontal="center"/>
    </xf>
    <xf numFmtId="0" fontId="50" fillId="3" borderId="0" xfId="0" applyFont="1" applyFill="1" applyAlignment="1" applyProtection="1">
      <alignment horizontal="left" vertical="center"/>
      <protection locked="0"/>
    </xf>
    <xf numFmtId="183" fontId="21" fillId="3" borderId="1" xfId="0" applyNumberFormat="1" applyFont="1" applyFill="1" applyBorder="1" applyAlignment="1" applyProtection="1">
      <alignment horizontal="center"/>
    </xf>
    <xf numFmtId="0" fontId="20" fillId="3" borderId="1" xfId="0" applyFont="1" applyFill="1" applyBorder="1" applyAlignment="1" applyProtection="1"/>
    <xf numFmtId="183" fontId="20" fillId="3" borderId="1" xfId="0" applyNumberFormat="1" applyFont="1" applyFill="1" applyBorder="1" applyAlignment="1" applyProtection="1">
      <alignment horizontal="center"/>
    </xf>
    <xf numFmtId="0" fontId="50" fillId="6" borderId="0" xfId="0" applyFont="1" applyFill="1" applyAlignment="1" applyProtection="1">
      <alignment horizontal="left" vertical="center"/>
      <protection locked="0"/>
    </xf>
    <xf numFmtId="0" fontId="87" fillId="6" borderId="98" xfId="0" applyFont="1" applyFill="1" applyBorder="1" applyAlignment="1" applyProtection="1">
      <alignment vertical="center"/>
      <protection locked="0"/>
    </xf>
    <xf numFmtId="0" fontId="50" fillId="6" borderId="99" xfId="0" applyFont="1" applyFill="1" applyBorder="1" applyAlignment="1" applyProtection="1">
      <alignment vertical="center"/>
      <protection locked="0"/>
    </xf>
    <xf numFmtId="0" fontId="50" fillId="6" borderId="100" xfId="0" applyFont="1" applyFill="1" applyBorder="1" applyAlignment="1" applyProtection="1">
      <alignment horizontal="left" vertical="center"/>
      <protection locked="0"/>
    </xf>
    <xf numFmtId="0" fontId="61" fillId="3" borderId="111" xfId="0" applyFont="1" applyFill="1" applyBorder="1" applyAlignment="1" applyProtection="1">
      <alignment horizontal="center" vertical="center"/>
    </xf>
    <xf numFmtId="0" fontId="50" fillId="9" borderId="0" xfId="0" applyFont="1" applyFill="1" applyAlignment="1" applyProtection="1">
      <alignment vertical="center"/>
      <protection locked="0"/>
    </xf>
    <xf numFmtId="0" fontId="15" fillId="3" borderId="0" xfId="0" applyFont="1" applyFill="1" applyAlignment="1" applyProtection="1">
      <alignment vertical="center"/>
    </xf>
    <xf numFmtId="0" fontId="50" fillId="3" borderId="0" xfId="0" applyFont="1" applyFill="1" applyAlignment="1" applyProtection="1">
      <alignment vertical="center"/>
    </xf>
    <xf numFmtId="0" fontId="88" fillId="3" borderId="4" xfId="0" applyFont="1" applyFill="1" applyBorder="1" applyAlignment="1" applyProtection="1">
      <alignment vertical="center"/>
    </xf>
    <xf numFmtId="0" fontId="88" fillId="2" borderId="13" xfId="0" applyFont="1" applyFill="1" applyBorder="1" applyAlignment="1" applyProtection="1">
      <alignment horizontal="center" vertical="center"/>
      <protection locked="0"/>
    </xf>
    <xf numFmtId="0" fontId="88" fillId="3" borderId="4" xfId="0" applyFont="1" applyFill="1" applyBorder="1" applyAlignment="1" applyProtection="1">
      <alignment horizontal="left" vertical="center"/>
    </xf>
    <xf numFmtId="0" fontId="50" fillId="3" borderId="13" xfId="0" applyFont="1" applyFill="1" applyBorder="1" applyAlignment="1" applyProtection="1">
      <alignment horizontal="center" vertical="center"/>
    </xf>
    <xf numFmtId="0" fontId="89" fillId="3" borderId="111" xfId="0" applyFont="1" applyFill="1" applyBorder="1" applyAlignment="1" applyProtection="1">
      <alignment vertical="center" wrapText="1"/>
    </xf>
    <xf numFmtId="0" fontId="89" fillId="3" borderId="100" xfId="0" applyFont="1" applyFill="1" applyBorder="1" applyAlignment="1" applyProtection="1">
      <alignment vertical="center"/>
    </xf>
    <xf numFmtId="0" fontId="88" fillId="3" borderId="6" xfId="0" applyFont="1" applyFill="1" applyBorder="1" applyAlignment="1" applyProtection="1">
      <alignment vertical="center"/>
    </xf>
    <xf numFmtId="0" fontId="89" fillId="2" borderId="14" xfId="0" applyFont="1" applyFill="1" applyBorder="1" applyAlignment="1" applyProtection="1">
      <alignment horizontal="center"/>
      <protection locked="0"/>
    </xf>
    <xf numFmtId="0" fontId="89" fillId="3" borderId="6" xfId="0" applyFont="1" applyFill="1" applyBorder="1" applyAlignment="1" applyProtection="1">
      <alignment horizontal="left"/>
    </xf>
    <xf numFmtId="0" fontId="90" fillId="3" borderId="112" xfId="0" applyFont="1" applyFill="1" applyBorder="1" applyAlignment="1" applyProtection="1">
      <alignment vertical="center" wrapText="1"/>
    </xf>
    <xf numFmtId="0" fontId="89" fillId="3" borderId="67" xfId="0" applyFont="1" applyFill="1" applyBorder="1" applyAlignment="1" applyProtection="1">
      <alignment vertical="center"/>
    </xf>
    <xf numFmtId="0" fontId="50" fillId="6" borderId="14" xfId="0" applyFont="1" applyFill="1" applyBorder="1" applyAlignment="1" applyProtection="1">
      <alignment horizontal="center" vertical="center"/>
      <protection locked="0"/>
    </xf>
    <xf numFmtId="0" fontId="91" fillId="3" borderId="6" xfId="0" applyFont="1" applyFill="1" applyBorder="1" applyAlignment="1" applyProtection="1">
      <alignment horizontal="left"/>
    </xf>
    <xf numFmtId="0" fontId="50" fillId="0" borderId="14" xfId="0" applyFont="1" applyFill="1" applyBorder="1" applyAlignment="1" applyProtection="1">
      <alignment horizontal="center" vertical="center"/>
      <protection locked="0"/>
    </xf>
    <xf numFmtId="0" fontId="90" fillId="3" borderId="14" xfId="0" applyFont="1" applyFill="1" applyBorder="1" applyAlignment="1" applyProtection="1">
      <alignment horizontal="center"/>
    </xf>
    <xf numFmtId="0" fontId="90" fillId="3" borderId="112" xfId="0" applyFont="1" applyFill="1" applyBorder="1" applyAlignment="1" applyProtection="1">
      <alignment horizontal="right" vertical="center" wrapText="1"/>
    </xf>
    <xf numFmtId="49" fontId="88" fillId="3" borderId="6" xfId="0" applyNumberFormat="1" applyFont="1" applyFill="1" applyBorder="1" applyAlignment="1" applyProtection="1">
      <alignment horizontal="left" vertical="center"/>
    </xf>
    <xf numFmtId="0" fontId="50" fillId="3" borderId="14" xfId="0" applyNumberFormat="1" applyFont="1" applyFill="1" applyBorder="1" applyAlignment="1" applyProtection="1">
      <alignment horizontal="center" vertical="center"/>
    </xf>
    <xf numFmtId="192" fontId="50" fillId="3" borderId="14" xfId="0" applyNumberFormat="1" applyFont="1" applyFill="1" applyBorder="1" applyAlignment="1" applyProtection="1">
      <alignment horizontal="center" vertical="center"/>
    </xf>
    <xf numFmtId="0" fontId="88" fillId="3" borderId="7" xfId="0" applyFont="1" applyFill="1" applyBorder="1" applyAlignment="1" applyProtection="1">
      <alignment vertical="center"/>
    </xf>
    <xf numFmtId="10" fontId="50" fillId="0" borderId="15" xfId="0" applyNumberFormat="1" applyFont="1" applyFill="1" applyBorder="1" applyAlignment="1" applyProtection="1">
      <alignment horizontal="center" vertical="center"/>
      <protection locked="0"/>
    </xf>
    <xf numFmtId="0" fontId="88" fillId="3" borderId="60" xfId="0" applyFont="1" applyFill="1" applyBorder="1" applyAlignment="1" applyProtection="1">
      <alignment vertical="center" wrapText="1"/>
    </xf>
    <xf numFmtId="0" fontId="50" fillId="8" borderId="106" xfId="0" applyFont="1" applyFill="1" applyBorder="1" applyAlignment="1" applyProtection="1">
      <alignment horizontal="center" vertical="center"/>
    </xf>
    <xf numFmtId="0" fontId="93" fillId="3" borderId="59" xfId="0" applyFont="1" applyFill="1" applyBorder="1" applyAlignment="1" applyProtection="1">
      <alignment horizontal="left" vertical="center" wrapText="1"/>
    </xf>
    <xf numFmtId="183" fontId="50" fillId="3" borderId="5" xfId="0" applyNumberFormat="1" applyFont="1" applyFill="1" applyBorder="1" applyAlignment="1" applyProtection="1">
      <alignment horizontal="center" vertical="center"/>
    </xf>
    <xf numFmtId="0" fontId="93" fillId="3" borderId="19" xfId="0" applyFont="1" applyFill="1" applyBorder="1" applyAlignment="1" applyProtection="1">
      <alignment horizontal="center" vertical="center"/>
    </xf>
    <xf numFmtId="0" fontId="50" fillId="2" borderId="44" xfId="0" applyFont="1" applyFill="1" applyBorder="1" applyAlignment="1" applyProtection="1">
      <alignment horizontal="center" vertical="center"/>
      <protection locked="0"/>
    </xf>
    <xf numFmtId="0" fontId="94" fillId="3" borderId="0" xfId="0" applyFont="1" applyFill="1" applyAlignment="1" applyProtection="1">
      <alignment vertical="center"/>
    </xf>
    <xf numFmtId="0" fontId="88" fillId="3" borderId="29" xfId="0" applyFont="1" applyFill="1" applyBorder="1" applyAlignment="1" applyProtection="1">
      <alignment vertical="center" wrapText="1"/>
    </xf>
    <xf numFmtId="0" fontId="50" fillId="2" borderId="0" xfId="0" applyFont="1" applyFill="1" applyAlignment="1" applyProtection="1">
      <alignment horizontal="center" vertical="center"/>
      <protection locked="0"/>
    </xf>
    <xf numFmtId="0" fontId="88" fillId="3" borderId="6" xfId="0" applyFont="1" applyFill="1" applyBorder="1" applyAlignment="1" applyProtection="1">
      <alignment vertical="center" wrapText="1"/>
    </xf>
    <xf numFmtId="0" fontId="50" fillId="3" borderId="10" xfId="0" applyFont="1" applyFill="1" applyBorder="1" applyAlignment="1" applyProtection="1">
      <alignment horizontal="center" vertical="center"/>
    </xf>
    <xf numFmtId="183" fontId="50" fillId="3" borderId="10" xfId="0" applyNumberFormat="1" applyFont="1" applyFill="1" applyBorder="1" applyAlignment="1" applyProtection="1">
      <alignment horizontal="center" vertical="center"/>
    </xf>
    <xf numFmtId="49" fontId="93" fillId="3" borderId="7" xfId="0" applyNumberFormat="1" applyFont="1" applyFill="1" applyBorder="1" applyAlignment="1" applyProtection="1">
      <alignment horizontal="left" vertical="center"/>
    </xf>
    <xf numFmtId="0" fontId="50" fillId="3" borderId="15" xfId="0" applyFont="1" applyFill="1" applyBorder="1" applyAlignment="1" applyProtection="1">
      <alignment horizontal="center" vertical="center"/>
    </xf>
    <xf numFmtId="0" fontId="93" fillId="3" borderId="7" xfId="0" applyFont="1" applyFill="1" applyBorder="1" applyAlignment="1" applyProtection="1">
      <alignment horizontal="center" vertical="center"/>
    </xf>
    <xf numFmtId="0" fontId="88" fillId="3" borderId="1" xfId="0" applyFont="1" applyFill="1" applyBorder="1" applyAlignment="1" applyProtection="1"/>
    <xf numFmtId="0" fontId="88" fillId="3" borderId="1" xfId="0" applyFont="1" applyFill="1" applyBorder="1" applyAlignment="1" applyProtection="1">
      <alignment horizontal="center"/>
    </xf>
    <xf numFmtId="0" fontId="88" fillId="3" borderId="1" xfId="0" applyFont="1" applyFill="1" applyBorder="1" applyAlignment="1" applyProtection="1">
      <alignment horizontal="center" vertical="center"/>
    </xf>
    <xf numFmtId="9" fontId="50" fillId="3" borderId="1" xfId="0" applyNumberFormat="1" applyFont="1" applyFill="1" applyBorder="1" applyAlignment="1" applyProtection="1">
      <alignment horizontal="center" vertical="center"/>
    </xf>
    <xf numFmtId="0" fontId="31" fillId="6" borderId="0" xfId="0" applyFont="1" applyFill="1" applyAlignment="1" applyProtection="1">
      <alignment horizontal="center" vertical="center"/>
      <protection locked="0"/>
    </xf>
    <xf numFmtId="0" fontId="72" fillId="6" borderId="0" xfId="0" applyFont="1" applyFill="1" applyAlignment="1" applyProtection="1">
      <alignment horizontal="center" vertical="center"/>
      <protection locked="0"/>
    </xf>
    <xf numFmtId="0" fontId="89" fillId="3" borderId="100" xfId="0" applyFont="1" applyFill="1" applyBorder="1" applyAlignment="1" applyProtection="1">
      <alignment horizontal="center" vertical="center" wrapText="1"/>
    </xf>
    <xf numFmtId="0" fontId="90" fillId="3" borderId="67" xfId="0" applyFont="1" applyFill="1" applyBorder="1" applyAlignment="1" applyProtection="1">
      <alignment horizontal="center" vertical="center" wrapText="1"/>
    </xf>
    <xf numFmtId="10" fontId="90" fillId="3" borderId="67" xfId="0" applyNumberFormat="1" applyFont="1" applyFill="1" applyBorder="1" applyAlignment="1" applyProtection="1">
      <alignment horizontal="center" vertical="center" wrapText="1"/>
    </xf>
    <xf numFmtId="0" fontId="90" fillId="3" borderId="67" xfId="0" applyFont="1" applyFill="1" applyBorder="1" applyAlignment="1" applyProtection="1">
      <alignment vertical="center"/>
    </xf>
    <xf numFmtId="0" fontId="81" fillId="3" borderId="1" xfId="0" applyFont="1" applyFill="1" applyBorder="1" applyAlignment="1" applyProtection="1">
      <alignment horizontal="left" vertical="center" wrapText="1"/>
    </xf>
    <xf numFmtId="0" fontId="20" fillId="3" borderId="12" xfId="0" applyFont="1" applyFill="1" applyBorder="1" applyAlignment="1" applyProtection="1">
      <alignment horizontal="center" vertical="center" wrapText="1"/>
    </xf>
    <xf numFmtId="0" fontId="20" fillId="3" borderId="46" xfId="0" applyFont="1" applyFill="1" applyBorder="1" applyAlignment="1" applyProtection="1">
      <alignment horizontal="center" vertical="center" wrapText="1"/>
    </xf>
    <xf numFmtId="0" fontId="95" fillId="3" borderId="67" xfId="0" applyFont="1" applyFill="1" applyBorder="1" applyAlignment="1" applyProtection="1">
      <alignment vertical="center"/>
    </xf>
    <xf numFmtId="192" fontId="90" fillId="3" borderId="67" xfId="0" applyNumberFormat="1" applyFont="1" applyFill="1" applyBorder="1" applyAlignment="1" applyProtection="1">
      <alignment horizontal="center" vertical="center" wrapText="1"/>
    </xf>
    <xf numFmtId="0" fontId="96" fillId="3" borderId="67" xfId="0" applyFont="1" applyFill="1" applyBorder="1" applyAlignment="1" applyProtection="1">
      <alignment vertical="center"/>
    </xf>
    <xf numFmtId="49" fontId="50" fillId="0" borderId="0" xfId="0" applyNumberFormat="1" applyFont="1" applyFill="1" applyAlignment="1" applyProtection="1">
      <alignment vertical="center"/>
      <protection locked="0"/>
    </xf>
    <xf numFmtId="49" fontId="39" fillId="3" borderId="89" xfId="0" applyNumberFormat="1" applyFont="1" applyFill="1" applyBorder="1" applyAlignment="1" applyProtection="1"/>
    <xf numFmtId="179" fontId="38" fillId="3" borderId="89" xfId="0" applyNumberFormat="1" applyFont="1" applyFill="1" applyBorder="1" applyAlignment="1" applyProtection="1"/>
    <xf numFmtId="0" fontId="31" fillId="3" borderId="0" xfId="0" applyFont="1" applyFill="1" applyAlignment="1" applyProtection="1">
      <alignment vertical="center"/>
    </xf>
    <xf numFmtId="49" fontId="40" fillId="3" borderId="1" xfId="5" applyNumberFormat="1" applyFont="1" applyFill="1" applyBorder="1" applyAlignment="1" applyProtection="1">
      <alignment vertical="center"/>
    </xf>
    <xf numFmtId="0" fontId="50" fillId="3" borderId="0" xfId="0" applyFont="1" applyFill="1" applyBorder="1" applyAlignment="1" applyProtection="1">
      <alignment vertical="center"/>
    </xf>
    <xf numFmtId="0" fontId="50" fillId="3" borderId="0" xfId="0" applyFont="1" applyFill="1" applyBorder="1" applyAlignment="1" applyProtection="1">
      <alignment vertical="center"/>
      <protection locked="0"/>
    </xf>
    <xf numFmtId="49" fontId="40" fillId="3" borderId="0" xfId="0" applyNumberFormat="1" applyFont="1" applyFill="1" applyBorder="1" applyAlignment="1" applyProtection="1">
      <protection locked="0"/>
    </xf>
    <xf numFmtId="179" fontId="40" fillId="3" borderId="0" xfId="0" applyNumberFormat="1" applyFont="1" applyFill="1" applyBorder="1" applyAlignment="1" applyProtection="1"/>
    <xf numFmtId="49" fontId="54" fillId="3" borderId="1" xfId="5" applyNumberFormat="1" applyFont="1" applyFill="1" applyBorder="1" applyAlignment="1" applyProtection="1">
      <alignment vertical="center"/>
    </xf>
    <xf numFmtId="0" fontId="29" fillId="3" borderId="1" xfId="0" applyFont="1" applyFill="1" applyBorder="1" applyAlignment="1" applyProtection="1">
      <alignment horizontal="right" vertical="center"/>
    </xf>
    <xf numFmtId="49" fontId="41" fillId="3" borderId="35" xfId="0" applyNumberFormat="1" applyFont="1" applyFill="1" applyBorder="1" applyAlignment="1" applyProtection="1">
      <alignment vertical="center"/>
    </xf>
    <xf numFmtId="0" fontId="40" fillId="3" borderId="3" xfId="0" applyFont="1" applyFill="1" applyBorder="1" applyAlignment="1" applyProtection="1">
      <alignment vertical="center"/>
    </xf>
    <xf numFmtId="0" fontId="31" fillId="3" borderId="0" xfId="0" applyFont="1" applyFill="1" applyAlignment="1" applyProtection="1">
      <alignment horizontal="center" vertical="center"/>
    </xf>
    <xf numFmtId="49" fontId="40" fillId="3" borderId="0" xfId="5" applyNumberFormat="1" applyFont="1" applyFill="1" applyBorder="1" applyAlignment="1" applyProtection="1">
      <alignment vertical="center"/>
    </xf>
    <xf numFmtId="49" fontId="20" fillId="3" borderId="69" xfId="0" applyNumberFormat="1" applyFont="1" applyFill="1" applyBorder="1" applyAlignment="1" applyProtection="1">
      <alignment horizontal="center" vertical="center"/>
    </xf>
    <xf numFmtId="0" fontId="20" fillId="3" borderId="41" xfId="0" applyFont="1" applyFill="1" applyBorder="1" applyAlignment="1" applyProtection="1">
      <alignment horizontal="center" vertical="center"/>
    </xf>
    <xf numFmtId="0" fontId="25" fillId="3" borderId="58" xfId="0" applyFont="1" applyFill="1" applyBorder="1" applyAlignment="1" applyProtection="1">
      <alignment horizontal="center" vertical="center"/>
    </xf>
    <xf numFmtId="0" fontId="20" fillId="3" borderId="58" xfId="0" applyFont="1" applyFill="1" applyBorder="1" applyAlignment="1" applyProtection="1">
      <alignment vertical="center"/>
    </xf>
    <xf numFmtId="0" fontId="20" fillId="3" borderId="11" xfId="0" applyFont="1" applyFill="1" applyBorder="1" applyAlignment="1" applyProtection="1">
      <alignment horizontal="left" vertical="center"/>
    </xf>
    <xf numFmtId="0" fontId="25" fillId="3" borderId="74" xfId="0" applyFont="1" applyFill="1" applyBorder="1" applyAlignment="1" applyProtection="1">
      <alignment horizontal="center" vertical="center"/>
    </xf>
    <xf numFmtId="0" fontId="20" fillId="3" borderId="74" xfId="0" applyFont="1" applyFill="1" applyBorder="1" applyAlignment="1" applyProtection="1">
      <alignment vertical="center"/>
    </xf>
    <xf numFmtId="49" fontId="20" fillId="3" borderId="6" xfId="0" applyNumberFormat="1" applyFont="1" applyFill="1" applyBorder="1" applyAlignment="1" applyProtection="1">
      <alignment horizontal="left" vertical="center"/>
    </xf>
    <xf numFmtId="0" fontId="72" fillId="3" borderId="0" xfId="0" applyFont="1" applyFill="1" applyAlignment="1" applyProtection="1">
      <alignment vertical="center"/>
    </xf>
    <xf numFmtId="49" fontId="20" fillId="3" borderId="9" xfId="0" applyNumberFormat="1" applyFont="1" applyFill="1" applyBorder="1" applyAlignment="1" applyProtection="1">
      <alignment horizontal="left" vertical="center"/>
    </xf>
    <xf numFmtId="49" fontId="20" fillId="3" borderId="3" xfId="0" applyNumberFormat="1" applyFont="1" applyFill="1" applyBorder="1" applyAlignment="1" applyProtection="1">
      <alignment vertical="center"/>
    </xf>
    <xf numFmtId="49" fontId="20" fillId="3" borderId="29" xfId="0" applyNumberFormat="1" applyFont="1" applyFill="1" applyBorder="1" applyAlignment="1" applyProtection="1">
      <alignment horizontal="left" vertical="center"/>
    </xf>
    <xf numFmtId="49" fontId="20" fillId="3" borderId="104" xfId="0" applyNumberFormat="1" applyFont="1" applyFill="1" applyBorder="1" applyAlignment="1" applyProtection="1">
      <alignment horizontal="left" vertical="center"/>
    </xf>
    <xf numFmtId="49" fontId="20" fillId="3" borderId="22" xfId="0" applyNumberFormat="1" applyFont="1" applyFill="1" applyBorder="1" applyAlignment="1" applyProtection="1">
      <alignment vertical="center"/>
    </xf>
    <xf numFmtId="0" fontId="32" fillId="3" borderId="0" xfId="0" applyFont="1" applyFill="1" applyBorder="1" applyAlignment="1" applyProtection="1">
      <alignment horizontal="center"/>
    </xf>
    <xf numFmtId="0" fontId="32" fillId="3" borderId="0" xfId="0" applyFont="1" applyFill="1" applyBorder="1" applyAlignment="1" applyProtection="1"/>
    <xf numFmtId="0" fontId="32" fillId="3" borderId="48" xfId="0" applyFont="1" applyFill="1" applyBorder="1" applyAlignment="1" applyProtection="1"/>
    <xf numFmtId="0" fontId="25" fillId="3" borderId="11" xfId="0" applyFont="1" applyFill="1" applyBorder="1" applyAlignment="1" applyProtection="1">
      <alignment horizontal="center" vertical="center"/>
    </xf>
    <xf numFmtId="0" fontId="32" fillId="3" borderId="9" xfId="0" applyFont="1" applyFill="1" applyBorder="1" applyAlignment="1" applyProtection="1"/>
    <xf numFmtId="0" fontId="46" fillId="3" borderId="9" xfId="0" applyFont="1" applyFill="1" applyBorder="1" applyAlignment="1" applyProtection="1"/>
    <xf numFmtId="10" fontId="25" fillId="3" borderId="57" xfId="0" applyNumberFormat="1" applyFont="1" applyFill="1" applyBorder="1" applyAlignment="1" applyProtection="1">
      <alignment horizontal="center"/>
    </xf>
    <xf numFmtId="0" fontId="32" fillId="3" borderId="10" xfId="0" applyFont="1" applyFill="1" applyBorder="1" applyAlignment="1" applyProtection="1">
      <alignment horizontal="center"/>
    </xf>
    <xf numFmtId="0" fontId="32" fillId="3" borderId="10" xfId="0" applyFont="1" applyFill="1" applyBorder="1" applyAlignment="1" applyProtection="1"/>
    <xf numFmtId="0" fontId="32" fillId="3" borderId="12" xfId="0" applyFont="1" applyFill="1" applyBorder="1" applyAlignment="1" applyProtection="1"/>
    <xf numFmtId="0" fontId="32" fillId="3" borderId="46" xfId="0" applyFont="1" applyFill="1" applyBorder="1" applyAlignment="1" applyProtection="1"/>
    <xf numFmtId="0" fontId="25" fillId="3" borderId="9" xfId="0" applyNumberFormat="1" applyFont="1" applyFill="1" applyBorder="1" applyAlignment="1" applyProtection="1">
      <alignment horizontal="center" vertical="center"/>
    </xf>
    <xf numFmtId="0" fontId="32" fillId="3" borderId="35" xfId="0" applyFont="1" applyFill="1" applyBorder="1" applyAlignment="1" applyProtection="1"/>
    <xf numFmtId="183" fontId="25" fillId="3" borderId="72" xfId="0" applyNumberFormat="1" applyFont="1" applyFill="1" applyBorder="1" applyAlignment="1" applyProtection="1">
      <alignment horizontal="center" vertical="center"/>
    </xf>
    <xf numFmtId="49" fontId="20" fillId="3" borderId="76" xfId="0" applyNumberFormat="1" applyFont="1" applyFill="1" applyBorder="1" applyAlignment="1" applyProtection="1">
      <alignment horizontal="left" vertical="center"/>
    </xf>
    <xf numFmtId="0" fontId="50" fillId="3" borderId="80" xfId="0" applyFont="1" applyFill="1" applyBorder="1" applyAlignment="1" applyProtection="1">
      <alignment vertical="center"/>
    </xf>
    <xf numFmtId="0" fontId="32" fillId="3" borderId="80" xfId="0" applyFont="1" applyFill="1" applyBorder="1" applyAlignment="1" applyProtection="1">
      <alignment horizontal="center"/>
    </xf>
    <xf numFmtId="0" fontId="32" fillId="3" borderId="80" xfId="0" applyFont="1" applyFill="1" applyBorder="1" applyAlignment="1" applyProtection="1"/>
    <xf numFmtId="0" fontId="77" fillId="3" borderId="8" xfId="0" applyFont="1" applyFill="1" applyBorder="1" applyAlignment="1" applyProtection="1">
      <alignment horizontal="left" vertical="center"/>
    </xf>
    <xf numFmtId="49" fontId="32" fillId="6" borderId="0" xfId="0" applyNumberFormat="1" applyFont="1" applyFill="1" applyAlignment="1" applyProtection="1">
      <protection locked="0"/>
    </xf>
    <xf numFmtId="193" fontId="32" fillId="6" borderId="0" xfId="0" applyNumberFormat="1" applyFont="1" applyFill="1" applyAlignment="1" applyProtection="1">
      <alignment horizontal="center"/>
      <protection locked="0"/>
    </xf>
    <xf numFmtId="0" fontId="32" fillId="6" borderId="0" xfId="0" applyFont="1" applyFill="1" applyBorder="1" applyAlignment="1" applyProtection="1">
      <protection locked="0"/>
    </xf>
    <xf numFmtId="0" fontId="21" fillId="6" borderId="0" xfId="0" applyFont="1" applyFill="1" applyBorder="1" applyAlignment="1" applyProtection="1">
      <alignment horizontal="left" vertical="center"/>
      <protection locked="0"/>
    </xf>
    <xf numFmtId="0" fontId="21" fillId="6" borderId="0" xfId="0" applyFont="1" applyFill="1" applyBorder="1" applyAlignment="1" applyProtection="1">
      <alignment vertical="center" wrapText="1"/>
      <protection locked="0"/>
    </xf>
    <xf numFmtId="10" fontId="21" fillId="6" borderId="0" xfId="0" applyNumberFormat="1" applyFont="1" applyFill="1" applyBorder="1" applyAlignment="1" applyProtection="1">
      <alignment horizontal="center"/>
      <protection locked="0"/>
    </xf>
    <xf numFmtId="0" fontId="23" fillId="6" borderId="0" xfId="0" applyFont="1" applyFill="1" applyBorder="1" applyAlignment="1" applyProtection="1">
      <alignment horizontal="center"/>
      <protection locked="0"/>
    </xf>
    <xf numFmtId="49" fontId="50" fillId="6" borderId="0" xfId="0" applyNumberFormat="1" applyFont="1" applyFill="1" applyAlignment="1" applyProtection="1">
      <alignment vertical="center"/>
      <protection locked="0"/>
    </xf>
    <xf numFmtId="183" fontId="25" fillId="3" borderId="9" xfId="0" applyNumberFormat="1" applyFont="1" applyFill="1" applyBorder="1" applyAlignment="1" applyProtection="1">
      <alignment horizontal="center" vertical="center"/>
    </xf>
    <xf numFmtId="0" fontId="20" fillId="3" borderId="81" xfId="0" applyFont="1" applyFill="1" applyBorder="1" applyAlignment="1" applyProtection="1">
      <alignment vertical="center"/>
    </xf>
    <xf numFmtId="0" fontId="81" fillId="3" borderId="8" xfId="0" applyFont="1" applyFill="1" applyBorder="1" applyAlignment="1" applyProtection="1">
      <alignment horizontal="left" vertical="center"/>
    </xf>
    <xf numFmtId="0" fontId="97" fillId="3" borderId="0" xfId="0" applyFont="1" applyFill="1" applyAlignment="1" applyProtection="1">
      <alignment horizontal="left" vertical="center"/>
      <protection locked="0"/>
    </xf>
    <xf numFmtId="0" fontId="50" fillId="3" borderId="0" xfId="0" applyFont="1" applyFill="1" applyAlignment="1" applyProtection="1">
      <alignment horizontal="center" vertical="center"/>
      <protection locked="0"/>
    </xf>
    <xf numFmtId="0" fontId="50" fillId="6" borderId="0" xfId="0" applyFont="1" applyFill="1" applyAlignment="1" applyProtection="1">
      <alignment vertical="center"/>
    </xf>
    <xf numFmtId="0" fontId="50" fillId="6" borderId="0" xfId="0" applyFont="1" applyFill="1" applyAlignment="1" applyProtection="1">
      <alignment horizontal="left" vertical="center"/>
    </xf>
    <xf numFmtId="0" fontId="3" fillId="0" borderId="0" xfId="0" applyFont="1">
      <alignment vertical="center"/>
    </xf>
    <xf numFmtId="49" fontId="99" fillId="3" borderId="59" xfId="0" applyNumberFormat="1" applyFont="1" applyFill="1" applyBorder="1" applyAlignment="1" applyProtection="1"/>
    <xf numFmtId="0" fontId="3" fillId="3" borderId="0" xfId="0" applyFont="1" applyFill="1" applyProtection="1">
      <alignment vertical="center"/>
      <protection locked="0"/>
    </xf>
    <xf numFmtId="0" fontId="3" fillId="0" borderId="0" xfId="0" applyFont="1" applyProtection="1">
      <alignment vertical="center"/>
      <protection locked="0"/>
    </xf>
    <xf numFmtId="0" fontId="100" fillId="3" borderId="1" xfId="0" applyFont="1" applyFill="1" applyBorder="1" applyProtection="1">
      <alignment vertical="center"/>
    </xf>
    <xf numFmtId="0" fontId="3" fillId="3" borderId="1" xfId="0" applyFont="1" applyFill="1" applyBorder="1" applyAlignment="1" applyProtection="1">
      <alignment horizontal="right" vertical="center"/>
    </xf>
    <xf numFmtId="0" fontId="3" fillId="9" borderId="0" xfId="0" applyFont="1" applyFill="1" applyProtection="1">
      <alignment vertical="center"/>
      <protection locked="0"/>
    </xf>
    <xf numFmtId="0" fontId="3" fillId="3" borderId="1" xfId="0" applyFont="1" applyFill="1" applyBorder="1" applyAlignment="1" applyProtection="1">
      <alignment horizontal="center" vertical="center"/>
    </xf>
    <xf numFmtId="0" fontId="100" fillId="9" borderId="0" xfId="0" applyFont="1" applyFill="1" applyProtection="1">
      <alignment vertical="center"/>
      <protection locked="0"/>
    </xf>
    <xf numFmtId="0" fontId="100" fillId="3" borderId="1" xfId="0" applyFont="1" applyFill="1" applyBorder="1" applyAlignment="1" applyProtection="1">
      <alignment horizontal="left" vertical="center" wrapText="1"/>
    </xf>
    <xf numFmtId="0" fontId="3" fillId="3" borderId="1" xfId="0" applyFont="1" applyFill="1" applyBorder="1" applyProtection="1">
      <alignment vertical="center"/>
    </xf>
    <xf numFmtId="0" fontId="3" fillId="5" borderId="9" xfId="0" applyFont="1" applyFill="1" applyBorder="1" applyAlignment="1" applyProtection="1">
      <alignment horizontal="left" vertical="center"/>
      <protection locked="0"/>
    </xf>
    <xf numFmtId="0" fontId="3" fillId="5" borderId="1" xfId="0" applyFont="1" applyFill="1" applyBorder="1" applyAlignment="1" applyProtection="1">
      <alignment horizontal="left" vertical="center"/>
      <protection locked="0"/>
    </xf>
    <xf numFmtId="14" fontId="0" fillId="3" borderId="0" xfId="0" applyNumberFormat="1" applyFill="1">
      <alignment vertical="center"/>
    </xf>
    <xf numFmtId="0" fontId="101" fillId="0" borderId="0" xfId="14" applyNumberFormat="1" applyFont="1" applyAlignment="1" applyProtection="1">
      <alignment vertical="center"/>
    </xf>
    <xf numFmtId="0" fontId="30" fillId="0" borderId="0" xfId="14" applyNumberFormat="1" applyFont="1" applyAlignment="1" applyProtection="1">
      <alignment vertical="center"/>
    </xf>
    <xf numFmtId="0" fontId="30" fillId="0" borderId="113" xfId="14" applyNumberFormat="1" applyFont="1" applyBorder="1" applyAlignment="1" applyProtection="1">
      <alignment horizontal="left" vertical="center"/>
    </xf>
    <xf numFmtId="0" fontId="30" fillId="3" borderId="114" xfId="14" applyNumberFormat="1" applyFont="1" applyFill="1" applyBorder="1" applyAlignment="1" applyProtection="1">
      <alignment horizontal="left" vertical="center"/>
    </xf>
    <xf numFmtId="0" fontId="30" fillId="3" borderId="113" xfId="14" applyNumberFormat="1" applyFont="1" applyFill="1" applyBorder="1" applyAlignment="1" applyProtection="1">
      <alignment horizontal="left" vertical="center"/>
    </xf>
    <xf numFmtId="0" fontId="91" fillId="3" borderId="113" xfId="4" applyNumberFormat="1" applyFont="1" applyFill="1" applyBorder="1" applyAlignment="1" applyProtection="1">
      <alignment horizontal="left" vertical="center"/>
    </xf>
    <xf numFmtId="0" fontId="102" fillId="3" borderId="113" xfId="4" applyNumberFormat="1" applyFont="1" applyFill="1" applyBorder="1" applyAlignment="1" applyProtection="1">
      <alignment horizontal="left" vertical="center"/>
    </xf>
    <xf numFmtId="0" fontId="103" fillId="11" borderId="0" xfId="14" applyNumberFormat="1" applyFont="1" applyFill="1" applyAlignment="1" applyProtection="1">
      <alignment horizontal="left" vertical="center"/>
    </xf>
    <xf numFmtId="0" fontId="68" fillId="11" borderId="115" xfId="14" applyNumberFormat="1" applyFont="1" applyFill="1" applyBorder="1" applyAlignment="1" applyProtection="1">
      <alignment horizontal="left" vertical="center"/>
    </xf>
    <xf numFmtId="0" fontId="68" fillId="11" borderId="0" xfId="14" applyNumberFormat="1" applyFont="1" applyFill="1" applyBorder="1" applyAlignment="1" applyProtection="1">
      <alignment horizontal="left" vertical="center"/>
    </xf>
    <xf numFmtId="0" fontId="30" fillId="0" borderId="0" xfId="14" applyNumberFormat="1" applyFont="1" applyFill="1" applyAlignment="1" applyProtection="1">
      <alignment horizontal="left" vertical="center"/>
    </xf>
    <xf numFmtId="0" fontId="30" fillId="0" borderId="115" xfId="14" applyNumberFormat="1" applyFont="1" applyFill="1" applyBorder="1" applyAlignment="1" applyProtection="1">
      <alignment horizontal="left" vertical="center"/>
      <protection locked="0"/>
    </xf>
    <xf numFmtId="0" fontId="30" fillId="0" borderId="0" xfId="14" applyNumberFormat="1" applyFont="1" applyFill="1" applyBorder="1" applyAlignment="1" applyProtection="1">
      <alignment horizontal="left" vertical="center"/>
      <protection locked="0"/>
    </xf>
    <xf numFmtId="49" fontId="21" fillId="3" borderId="1" xfId="14" applyNumberFormat="1" applyFont="1" applyFill="1" applyBorder="1" applyAlignment="1" applyProtection="1">
      <alignment horizontal="left" vertical="center" wrapText="1"/>
    </xf>
    <xf numFmtId="0" fontId="104" fillId="12" borderId="116" xfId="14" applyNumberFormat="1" applyFont="1" applyFill="1" applyBorder="1" applyAlignment="1" applyProtection="1">
      <alignment horizontal="left" vertical="center" wrapText="1"/>
      <protection locked="0"/>
    </xf>
    <xf numFmtId="0" fontId="104" fillId="9" borderId="117" xfId="14" applyNumberFormat="1" applyFont="1" applyFill="1" applyBorder="1" applyAlignment="1" applyProtection="1">
      <alignment horizontal="left" vertical="center" wrapText="1"/>
      <protection locked="0"/>
    </xf>
    <xf numFmtId="0" fontId="104" fillId="9" borderId="118" xfId="14" applyNumberFormat="1" applyFont="1" applyFill="1" applyBorder="1" applyAlignment="1" applyProtection="1">
      <alignment horizontal="left" vertical="center" wrapText="1"/>
      <protection locked="0"/>
    </xf>
    <xf numFmtId="0" fontId="24" fillId="13" borderId="1" xfId="14" applyNumberFormat="1" applyFont="1" applyFill="1" applyBorder="1" applyAlignment="1" applyProtection="1">
      <alignment horizontal="left" vertical="center" wrapText="1"/>
    </xf>
    <xf numFmtId="0" fontId="105" fillId="13" borderId="116" xfId="14" applyNumberFormat="1" applyFont="1" applyFill="1" applyBorder="1" applyAlignment="1" applyProtection="1">
      <alignment horizontal="left" vertical="center" wrapText="1"/>
      <protection locked="0"/>
    </xf>
    <xf numFmtId="0" fontId="105" fillId="13" borderId="117" xfId="14" applyNumberFormat="1" applyFont="1" applyFill="1" applyBorder="1" applyAlignment="1" applyProtection="1">
      <alignment horizontal="left" vertical="center" wrapText="1"/>
      <protection locked="0"/>
    </xf>
    <xf numFmtId="0" fontId="105" fillId="13" borderId="118" xfId="14" applyNumberFormat="1" applyFont="1" applyFill="1" applyBorder="1" applyAlignment="1" applyProtection="1">
      <alignment horizontal="left" vertical="center" wrapText="1"/>
      <protection locked="0"/>
    </xf>
    <xf numFmtId="0" fontId="21" fillId="3" borderId="1" xfId="14" applyNumberFormat="1" applyFont="1" applyFill="1" applyBorder="1" applyAlignment="1" applyProtection="1">
      <alignment horizontal="left" vertical="center" wrapText="1"/>
    </xf>
    <xf numFmtId="0" fontId="21" fillId="8" borderId="119" xfId="14" applyNumberFormat="1" applyFont="1" applyFill="1" applyBorder="1" applyAlignment="1" applyProtection="1">
      <alignment horizontal="left" vertical="center" wrapText="1"/>
    </xf>
    <xf numFmtId="0" fontId="104" fillId="8" borderId="120" xfId="14" applyNumberFormat="1" applyFont="1" applyFill="1" applyBorder="1" applyAlignment="1" applyProtection="1">
      <alignment horizontal="left" vertical="center" wrapText="1"/>
      <protection locked="0"/>
    </xf>
    <xf numFmtId="0" fontId="104" fillId="8" borderId="121" xfId="14" applyNumberFormat="1" applyFont="1" applyFill="1" applyBorder="1" applyAlignment="1" applyProtection="1">
      <alignment horizontal="left" vertical="center" wrapText="1"/>
      <protection locked="0"/>
    </xf>
    <xf numFmtId="0" fontId="104" fillId="8" borderId="122" xfId="14" applyNumberFormat="1" applyFont="1" applyFill="1" applyBorder="1" applyAlignment="1" applyProtection="1">
      <alignment horizontal="left" vertical="center" wrapText="1"/>
      <protection locked="0"/>
    </xf>
    <xf numFmtId="0" fontId="0" fillId="0" borderId="0" xfId="0" applyNumberFormat="1">
      <alignment vertical="center"/>
    </xf>
    <xf numFmtId="0" fontId="106" fillId="0" borderId="0" xfId="14" applyNumberFormat="1" applyFont="1" applyAlignment="1" applyProtection="1">
      <alignment vertical="center"/>
    </xf>
    <xf numFmtId="0" fontId="30" fillId="0" borderId="0" xfId="14" applyNumberFormat="1" applyFont="1" applyAlignment="1" applyProtection="1">
      <alignment horizontal="left" vertical="center"/>
    </xf>
    <xf numFmtId="0" fontId="30" fillId="0" borderId="115" xfId="14" applyNumberFormat="1" applyFont="1" applyFill="1" applyBorder="1" applyAlignment="1" applyProtection="1">
      <alignment horizontal="left" vertical="center"/>
    </xf>
    <xf numFmtId="0" fontId="30" fillId="0" borderId="0" xfId="14" applyNumberFormat="1" applyFont="1" applyFill="1" applyBorder="1" applyAlignment="1" applyProtection="1">
      <alignment horizontal="left" vertical="center"/>
    </xf>
    <xf numFmtId="0" fontId="30" fillId="14" borderId="0" xfId="14" applyNumberFormat="1" applyFont="1" applyFill="1" applyAlignment="1" applyProtection="1">
      <alignment horizontal="left" vertical="center"/>
    </xf>
    <xf numFmtId="0" fontId="30" fillId="14" borderId="113" xfId="14" applyNumberFormat="1" applyFont="1" applyFill="1" applyBorder="1" applyAlignment="1" applyProtection="1">
      <alignment horizontal="left" vertical="center"/>
    </xf>
    <xf numFmtId="0" fontId="68" fillId="14" borderId="0" xfId="14" applyNumberFormat="1" applyFont="1" applyFill="1" applyAlignment="1" applyProtection="1">
      <alignment horizontal="left" vertical="center"/>
    </xf>
    <xf numFmtId="10" fontId="68" fillId="11" borderId="115" xfId="14" applyNumberFormat="1" applyFont="1" applyFill="1" applyBorder="1" applyAlignment="1" applyProtection="1">
      <alignment horizontal="left" vertical="center"/>
    </xf>
    <xf numFmtId="10" fontId="68" fillId="11" borderId="0" xfId="14" applyNumberFormat="1" applyFont="1" applyFill="1" applyAlignment="1" applyProtection="1">
      <alignment horizontal="left" vertical="center"/>
    </xf>
    <xf numFmtId="10" fontId="30" fillId="0" borderId="115" xfId="14" applyNumberFormat="1" applyFont="1" applyFill="1" applyBorder="1" applyAlignment="1" applyProtection="1">
      <alignment horizontal="left" vertical="center"/>
    </xf>
    <xf numFmtId="10" fontId="30" fillId="0" borderId="0" xfId="14" applyNumberFormat="1" applyFont="1" applyFill="1" applyAlignment="1" applyProtection="1">
      <alignment horizontal="left" vertical="center"/>
    </xf>
    <xf numFmtId="0" fontId="104" fillId="9" borderId="123" xfId="14" applyNumberFormat="1" applyFont="1" applyFill="1" applyBorder="1" applyAlignment="1" applyProtection="1">
      <alignment horizontal="left" vertical="center" wrapText="1"/>
      <protection locked="0"/>
    </xf>
    <xf numFmtId="0" fontId="69" fillId="14" borderId="0" xfId="14" applyNumberFormat="1" applyFont="1" applyFill="1" applyAlignment="1" applyProtection="1">
      <alignment horizontal="left" vertical="center"/>
    </xf>
    <xf numFmtId="10" fontId="69" fillId="0" borderId="115" xfId="14" applyNumberFormat="1" applyFont="1" applyBorder="1" applyAlignment="1" applyProtection="1">
      <alignment horizontal="left" vertical="center"/>
    </xf>
    <xf numFmtId="10" fontId="69" fillId="0" borderId="0" xfId="14" applyNumberFormat="1" applyFont="1" applyAlignment="1" applyProtection="1">
      <alignment horizontal="left" vertical="center"/>
    </xf>
    <xf numFmtId="0" fontId="105" fillId="13" borderId="123" xfId="14" applyNumberFormat="1" applyFont="1" applyFill="1" applyBorder="1" applyAlignment="1" applyProtection="1">
      <alignment horizontal="left" vertical="center" wrapText="1"/>
      <protection locked="0"/>
    </xf>
    <xf numFmtId="0" fontId="30" fillId="13" borderId="0" xfId="14" applyNumberFormat="1" applyFont="1" applyFill="1" applyAlignment="1" applyProtection="1">
      <alignment horizontal="left" vertical="center"/>
    </xf>
    <xf numFmtId="10" fontId="30" fillId="13" borderId="115" xfId="14" applyNumberFormat="1" applyFont="1" applyFill="1" applyBorder="1" applyAlignment="1" applyProtection="1">
      <alignment horizontal="left" vertical="center"/>
    </xf>
    <xf numFmtId="10" fontId="30" fillId="13" borderId="0" xfId="14" applyNumberFormat="1" applyFont="1" applyFill="1" applyAlignment="1" applyProtection="1">
      <alignment horizontal="left" vertical="center"/>
    </xf>
    <xf numFmtId="0" fontId="104" fillId="8" borderId="124" xfId="14" applyNumberFormat="1" applyFont="1" applyFill="1" applyBorder="1" applyAlignment="1" applyProtection="1">
      <alignment horizontal="left" vertical="center" wrapText="1"/>
      <protection locked="0"/>
    </xf>
    <xf numFmtId="0" fontId="69" fillId="14" borderId="125" xfId="14" applyNumberFormat="1" applyFont="1" applyFill="1" applyBorder="1" applyAlignment="1" applyProtection="1">
      <alignment horizontal="left" vertical="center"/>
    </xf>
    <xf numFmtId="10" fontId="69" fillId="8" borderId="126" xfId="14" applyNumberFormat="1" applyFont="1" applyFill="1" applyBorder="1" applyAlignment="1" applyProtection="1">
      <alignment horizontal="left" vertical="center"/>
    </xf>
    <xf numFmtId="10" fontId="69" fillId="8" borderId="125" xfId="14" applyNumberFormat="1" applyFont="1" applyFill="1" applyBorder="1" applyAlignment="1" applyProtection="1">
      <alignment horizontal="left" vertical="center"/>
    </xf>
    <xf numFmtId="0" fontId="3" fillId="0" borderId="0" xfId="0" applyNumberFormat="1" applyFont="1">
      <alignment vertical="center"/>
    </xf>
    <xf numFmtId="0" fontId="26" fillId="11" borderId="0" xfId="14" applyNumberFormat="1" applyFont="1" applyFill="1" applyAlignment="1" applyProtection="1">
      <alignment horizontal="left" vertical="center"/>
    </xf>
    <xf numFmtId="0" fontId="26" fillId="11" borderId="127" xfId="14" applyNumberFormat="1" applyFont="1" applyFill="1" applyBorder="1" applyAlignment="1" applyProtection="1">
      <alignment horizontal="left" vertical="center"/>
    </xf>
    <xf numFmtId="0" fontId="69" fillId="0" borderId="0" xfId="14" applyNumberFormat="1" applyFont="1" applyAlignment="1" applyProtection="1">
      <alignment horizontal="left" vertical="center"/>
    </xf>
    <xf numFmtId="0" fontId="69" fillId="0" borderId="127" xfId="14" applyNumberFormat="1" applyFont="1" applyBorder="1" applyAlignment="1" applyProtection="1">
      <alignment horizontal="left" vertical="center"/>
    </xf>
    <xf numFmtId="0" fontId="69" fillId="0" borderId="128" xfId="14" applyNumberFormat="1" applyFont="1" applyBorder="1" applyAlignment="1" applyProtection="1">
      <alignment horizontal="left" vertical="center"/>
    </xf>
    <xf numFmtId="0" fontId="69" fillId="0" borderId="129" xfId="14" applyNumberFormat="1" applyFont="1" applyBorder="1" applyAlignment="1" applyProtection="1">
      <alignment horizontal="left" vertical="center"/>
    </xf>
    <xf numFmtId="0" fontId="69" fillId="0" borderId="0" xfId="14" applyNumberFormat="1" applyFont="1" applyFill="1" applyAlignment="1" applyProtection="1">
      <alignment horizontal="left" vertical="center"/>
    </xf>
    <xf numFmtId="0" fontId="69" fillId="8" borderId="125" xfId="14" applyNumberFormat="1" applyFont="1" applyFill="1" applyBorder="1" applyAlignment="1" applyProtection="1">
      <alignment horizontal="left" vertical="center"/>
    </xf>
    <xf numFmtId="10" fontId="26" fillId="11" borderId="0" xfId="14" applyNumberFormat="1" applyFont="1" applyFill="1" applyAlignment="1" applyProtection="1">
      <alignment horizontal="left" vertical="center"/>
    </xf>
    <xf numFmtId="10" fontId="26" fillId="11" borderId="127" xfId="14" applyNumberFormat="1" applyFont="1" applyFill="1" applyBorder="1" applyAlignment="1" applyProtection="1">
      <alignment horizontal="left" vertical="center"/>
    </xf>
    <xf numFmtId="10" fontId="26" fillId="11" borderId="128" xfId="14" applyNumberFormat="1" applyFont="1" applyFill="1" applyBorder="1" applyAlignment="1" applyProtection="1">
      <alignment horizontal="left" vertical="center"/>
    </xf>
    <xf numFmtId="10" fontId="26" fillId="11" borderId="129" xfId="14" applyNumberFormat="1" applyFont="1" applyFill="1" applyBorder="1" applyAlignment="1" applyProtection="1">
      <alignment horizontal="left" vertical="center"/>
    </xf>
    <xf numFmtId="10" fontId="69" fillId="0" borderId="127" xfId="14" applyNumberFormat="1" applyFont="1" applyBorder="1" applyAlignment="1" applyProtection="1">
      <alignment horizontal="left" vertical="center"/>
    </xf>
    <xf numFmtId="10" fontId="69" fillId="0" borderId="128" xfId="14" applyNumberFormat="1" applyFont="1" applyBorder="1" applyAlignment="1" applyProtection="1">
      <alignment horizontal="left" vertical="center"/>
    </xf>
    <xf numFmtId="10" fontId="69" fillId="0" borderId="129" xfId="14" applyNumberFormat="1" applyFont="1" applyBorder="1" applyAlignment="1" applyProtection="1">
      <alignment horizontal="left" vertical="center"/>
    </xf>
    <xf numFmtId="10" fontId="69" fillId="0" borderId="0" xfId="14" applyNumberFormat="1" applyFont="1" applyFill="1" applyAlignment="1" applyProtection="1">
      <alignment horizontal="left" vertical="center"/>
    </xf>
    <xf numFmtId="10" fontId="69" fillId="0" borderId="127" xfId="14" applyNumberFormat="1" applyFont="1" applyFill="1" applyBorder="1" applyAlignment="1" applyProtection="1">
      <alignment horizontal="left" vertical="center"/>
    </xf>
    <xf numFmtId="10" fontId="69" fillId="0" borderId="129" xfId="14" applyNumberFormat="1" applyFont="1" applyFill="1" applyBorder="1" applyAlignment="1" applyProtection="1">
      <alignment horizontal="left" vertical="center"/>
    </xf>
    <xf numFmtId="10" fontId="69" fillId="0" borderId="128" xfId="14" applyNumberFormat="1" applyFont="1" applyFill="1" applyBorder="1" applyAlignment="1" applyProtection="1">
      <alignment horizontal="left" vertical="center"/>
    </xf>
    <xf numFmtId="10" fontId="30" fillId="13" borderId="127" xfId="14" applyNumberFormat="1" applyFont="1" applyFill="1" applyBorder="1" applyAlignment="1" applyProtection="1">
      <alignment horizontal="left" vertical="center"/>
    </xf>
    <xf numFmtId="10" fontId="30" fillId="13" borderId="128" xfId="14" applyNumberFormat="1" applyFont="1" applyFill="1" applyBorder="1" applyAlignment="1" applyProtection="1">
      <alignment horizontal="left" vertical="center"/>
    </xf>
    <xf numFmtId="10" fontId="30" fillId="13" borderId="129" xfId="14" applyNumberFormat="1" applyFont="1" applyFill="1" applyBorder="1" applyAlignment="1" applyProtection="1">
      <alignment horizontal="left" vertical="center"/>
    </xf>
    <xf numFmtId="10" fontId="69" fillId="8" borderId="130" xfId="14" applyNumberFormat="1" applyFont="1" applyFill="1" applyBorder="1" applyAlignment="1" applyProtection="1">
      <alignment horizontal="left" vertical="center"/>
    </xf>
    <xf numFmtId="10" fontId="69" fillId="8" borderId="131" xfId="14" applyNumberFormat="1" applyFont="1" applyFill="1" applyBorder="1" applyAlignment="1" applyProtection="1">
      <alignment horizontal="left" vertical="center"/>
    </xf>
    <xf numFmtId="10" fontId="69" fillId="8" borderId="132" xfId="14" applyNumberFormat="1" applyFont="1" applyFill="1" applyBorder="1" applyAlignment="1" applyProtection="1">
      <alignment horizontal="left" vertical="center"/>
    </xf>
    <xf numFmtId="0" fontId="30" fillId="0" borderId="0" xfId="13" applyFont="1" applyAlignment="1">
      <alignment horizontal="left" vertical="center"/>
    </xf>
    <xf numFmtId="0" fontId="30" fillId="0" borderId="113" xfId="13" applyFont="1" applyBorder="1" applyAlignment="1">
      <alignment horizontal="left" vertical="center"/>
    </xf>
    <xf numFmtId="0" fontId="30" fillId="11" borderId="0" xfId="13" applyFont="1" applyFill="1" applyAlignment="1">
      <alignment horizontal="left" vertical="center"/>
    </xf>
    <xf numFmtId="0" fontId="30" fillId="0" borderId="0" xfId="13" applyFont="1" applyFill="1" applyAlignment="1">
      <alignment horizontal="left" vertical="center"/>
    </xf>
    <xf numFmtId="0" fontId="107" fillId="15" borderId="0" xfId="13" applyFont="1" applyFill="1" applyAlignment="1">
      <alignment horizontal="left" vertical="center"/>
    </xf>
    <xf numFmtId="0" fontId="69" fillId="2" borderId="0" xfId="13" applyFont="1" applyFill="1" applyAlignment="1">
      <alignment horizontal="left" vertical="center"/>
    </xf>
    <xf numFmtId="0" fontId="69" fillId="0" borderId="17" xfId="13" applyFont="1" applyBorder="1" applyAlignment="1">
      <alignment horizontal="left" vertical="center"/>
    </xf>
    <xf numFmtId="0" fontId="92" fillId="0" borderId="0" xfId="13" applyFont="1" applyAlignment="1">
      <alignment horizontal="left" vertical="center"/>
    </xf>
    <xf numFmtId="0" fontId="69" fillId="0" borderId="0" xfId="13" applyFont="1" applyAlignment="1">
      <alignment horizontal="left" vertical="center"/>
    </xf>
    <xf numFmtId="0" fontId="69" fillId="0" borderId="115" xfId="13" applyFont="1" applyBorder="1" applyAlignment="1">
      <alignment horizontal="left" vertical="center"/>
    </xf>
    <xf numFmtId="0" fontId="91" fillId="3" borderId="113" xfId="4" applyFont="1" applyFill="1" applyBorder="1" applyAlignment="1" applyProtection="1">
      <alignment horizontal="left" vertical="center"/>
    </xf>
    <xf numFmtId="0" fontId="102" fillId="3" borderId="113" xfId="4" applyFont="1" applyFill="1" applyBorder="1" applyAlignment="1" applyProtection="1">
      <alignment horizontal="left" vertical="center"/>
    </xf>
    <xf numFmtId="0" fontId="30" fillId="0" borderId="114" xfId="13" applyFont="1" applyBorder="1" applyAlignment="1">
      <alignment horizontal="left" vertical="center"/>
    </xf>
    <xf numFmtId="0" fontId="6" fillId="11" borderId="0" xfId="14" applyFont="1" applyFill="1" applyAlignment="1">
      <alignment horizontal="left" vertical="center"/>
    </xf>
    <xf numFmtId="0" fontId="51" fillId="11" borderId="0" xfId="4" applyFont="1" applyFill="1" applyAlignment="1" applyProtection="1">
      <alignment horizontal="left" vertical="center"/>
    </xf>
    <xf numFmtId="0" fontId="102" fillId="11" borderId="0" xfId="4" applyFont="1" applyFill="1" applyAlignment="1" applyProtection="1">
      <alignment horizontal="left" vertical="center"/>
    </xf>
    <xf numFmtId="0" fontId="30" fillId="11" borderId="115" xfId="13" applyFont="1" applyFill="1" applyBorder="1" applyAlignment="1">
      <alignment horizontal="left" vertical="center"/>
    </xf>
    <xf numFmtId="0" fontId="30" fillId="11" borderId="0" xfId="13" applyFont="1" applyFill="1" applyBorder="1" applyAlignment="1">
      <alignment horizontal="left" vertical="center"/>
    </xf>
    <xf numFmtId="0" fontId="51" fillId="0" borderId="0" xfId="4" applyFont="1" applyFill="1" applyAlignment="1" applyProtection="1">
      <alignment horizontal="left" vertical="center"/>
    </xf>
    <xf numFmtId="0" fontId="102" fillId="0" borderId="0" xfId="4" applyFont="1" applyFill="1" applyAlignment="1" applyProtection="1">
      <alignment horizontal="left" vertical="center"/>
    </xf>
    <xf numFmtId="0" fontId="30" fillId="0" borderId="115" xfId="13" applyFont="1" applyFill="1" applyBorder="1" applyAlignment="1">
      <alignment horizontal="left" vertical="center"/>
    </xf>
    <xf numFmtId="0" fontId="30" fillId="0" borderId="0" xfId="13" applyFont="1" applyFill="1" applyBorder="1" applyAlignment="1">
      <alignment horizontal="left" vertical="center"/>
    </xf>
    <xf numFmtId="49" fontId="21" fillId="3" borderId="1" xfId="13" applyNumberFormat="1" applyFont="1" applyFill="1" applyBorder="1" applyAlignment="1" applyProtection="1">
      <alignment horizontal="left" vertical="center" wrapText="1"/>
    </xf>
    <xf numFmtId="184" fontId="69" fillId="0" borderId="0" xfId="13" applyNumberFormat="1" applyFont="1" applyAlignment="1">
      <alignment horizontal="left" vertical="center"/>
    </xf>
    <xf numFmtId="0" fontId="104" fillId="9" borderId="117" xfId="13" applyFont="1" applyFill="1" applyBorder="1" applyAlignment="1" applyProtection="1">
      <alignment horizontal="left" vertical="center" wrapText="1"/>
    </xf>
    <xf numFmtId="0" fontId="104" fillId="12" borderId="133" xfId="13" applyFont="1" applyFill="1" applyBorder="1" applyAlignment="1" applyProtection="1">
      <alignment horizontal="left" vertical="center" wrapText="1"/>
    </xf>
    <xf numFmtId="184" fontId="30" fillId="12" borderId="133" xfId="14" applyNumberFormat="1" applyFont="1" applyFill="1" applyBorder="1" applyAlignment="1" applyProtection="1">
      <alignment horizontal="left" vertical="center" wrapText="1"/>
    </xf>
    <xf numFmtId="184" fontId="30" fillId="12" borderId="134" xfId="14" applyNumberFormat="1" applyFont="1" applyFill="1" applyBorder="1" applyAlignment="1" applyProtection="1">
      <alignment horizontal="left" vertical="center" wrapText="1"/>
    </xf>
    <xf numFmtId="0" fontId="104" fillId="12" borderId="117" xfId="13" applyFont="1" applyFill="1" applyBorder="1" applyAlignment="1" applyProtection="1">
      <alignment horizontal="left" vertical="center" wrapText="1"/>
    </xf>
    <xf numFmtId="184" fontId="30" fillId="12" borderId="133" xfId="14" applyNumberFormat="1" applyFont="1" applyFill="1" applyBorder="1" applyAlignment="1">
      <alignment horizontal="left" vertical="center" wrapText="1"/>
    </xf>
    <xf numFmtId="184" fontId="30" fillId="12" borderId="134" xfId="14" applyNumberFormat="1" applyFont="1" applyFill="1" applyBorder="1" applyAlignment="1">
      <alignment horizontal="left" vertical="center" wrapText="1"/>
    </xf>
    <xf numFmtId="184" fontId="30" fillId="12" borderId="133" xfId="13" applyNumberFormat="1" applyFont="1" applyFill="1" applyBorder="1" applyAlignment="1">
      <alignment horizontal="left" vertical="center" wrapText="1"/>
    </xf>
    <xf numFmtId="184" fontId="30" fillId="12" borderId="134" xfId="13" applyNumberFormat="1" applyFont="1" applyFill="1" applyBorder="1" applyAlignment="1">
      <alignment horizontal="left" vertical="center" wrapText="1"/>
    </xf>
    <xf numFmtId="0" fontId="104" fillId="12" borderId="139" xfId="13" applyFont="1" applyFill="1" applyBorder="1" applyAlignment="1" applyProtection="1">
      <alignment horizontal="left" vertical="center" wrapText="1"/>
    </xf>
    <xf numFmtId="0" fontId="104" fillId="9" borderId="133" xfId="13" applyFont="1" applyFill="1" applyBorder="1" applyAlignment="1" applyProtection="1">
      <alignment horizontal="left" vertical="center" wrapText="1"/>
    </xf>
    <xf numFmtId="184" fontId="30" fillId="12" borderId="117" xfId="13" applyNumberFormat="1" applyFont="1" applyFill="1" applyBorder="1" applyAlignment="1">
      <alignment horizontal="left" vertical="center" wrapText="1"/>
    </xf>
    <xf numFmtId="184" fontId="30" fillId="12" borderId="118" xfId="13" applyNumberFormat="1" applyFont="1" applyFill="1" applyBorder="1" applyAlignment="1">
      <alignment horizontal="left" vertical="center" wrapText="1"/>
    </xf>
    <xf numFmtId="0" fontId="69" fillId="9" borderId="133" xfId="13" applyFont="1" applyFill="1" applyBorder="1" applyAlignment="1" applyProtection="1">
      <alignment horizontal="left" vertical="center" wrapText="1"/>
    </xf>
    <xf numFmtId="49" fontId="21" fillId="2" borderId="1" xfId="13" applyNumberFormat="1" applyFont="1" applyFill="1" applyBorder="1" applyAlignment="1" applyProtection="1">
      <alignment horizontal="left" vertical="center" wrapText="1"/>
    </xf>
    <xf numFmtId="184" fontId="69" fillId="2" borderId="0" xfId="13" applyNumberFormat="1" applyFont="1" applyFill="1" applyAlignment="1">
      <alignment horizontal="left" vertical="center"/>
    </xf>
    <xf numFmtId="0" fontId="69" fillId="2" borderId="117" xfId="13" applyFont="1" applyFill="1" applyBorder="1" applyAlignment="1" applyProtection="1">
      <alignment horizontal="left" vertical="center" wrapText="1"/>
    </xf>
    <xf numFmtId="0" fontId="69" fillId="12" borderId="139" xfId="13" applyFont="1" applyFill="1" applyBorder="1" applyAlignment="1" applyProtection="1">
      <alignment horizontal="left" vertical="center" wrapText="1"/>
    </xf>
    <xf numFmtId="184" fontId="30" fillId="12" borderId="139" xfId="13" applyNumberFormat="1" applyFont="1" applyFill="1" applyBorder="1" applyAlignment="1">
      <alignment horizontal="left" vertical="center" wrapText="1"/>
    </xf>
    <xf numFmtId="184" fontId="30" fillId="12" borderId="140" xfId="13" applyNumberFormat="1" applyFont="1" applyFill="1" applyBorder="1" applyAlignment="1">
      <alignment horizontal="left" vertical="center" wrapText="1"/>
    </xf>
    <xf numFmtId="184" fontId="69" fillId="15" borderId="0" xfId="13" applyNumberFormat="1" applyFont="1" applyFill="1" applyAlignment="1">
      <alignment horizontal="left" vertical="center"/>
    </xf>
    <xf numFmtId="0" fontId="107" fillId="11" borderId="0" xfId="14" applyFont="1" applyFill="1" applyBorder="1" applyAlignment="1" applyProtection="1">
      <alignment horizontal="left" vertical="center"/>
      <protection locked="0"/>
    </xf>
    <xf numFmtId="0" fontId="30" fillId="0" borderId="0" xfId="13" applyFont="1" applyFill="1" applyBorder="1" applyAlignment="1" applyProtection="1">
      <alignment horizontal="left" vertical="center"/>
      <protection locked="0"/>
    </xf>
    <xf numFmtId="0" fontId="104" fillId="9" borderId="117" xfId="14" applyFont="1" applyFill="1" applyBorder="1" applyAlignment="1" applyProtection="1">
      <alignment horizontal="left" vertical="center" wrapText="1"/>
    </xf>
    <xf numFmtId="0" fontId="104" fillId="9" borderId="123" xfId="14" applyFont="1" applyFill="1" applyBorder="1" applyAlignment="1" applyProtection="1">
      <alignment horizontal="left" vertical="center" wrapText="1"/>
    </xf>
    <xf numFmtId="10" fontId="69" fillId="0" borderId="115" xfId="13" applyNumberFormat="1" applyFont="1" applyBorder="1" applyAlignment="1">
      <alignment horizontal="left" vertical="center"/>
    </xf>
    <xf numFmtId="10" fontId="69" fillId="0" borderId="0" xfId="13" applyNumberFormat="1" applyFont="1" applyAlignment="1">
      <alignment horizontal="left" vertical="center"/>
    </xf>
    <xf numFmtId="0" fontId="104" fillId="9" borderId="123" xfId="13" applyFont="1" applyFill="1" applyBorder="1" applyAlignment="1" applyProtection="1">
      <alignment horizontal="left" vertical="center" wrapText="1"/>
    </xf>
    <xf numFmtId="0" fontId="104" fillId="12" borderId="141" xfId="13" applyFont="1" applyFill="1" applyBorder="1" applyAlignment="1" applyProtection="1">
      <alignment horizontal="left" vertical="center" wrapText="1"/>
    </xf>
    <xf numFmtId="0" fontId="104" fillId="12" borderId="123" xfId="13" applyFont="1" applyFill="1" applyBorder="1" applyAlignment="1" applyProtection="1">
      <alignment horizontal="left" vertical="center" wrapText="1"/>
    </xf>
    <xf numFmtId="10" fontId="69" fillId="0" borderId="142" xfId="13" applyNumberFormat="1" applyFont="1" applyBorder="1" applyAlignment="1">
      <alignment horizontal="left" vertical="center"/>
    </xf>
    <xf numFmtId="10" fontId="69" fillId="0" borderId="54" xfId="13" applyNumberFormat="1" applyFont="1" applyBorder="1" applyAlignment="1">
      <alignment horizontal="left" vertical="center"/>
    </xf>
    <xf numFmtId="10" fontId="69" fillId="0" borderId="0" xfId="13" applyNumberFormat="1" applyFont="1" applyBorder="1" applyAlignment="1">
      <alignment horizontal="left" vertical="center"/>
    </xf>
    <xf numFmtId="10" fontId="69" fillId="0" borderId="143" xfId="13" applyNumberFormat="1" applyFont="1" applyBorder="1" applyAlignment="1">
      <alignment horizontal="left" vertical="center"/>
    </xf>
    <xf numFmtId="10" fontId="69" fillId="0" borderId="89" xfId="13" applyNumberFormat="1" applyFont="1" applyBorder="1" applyAlignment="1">
      <alignment horizontal="left" vertical="center"/>
    </xf>
    <xf numFmtId="0" fontId="104" fillId="12" borderId="144" xfId="13" applyFont="1" applyFill="1" applyBorder="1" applyAlignment="1" applyProtection="1">
      <alignment horizontal="left" vertical="center" wrapText="1"/>
    </xf>
    <xf numFmtId="0" fontId="104" fillId="9" borderId="141" xfId="13" applyFont="1" applyFill="1" applyBorder="1" applyAlignment="1" applyProtection="1">
      <alignment horizontal="left" vertical="center" wrapText="1"/>
    </xf>
    <xf numFmtId="0" fontId="69" fillId="9" borderId="141" xfId="13" applyFont="1" applyFill="1" applyBorder="1" applyAlignment="1" applyProtection="1">
      <alignment horizontal="left" vertical="center" wrapText="1"/>
    </xf>
    <xf numFmtId="0" fontId="69" fillId="2" borderId="123" xfId="13" applyFont="1" applyFill="1" applyBorder="1" applyAlignment="1" applyProtection="1">
      <alignment horizontal="left" vertical="center" wrapText="1"/>
    </xf>
    <xf numFmtId="10" fontId="69" fillId="2" borderId="115" xfId="13" applyNumberFormat="1" applyFont="1" applyFill="1" applyBorder="1" applyAlignment="1">
      <alignment horizontal="left" vertical="center"/>
    </xf>
    <xf numFmtId="10" fontId="69" fillId="2" borderId="0" xfId="13" applyNumberFormat="1" applyFont="1" applyFill="1" applyAlignment="1">
      <alignment horizontal="left" vertical="center"/>
    </xf>
    <xf numFmtId="0" fontId="69" fillId="12" borderId="144" xfId="13" applyFont="1" applyFill="1" applyBorder="1" applyAlignment="1" applyProtection="1">
      <alignment horizontal="left" vertical="center" wrapText="1"/>
    </xf>
    <xf numFmtId="0" fontId="14" fillId="11" borderId="0" xfId="14" applyFont="1" applyFill="1" applyAlignment="1">
      <alignment horizontal="left" vertical="center"/>
    </xf>
    <xf numFmtId="0" fontId="69" fillId="11" borderId="0" xfId="13" applyFont="1" applyFill="1" applyAlignment="1">
      <alignment horizontal="left" vertical="center"/>
    </xf>
    <xf numFmtId="0" fontId="30" fillId="0" borderId="0" xfId="14" applyFont="1" applyFill="1" applyAlignment="1">
      <alignment horizontal="left" vertical="center"/>
    </xf>
    <xf numFmtId="179" fontId="69" fillId="0" borderId="0" xfId="13" applyNumberFormat="1" applyFont="1" applyAlignment="1">
      <alignment horizontal="left" vertical="center"/>
    </xf>
    <xf numFmtId="183" fontId="69" fillId="0" borderId="115" xfId="13" applyNumberFormat="1" applyFont="1" applyBorder="1" applyAlignment="1">
      <alignment horizontal="left" vertical="center"/>
    </xf>
    <xf numFmtId="183" fontId="69" fillId="0" borderId="0" xfId="13" applyNumberFormat="1" applyFont="1" applyAlignment="1">
      <alignment horizontal="left" vertical="center"/>
    </xf>
    <xf numFmtId="179" fontId="69" fillId="2" borderId="0" xfId="13" applyNumberFormat="1" applyFont="1" applyFill="1" applyAlignment="1">
      <alignment horizontal="left" vertical="center"/>
    </xf>
    <xf numFmtId="10" fontId="69" fillId="2" borderId="143" xfId="13" applyNumberFormat="1" applyFont="1" applyFill="1" applyBorder="1" applyAlignment="1">
      <alignment horizontal="left" vertical="center"/>
    </xf>
    <xf numFmtId="10" fontId="69" fillId="2" borderId="89" xfId="13" applyNumberFormat="1" applyFont="1" applyFill="1" applyBorder="1" applyAlignment="1">
      <alignment horizontal="left" vertical="center"/>
    </xf>
    <xf numFmtId="0" fontId="9" fillId="2" borderId="0" xfId="13" applyFont="1" applyFill="1" applyAlignment="1">
      <alignment horizontal="left" vertical="center"/>
    </xf>
    <xf numFmtId="0" fontId="69" fillId="2" borderId="0" xfId="13" applyNumberFormat="1" applyFont="1" applyFill="1" applyAlignment="1">
      <alignment horizontal="left" vertical="center"/>
    </xf>
    <xf numFmtId="14" fontId="69" fillId="0" borderId="0" xfId="13" applyNumberFormat="1" applyFont="1" applyAlignment="1">
      <alignment horizontal="left" vertical="center"/>
    </xf>
    <xf numFmtId="0" fontId="69" fillId="0" borderId="0" xfId="13" applyNumberFormat="1" applyFont="1" applyAlignment="1">
      <alignment horizontal="left" vertical="center"/>
    </xf>
    <xf numFmtId="10" fontId="69" fillId="11" borderId="0" xfId="13" applyNumberFormat="1" applyFont="1" applyFill="1" applyAlignment="1">
      <alignment horizontal="left" vertical="center"/>
    </xf>
    <xf numFmtId="0" fontId="9" fillId="0" borderId="0" xfId="13" applyFont="1" applyAlignment="1">
      <alignment horizontal="left" vertical="center"/>
    </xf>
    <xf numFmtId="184" fontId="69" fillId="0" borderId="17" xfId="13" applyNumberFormat="1" applyFont="1" applyBorder="1" applyAlignment="1">
      <alignment horizontal="left" vertical="center"/>
    </xf>
    <xf numFmtId="0" fontId="104" fillId="9" borderId="145" xfId="13" applyFont="1" applyFill="1" applyBorder="1" applyAlignment="1" applyProtection="1">
      <alignment horizontal="left" vertical="center" wrapText="1"/>
    </xf>
    <xf numFmtId="0" fontId="104" fillId="12" borderId="146" xfId="13" applyFont="1" applyFill="1" applyBorder="1" applyAlignment="1" applyProtection="1">
      <alignment horizontal="left" vertical="center" wrapText="1"/>
    </xf>
    <xf numFmtId="0" fontId="30" fillId="9" borderId="147" xfId="13" applyFont="1" applyFill="1" applyBorder="1" applyAlignment="1">
      <alignment horizontal="left" vertical="center" wrapText="1"/>
    </xf>
    <xf numFmtId="0" fontId="30" fillId="9" borderId="148" xfId="13" applyFont="1" applyFill="1" applyBorder="1" applyAlignment="1">
      <alignment horizontal="left" vertical="center" wrapText="1"/>
    </xf>
    <xf numFmtId="179" fontId="69" fillId="16" borderId="0" xfId="13" applyNumberFormat="1" applyFont="1" applyFill="1" applyAlignment="1">
      <alignment horizontal="left" vertical="center"/>
    </xf>
    <xf numFmtId="0" fontId="104" fillId="9" borderId="139" xfId="13" applyFont="1" applyFill="1" applyBorder="1" applyAlignment="1" applyProtection="1">
      <alignment horizontal="left" vertical="center" wrapText="1"/>
    </xf>
    <xf numFmtId="0" fontId="30" fillId="12" borderId="139" xfId="13" applyFont="1" applyFill="1" applyBorder="1" applyAlignment="1">
      <alignment horizontal="left" vertical="center" wrapText="1"/>
    </xf>
    <xf numFmtId="0" fontId="30" fillId="12" borderId="140" xfId="13" applyFont="1" applyFill="1" applyBorder="1" applyAlignment="1">
      <alignment horizontal="left" vertical="center" wrapText="1"/>
    </xf>
    <xf numFmtId="0" fontId="104" fillId="2" borderId="117" xfId="13" applyFont="1" applyFill="1" applyBorder="1" applyAlignment="1" applyProtection="1">
      <alignment horizontal="left" vertical="center" wrapText="1"/>
    </xf>
    <xf numFmtId="0" fontId="30" fillId="12" borderId="149" xfId="13" applyFont="1" applyFill="1" applyBorder="1" applyAlignment="1">
      <alignment horizontal="left" vertical="center" wrapText="1"/>
    </xf>
    <xf numFmtId="0" fontId="30" fillId="12" borderId="150" xfId="13" applyFont="1" applyFill="1" applyBorder="1" applyAlignment="1">
      <alignment horizontal="left" vertical="center" wrapText="1"/>
    </xf>
    <xf numFmtId="0" fontId="30" fillId="12" borderId="151" xfId="13" applyFont="1" applyFill="1" applyBorder="1" applyAlignment="1">
      <alignment horizontal="left" vertical="center" wrapText="1"/>
    </xf>
    <xf numFmtId="0" fontId="17" fillId="0" borderId="0" xfId="13" applyFont="1" applyAlignment="1">
      <alignment horizontal="left" vertical="center"/>
    </xf>
    <xf numFmtId="0" fontId="92" fillId="0" borderId="115" xfId="13" applyFont="1" applyBorder="1" applyAlignment="1">
      <alignment horizontal="left" vertical="center"/>
    </xf>
    <xf numFmtId="0" fontId="104" fillId="9" borderId="152" xfId="13" applyFont="1" applyFill="1" applyBorder="1" applyAlignment="1" applyProtection="1">
      <alignment horizontal="left" vertical="center" wrapText="1"/>
    </xf>
    <xf numFmtId="10" fontId="69" fillId="0" borderId="153" xfId="13" applyNumberFormat="1" applyFont="1" applyBorder="1" applyAlignment="1">
      <alignment horizontal="left" vertical="center"/>
    </xf>
    <xf numFmtId="10" fontId="69" fillId="0" borderId="17" xfId="13" applyNumberFormat="1" applyFont="1" applyBorder="1" applyAlignment="1">
      <alignment horizontal="left" vertical="center"/>
    </xf>
    <xf numFmtId="0" fontId="104" fillId="12" borderId="154" xfId="13" applyFont="1" applyFill="1" applyBorder="1" applyAlignment="1" applyProtection="1">
      <alignment horizontal="left" vertical="center" wrapText="1"/>
    </xf>
    <xf numFmtId="10" fontId="69" fillId="16" borderId="115" xfId="13" applyNumberFormat="1" applyFont="1" applyFill="1" applyBorder="1" applyAlignment="1">
      <alignment horizontal="left" vertical="center"/>
    </xf>
    <xf numFmtId="10" fontId="69" fillId="16" borderId="0" xfId="13" applyNumberFormat="1" applyFont="1" applyFill="1" applyAlignment="1">
      <alignment horizontal="left" vertical="center"/>
    </xf>
    <xf numFmtId="10" fontId="69" fillId="16" borderId="143" xfId="13" applyNumberFormat="1" applyFont="1" applyFill="1" applyBorder="1" applyAlignment="1">
      <alignment horizontal="left" vertical="center"/>
    </xf>
    <xf numFmtId="10" fontId="69" fillId="16" borderId="89" xfId="13" applyNumberFormat="1" applyFont="1" applyFill="1" applyBorder="1" applyAlignment="1">
      <alignment horizontal="left" vertical="center"/>
    </xf>
    <xf numFmtId="10" fontId="69" fillId="16" borderId="153" xfId="13" applyNumberFormat="1" applyFont="1" applyFill="1" applyBorder="1" applyAlignment="1">
      <alignment horizontal="left" vertical="center"/>
    </xf>
    <xf numFmtId="10" fontId="69" fillId="16" borderId="17" xfId="13" applyNumberFormat="1" applyFont="1" applyFill="1" applyBorder="1" applyAlignment="1">
      <alignment horizontal="left" vertical="center"/>
    </xf>
    <xf numFmtId="194" fontId="69" fillId="0" borderId="0" xfId="13" applyNumberFormat="1" applyFont="1" applyAlignment="1">
      <alignment horizontal="left" vertical="center"/>
    </xf>
    <xf numFmtId="194" fontId="69" fillId="0" borderId="115" xfId="13" applyNumberFormat="1" applyFont="1" applyBorder="1" applyAlignment="1">
      <alignment horizontal="left" vertical="center"/>
    </xf>
    <xf numFmtId="194" fontId="69" fillId="2" borderId="0" xfId="13" applyNumberFormat="1" applyFont="1" applyFill="1" applyAlignment="1">
      <alignment horizontal="left" vertical="center"/>
    </xf>
    <xf numFmtId="0" fontId="69" fillId="2" borderId="115" xfId="13" applyFont="1" applyFill="1" applyBorder="1" applyAlignment="1">
      <alignment horizontal="left" vertical="center"/>
    </xf>
    <xf numFmtId="194" fontId="92" fillId="0" borderId="0" xfId="13" applyNumberFormat="1" applyFont="1" applyAlignment="1">
      <alignment horizontal="left" vertical="center"/>
    </xf>
    <xf numFmtId="194" fontId="92" fillId="0" borderId="115" xfId="13" applyNumberFormat="1" applyFont="1" applyBorder="1" applyAlignment="1">
      <alignment horizontal="left" vertical="center"/>
    </xf>
    <xf numFmtId="179" fontId="69" fillId="0" borderId="17" xfId="13" applyNumberFormat="1" applyFont="1" applyBorder="1" applyAlignment="1">
      <alignment horizontal="left" vertical="center"/>
    </xf>
    <xf numFmtId="190" fontId="69" fillId="0" borderId="0" xfId="13" applyNumberFormat="1" applyFont="1" applyAlignment="1">
      <alignment horizontal="left" vertical="center"/>
    </xf>
    <xf numFmtId="190" fontId="69" fillId="0" borderId="17" xfId="13" applyNumberFormat="1" applyFont="1" applyBorder="1" applyAlignment="1">
      <alignment horizontal="left" vertical="center"/>
    </xf>
    <xf numFmtId="190" fontId="69" fillId="2" borderId="0" xfId="13" applyNumberFormat="1" applyFont="1" applyFill="1" applyAlignment="1">
      <alignment horizontal="left" vertical="center"/>
    </xf>
    <xf numFmtId="0" fontId="104" fillId="9" borderId="155" xfId="13" applyFont="1" applyFill="1" applyBorder="1" applyAlignment="1">
      <alignment horizontal="left" vertical="center" wrapText="1"/>
    </xf>
    <xf numFmtId="0" fontId="104" fillId="9" borderId="133" xfId="13" applyFont="1" applyFill="1" applyBorder="1" applyAlignment="1">
      <alignment horizontal="left" vertical="center" wrapText="1"/>
    </xf>
    <xf numFmtId="0" fontId="104" fillId="12" borderId="156" xfId="13" applyFont="1" applyFill="1" applyBorder="1" applyAlignment="1">
      <alignment horizontal="left" vertical="center" wrapText="1"/>
    </xf>
    <xf numFmtId="0" fontId="104" fillId="12" borderId="117" xfId="13" applyFont="1" applyFill="1" applyBorder="1" applyAlignment="1">
      <alignment horizontal="left" vertical="center" wrapText="1"/>
    </xf>
    <xf numFmtId="0" fontId="104" fillId="9" borderId="156" xfId="13" applyFont="1" applyFill="1" applyBorder="1" applyAlignment="1">
      <alignment horizontal="left" vertical="center" wrapText="1"/>
    </xf>
    <xf numFmtId="0" fontId="104" fillId="9" borderId="117" xfId="13" applyFont="1" applyFill="1" applyBorder="1" applyAlignment="1">
      <alignment horizontal="left" vertical="center" wrapText="1"/>
    </xf>
    <xf numFmtId="0" fontId="104" fillId="12" borderId="157" xfId="13" applyFont="1" applyFill="1" applyBorder="1" applyAlignment="1">
      <alignment horizontal="left" vertical="center" wrapText="1"/>
    </xf>
    <xf numFmtId="0" fontId="104" fillId="12" borderId="139" xfId="13" applyFont="1" applyFill="1" applyBorder="1" applyAlignment="1">
      <alignment horizontal="left" vertical="center" wrapText="1"/>
    </xf>
    <xf numFmtId="0" fontId="0" fillId="3" borderId="0" xfId="0" applyFill="1" applyAlignment="1" applyProtection="1">
      <alignment horizontal="left" vertical="center"/>
    </xf>
    <xf numFmtId="0" fontId="0" fillId="3" borderId="0" xfId="0" applyFill="1" applyAlignment="1">
      <alignment horizontal="left" vertical="center"/>
    </xf>
    <xf numFmtId="0" fontId="0" fillId="0" borderId="0" xfId="0" applyAlignment="1">
      <alignment horizontal="left" vertical="center"/>
    </xf>
    <xf numFmtId="0" fontId="108" fillId="3" borderId="0" xfId="0" applyFont="1" applyFill="1" applyAlignment="1" applyProtection="1">
      <alignment horizontal="left" vertical="center"/>
    </xf>
    <xf numFmtId="0" fontId="109" fillId="3" borderId="40" xfId="0" applyFont="1" applyFill="1" applyBorder="1" applyAlignment="1" applyProtection="1">
      <alignment horizontal="left" vertical="center"/>
    </xf>
    <xf numFmtId="0" fontId="109" fillId="3" borderId="69" xfId="0" applyFont="1" applyFill="1" applyBorder="1" applyAlignment="1" applyProtection="1">
      <alignment horizontal="left" vertical="center" wrapText="1"/>
    </xf>
    <xf numFmtId="0" fontId="109" fillId="3" borderId="9" xfId="0" applyFont="1" applyFill="1" applyBorder="1" applyAlignment="1" applyProtection="1">
      <alignment horizontal="left" vertical="center"/>
    </xf>
    <xf numFmtId="0" fontId="110" fillId="3" borderId="4" xfId="0" applyFont="1" applyFill="1" applyBorder="1" applyAlignment="1" applyProtection="1">
      <alignment horizontal="left" vertical="center" wrapText="1"/>
    </xf>
    <xf numFmtId="0" fontId="111" fillId="3" borderId="5" xfId="0" applyFont="1" applyFill="1" applyBorder="1" applyAlignment="1" applyProtection="1">
      <alignment horizontal="left" vertical="center" wrapText="1"/>
    </xf>
    <xf numFmtId="10" fontId="112" fillId="3" borderId="5" xfId="0" applyNumberFormat="1" applyFont="1" applyFill="1" applyBorder="1" applyAlignment="1">
      <alignment horizontal="left" vertical="center" wrapText="1"/>
    </xf>
    <xf numFmtId="10" fontId="112" fillId="3" borderId="13" xfId="0" applyNumberFormat="1" applyFont="1" applyFill="1" applyBorder="1" applyAlignment="1">
      <alignment horizontal="left" vertical="center" wrapText="1"/>
    </xf>
    <xf numFmtId="0" fontId="110" fillId="3" borderId="6" xfId="0" applyFont="1" applyFill="1" applyBorder="1" applyAlignment="1" applyProtection="1">
      <alignment horizontal="left" vertical="center" wrapText="1"/>
    </xf>
    <xf numFmtId="0" fontId="111" fillId="3" borderId="1" xfId="0" applyFont="1" applyFill="1" applyBorder="1" applyAlignment="1" applyProtection="1">
      <alignment horizontal="left" vertical="center" wrapText="1"/>
    </xf>
    <xf numFmtId="10" fontId="112" fillId="3" borderId="1" xfId="0" applyNumberFormat="1" applyFont="1" applyFill="1" applyBorder="1" applyAlignment="1">
      <alignment horizontal="left" vertical="center" wrapText="1"/>
    </xf>
    <xf numFmtId="10" fontId="112" fillId="3" borderId="14" xfId="0" applyNumberFormat="1" applyFont="1" applyFill="1" applyBorder="1" applyAlignment="1">
      <alignment horizontal="left" vertical="center" wrapText="1"/>
    </xf>
    <xf numFmtId="0" fontId="110" fillId="3" borderId="22" xfId="0" applyFont="1" applyFill="1" applyBorder="1" applyAlignment="1" applyProtection="1">
      <alignment horizontal="left" vertical="center" wrapText="1"/>
    </xf>
    <xf numFmtId="0" fontId="111" fillId="3" borderId="9" xfId="0" applyFont="1" applyFill="1" applyBorder="1" applyAlignment="1" applyProtection="1">
      <alignment horizontal="left" vertical="center" wrapText="1"/>
    </xf>
    <xf numFmtId="10" fontId="112" fillId="3" borderId="9" xfId="0" applyNumberFormat="1" applyFont="1" applyFill="1" applyBorder="1" applyAlignment="1">
      <alignment horizontal="left" vertical="center" wrapText="1"/>
    </xf>
    <xf numFmtId="10" fontId="0" fillId="3" borderId="9" xfId="0" applyNumberFormat="1" applyFill="1" applyBorder="1" applyAlignment="1">
      <alignment horizontal="left" vertical="center"/>
    </xf>
    <xf numFmtId="10" fontId="112" fillId="3" borderId="57" xfId="0" applyNumberFormat="1" applyFont="1" applyFill="1" applyBorder="1" applyAlignment="1">
      <alignment horizontal="left" vertical="center" wrapText="1"/>
    </xf>
    <xf numFmtId="0" fontId="113" fillId="3" borderId="1" xfId="0" applyFont="1" applyFill="1" applyBorder="1" applyAlignment="1">
      <alignment horizontal="left" vertical="center" wrapText="1"/>
    </xf>
    <xf numFmtId="0" fontId="113" fillId="3" borderId="9" xfId="0" applyFont="1" applyFill="1" applyBorder="1" applyAlignment="1">
      <alignment horizontal="left" vertical="center" wrapText="1"/>
    </xf>
    <xf numFmtId="0" fontId="111" fillId="3" borderId="4" xfId="0" applyFont="1" applyFill="1" applyBorder="1" applyAlignment="1" applyProtection="1">
      <alignment horizontal="left" vertical="center" wrapText="1"/>
    </xf>
    <xf numFmtId="0" fontId="111" fillId="3" borderId="6" xfId="0" applyFont="1" applyFill="1" applyBorder="1" applyAlignment="1" applyProtection="1">
      <alignment horizontal="left" vertical="center" wrapText="1"/>
    </xf>
    <xf numFmtId="10" fontId="0" fillId="3" borderId="1" xfId="0" applyNumberFormat="1" applyFill="1" applyBorder="1" applyAlignment="1">
      <alignment horizontal="left" vertical="center"/>
    </xf>
    <xf numFmtId="10" fontId="0" fillId="3" borderId="14" xfId="0" applyNumberFormat="1" applyFill="1" applyBorder="1" applyAlignment="1">
      <alignment horizontal="left" vertical="center"/>
    </xf>
    <xf numFmtId="0" fontId="111" fillId="3" borderId="22" xfId="0" applyFont="1" applyFill="1" applyBorder="1" applyAlignment="1" applyProtection="1">
      <alignment horizontal="left" vertical="center" wrapText="1"/>
    </xf>
    <xf numFmtId="10" fontId="69" fillId="3" borderId="9" xfId="0" applyNumberFormat="1" applyFont="1" applyFill="1" applyBorder="1" applyAlignment="1">
      <alignment horizontal="left" vertical="center" wrapText="1"/>
    </xf>
    <xf numFmtId="10" fontId="0" fillId="3" borderId="57" xfId="0" applyNumberFormat="1" applyFill="1" applyBorder="1" applyAlignment="1">
      <alignment horizontal="left" vertical="center"/>
    </xf>
    <xf numFmtId="10" fontId="69" fillId="3" borderId="1" xfId="0" applyNumberFormat="1" applyFont="1" applyFill="1" applyBorder="1" applyAlignment="1">
      <alignment horizontal="left" vertical="center" wrapText="1"/>
    </xf>
    <xf numFmtId="10" fontId="69" fillId="3" borderId="14" xfId="0" applyNumberFormat="1" applyFont="1" applyFill="1" applyBorder="1" applyAlignment="1">
      <alignment horizontal="left" vertical="center" wrapText="1"/>
    </xf>
    <xf numFmtId="10" fontId="69" fillId="3" borderId="57" xfId="0" applyNumberFormat="1" applyFont="1" applyFill="1" applyBorder="1" applyAlignment="1">
      <alignment horizontal="left" vertical="center" wrapText="1"/>
    </xf>
    <xf numFmtId="178" fontId="111" fillId="3" borderId="1" xfId="3" applyFont="1" applyFill="1" applyBorder="1" applyAlignment="1" applyProtection="1">
      <alignment horizontal="left" vertical="center" wrapText="1"/>
    </xf>
    <xf numFmtId="0" fontId="111" fillId="3" borderId="7" xfId="0" applyFont="1" applyFill="1" applyBorder="1" applyAlignment="1" applyProtection="1">
      <alignment horizontal="left" vertical="center" wrapText="1"/>
    </xf>
    <xf numFmtId="0" fontId="111" fillId="3" borderId="8" xfId="0" applyFont="1" applyFill="1" applyBorder="1" applyAlignment="1" applyProtection="1">
      <alignment horizontal="left" vertical="center" wrapText="1"/>
    </xf>
    <xf numFmtId="10" fontId="112" fillId="3" borderId="8" xfId="0" applyNumberFormat="1" applyFont="1" applyFill="1" applyBorder="1" applyAlignment="1">
      <alignment horizontal="left" vertical="center" wrapText="1"/>
    </xf>
    <xf numFmtId="10" fontId="112" fillId="3" borderId="15" xfId="0" applyNumberFormat="1" applyFont="1" applyFill="1" applyBorder="1" applyAlignment="1">
      <alignment horizontal="left" vertical="center" wrapText="1"/>
    </xf>
    <xf numFmtId="181" fontId="3" fillId="0" borderId="0" xfId="9" applyNumberFormat="1" applyProtection="1">
      <alignment vertical="center"/>
    </xf>
    <xf numFmtId="0" fontId="3" fillId="0" borderId="0" xfId="9" applyNumberFormat="1" applyProtection="1">
      <alignment vertical="center"/>
    </xf>
    <xf numFmtId="186" fontId="114" fillId="0" borderId="0" xfId="9" applyNumberFormat="1" applyFont="1" applyBorder="1" applyAlignment="1" applyProtection="1">
      <alignment horizontal="left" vertical="center"/>
    </xf>
    <xf numFmtId="0" fontId="53" fillId="0" borderId="89" xfId="9" applyNumberFormat="1" applyFont="1" applyBorder="1" applyAlignment="1" applyProtection="1">
      <alignment vertical="center"/>
    </xf>
    <xf numFmtId="181" fontId="115" fillId="3" borderId="1" xfId="9" applyNumberFormat="1" applyFont="1" applyFill="1" applyBorder="1" applyAlignment="1" applyProtection="1">
      <alignment horizontal="center" vertical="center"/>
    </xf>
    <xf numFmtId="0" fontId="115" fillId="3" borderId="1" xfId="9" applyNumberFormat="1" applyFont="1" applyFill="1" applyBorder="1" applyAlignment="1" applyProtection="1">
      <alignment horizontal="center" vertical="center"/>
    </xf>
    <xf numFmtId="0" fontId="115" fillId="3" borderId="1" xfId="9" applyNumberFormat="1" applyFont="1" applyFill="1" applyBorder="1" applyAlignment="1" applyProtection="1">
      <alignment horizontal="center" vertical="center" wrapText="1"/>
    </xf>
    <xf numFmtId="0" fontId="116" fillId="3" borderId="1" xfId="9" applyNumberFormat="1" applyFont="1" applyFill="1" applyBorder="1" applyAlignment="1" applyProtection="1">
      <alignment horizontal="center" vertical="center"/>
    </xf>
    <xf numFmtId="181" fontId="115" fillId="3" borderId="1" xfId="9" applyNumberFormat="1" applyFont="1" applyFill="1" applyBorder="1" applyAlignment="1" applyProtection="1">
      <alignment horizontal="center" vertical="center" wrapText="1"/>
    </xf>
    <xf numFmtId="0" fontId="115" fillId="3" borderId="35" xfId="9" applyNumberFormat="1" applyFont="1" applyFill="1" applyBorder="1" applyAlignment="1" applyProtection="1">
      <alignment horizontal="center" vertical="center"/>
    </xf>
    <xf numFmtId="0" fontId="3" fillId="0" borderId="0" xfId="9" applyNumberFormat="1" applyFont="1" applyProtection="1">
      <alignment vertical="center"/>
    </xf>
    <xf numFmtId="0" fontId="117" fillId="0" borderId="0" xfId="0" applyNumberFormat="1" applyFont="1" applyFill="1" applyAlignment="1">
      <alignment horizontal="left" vertical="center"/>
    </xf>
    <xf numFmtId="0" fontId="0" fillId="0" borderId="0" xfId="0" applyNumberFormat="1" applyFill="1" applyAlignment="1">
      <alignment horizontal="left" vertical="center"/>
    </xf>
    <xf numFmtId="0" fontId="3" fillId="0" borderId="0" xfId="0" applyNumberFormat="1" applyFont="1" applyFill="1" applyAlignment="1">
      <alignment horizontal="right" vertical="center"/>
    </xf>
    <xf numFmtId="0" fontId="118" fillId="0" borderId="1" xfId="0" applyNumberFormat="1" applyFont="1" applyFill="1" applyBorder="1" applyAlignment="1">
      <alignment horizontal="left" vertical="center"/>
    </xf>
    <xf numFmtId="0" fontId="118" fillId="0" borderId="1" xfId="0" applyNumberFormat="1" applyFont="1" applyFill="1" applyBorder="1" applyAlignment="1">
      <alignment horizontal="left" vertical="center" wrapText="1"/>
    </xf>
    <xf numFmtId="0" fontId="119" fillId="0" borderId="1" xfId="0" applyNumberFormat="1" applyFont="1" applyFill="1" applyBorder="1" applyAlignment="1">
      <alignment horizontal="left" vertical="center"/>
    </xf>
    <xf numFmtId="0" fontId="120" fillId="0" borderId="1" xfId="0" applyNumberFormat="1" applyFont="1" applyFill="1" applyBorder="1" applyAlignment="1">
      <alignment horizontal="left" vertical="center" wrapText="1"/>
    </xf>
    <xf numFmtId="0" fontId="7" fillId="3" borderId="0" xfId="6" applyFont="1" applyFill="1" applyProtection="1">
      <alignment vertical="center"/>
    </xf>
    <xf numFmtId="0" fontId="3" fillId="3" borderId="21" xfId="6" applyFill="1" applyBorder="1" applyProtection="1">
      <alignment vertical="center"/>
    </xf>
    <xf numFmtId="0" fontId="3" fillId="3" borderId="0" xfId="6" applyFill="1" applyAlignment="1" applyProtection="1">
      <alignment horizontal="left" vertical="center"/>
    </xf>
    <xf numFmtId="0" fontId="3" fillId="3" borderId="0" xfId="6" applyFill="1" applyProtection="1">
      <alignment vertical="center"/>
    </xf>
    <xf numFmtId="0" fontId="3" fillId="3" borderId="21" xfId="6" applyFill="1" applyBorder="1" applyAlignment="1" applyProtection="1">
      <alignment horizontal="left" vertical="center"/>
    </xf>
    <xf numFmtId="0" fontId="122" fillId="3" borderId="17" xfId="0" applyNumberFormat="1" applyFont="1" applyFill="1" applyBorder="1" applyAlignment="1" applyProtection="1">
      <alignment horizontal="left" vertical="center"/>
    </xf>
    <xf numFmtId="0" fontId="122" fillId="3" borderId="67" xfId="0" applyNumberFormat="1" applyFont="1" applyFill="1" applyBorder="1" applyAlignment="1" applyProtection="1">
      <alignment horizontal="right" vertical="center"/>
    </xf>
    <xf numFmtId="0" fontId="123" fillId="3" borderId="55" xfId="0" applyNumberFormat="1" applyFont="1" applyFill="1" applyBorder="1" applyAlignment="1" applyProtection="1">
      <alignment horizontal="left" vertical="center"/>
    </xf>
    <xf numFmtId="0" fontId="121" fillId="3" borderId="39" xfId="0" applyNumberFormat="1" applyFont="1" applyFill="1" applyBorder="1" applyAlignment="1" applyProtection="1">
      <alignment horizontal="left" vertical="center"/>
    </xf>
    <xf numFmtId="0" fontId="7" fillId="3" borderId="21" xfId="6" applyFont="1" applyFill="1" applyBorder="1" applyProtection="1">
      <alignment vertical="center"/>
    </xf>
    <xf numFmtId="0" fontId="121" fillId="3" borderId="8" xfId="0" applyNumberFormat="1" applyFont="1" applyFill="1" applyBorder="1" applyAlignment="1" applyProtection="1">
      <alignment horizontal="left" vertical="center"/>
    </xf>
    <xf numFmtId="0" fontId="121" fillId="3" borderId="42" xfId="0" applyNumberFormat="1" applyFont="1" applyFill="1" applyBorder="1" applyAlignment="1" applyProtection="1">
      <alignment horizontal="left" vertical="center"/>
    </xf>
    <xf numFmtId="0" fontId="110" fillId="3" borderId="69" xfId="6" applyFont="1" applyFill="1" applyBorder="1" applyAlignment="1" applyProtection="1">
      <alignment horizontal="left" vertical="center" wrapText="1"/>
    </xf>
    <xf numFmtId="0" fontId="110" fillId="3" borderId="5" xfId="6" applyFont="1" applyFill="1" applyBorder="1" applyAlignment="1" applyProtection="1">
      <alignment horizontal="left" vertical="center" wrapText="1"/>
    </xf>
    <xf numFmtId="0" fontId="110" fillId="3" borderId="39" xfId="6" applyFont="1" applyFill="1" applyBorder="1" applyAlignment="1" applyProtection="1">
      <alignment horizontal="left" vertical="center" wrapText="1"/>
    </xf>
    <xf numFmtId="0" fontId="124" fillId="3" borderId="4" xfId="6" applyFont="1" applyFill="1" applyBorder="1" applyAlignment="1" applyProtection="1">
      <alignment horizontal="center" vertical="center"/>
    </xf>
    <xf numFmtId="0" fontId="110" fillId="3" borderId="1" xfId="6" applyFont="1" applyFill="1" applyBorder="1" applyAlignment="1" applyProtection="1">
      <alignment horizontal="left" vertical="center" wrapText="1"/>
    </xf>
    <xf numFmtId="0" fontId="110" fillId="3" borderId="34" xfId="6" applyFont="1" applyFill="1" applyBorder="1" applyAlignment="1" applyProtection="1">
      <alignment horizontal="left" vertical="center" wrapText="1"/>
    </xf>
    <xf numFmtId="0" fontId="124" fillId="3" borderId="6" xfId="6" applyFont="1" applyFill="1" applyBorder="1" applyAlignment="1" applyProtection="1">
      <alignment horizontal="center" vertical="center"/>
    </xf>
    <xf numFmtId="0" fontId="110" fillId="3" borderId="3" xfId="6" applyFont="1" applyFill="1" applyBorder="1" applyAlignment="1" applyProtection="1">
      <alignment horizontal="left" vertical="center" wrapText="1"/>
    </xf>
    <xf numFmtId="0" fontId="110" fillId="3" borderId="68" xfId="6" applyFont="1" applyFill="1" applyBorder="1" applyAlignment="1" applyProtection="1">
      <alignment horizontal="left" vertical="center" wrapText="1"/>
    </xf>
    <xf numFmtId="0" fontId="110" fillId="3" borderId="80" xfId="6" applyFont="1" applyFill="1" applyBorder="1" applyAlignment="1" applyProtection="1">
      <alignment horizontal="left" vertical="center" wrapText="1"/>
    </xf>
    <xf numFmtId="0" fontId="110" fillId="3" borderId="8" xfId="6" applyFont="1" applyFill="1" applyBorder="1" applyAlignment="1" applyProtection="1">
      <alignment horizontal="left" vertical="center" wrapText="1"/>
    </xf>
    <xf numFmtId="0" fontId="110" fillId="3" borderId="42" xfId="6" applyFont="1" applyFill="1" applyBorder="1" applyAlignment="1" applyProtection="1">
      <alignment horizontal="left" vertical="center" wrapText="1"/>
    </xf>
    <xf numFmtId="0" fontId="58" fillId="3" borderId="42" xfId="6" applyFont="1" applyFill="1" applyBorder="1" applyAlignment="1" applyProtection="1">
      <alignment horizontal="left" vertical="center"/>
    </xf>
    <xf numFmtId="0" fontId="110" fillId="3" borderId="10" xfId="6" applyFont="1" applyFill="1" applyBorder="1" applyAlignment="1" applyProtection="1">
      <alignment horizontal="left" vertical="center" wrapText="1"/>
    </xf>
    <xf numFmtId="0" fontId="124" fillId="3" borderId="7" xfId="6" applyFont="1" applyFill="1" applyBorder="1" applyAlignment="1" applyProtection="1">
      <alignment horizontal="center" vertical="center"/>
    </xf>
    <xf numFmtId="0" fontId="58" fillId="3" borderId="10" xfId="6" applyFont="1" applyFill="1" applyBorder="1" applyAlignment="1" applyProtection="1">
      <alignment horizontal="left" vertical="center"/>
    </xf>
    <xf numFmtId="0" fontId="110" fillId="3" borderId="35" xfId="6" applyFont="1" applyFill="1" applyBorder="1" applyAlignment="1" applyProtection="1">
      <alignment horizontal="left" vertical="center" wrapText="1"/>
    </xf>
    <xf numFmtId="0" fontId="110" fillId="3" borderId="9" xfId="6" applyFont="1" applyFill="1" applyBorder="1" applyAlignment="1" applyProtection="1">
      <alignment horizontal="left" vertical="center" wrapText="1"/>
    </xf>
    <xf numFmtId="0" fontId="110" fillId="3" borderId="18" xfId="6" applyFont="1" applyFill="1" applyBorder="1" applyAlignment="1" applyProtection="1">
      <alignment horizontal="left" vertical="center" wrapText="1"/>
    </xf>
    <xf numFmtId="0" fontId="58" fillId="3" borderId="18" xfId="6" applyFont="1" applyFill="1" applyBorder="1" applyAlignment="1" applyProtection="1">
      <alignment horizontal="left" vertical="center"/>
    </xf>
    <xf numFmtId="0" fontId="110" fillId="3" borderId="7" xfId="6" applyFont="1" applyFill="1" applyBorder="1" applyAlignment="1" applyProtection="1">
      <alignment horizontal="left" vertical="center" wrapText="1"/>
    </xf>
    <xf numFmtId="0" fontId="110" fillId="3" borderId="15" xfId="6" applyFont="1" applyFill="1" applyBorder="1" applyAlignment="1" applyProtection="1">
      <alignment horizontal="left" vertical="center" wrapText="1"/>
    </xf>
    <xf numFmtId="0" fontId="110" fillId="3" borderId="14" xfId="6" applyFont="1" applyFill="1" applyBorder="1" applyAlignment="1" applyProtection="1">
      <alignment horizontal="left" vertical="center" wrapText="1"/>
    </xf>
    <xf numFmtId="0" fontId="3" fillId="3" borderId="10" xfId="6" applyFill="1" applyBorder="1" applyAlignment="1" applyProtection="1">
      <alignment horizontal="left" vertical="center"/>
    </xf>
    <xf numFmtId="0" fontId="3" fillId="3" borderId="69" xfId="6" applyFill="1" applyBorder="1" applyAlignment="1" applyProtection="1">
      <alignment horizontal="left" vertical="center"/>
    </xf>
    <xf numFmtId="0" fontId="3" fillId="3" borderId="41" xfId="6" applyFill="1" applyBorder="1" applyAlignment="1" applyProtection="1">
      <alignment horizontal="left" vertical="center"/>
    </xf>
    <xf numFmtId="0" fontId="110" fillId="3" borderId="6" xfId="6" applyFont="1" applyFill="1" applyBorder="1" applyAlignment="1" applyProtection="1">
      <alignment horizontal="left" vertical="center" wrapText="1"/>
    </xf>
    <xf numFmtId="0" fontId="124" fillId="3" borderId="39" xfId="6" applyFont="1" applyFill="1" applyBorder="1" applyProtection="1">
      <alignment vertical="center"/>
    </xf>
    <xf numFmtId="0" fontId="124" fillId="3" borderId="10" xfId="6" applyFont="1" applyFill="1" applyBorder="1" applyProtection="1">
      <alignment vertical="center"/>
    </xf>
    <xf numFmtId="0" fontId="124" fillId="3" borderId="42" xfId="6" applyFont="1" applyFill="1" applyBorder="1" applyProtection="1">
      <alignment vertical="center"/>
    </xf>
    <xf numFmtId="0" fontId="125" fillId="3" borderId="0" xfId="6" applyFont="1" applyFill="1" applyBorder="1" applyProtection="1">
      <alignment vertical="center"/>
    </xf>
    <xf numFmtId="0" fontId="3" fillId="3" borderId="1" xfId="6" applyFill="1" applyBorder="1" applyAlignment="1" applyProtection="1">
      <alignment horizontal="left" vertical="center"/>
    </xf>
    <xf numFmtId="0" fontId="110" fillId="3" borderId="11" xfId="6" applyFont="1" applyFill="1" applyBorder="1" applyAlignment="1" applyProtection="1">
      <alignment horizontal="left" vertical="center" wrapText="1"/>
    </xf>
    <xf numFmtId="0" fontId="126" fillId="3" borderId="0" xfId="6" applyFont="1" applyFill="1" applyProtection="1">
      <alignment vertical="center"/>
    </xf>
    <xf numFmtId="0" fontId="125" fillId="3" borderId="0" xfId="6" applyFont="1" applyFill="1" applyProtection="1">
      <alignment vertical="center"/>
    </xf>
    <xf numFmtId="0" fontId="110" fillId="3" borderId="81" xfId="6" applyFont="1" applyFill="1" applyBorder="1" applyAlignment="1" applyProtection="1">
      <alignment horizontal="left" vertical="center" wrapText="1"/>
    </xf>
    <xf numFmtId="0" fontId="3" fillId="3" borderId="70" xfId="6" applyFill="1" applyBorder="1" applyAlignment="1" applyProtection="1">
      <alignment horizontal="left" vertical="center"/>
    </xf>
    <xf numFmtId="0" fontId="3" fillId="3" borderId="34" xfId="6" applyFill="1" applyBorder="1" applyAlignment="1" applyProtection="1">
      <alignment horizontal="left" vertical="center"/>
    </xf>
    <xf numFmtId="0" fontId="3" fillId="3" borderId="18" xfId="6" applyFill="1" applyBorder="1" applyAlignment="1" applyProtection="1">
      <alignment horizontal="left" vertical="center"/>
    </xf>
    <xf numFmtId="0" fontId="3" fillId="3" borderId="15" xfId="6" applyFill="1" applyBorder="1" applyAlignment="1" applyProtection="1">
      <alignment horizontal="left" vertical="center"/>
    </xf>
    <xf numFmtId="0" fontId="3" fillId="3" borderId="0" xfId="6" applyFill="1" applyBorder="1" applyProtection="1">
      <alignment vertical="center"/>
    </xf>
    <xf numFmtId="0" fontId="110" fillId="3" borderId="20" xfId="6" applyFont="1" applyFill="1" applyBorder="1" applyAlignment="1" applyProtection="1">
      <alignment horizontal="left" vertical="center" wrapText="1"/>
    </xf>
    <xf numFmtId="0" fontId="3" fillId="3" borderId="9" xfId="6" applyFill="1" applyBorder="1" applyAlignment="1" applyProtection="1">
      <alignment horizontal="left" vertical="center"/>
    </xf>
    <xf numFmtId="0" fontId="3" fillId="3" borderId="4" xfId="6" applyFill="1" applyBorder="1" applyAlignment="1" applyProtection="1">
      <alignment horizontal="left" vertical="center"/>
    </xf>
    <xf numFmtId="0" fontId="3" fillId="3" borderId="5" xfId="6" applyFill="1" applyBorder="1" applyAlignment="1" applyProtection="1">
      <alignment horizontal="left" vertical="center"/>
    </xf>
    <xf numFmtId="0" fontId="3" fillId="3" borderId="13" xfId="6" applyFill="1" applyBorder="1" applyAlignment="1" applyProtection="1">
      <alignment horizontal="left" vertical="center"/>
    </xf>
    <xf numFmtId="0" fontId="3" fillId="3" borderId="6" xfId="6" applyFill="1" applyBorder="1" applyAlignment="1" applyProtection="1">
      <alignment horizontal="left" vertical="center"/>
    </xf>
    <xf numFmtId="0" fontId="3" fillId="3" borderId="14" xfId="6" applyFill="1" applyBorder="1" applyAlignment="1" applyProtection="1">
      <alignment horizontal="left" vertical="center"/>
    </xf>
    <xf numFmtId="0" fontId="3" fillId="3" borderId="22" xfId="6" applyFill="1" applyBorder="1" applyAlignment="1" applyProtection="1">
      <alignment horizontal="left" vertical="center"/>
    </xf>
    <xf numFmtId="0" fontId="3" fillId="3" borderId="57" xfId="6" applyFill="1" applyBorder="1" applyAlignment="1" applyProtection="1">
      <alignment horizontal="left" vertical="center"/>
    </xf>
    <xf numFmtId="0" fontId="3" fillId="3" borderId="7" xfId="6" applyFill="1" applyBorder="1" applyAlignment="1" applyProtection="1">
      <alignment horizontal="left" vertical="center"/>
    </xf>
    <xf numFmtId="0" fontId="3" fillId="3" borderId="8" xfId="6" applyFill="1" applyBorder="1" applyAlignment="1" applyProtection="1">
      <alignment horizontal="left" vertical="center"/>
    </xf>
    <xf numFmtId="0" fontId="3" fillId="3" borderId="0" xfId="6" applyFill="1" applyAlignment="1" applyProtection="1">
      <alignment vertical="center"/>
    </xf>
    <xf numFmtId="0" fontId="3" fillId="3" borderId="0" xfId="6" applyFill="1" applyAlignment="1" applyProtection="1">
      <alignment horizontal="center" vertical="center"/>
    </xf>
    <xf numFmtId="0" fontId="3" fillId="3" borderId="69" xfId="6" applyFill="1" applyBorder="1" applyAlignment="1" applyProtection="1">
      <alignment horizontal="right" vertical="center"/>
    </xf>
    <xf numFmtId="0" fontId="3" fillId="3" borderId="41" xfId="6" applyFill="1" applyBorder="1" applyAlignment="1" applyProtection="1">
      <alignment horizontal="center" vertical="center"/>
    </xf>
    <xf numFmtId="0" fontId="0" fillId="3" borderId="4" xfId="0" applyFill="1" applyBorder="1" applyAlignment="1" applyProtection="1">
      <alignment horizontal="left" vertical="center"/>
    </xf>
    <xf numFmtId="190" fontId="0" fillId="3" borderId="5" xfId="0" applyNumberFormat="1" applyFill="1" applyBorder="1" applyAlignment="1" applyProtection="1">
      <alignment horizontal="left" vertical="center"/>
    </xf>
    <xf numFmtId="190" fontId="0" fillId="3" borderId="39" xfId="0" applyNumberFormat="1" applyFill="1" applyBorder="1" applyAlignment="1" applyProtection="1">
      <alignment horizontal="left" vertical="center"/>
    </xf>
    <xf numFmtId="0" fontId="0" fillId="3" borderId="6" xfId="0" applyFill="1" applyBorder="1" applyAlignment="1" applyProtection="1">
      <alignment horizontal="left" vertical="center"/>
    </xf>
    <xf numFmtId="190" fontId="0" fillId="3" borderId="1" xfId="0" applyNumberFormat="1" applyFill="1" applyBorder="1" applyAlignment="1" applyProtection="1">
      <alignment horizontal="left" vertical="center"/>
    </xf>
    <xf numFmtId="190" fontId="0" fillId="3" borderId="10" xfId="0" applyNumberFormat="1" applyFill="1" applyBorder="1" applyAlignment="1" applyProtection="1">
      <alignment horizontal="left" vertical="center"/>
    </xf>
    <xf numFmtId="0" fontId="3" fillId="3" borderId="6" xfId="0" applyFont="1" applyFill="1" applyBorder="1" applyAlignment="1" applyProtection="1">
      <alignment horizontal="left" vertical="center"/>
    </xf>
    <xf numFmtId="0" fontId="3" fillId="3" borderId="68" xfId="0" applyFont="1" applyFill="1" applyBorder="1" applyAlignment="1" applyProtection="1">
      <alignment horizontal="left" vertical="center"/>
    </xf>
    <xf numFmtId="190" fontId="0" fillId="3" borderId="20" xfId="0" applyNumberFormat="1" applyFill="1" applyBorder="1" applyAlignment="1" applyProtection="1">
      <alignment horizontal="left" vertical="center"/>
    </xf>
    <xf numFmtId="0" fontId="3" fillId="3" borderId="7" xfId="0" applyFont="1" applyFill="1" applyBorder="1" applyAlignment="1" applyProtection="1">
      <alignment horizontal="left" vertical="center"/>
    </xf>
    <xf numFmtId="190" fontId="0" fillId="3" borderId="42" xfId="0" applyNumberFormat="1" applyFill="1" applyBorder="1" applyAlignment="1" applyProtection="1">
      <alignment horizontal="left" vertical="center"/>
    </xf>
    <xf numFmtId="0" fontId="127" fillId="3" borderId="4" xfId="6" applyFont="1" applyFill="1" applyBorder="1" applyAlignment="1" applyProtection="1">
      <alignment horizontal="center" vertical="center" wrapText="1"/>
    </xf>
    <xf numFmtId="0" fontId="127" fillId="3" borderId="5" xfId="0" applyFont="1" applyFill="1" applyBorder="1" applyAlignment="1" applyProtection="1">
      <alignment horizontal="left" vertical="center" wrapText="1"/>
    </xf>
    <xf numFmtId="0" fontId="127" fillId="3" borderId="6" xfId="6" applyFont="1" applyFill="1" applyBorder="1" applyAlignment="1" applyProtection="1">
      <alignment horizontal="center" vertical="center" wrapText="1"/>
    </xf>
    <xf numFmtId="0" fontId="127" fillId="3" borderId="1" xfId="0" applyFont="1" applyFill="1" applyBorder="1" applyAlignment="1" applyProtection="1">
      <alignment horizontal="left" vertical="center" wrapText="1"/>
    </xf>
    <xf numFmtId="0" fontId="127" fillId="3" borderId="22" xfId="6" applyFont="1" applyFill="1" applyBorder="1" applyAlignment="1" applyProtection="1">
      <alignment horizontal="center" vertical="center" wrapText="1"/>
    </xf>
    <xf numFmtId="0" fontId="127" fillId="3" borderId="9" xfId="0" applyFont="1" applyFill="1" applyBorder="1" applyAlignment="1" applyProtection="1">
      <alignment horizontal="left" vertical="center" wrapText="1"/>
    </xf>
    <xf numFmtId="0" fontId="127" fillId="3" borderId="1" xfId="6" applyFont="1" applyFill="1" applyBorder="1" applyAlignment="1" applyProtection="1">
      <alignment horizontal="center" vertical="center" wrapText="1"/>
    </xf>
    <xf numFmtId="0" fontId="3" fillId="3" borderId="1" xfId="6" applyFill="1" applyBorder="1" applyAlignment="1" applyProtection="1">
      <alignment horizontal="center" vertical="center"/>
    </xf>
    <xf numFmtId="0" fontId="127" fillId="3" borderId="1" xfId="0" applyFont="1" applyFill="1" applyBorder="1" applyAlignment="1" applyProtection="1">
      <alignment horizontal="center" vertical="center" wrapText="1"/>
    </xf>
    <xf numFmtId="0" fontId="0" fillId="3" borderId="1" xfId="0" applyFill="1" applyBorder="1" applyAlignment="1" applyProtection="1">
      <alignment horizontal="center" vertical="center"/>
    </xf>
    <xf numFmtId="0" fontId="128" fillId="3" borderId="89" xfId="6" applyFont="1" applyFill="1" applyBorder="1" applyAlignment="1" applyProtection="1">
      <alignment vertical="center"/>
    </xf>
    <xf numFmtId="0" fontId="128" fillId="3" borderId="0" xfId="6" applyFont="1" applyFill="1" applyBorder="1" applyAlignment="1" applyProtection="1">
      <alignment vertical="center"/>
    </xf>
    <xf numFmtId="0" fontId="127" fillId="3" borderId="18" xfId="0" applyFont="1" applyFill="1" applyBorder="1" applyAlignment="1" applyProtection="1">
      <alignment horizontal="left" vertical="center" wrapText="1"/>
    </xf>
    <xf numFmtId="0" fontId="127" fillId="3" borderId="10" xfId="0" applyFont="1" applyFill="1" applyBorder="1" applyAlignment="1" applyProtection="1">
      <alignment horizontal="left" vertical="center" wrapText="1"/>
    </xf>
    <xf numFmtId="0" fontId="127" fillId="3" borderId="11" xfId="0" applyFont="1" applyFill="1" applyBorder="1" applyAlignment="1" applyProtection="1">
      <alignment horizontal="left" vertical="center" wrapText="1"/>
    </xf>
    <xf numFmtId="0" fontId="127" fillId="3" borderId="0" xfId="6" applyFont="1" applyFill="1" applyBorder="1" applyAlignment="1" applyProtection="1">
      <alignment horizontal="center" vertical="center" wrapText="1"/>
    </xf>
    <xf numFmtId="0" fontId="127" fillId="3" borderId="39" xfId="0" applyFont="1" applyFill="1" applyBorder="1" applyAlignment="1" applyProtection="1">
      <alignment horizontal="left" vertical="center"/>
    </xf>
    <xf numFmtId="0" fontId="127" fillId="3" borderId="56" xfId="0" applyFont="1" applyFill="1" applyBorder="1" applyAlignment="1" applyProtection="1">
      <alignment horizontal="left" vertical="center"/>
    </xf>
    <xf numFmtId="0" fontId="127" fillId="3" borderId="13" xfId="0" applyFont="1" applyFill="1" applyBorder="1" applyAlignment="1" applyProtection="1">
      <alignment horizontal="left" vertical="center"/>
    </xf>
    <xf numFmtId="0" fontId="127" fillId="3" borderId="0" xfId="0" applyFont="1" applyFill="1" applyBorder="1" applyAlignment="1" applyProtection="1">
      <alignment horizontal="left" vertical="center"/>
    </xf>
    <xf numFmtId="0" fontId="127" fillId="3" borderId="0" xfId="6" applyFont="1" applyFill="1" applyBorder="1" applyAlignment="1" applyProtection="1">
      <alignment horizontal="center" vertical="center"/>
    </xf>
    <xf numFmtId="0" fontId="127" fillId="3" borderId="10" xfId="0" applyFont="1" applyFill="1" applyBorder="1" applyAlignment="1" applyProtection="1">
      <alignment horizontal="left" vertical="center"/>
    </xf>
    <xf numFmtId="0" fontId="127" fillId="3" borderId="11" xfId="0" applyFont="1" applyFill="1" applyBorder="1" applyAlignment="1" applyProtection="1">
      <alignment horizontal="left" vertical="center"/>
    </xf>
    <xf numFmtId="0" fontId="127" fillId="3" borderId="14" xfId="0" applyFont="1" applyFill="1" applyBorder="1" applyAlignment="1" applyProtection="1">
      <alignment horizontal="left" vertical="center"/>
    </xf>
    <xf numFmtId="0" fontId="127" fillId="3" borderId="42" xfId="0" applyFont="1" applyFill="1" applyBorder="1" applyAlignment="1" applyProtection="1">
      <alignment horizontal="left" vertical="center"/>
    </xf>
    <xf numFmtId="0" fontId="127" fillId="3" borderId="97" xfId="0" applyFont="1" applyFill="1" applyBorder="1" applyAlignment="1" applyProtection="1">
      <alignment horizontal="left" vertical="center"/>
    </xf>
    <xf numFmtId="0" fontId="127" fillId="3" borderId="15" xfId="0" applyFont="1" applyFill="1" applyBorder="1" applyAlignment="1" applyProtection="1">
      <alignment horizontal="left" vertical="center"/>
    </xf>
    <xf numFmtId="0" fontId="127" fillId="3" borderId="60" xfId="0" applyFont="1" applyFill="1" applyBorder="1" applyAlignment="1" applyProtection="1">
      <alignment horizontal="left" vertical="center"/>
    </xf>
    <xf numFmtId="0" fontId="127" fillId="3" borderId="106" xfId="0" applyFont="1" applyFill="1" applyBorder="1" applyAlignment="1" applyProtection="1">
      <alignment horizontal="left" vertical="center"/>
    </xf>
    <xf numFmtId="0" fontId="127" fillId="3" borderId="63" xfId="0" applyFont="1" applyFill="1" applyBorder="1" applyAlignment="1" applyProtection="1">
      <alignment horizontal="left" vertical="center"/>
    </xf>
    <xf numFmtId="0" fontId="127" fillId="3" borderId="62" xfId="0" applyFont="1" applyFill="1" applyBorder="1" applyAlignment="1" applyProtection="1">
      <alignment horizontal="left" vertical="center"/>
    </xf>
    <xf numFmtId="0" fontId="127" fillId="3" borderId="61" xfId="0" applyFont="1" applyFill="1" applyBorder="1" applyAlignment="1" applyProtection="1">
      <alignment horizontal="left" vertical="center"/>
    </xf>
    <xf numFmtId="0" fontId="127" fillId="3" borderId="1" xfId="0" applyFont="1" applyFill="1" applyBorder="1" applyAlignment="1" applyProtection="1">
      <alignment horizontal="left" vertical="center"/>
    </xf>
    <xf numFmtId="0" fontId="127" fillId="3" borderId="54" xfId="6" applyFont="1" applyFill="1" applyBorder="1" applyAlignment="1" applyProtection="1">
      <alignment vertical="center"/>
    </xf>
    <xf numFmtId="0" fontId="127" fillId="3" borderId="0" xfId="6" applyFont="1" applyFill="1" applyBorder="1" applyAlignment="1" applyProtection="1">
      <alignment vertical="center"/>
    </xf>
    <xf numFmtId="0" fontId="127" fillId="3" borderId="34" xfId="6" applyFont="1" applyFill="1" applyBorder="1" applyAlignment="1" applyProtection="1">
      <alignment vertical="center" wrapText="1"/>
    </xf>
    <xf numFmtId="0" fontId="127" fillId="3" borderId="9" xfId="6" applyFont="1" applyFill="1" applyBorder="1" applyAlignment="1" applyProtection="1">
      <alignment horizontal="center" vertical="center" wrapText="1"/>
    </xf>
    <xf numFmtId="0" fontId="127" fillId="3" borderId="3" xfId="6" applyFont="1" applyFill="1" applyBorder="1" applyAlignment="1" applyProtection="1">
      <alignment vertical="center" wrapText="1"/>
    </xf>
    <xf numFmtId="0" fontId="127" fillId="3" borderId="81" xfId="6" applyFont="1" applyFill="1" applyBorder="1" applyAlignment="1" applyProtection="1">
      <alignment vertical="center" wrapText="1"/>
    </xf>
    <xf numFmtId="0" fontId="127" fillId="3" borderId="11" xfId="6" applyFont="1" applyFill="1" applyBorder="1" applyAlignment="1" applyProtection="1">
      <alignment horizontal="center" vertical="center" wrapText="1"/>
    </xf>
    <xf numFmtId="0" fontId="127" fillId="3" borderId="3" xfId="6" applyFont="1" applyFill="1" applyBorder="1" applyAlignment="1" applyProtection="1">
      <alignment horizontal="center" vertical="center"/>
    </xf>
    <xf numFmtId="0" fontId="3" fillId="3" borderId="70" xfId="6" applyFill="1" applyBorder="1" applyAlignment="1" applyProtection="1">
      <alignment horizontal="center" vertical="center"/>
    </xf>
    <xf numFmtId="190" fontId="0" fillId="3" borderId="13" xfId="0" applyNumberFormat="1" applyFill="1" applyBorder="1" applyAlignment="1" applyProtection="1">
      <alignment horizontal="left" vertical="center"/>
    </xf>
    <xf numFmtId="190" fontId="0" fillId="3" borderId="14" xfId="0" applyNumberFormat="1" applyFill="1" applyBorder="1" applyAlignment="1" applyProtection="1">
      <alignment horizontal="left" vertical="center"/>
    </xf>
    <xf numFmtId="190" fontId="0" fillId="3" borderId="35" xfId="0" applyNumberFormat="1" applyFill="1" applyBorder="1" applyAlignment="1" applyProtection="1">
      <alignment horizontal="left" vertical="center"/>
    </xf>
    <xf numFmtId="190" fontId="0" fillId="3" borderId="73" xfId="0" applyNumberFormat="1" applyFill="1" applyBorder="1" applyAlignment="1" applyProtection="1">
      <alignment horizontal="left" vertical="center"/>
    </xf>
    <xf numFmtId="190" fontId="0" fillId="3" borderId="8" xfId="0" applyNumberFormat="1" applyFill="1" applyBorder="1" applyAlignment="1" applyProtection="1">
      <alignment horizontal="left" vertical="center"/>
    </xf>
    <xf numFmtId="190" fontId="0" fillId="3" borderId="15" xfId="0" applyNumberFormat="1" applyFill="1" applyBorder="1" applyAlignment="1" applyProtection="1">
      <alignment horizontal="left" vertical="center"/>
    </xf>
    <xf numFmtId="0" fontId="127" fillId="3" borderId="13" xfId="0" applyFont="1" applyFill="1" applyBorder="1" applyAlignment="1" applyProtection="1">
      <alignment horizontal="left" vertical="center" wrapText="1"/>
    </xf>
    <xf numFmtId="0" fontId="127" fillId="3" borderId="14" xfId="0" applyFont="1" applyFill="1" applyBorder="1" applyAlignment="1" applyProtection="1">
      <alignment horizontal="left" vertical="center" wrapText="1"/>
    </xf>
    <xf numFmtId="0" fontId="127" fillId="3" borderId="57" xfId="0" applyFont="1" applyFill="1" applyBorder="1" applyAlignment="1" applyProtection="1">
      <alignment horizontal="left" vertical="center" wrapText="1"/>
    </xf>
    <xf numFmtId="0" fontId="127" fillId="3" borderId="0" xfId="6" applyFont="1" applyFill="1" applyAlignment="1" applyProtection="1">
      <alignment horizontal="center" vertical="center"/>
    </xf>
    <xf numFmtId="0" fontId="127" fillId="3" borderId="1" xfId="6" applyFont="1" applyFill="1" applyBorder="1" applyAlignment="1" applyProtection="1">
      <alignment horizontal="center" vertical="center"/>
    </xf>
    <xf numFmtId="9" fontId="127" fillId="3" borderId="1" xfId="6" applyNumberFormat="1" applyFont="1" applyFill="1" applyBorder="1" applyAlignment="1" applyProtection="1">
      <alignment horizontal="center" vertical="center"/>
    </xf>
    <xf numFmtId="9" fontId="127" fillId="3" borderId="1" xfId="0" applyNumberFormat="1" applyFont="1" applyFill="1" applyBorder="1" applyAlignment="1" applyProtection="1">
      <alignment horizontal="left" vertical="center"/>
    </xf>
    <xf numFmtId="0" fontId="128" fillId="3" borderId="0" xfId="6" applyFont="1" applyFill="1" applyAlignment="1" applyProtection="1">
      <alignment vertical="center"/>
    </xf>
    <xf numFmtId="0" fontId="128" fillId="3" borderId="0" xfId="6" applyFont="1" applyFill="1" applyAlignment="1" applyProtection="1">
      <alignment horizontal="center" vertical="center"/>
    </xf>
    <xf numFmtId="0" fontId="52" fillId="0" borderId="0" xfId="6" applyFont="1" applyAlignment="1" applyProtection="1">
      <alignment vertical="center" wrapText="1"/>
    </xf>
    <xf numFmtId="0" fontId="115" fillId="6" borderId="0" xfId="6" applyFont="1" applyFill="1" applyAlignment="1" applyProtection="1">
      <alignment vertical="center" wrapText="1"/>
    </xf>
    <xf numFmtId="0" fontId="115" fillId="6" borderId="0" xfId="6" applyFont="1" applyFill="1" applyAlignment="1" applyProtection="1">
      <alignment horizontal="left" vertical="center" wrapText="1"/>
    </xf>
    <xf numFmtId="0" fontId="115" fillId="0" borderId="0" xfId="6" applyFont="1" applyAlignment="1" applyProtection="1">
      <alignment horizontal="left" vertical="center" wrapText="1"/>
    </xf>
    <xf numFmtId="0" fontId="115" fillId="0" borderId="0" xfId="6" applyFont="1" applyAlignment="1" applyProtection="1">
      <alignment horizontal="center" vertical="center" wrapText="1"/>
    </xf>
    <xf numFmtId="0" fontId="115" fillId="0" borderId="0" xfId="6" applyFont="1" applyAlignment="1" applyProtection="1">
      <alignment vertical="center" wrapText="1"/>
    </xf>
    <xf numFmtId="0" fontId="115" fillId="6" borderId="0" xfId="6" applyFont="1" applyFill="1" applyAlignment="1" applyProtection="1">
      <alignment horizontal="center" vertical="center" wrapText="1"/>
    </xf>
    <xf numFmtId="0" fontId="129" fillId="3" borderId="59" xfId="6" applyFont="1" applyFill="1" applyBorder="1" applyAlignment="1" applyProtection="1">
      <alignment vertical="center"/>
    </xf>
    <xf numFmtId="0" fontId="53" fillId="3" borderId="78" xfId="6" applyFont="1" applyFill="1" applyBorder="1" applyAlignment="1" applyProtection="1">
      <alignment vertical="center"/>
    </xf>
    <xf numFmtId="0" fontId="53" fillId="3" borderId="1" xfId="6" applyFont="1" applyFill="1" applyBorder="1" applyAlignment="1" applyProtection="1">
      <alignment vertical="center"/>
    </xf>
    <xf numFmtId="0" fontId="115" fillId="3" borderId="1" xfId="6" applyFont="1" applyFill="1" applyBorder="1" applyAlignment="1" applyProtection="1">
      <alignment vertical="center" wrapText="1"/>
    </xf>
    <xf numFmtId="0" fontId="115" fillId="0" borderId="1" xfId="6" applyFont="1" applyFill="1" applyBorder="1" applyAlignment="1" applyProtection="1">
      <alignment vertical="center" wrapText="1"/>
      <protection locked="0"/>
    </xf>
    <xf numFmtId="0" fontId="115" fillId="3" borderId="0" xfId="6" applyFont="1" applyFill="1" applyAlignment="1" applyProtection="1">
      <alignment vertical="center" wrapText="1"/>
    </xf>
    <xf numFmtId="0" fontId="40" fillId="3" borderId="9" xfId="6" applyFont="1" applyFill="1" applyBorder="1" applyAlignment="1" applyProtection="1">
      <alignment horizontal="right" vertical="center"/>
    </xf>
    <xf numFmtId="0" fontId="53" fillId="3" borderId="10" xfId="6" applyFont="1" applyFill="1" applyBorder="1" applyAlignment="1" applyProtection="1">
      <alignment vertical="center"/>
    </xf>
    <xf numFmtId="0" fontId="115" fillId="3" borderId="1" xfId="6" applyNumberFormat="1" applyFont="1" applyFill="1" applyBorder="1" applyAlignment="1" applyProtection="1">
      <alignment horizontal="left" vertical="center" wrapText="1"/>
    </xf>
    <xf numFmtId="0" fontId="115" fillId="2" borderId="1" xfId="6" applyNumberFormat="1" applyFont="1" applyFill="1" applyBorder="1" applyAlignment="1" applyProtection="1">
      <alignment horizontal="center" vertical="center" wrapText="1"/>
      <protection locked="0"/>
    </xf>
    <xf numFmtId="0" fontId="115" fillId="3" borderId="1" xfId="6" applyNumberFormat="1" applyFont="1" applyFill="1" applyBorder="1" applyAlignment="1" applyProtection="1">
      <alignment horizontal="center" vertical="center" wrapText="1"/>
    </xf>
    <xf numFmtId="0" fontId="53" fillId="3" borderId="9" xfId="6" applyFont="1" applyFill="1" applyBorder="1" applyAlignment="1" applyProtection="1">
      <alignment vertical="center"/>
    </xf>
    <xf numFmtId="0" fontId="115" fillId="2" borderId="1" xfId="6" applyNumberFormat="1" applyFont="1" applyFill="1" applyBorder="1" applyAlignment="1" applyProtection="1">
      <alignment vertical="center" wrapText="1"/>
      <protection locked="0"/>
    </xf>
    <xf numFmtId="0" fontId="115" fillId="2" borderId="1" xfId="0" applyFont="1" applyFill="1" applyBorder="1" applyAlignment="1" applyProtection="1">
      <alignment horizontal="left" vertical="center"/>
      <protection locked="0"/>
    </xf>
    <xf numFmtId="181" fontId="36" fillId="3" borderId="1" xfId="6" applyNumberFormat="1" applyFont="1" applyFill="1" applyBorder="1" applyAlignment="1" applyProtection="1">
      <alignment horizontal="center" vertical="center" wrapText="1"/>
    </xf>
    <xf numFmtId="0" fontId="115" fillId="3" borderId="1" xfId="6" applyFont="1" applyFill="1" applyBorder="1" applyAlignment="1" applyProtection="1">
      <alignment horizontal="left" vertical="center" wrapText="1"/>
    </xf>
    <xf numFmtId="0" fontId="53" fillId="3" borderId="10" xfId="6" applyFont="1" applyFill="1" applyBorder="1" applyAlignment="1" applyProtection="1">
      <alignment vertical="center" wrapText="1"/>
    </xf>
    <xf numFmtId="0" fontId="40" fillId="3" borderId="1" xfId="6" applyFont="1" applyFill="1" applyBorder="1" applyAlignment="1" applyProtection="1">
      <alignment horizontal="right" vertical="center" wrapText="1"/>
    </xf>
    <xf numFmtId="0" fontId="53" fillId="3" borderId="1" xfId="6" applyFont="1" applyFill="1" applyBorder="1" applyAlignment="1" applyProtection="1">
      <alignment vertical="center" wrapText="1"/>
    </xf>
    <xf numFmtId="0" fontId="53" fillId="3" borderId="12" xfId="6" applyFont="1" applyFill="1" applyBorder="1" applyAlignment="1" applyProtection="1">
      <alignment vertical="center" wrapText="1"/>
    </xf>
    <xf numFmtId="49" fontId="130" fillId="3" borderId="9" xfId="0" applyNumberFormat="1" applyFont="1" applyFill="1" applyBorder="1" applyAlignment="1" applyProtection="1">
      <alignment horizontal="left" vertical="center" wrapText="1"/>
    </xf>
    <xf numFmtId="0" fontId="54" fillId="3" borderId="9" xfId="6" applyFont="1" applyFill="1" applyBorder="1" applyAlignment="1" applyProtection="1">
      <alignment horizontal="left" vertical="center" wrapText="1"/>
    </xf>
    <xf numFmtId="0" fontId="41" fillId="3" borderId="54" xfId="6" applyFont="1" applyFill="1" applyBorder="1" applyAlignment="1" applyProtection="1">
      <alignment horizontal="center" vertical="center"/>
    </xf>
    <xf numFmtId="0" fontId="131" fillId="3" borderId="54" xfId="6" applyFont="1" applyFill="1" applyBorder="1" applyAlignment="1" applyProtection="1">
      <alignment horizontal="center" vertical="center"/>
    </xf>
    <xf numFmtId="0" fontId="54" fillId="3" borderId="54" xfId="6" applyFont="1" applyFill="1" applyBorder="1" applyAlignment="1" applyProtection="1">
      <alignment vertical="center" wrapText="1"/>
    </xf>
    <xf numFmtId="0" fontId="52" fillId="3" borderId="54" xfId="6" applyFont="1" applyFill="1" applyBorder="1" applyAlignment="1" applyProtection="1">
      <alignment vertical="center" wrapText="1"/>
    </xf>
    <xf numFmtId="49" fontId="132" fillId="3" borderId="60" xfId="0" applyNumberFormat="1" applyFont="1" applyFill="1" applyBorder="1" applyAlignment="1" applyProtection="1">
      <alignment horizontal="left" vertical="center" wrapText="1"/>
    </xf>
    <xf numFmtId="0" fontId="62" fillId="3" borderId="99" xfId="6" applyFont="1" applyFill="1" applyBorder="1" applyAlignment="1" applyProtection="1">
      <alignment horizontal="left" vertical="center" wrapText="1"/>
    </xf>
    <xf numFmtId="0" fontId="24" fillId="3" borderId="63" xfId="6" applyFont="1" applyFill="1" applyBorder="1" applyAlignment="1" applyProtection="1">
      <alignment horizontal="left" vertical="center"/>
    </xf>
    <xf numFmtId="0" fontId="133" fillId="3" borderId="63" xfId="6" applyFont="1" applyFill="1" applyBorder="1" applyAlignment="1" applyProtection="1">
      <alignment horizontal="left" vertical="center"/>
    </xf>
    <xf numFmtId="0" fontId="115" fillId="3" borderId="99" xfId="6" applyFont="1" applyFill="1" applyBorder="1" applyAlignment="1" applyProtection="1">
      <alignment horizontal="left" vertical="center" wrapText="1"/>
    </xf>
    <xf numFmtId="49" fontId="5" fillId="3" borderId="60" xfId="0" applyNumberFormat="1" applyFont="1" applyFill="1" applyBorder="1" applyAlignment="1" applyProtection="1">
      <alignment horizontal="left" vertical="center" wrapText="1"/>
    </xf>
    <xf numFmtId="0" fontId="62" fillId="3" borderId="5" xfId="6" applyFont="1" applyFill="1" applyBorder="1" applyAlignment="1" applyProtection="1">
      <alignment horizontal="left" vertical="center" wrapText="1"/>
    </xf>
    <xf numFmtId="0" fontId="24" fillId="3" borderId="39" xfId="6" applyNumberFormat="1" applyFont="1" applyFill="1" applyBorder="1" applyAlignment="1" applyProtection="1">
      <alignment horizontal="left" vertical="center" wrapText="1"/>
    </xf>
    <xf numFmtId="0" fontId="115" fillId="3" borderId="5" xfId="6" applyFont="1" applyFill="1" applyBorder="1" applyAlignment="1" applyProtection="1">
      <alignment horizontal="left" vertical="center" wrapText="1"/>
    </xf>
    <xf numFmtId="0" fontId="21" fillId="0" borderId="5" xfId="6" applyFont="1" applyFill="1" applyBorder="1" applyAlignment="1" applyProtection="1">
      <alignment horizontal="left" vertical="center" wrapText="1"/>
      <protection locked="0"/>
    </xf>
    <xf numFmtId="0" fontId="115" fillId="3" borderId="55" xfId="6" applyFont="1" applyFill="1" applyBorder="1" applyAlignment="1" applyProtection="1">
      <alignment horizontal="left" vertical="center" wrapText="1"/>
    </xf>
    <xf numFmtId="49" fontId="74" fillId="3" borderId="68" xfId="0" applyNumberFormat="1" applyFont="1" applyFill="1" applyBorder="1" applyAlignment="1" applyProtection="1">
      <alignment horizontal="left" vertical="center" wrapText="1"/>
    </xf>
    <xf numFmtId="0" fontId="21" fillId="2" borderId="1" xfId="6" applyFont="1" applyFill="1" applyBorder="1" applyAlignment="1" applyProtection="1">
      <alignment horizontal="left" vertical="center" wrapText="1"/>
      <protection locked="0"/>
    </xf>
    <xf numFmtId="0" fontId="21" fillId="3" borderId="3" xfId="6" applyFont="1" applyFill="1" applyBorder="1" applyAlignment="1" applyProtection="1">
      <alignment horizontal="left" vertical="center" wrapText="1"/>
    </xf>
    <xf numFmtId="0" fontId="21" fillId="3" borderId="34" xfId="6" applyFont="1" applyFill="1" applyBorder="1" applyAlignment="1" applyProtection="1">
      <alignment horizontal="left" vertical="center" wrapText="1"/>
    </xf>
    <xf numFmtId="0" fontId="115" fillId="3" borderId="10" xfId="6" applyFont="1" applyFill="1" applyBorder="1" applyAlignment="1" applyProtection="1">
      <alignment horizontal="left" vertical="center"/>
    </xf>
    <xf numFmtId="0" fontId="115" fillId="3" borderId="12" xfId="6" applyFont="1" applyFill="1" applyBorder="1" applyAlignment="1" applyProtection="1">
      <alignment horizontal="left" vertical="center" wrapText="1"/>
    </xf>
    <xf numFmtId="9" fontId="21" fillId="3" borderId="1" xfId="6" applyNumberFormat="1" applyFont="1" applyFill="1" applyBorder="1" applyAlignment="1" applyProtection="1">
      <alignment horizontal="left" vertical="center" wrapText="1"/>
    </xf>
    <xf numFmtId="0" fontId="21" fillId="3" borderId="1" xfId="6" applyFont="1" applyFill="1" applyBorder="1" applyAlignment="1" applyProtection="1">
      <alignment horizontal="left" vertical="center" wrapText="1"/>
    </xf>
    <xf numFmtId="0" fontId="115" fillId="3" borderId="9" xfId="6" applyFont="1" applyFill="1" applyBorder="1" applyAlignment="1" applyProtection="1">
      <alignment horizontal="left" vertical="center" wrapText="1"/>
    </xf>
    <xf numFmtId="0" fontId="21" fillId="3" borderId="9" xfId="6" applyFont="1" applyFill="1" applyBorder="1" applyAlignment="1" applyProtection="1">
      <alignment horizontal="left" vertical="center" wrapText="1"/>
    </xf>
    <xf numFmtId="0" fontId="115" fillId="3" borderId="18" xfId="6" applyFont="1" applyFill="1" applyBorder="1" applyAlignment="1" applyProtection="1">
      <alignment horizontal="left" vertical="center"/>
    </xf>
    <xf numFmtId="0" fontId="115" fillId="3" borderId="54" xfId="6" applyFont="1" applyFill="1" applyBorder="1" applyAlignment="1" applyProtection="1">
      <alignment horizontal="left" vertical="center" wrapText="1"/>
    </xf>
    <xf numFmtId="0" fontId="24" fillId="3" borderId="106" xfId="0" applyNumberFormat="1" applyFont="1" applyFill="1" applyBorder="1" applyAlignment="1" applyProtection="1">
      <alignment horizontal="left" vertical="center" wrapText="1"/>
    </xf>
    <xf numFmtId="0" fontId="21" fillId="0" borderId="63" xfId="0" applyNumberFormat="1" applyFont="1" applyFill="1" applyBorder="1" applyAlignment="1" applyProtection="1">
      <alignment horizontal="left" vertical="center" wrapText="1"/>
      <protection locked="0"/>
    </xf>
    <xf numFmtId="0" fontId="21" fillId="3" borderId="63" xfId="0" applyNumberFormat="1" applyFont="1" applyFill="1" applyBorder="1" applyAlignment="1" applyProtection="1">
      <alignment horizontal="left" vertical="center" wrapText="1"/>
    </xf>
    <xf numFmtId="0" fontId="4" fillId="3" borderId="63" xfId="0" applyNumberFormat="1" applyFont="1" applyFill="1" applyBorder="1" applyAlignment="1" applyProtection="1">
      <alignment horizontal="left" vertical="center"/>
      <protection locked="0"/>
    </xf>
    <xf numFmtId="0" fontId="21" fillId="3" borderId="99" xfId="0" applyNumberFormat="1" applyFont="1" applyFill="1" applyBorder="1" applyAlignment="1" applyProtection="1">
      <alignment horizontal="left" vertical="center"/>
      <protection locked="0"/>
    </xf>
    <xf numFmtId="0" fontId="21" fillId="3" borderId="99" xfId="0" applyNumberFormat="1" applyFont="1" applyFill="1" applyBorder="1" applyAlignment="1" applyProtection="1">
      <alignment horizontal="left" vertical="center" wrapText="1"/>
      <protection locked="0"/>
    </xf>
    <xf numFmtId="0" fontId="62" fillId="3" borderId="41" xfId="6" applyFont="1" applyFill="1" applyBorder="1" applyAlignment="1" applyProtection="1">
      <alignment horizontal="left" vertical="center" wrapText="1"/>
    </xf>
    <xf numFmtId="0" fontId="21" fillId="3" borderId="39" xfId="0" applyFont="1" applyFill="1" applyBorder="1" applyAlignment="1" applyProtection="1">
      <alignment horizontal="left" vertical="center"/>
    </xf>
    <xf numFmtId="0" fontId="115" fillId="3" borderId="78" xfId="6" applyFont="1" applyFill="1" applyBorder="1" applyAlignment="1" applyProtection="1">
      <alignment horizontal="left" vertical="center" wrapText="1"/>
    </xf>
    <xf numFmtId="49" fontId="91" fillId="3" borderId="68" xfId="0" applyNumberFormat="1" applyFont="1" applyFill="1" applyBorder="1" applyAlignment="1" applyProtection="1">
      <alignment horizontal="left" vertical="center" wrapText="1"/>
    </xf>
    <xf numFmtId="0" fontId="115" fillId="0" borderId="1" xfId="6" applyFont="1" applyFill="1" applyBorder="1" applyAlignment="1" applyProtection="1">
      <alignment horizontal="left" vertical="center"/>
      <protection locked="0"/>
    </xf>
    <xf numFmtId="0" fontId="115" fillId="0" borderId="1" xfId="6" applyFont="1" applyBorder="1" applyAlignment="1" applyProtection="1">
      <alignment horizontal="left" vertical="center" wrapText="1"/>
      <protection locked="0"/>
    </xf>
    <xf numFmtId="0" fontId="110" fillId="2" borderId="11" xfId="6" applyFont="1" applyFill="1" applyBorder="1" applyAlignment="1" applyProtection="1">
      <alignment horizontal="left" vertical="center" wrapText="1"/>
      <protection locked="0"/>
    </xf>
    <xf numFmtId="0" fontId="110" fillId="2" borderId="1" xfId="6" applyFont="1" applyFill="1" applyBorder="1" applyAlignment="1" applyProtection="1">
      <alignment horizontal="left" vertical="center" wrapText="1"/>
      <protection locked="0"/>
    </xf>
    <xf numFmtId="0" fontId="110" fillId="2" borderId="3" xfId="6" applyFont="1" applyFill="1" applyBorder="1" applyAlignment="1" applyProtection="1">
      <alignment horizontal="left" vertical="center" wrapText="1"/>
      <protection locked="0"/>
    </xf>
    <xf numFmtId="0" fontId="22" fillId="3" borderId="34" xfId="0" applyNumberFormat="1" applyFont="1" applyFill="1" applyBorder="1" applyAlignment="1" applyProtection="1">
      <alignment horizontal="left" vertical="center"/>
    </xf>
    <xf numFmtId="0" fontId="36" fillId="3" borderId="0" xfId="0" applyNumberFormat="1" applyFont="1" applyFill="1" applyAlignment="1" applyProtection="1">
      <alignment horizontal="left" vertical="center" wrapText="1"/>
    </xf>
    <xf numFmtId="0" fontId="21" fillId="0" borderId="9" xfId="0" applyNumberFormat="1" applyFont="1" applyFill="1" applyBorder="1" applyAlignment="1" applyProtection="1">
      <alignment horizontal="left" vertical="center" wrapText="1"/>
      <protection locked="0"/>
    </xf>
    <xf numFmtId="49" fontId="5" fillId="3" borderId="4" xfId="0" applyNumberFormat="1" applyFont="1" applyFill="1" applyBorder="1" applyAlignment="1" applyProtection="1">
      <alignment horizontal="center" vertical="center" wrapText="1"/>
    </xf>
    <xf numFmtId="0" fontId="5" fillId="3" borderId="5" xfId="0" applyNumberFormat="1" applyFont="1" applyFill="1" applyBorder="1" applyAlignment="1" applyProtection="1">
      <alignment horizontal="left" vertical="center" wrapText="1"/>
    </xf>
    <xf numFmtId="0" fontId="21" fillId="3" borderId="5" xfId="0" applyNumberFormat="1" applyFont="1" applyFill="1" applyBorder="1" applyAlignment="1" applyProtection="1">
      <alignment horizontal="left" vertical="center" wrapText="1"/>
      <protection locked="0"/>
    </xf>
    <xf numFmtId="0" fontId="4" fillId="3" borderId="5" xfId="0" applyNumberFormat="1" applyFont="1" applyFill="1" applyBorder="1" applyAlignment="1" applyProtection="1">
      <alignment horizontal="left" vertical="center" wrapText="1"/>
      <protection locked="0"/>
    </xf>
    <xf numFmtId="0" fontId="21" fillId="3" borderId="1" xfId="0" applyNumberFormat="1" applyFont="1" applyFill="1" applyBorder="1" applyAlignment="1" applyProtection="1">
      <alignment horizontal="left" vertical="center" wrapText="1"/>
      <protection locked="0"/>
    </xf>
    <xf numFmtId="0" fontId="4" fillId="3" borderId="1" xfId="0" applyNumberFormat="1" applyFont="1" applyFill="1" applyBorder="1" applyAlignment="1" applyProtection="1">
      <alignment horizontal="left" vertical="center"/>
    </xf>
    <xf numFmtId="0" fontId="21" fillId="0" borderId="1" xfId="0" applyNumberFormat="1" applyFont="1" applyFill="1" applyBorder="1" applyAlignment="1" applyProtection="1">
      <alignment horizontal="left" vertical="center" wrapText="1"/>
      <protection locked="0"/>
    </xf>
    <xf numFmtId="0" fontId="4" fillId="3" borderId="1" xfId="0" applyNumberFormat="1" applyFont="1" applyFill="1" applyBorder="1" applyAlignment="1" applyProtection="1">
      <alignment horizontal="left" vertical="center" wrapText="1"/>
    </xf>
    <xf numFmtId="49" fontId="91" fillId="3" borderId="76" xfId="0" applyNumberFormat="1" applyFont="1" applyFill="1" applyBorder="1" applyAlignment="1" applyProtection="1">
      <alignment horizontal="left" vertical="center" wrapText="1"/>
    </xf>
    <xf numFmtId="0" fontId="21" fillId="3" borderId="8" xfId="0" applyNumberFormat="1" applyFont="1" applyFill="1" applyBorder="1" applyAlignment="1" applyProtection="1">
      <alignment horizontal="left" vertical="center" wrapText="1"/>
      <protection locked="0"/>
    </xf>
    <xf numFmtId="0" fontId="21" fillId="0" borderId="8" xfId="0" applyNumberFormat="1" applyFont="1" applyFill="1" applyBorder="1" applyAlignment="1" applyProtection="1">
      <alignment horizontal="left" vertical="center" wrapText="1"/>
      <protection locked="0"/>
    </xf>
    <xf numFmtId="0" fontId="4" fillId="3" borderId="8" xfId="0" applyNumberFormat="1" applyFont="1" applyFill="1" applyBorder="1" applyAlignment="1" applyProtection="1">
      <alignment horizontal="left" vertical="center" wrapText="1"/>
      <protection locked="0"/>
    </xf>
    <xf numFmtId="0" fontId="24" fillId="3" borderId="5" xfId="6" applyFont="1" applyFill="1" applyBorder="1" applyAlignment="1" applyProtection="1">
      <alignment horizontal="center" vertical="center" wrapText="1"/>
    </xf>
    <xf numFmtId="0" fontId="115" fillId="2" borderId="5" xfId="6" applyFont="1" applyFill="1" applyBorder="1" applyAlignment="1" applyProtection="1">
      <alignment horizontal="center" vertical="center" wrapText="1"/>
      <protection locked="0"/>
    </xf>
    <xf numFmtId="0" fontId="115" fillId="3" borderId="8" xfId="6" applyFont="1" applyFill="1" applyBorder="1" applyAlignment="1" applyProtection="1">
      <alignment horizontal="left" vertical="center"/>
    </xf>
    <xf numFmtId="0" fontId="21" fillId="3" borderId="80" xfId="6" applyFont="1" applyFill="1" applyBorder="1" applyAlignment="1" applyProtection="1">
      <alignment horizontal="center" vertical="center" wrapText="1"/>
    </xf>
    <xf numFmtId="0" fontId="115" fillId="3" borderId="8" xfId="0" applyFont="1" applyFill="1" applyBorder="1" applyAlignment="1" applyProtection="1">
      <alignment horizontal="center" vertical="center" wrapText="1"/>
    </xf>
    <xf numFmtId="0" fontId="115" fillId="3" borderId="8" xfId="6" applyFont="1" applyFill="1" applyBorder="1" applyAlignment="1" applyProtection="1">
      <alignment horizontal="center" vertical="center" wrapText="1"/>
    </xf>
    <xf numFmtId="0" fontId="115" fillId="2" borderId="8" xfId="6" applyFont="1" applyFill="1" applyBorder="1" applyAlignment="1" applyProtection="1">
      <alignment horizontal="right" vertical="center" wrapText="1"/>
      <protection locked="0"/>
    </xf>
    <xf numFmtId="0" fontId="21" fillId="3" borderId="8" xfId="6" applyFont="1" applyFill="1" applyBorder="1" applyAlignment="1" applyProtection="1">
      <alignment horizontal="center" vertical="center" wrapText="1"/>
    </xf>
    <xf numFmtId="49" fontId="130" fillId="3" borderId="68" xfId="0" applyNumberFormat="1" applyFont="1" applyFill="1" applyBorder="1" applyAlignment="1" applyProtection="1">
      <alignment horizontal="left" vertical="center" wrapText="1"/>
    </xf>
    <xf numFmtId="0" fontId="54" fillId="3" borderId="35" xfId="6" applyFont="1" applyFill="1" applyBorder="1" applyAlignment="1" applyProtection="1">
      <alignment horizontal="left" vertical="center" wrapText="1"/>
    </xf>
    <xf numFmtId="0" fontId="41" fillId="3" borderId="20" xfId="6" applyFont="1" applyFill="1" applyBorder="1" applyAlignment="1" applyProtection="1">
      <alignment horizontal="center" vertical="center" wrapText="1"/>
    </xf>
    <xf numFmtId="0" fontId="115" fillId="3" borderId="20" xfId="6" applyFont="1" applyFill="1" applyBorder="1" applyAlignment="1" applyProtection="1">
      <alignment vertical="center"/>
    </xf>
    <xf numFmtId="0" fontId="54" fillId="3" borderId="0" xfId="6" applyFont="1" applyFill="1" applyBorder="1" applyAlignment="1" applyProtection="1">
      <alignment horizontal="center" vertical="center" wrapText="1"/>
    </xf>
    <xf numFmtId="0" fontId="115" fillId="3" borderId="0" xfId="6" applyFont="1" applyFill="1" applyBorder="1" applyAlignment="1" applyProtection="1">
      <alignment vertical="center"/>
    </xf>
    <xf numFmtId="0" fontId="52" fillId="3" borderId="0" xfId="6" applyFont="1" applyFill="1" applyBorder="1" applyAlignment="1" applyProtection="1">
      <alignment vertical="center" wrapText="1"/>
    </xf>
    <xf numFmtId="49" fontId="130" fillId="3" borderId="60" xfId="0" applyNumberFormat="1" applyFont="1" applyFill="1" applyBorder="1" applyAlignment="1" applyProtection="1">
      <alignment horizontal="left" vertical="center" wrapText="1"/>
    </xf>
    <xf numFmtId="0" fontId="54" fillId="3" borderId="106" xfId="6" applyFont="1" applyFill="1" applyBorder="1" applyAlignment="1" applyProtection="1">
      <alignment horizontal="left" vertical="center" wrapText="1"/>
    </xf>
    <xf numFmtId="189" fontId="41" fillId="3" borderId="106" xfId="6" applyNumberFormat="1" applyFont="1" applyFill="1" applyBorder="1" applyAlignment="1" applyProtection="1">
      <alignment horizontal="center" vertical="center" wrapText="1"/>
    </xf>
    <xf numFmtId="0" fontId="52" fillId="3" borderId="106" xfId="6" applyFont="1" applyFill="1" applyBorder="1" applyAlignment="1" applyProtection="1">
      <alignment horizontal="center" vertical="center" wrapText="1"/>
    </xf>
    <xf numFmtId="14" fontId="36" fillId="3" borderId="106" xfId="6" applyNumberFormat="1" applyFont="1" applyFill="1" applyBorder="1" applyAlignment="1" applyProtection="1">
      <alignment horizontal="center" vertical="center" wrapText="1"/>
    </xf>
    <xf numFmtId="14" fontId="36" fillId="3" borderId="99" xfId="6" applyNumberFormat="1" applyFont="1" applyFill="1" applyBorder="1" applyAlignment="1" applyProtection="1">
      <alignment horizontal="center" vertical="center" wrapText="1"/>
    </xf>
    <xf numFmtId="0" fontId="52" fillId="2" borderId="106" xfId="6" applyFont="1" applyFill="1" applyBorder="1" applyAlignment="1" applyProtection="1">
      <alignment horizontal="center" vertical="center" wrapText="1"/>
      <protection locked="0"/>
    </xf>
    <xf numFmtId="0" fontId="54" fillId="3" borderId="80" xfId="6" applyFont="1" applyFill="1" applyBorder="1" applyAlignment="1" applyProtection="1">
      <alignment horizontal="left" vertical="center" wrapText="1"/>
    </xf>
    <xf numFmtId="189" fontId="41" fillId="3" borderId="80" xfId="6" applyNumberFormat="1" applyFont="1" applyFill="1" applyBorder="1" applyAlignment="1" applyProtection="1">
      <alignment horizontal="center" vertical="center" wrapText="1"/>
    </xf>
    <xf numFmtId="0" fontId="115" fillId="3" borderId="80" xfId="6" applyFont="1" applyFill="1" applyBorder="1" applyAlignment="1" applyProtection="1">
      <alignment horizontal="center" vertical="center" wrapText="1"/>
    </xf>
    <xf numFmtId="10" fontId="21" fillId="3" borderId="80" xfId="6" applyNumberFormat="1" applyFont="1" applyFill="1" applyBorder="1" applyAlignment="1" applyProtection="1">
      <alignment horizontal="center" vertical="center" wrapText="1"/>
    </xf>
    <xf numFmtId="183" fontId="69" fillId="3" borderId="80" xfId="6" applyNumberFormat="1" applyFont="1" applyFill="1" applyBorder="1" applyAlignment="1" applyProtection="1">
      <alignment horizontal="center" vertical="center" wrapText="1"/>
    </xf>
    <xf numFmtId="49" fontId="130" fillId="3" borderId="4" xfId="0" applyNumberFormat="1" applyFont="1" applyFill="1" applyBorder="1" applyAlignment="1" applyProtection="1">
      <alignment horizontal="left" vertical="center" wrapText="1"/>
    </xf>
    <xf numFmtId="0" fontId="54" fillId="2" borderId="3" xfId="6" applyFont="1" applyFill="1" applyBorder="1" applyAlignment="1" applyProtection="1">
      <alignment horizontal="left" vertical="center" wrapText="1"/>
      <protection locked="0"/>
    </xf>
    <xf numFmtId="0" fontId="36" fillId="3" borderId="3" xfId="6" applyFont="1" applyFill="1" applyBorder="1" applyAlignment="1" applyProtection="1">
      <alignment horizontal="center" vertical="center" wrapText="1"/>
    </xf>
    <xf numFmtId="0" fontId="52" fillId="3" borderId="0" xfId="6" applyFont="1" applyFill="1" applyAlignment="1" applyProtection="1">
      <alignment vertical="center" wrapText="1"/>
    </xf>
    <xf numFmtId="49" fontId="134" fillId="3" borderId="22" xfId="0" applyNumberFormat="1" applyFont="1" applyFill="1" applyBorder="1" applyAlignment="1" applyProtection="1">
      <alignment horizontal="center" vertical="center" wrapText="1"/>
    </xf>
    <xf numFmtId="0" fontId="52" fillId="3" borderId="1" xfId="6" applyFont="1" applyFill="1" applyBorder="1" applyAlignment="1" applyProtection="1">
      <alignment horizontal="left" vertical="center" wrapText="1"/>
    </xf>
    <xf numFmtId="0" fontId="36" fillId="3" borderId="1" xfId="0" applyNumberFormat="1" applyFont="1" applyFill="1" applyBorder="1" applyAlignment="1" applyProtection="1">
      <alignment horizontal="left" vertical="center" wrapText="1"/>
    </xf>
    <xf numFmtId="0" fontId="36" fillId="3" borderId="1" xfId="6" applyFont="1" applyFill="1" applyBorder="1" applyAlignment="1" applyProtection="1">
      <alignment horizontal="center" vertical="center" wrapText="1"/>
    </xf>
    <xf numFmtId="0" fontId="41" fillId="3" borderId="3" xfId="6" applyFont="1" applyFill="1" applyBorder="1" applyAlignment="1" applyProtection="1">
      <alignment horizontal="center" vertical="center" wrapText="1"/>
    </xf>
    <xf numFmtId="0" fontId="21" fillId="3" borderId="0" xfId="6" applyFont="1" applyFill="1" applyAlignment="1" applyProtection="1">
      <alignment vertical="center" wrapText="1"/>
    </xf>
    <xf numFmtId="189" fontId="21" fillId="3" borderId="35" xfId="6" applyNumberFormat="1" applyFont="1" applyFill="1" applyBorder="1" applyAlignment="1" applyProtection="1">
      <alignment horizontal="center" vertical="center" wrapText="1"/>
    </xf>
    <xf numFmtId="189" fontId="21" fillId="3" borderId="20" xfId="6" applyNumberFormat="1" applyFont="1" applyFill="1" applyBorder="1" applyAlignment="1" applyProtection="1">
      <alignment horizontal="center" vertical="center" wrapText="1"/>
    </xf>
    <xf numFmtId="0" fontId="21" fillId="3" borderId="11" xfId="6" applyFont="1" applyFill="1" applyBorder="1" applyAlignment="1" applyProtection="1">
      <alignment vertical="center" wrapText="1"/>
    </xf>
    <xf numFmtId="49" fontId="130" fillId="3" borderId="69" xfId="0" applyNumberFormat="1" applyFont="1" applyFill="1" applyBorder="1" applyAlignment="1" applyProtection="1">
      <alignment horizontal="left" vertical="center" wrapText="1"/>
    </xf>
    <xf numFmtId="189" fontId="41" fillId="3" borderId="9" xfId="6" applyNumberFormat="1" applyFont="1" applyFill="1" applyBorder="1" applyAlignment="1" applyProtection="1">
      <alignment horizontal="center" vertical="center" wrapText="1"/>
    </xf>
    <xf numFmtId="0" fontId="21" fillId="3" borderId="54" xfId="6" applyFont="1" applyFill="1" applyBorder="1" applyAlignment="1" applyProtection="1">
      <alignment vertical="center"/>
    </xf>
    <xf numFmtId="0" fontId="36" fillId="3" borderId="9" xfId="6" applyFont="1" applyFill="1" applyBorder="1" applyAlignment="1" applyProtection="1">
      <alignment vertical="center" wrapText="1"/>
    </xf>
    <xf numFmtId="0" fontId="54" fillId="3" borderId="39" xfId="6" applyFont="1" applyFill="1" applyBorder="1" applyAlignment="1" applyProtection="1">
      <alignment horizontal="left" vertical="center" wrapText="1"/>
    </xf>
    <xf numFmtId="0" fontId="62" fillId="3" borderId="78" xfId="6" applyFont="1" applyFill="1" applyBorder="1" applyAlignment="1" applyProtection="1">
      <alignment horizontal="center" vertical="center" wrapText="1"/>
    </xf>
    <xf numFmtId="0" fontId="115" fillId="3" borderId="55" xfId="6" applyFont="1" applyFill="1" applyBorder="1" applyAlignment="1" applyProtection="1">
      <alignment vertical="center" wrapText="1"/>
    </xf>
    <xf numFmtId="0" fontId="62" fillId="3" borderId="55" xfId="6" applyFont="1" applyFill="1" applyBorder="1" applyAlignment="1" applyProtection="1">
      <alignment vertical="center" wrapText="1"/>
    </xf>
    <xf numFmtId="0" fontId="54" fillId="3" borderId="68" xfId="6" applyFont="1" applyFill="1" applyBorder="1" applyAlignment="1" applyProtection="1">
      <alignment horizontal="center" vertical="center" wrapText="1"/>
    </xf>
    <xf numFmtId="0" fontId="24" fillId="8" borderId="1" xfId="6" applyFont="1" applyFill="1" applyBorder="1" applyAlignment="1" applyProtection="1">
      <alignment horizontal="center" vertical="center" wrapText="1"/>
    </xf>
    <xf numFmtId="0" fontId="115" fillId="3" borderId="20" xfId="6" applyFont="1" applyFill="1" applyBorder="1" applyAlignment="1" applyProtection="1">
      <alignment vertical="center" wrapText="1"/>
    </xf>
    <xf numFmtId="0" fontId="115" fillId="3" borderId="0" xfId="6" applyFont="1" applyFill="1" applyBorder="1" applyAlignment="1" applyProtection="1">
      <alignment vertical="center" wrapText="1"/>
    </xf>
    <xf numFmtId="0" fontId="62" fillId="3" borderId="0" xfId="6" applyFont="1" applyFill="1" applyBorder="1" applyAlignment="1" applyProtection="1">
      <alignment vertical="center" wrapText="1"/>
    </xf>
    <xf numFmtId="0" fontId="52" fillId="3" borderId="0" xfId="6" applyFont="1" applyFill="1" applyBorder="1" applyAlignment="1" applyProtection="1">
      <alignment horizontal="left" vertical="center" wrapText="1"/>
    </xf>
    <xf numFmtId="0" fontId="24" fillId="3" borderId="35" xfId="6" applyFont="1" applyFill="1" applyBorder="1" applyAlignment="1" applyProtection="1">
      <alignment horizontal="center" vertical="center" wrapText="1"/>
    </xf>
    <xf numFmtId="0" fontId="115" fillId="3" borderId="16" xfId="6" applyFont="1" applyFill="1" applyBorder="1" applyAlignment="1" applyProtection="1">
      <alignment vertical="center" wrapText="1"/>
    </xf>
    <xf numFmtId="0" fontId="115" fillId="3" borderId="17" xfId="6" applyFont="1" applyFill="1" applyBorder="1" applyAlignment="1" applyProtection="1">
      <alignment vertical="center" wrapText="1"/>
    </xf>
    <xf numFmtId="0" fontId="62" fillId="3" borderId="17" xfId="6" applyFont="1" applyFill="1" applyBorder="1" applyAlignment="1" applyProtection="1">
      <alignment vertical="center" wrapText="1"/>
    </xf>
    <xf numFmtId="0" fontId="54" fillId="3" borderId="69" xfId="6" applyFont="1" applyFill="1" applyBorder="1" applyAlignment="1" applyProtection="1">
      <alignment horizontal="center" vertical="center" wrapText="1"/>
    </xf>
    <xf numFmtId="0" fontId="62" fillId="3" borderId="56" xfId="6" applyFont="1" applyFill="1" applyBorder="1" applyAlignment="1" applyProtection="1">
      <alignment vertical="center" wrapText="1"/>
    </xf>
    <xf numFmtId="0" fontId="54" fillId="3" borderId="5" xfId="6" applyFont="1" applyFill="1" applyBorder="1" applyAlignment="1" applyProtection="1">
      <alignment horizontal="center" vertical="center" wrapText="1"/>
    </xf>
    <xf numFmtId="0" fontId="54" fillId="3" borderId="39" xfId="6" applyFont="1" applyFill="1" applyBorder="1" applyAlignment="1" applyProtection="1">
      <alignment horizontal="center" vertical="center" wrapText="1"/>
    </xf>
    <xf numFmtId="0" fontId="62" fillId="3" borderId="39" xfId="6" applyFont="1" applyFill="1" applyBorder="1" applyAlignment="1" applyProtection="1">
      <alignment vertical="center" wrapText="1"/>
    </xf>
    <xf numFmtId="0" fontId="115" fillId="3" borderId="78" xfId="6" applyFont="1" applyFill="1" applyBorder="1" applyAlignment="1" applyProtection="1">
      <alignment vertical="center" wrapText="1"/>
    </xf>
    <xf numFmtId="0" fontId="115" fillId="3" borderId="68" xfId="6" applyFont="1" applyFill="1" applyBorder="1" applyAlignment="1" applyProtection="1">
      <alignment horizontal="center" vertical="center" wrapText="1"/>
    </xf>
    <xf numFmtId="0" fontId="115" fillId="3" borderId="11" xfId="6" applyFont="1" applyFill="1" applyBorder="1" applyAlignment="1" applyProtection="1">
      <alignment horizontal="left" vertical="center" wrapText="1"/>
    </xf>
    <xf numFmtId="0" fontId="24" fillId="3" borderId="1" xfId="6" applyFont="1" applyFill="1" applyBorder="1" applyAlignment="1" applyProtection="1">
      <alignment horizontal="center" vertical="center" wrapText="1"/>
    </xf>
    <xf numFmtId="0" fontId="115" fillId="0" borderId="1" xfId="6" applyFont="1" applyBorder="1" applyAlignment="1" applyProtection="1">
      <alignment vertical="center" wrapText="1"/>
      <protection locked="0"/>
    </xf>
    <xf numFmtId="0" fontId="69" fillId="3" borderId="1" xfId="6" applyFont="1" applyFill="1" applyBorder="1" applyAlignment="1" applyProtection="1">
      <alignment horizontal="center" vertical="center"/>
    </xf>
    <xf numFmtId="0" fontId="78" fillId="3" borderId="10" xfId="0" applyFont="1" applyFill="1" applyBorder="1" applyAlignment="1" applyProtection="1">
      <alignment vertical="center"/>
    </xf>
    <xf numFmtId="0" fontId="110" fillId="3" borderId="12" xfId="6" applyFont="1" applyFill="1" applyBorder="1" applyAlignment="1" applyProtection="1">
      <alignment vertical="center"/>
    </xf>
    <xf numFmtId="0" fontId="62" fillId="3" borderId="76" xfId="6" applyFont="1" applyFill="1" applyBorder="1" applyAlignment="1" applyProtection="1">
      <alignment vertical="center" wrapText="1"/>
    </xf>
    <xf numFmtId="0" fontId="115" fillId="3" borderId="97" xfId="6" applyFont="1" applyFill="1" applyBorder="1" applyAlignment="1" applyProtection="1">
      <alignment horizontal="left" vertical="center" wrapText="1"/>
    </xf>
    <xf numFmtId="0" fontId="115" fillId="0" borderId="8" xfId="6" applyFont="1" applyBorder="1" applyAlignment="1" applyProtection="1">
      <alignment vertical="center" wrapText="1"/>
      <protection locked="0"/>
    </xf>
    <xf numFmtId="0" fontId="21" fillId="3" borderId="8" xfId="0" applyFont="1" applyFill="1" applyBorder="1" applyAlignment="1" applyProtection="1">
      <alignment vertical="center"/>
    </xf>
    <xf numFmtId="0" fontId="115" fillId="3" borderId="79" xfId="6" applyFont="1" applyFill="1" applyBorder="1" applyAlignment="1" applyProtection="1">
      <alignment vertical="center" wrapText="1"/>
    </xf>
    <xf numFmtId="0" fontId="62" fillId="3" borderId="69" xfId="6" applyFont="1" applyFill="1" applyBorder="1" applyAlignment="1" applyProtection="1">
      <alignment vertical="center" wrapText="1"/>
    </xf>
    <xf numFmtId="0" fontId="62" fillId="3" borderId="71" xfId="6" applyFont="1" applyFill="1" applyBorder="1" applyAlignment="1" applyProtection="1">
      <alignment horizontal="left" vertical="center" wrapText="1"/>
    </xf>
    <xf numFmtId="0" fontId="115" fillId="3" borderId="78" xfId="6" applyFont="1" applyFill="1" applyBorder="1" applyAlignment="1" applyProtection="1">
      <alignment vertical="center"/>
    </xf>
    <xf numFmtId="0" fontId="115" fillId="3" borderId="39" xfId="6" applyFont="1" applyFill="1" applyBorder="1" applyAlignment="1" applyProtection="1">
      <alignment vertical="center"/>
    </xf>
    <xf numFmtId="0" fontId="62" fillId="3" borderId="81" xfId="6" applyFont="1" applyFill="1" applyBorder="1" applyAlignment="1" applyProtection="1">
      <alignment vertical="center" wrapText="1"/>
    </xf>
    <xf numFmtId="0" fontId="54" fillId="3" borderId="11" xfId="6" applyFont="1" applyFill="1" applyBorder="1" applyAlignment="1" applyProtection="1">
      <alignment horizontal="center" vertical="center" wrapText="1"/>
    </xf>
    <xf numFmtId="0" fontId="54" fillId="3" borderId="1" xfId="6" applyFont="1" applyFill="1" applyBorder="1" applyAlignment="1" applyProtection="1">
      <alignment horizontal="center" vertical="center" wrapText="1"/>
    </xf>
    <xf numFmtId="0" fontId="54" fillId="3" borderId="3" xfId="6" applyFont="1" applyFill="1" applyBorder="1" applyAlignment="1" applyProtection="1">
      <alignment horizontal="center" vertical="center" wrapText="1"/>
    </xf>
    <xf numFmtId="0" fontId="110" fillId="3" borderId="81" xfId="6" applyFont="1" applyFill="1" applyBorder="1" applyAlignment="1" applyProtection="1">
      <alignment horizontal="center" vertical="center" wrapText="1"/>
    </xf>
    <xf numFmtId="0" fontId="21" fillId="0" borderId="1" xfId="6" applyFont="1" applyBorder="1" applyAlignment="1" applyProtection="1">
      <alignment vertical="center" wrapText="1"/>
      <protection locked="0"/>
    </xf>
    <xf numFmtId="0" fontId="21" fillId="3" borderId="1" xfId="6" applyFont="1" applyFill="1" applyBorder="1" applyAlignment="1" applyProtection="1">
      <alignment horizontal="center" vertical="center" wrapText="1"/>
    </xf>
    <xf numFmtId="0" fontId="110" fillId="3" borderId="11" xfId="6" applyFont="1" applyFill="1" applyBorder="1" applyAlignment="1" applyProtection="1">
      <alignment horizontal="center" vertical="center" wrapText="1"/>
    </xf>
    <xf numFmtId="0" fontId="69" fillId="3" borderId="11" xfId="0" applyFont="1" applyFill="1" applyBorder="1" applyAlignment="1" applyProtection="1">
      <alignment horizontal="center" vertical="center" wrapText="1"/>
    </xf>
    <xf numFmtId="0" fontId="62" fillId="3" borderId="68" xfId="6" applyFont="1" applyFill="1" applyBorder="1" applyAlignment="1" applyProtection="1">
      <alignment vertical="center" wrapText="1"/>
    </xf>
    <xf numFmtId="0" fontId="110" fillId="3" borderId="97" xfId="6" applyFont="1" applyFill="1" applyBorder="1" applyAlignment="1" applyProtection="1">
      <alignment horizontal="center" vertical="center" wrapText="1"/>
    </xf>
    <xf numFmtId="0" fontId="21" fillId="0" borderId="8" xfId="6" applyFont="1" applyBorder="1" applyAlignment="1" applyProtection="1">
      <alignment vertical="center" wrapText="1"/>
      <protection locked="0"/>
    </xf>
    <xf numFmtId="0" fontId="24" fillId="3" borderId="8" xfId="6" applyFont="1" applyFill="1" applyBorder="1" applyAlignment="1" applyProtection="1">
      <alignment horizontal="center" vertical="center" wrapText="1"/>
    </xf>
    <xf numFmtId="0" fontId="115" fillId="6" borderId="0" xfId="6" applyFont="1" applyFill="1" applyAlignment="1" applyProtection="1">
      <alignment vertical="center" wrapText="1"/>
      <protection locked="0"/>
    </xf>
    <xf numFmtId="0" fontId="4" fillId="3" borderId="1" xfId="0" applyFont="1" applyFill="1" applyBorder="1" applyAlignment="1" applyProtection="1">
      <alignment vertical="center" wrapText="1"/>
    </xf>
    <xf numFmtId="0" fontId="21" fillId="3" borderId="1" xfId="0" applyFont="1" applyFill="1" applyBorder="1" applyAlignment="1" applyProtection="1">
      <alignment horizontal="center" vertical="center" wrapText="1"/>
    </xf>
    <xf numFmtId="183" fontId="69" fillId="3" borderId="1" xfId="0" applyNumberFormat="1" applyFont="1" applyFill="1" applyBorder="1" applyAlignment="1" applyProtection="1">
      <alignment horizontal="center" vertical="center" wrapText="1"/>
    </xf>
    <xf numFmtId="0" fontId="21" fillId="0" borderId="1" xfId="0" applyFont="1" applyFill="1" applyBorder="1" applyAlignment="1" applyProtection="1">
      <alignment horizontal="center" vertical="center" wrapText="1"/>
      <protection locked="0"/>
    </xf>
    <xf numFmtId="0" fontId="115" fillId="6" borderId="0" xfId="6" applyFont="1" applyFill="1" applyAlignment="1" applyProtection="1">
      <alignment horizontal="left" vertical="center" wrapText="1"/>
      <protection locked="0"/>
    </xf>
    <xf numFmtId="0" fontId="8" fillId="3" borderId="0" xfId="6" applyFont="1" applyFill="1" applyAlignment="1" applyProtection="1">
      <alignment horizontal="left" vertical="center"/>
    </xf>
    <xf numFmtId="0" fontId="3" fillId="3" borderId="0" xfId="6" applyNumberFormat="1" applyFill="1" applyAlignment="1" applyProtection="1">
      <alignment horizontal="left" vertical="center" wrapText="1"/>
    </xf>
    <xf numFmtId="0" fontId="91" fillId="3" borderId="0" xfId="6" applyFont="1" applyFill="1" applyAlignment="1" applyProtection="1">
      <alignment horizontal="left" vertical="center"/>
    </xf>
    <xf numFmtId="0" fontId="51" fillId="3" borderId="0" xfId="6" applyFont="1" applyFill="1" applyAlignment="1" applyProtection="1">
      <alignment horizontal="left" vertical="center"/>
    </xf>
    <xf numFmtId="0" fontId="8" fillId="3" borderId="59" xfId="6" applyFont="1" applyFill="1" applyBorder="1" applyAlignment="1" applyProtection="1">
      <alignment horizontal="left" vertical="center"/>
    </xf>
    <xf numFmtId="189" fontId="7" fillId="3" borderId="55" xfId="6" applyNumberFormat="1" applyFont="1" applyFill="1" applyBorder="1" applyAlignment="1" applyProtection="1">
      <alignment horizontal="left" vertical="center" wrapText="1"/>
    </xf>
    <xf numFmtId="0" fontId="91" fillId="3" borderId="55" xfId="6" applyFont="1" applyFill="1" applyBorder="1" applyAlignment="1" applyProtection="1">
      <alignment horizontal="left" vertical="center"/>
    </xf>
    <xf numFmtId="0" fontId="136" fillId="3" borderId="78" xfId="6" applyFont="1" applyFill="1" applyBorder="1" applyAlignment="1" applyProtection="1">
      <alignment horizontal="left" vertical="center"/>
    </xf>
    <xf numFmtId="0" fontId="136" fillId="3" borderId="44" xfId="6" applyFont="1" applyFill="1" applyBorder="1" applyAlignment="1" applyProtection="1">
      <alignment horizontal="left" vertical="center"/>
    </xf>
    <xf numFmtId="0" fontId="8" fillId="3" borderId="0" xfId="6" applyFont="1" applyFill="1" applyBorder="1" applyAlignment="1" applyProtection="1">
      <alignment horizontal="left" vertical="center"/>
    </xf>
    <xf numFmtId="0" fontId="127" fillId="3" borderId="6" xfId="6" applyFont="1" applyFill="1" applyBorder="1" applyAlignment="1" applyProtection="1">
      <alignment horizontal="left" vertical="center" wrapText="1"/>
    </xf>
    <xf numFmtId="0" fontId="127" fillId="3" borderId="1" xfId="6" applyNumberFormat="1" applyFont="1" applyFill="1" applyBorder="1" applyAlignment="1" applyProtection="1">
      <alignment horizontal="left" vertical="center" wrapText="1"/>
    </xf>
    <xf numFmtId="0" fontId="137" fillId="3" borderId="1" xfId="6" applyFont="1" applyFill="1" applyBorder="1" applyAlignment="1" applyProtection="1">
      <alignment horizontal="left" vertical="center" wrapText="1"/>
    </xf>
    <xf numFmtId="0" fontId="69" fillId="3" borderId="1" xfId="6" applyFont="1" applyFill="1" applyBorder="1" applyAlignment="1" applyProtection="1">
      <alignment horizontal="left" vertical="center" wrapText="1"/>
    </xf>
    <xf numFmtId="0" fontId="21" fillId="3" borderId="14" xfId="6" applyFont="1" applyFill="1" applyBorder="1" applyAlignment="1" applyProtection="1">
      <alignment horizontal="left" vertical="center" wrapText="1"/>
    </xf>
    <xf numFmtId="0" fontId="17" fillId="3" borderId="20" xfId="0" applyFont="1" applyFill="1" applyBorder="1" applyAlignment="1" applyProtection="1">
      <alignment horizontal="left" vertical="center" wrapText="1"/>
    </xf>
    <xf numFmtId="0" fontId="17" fillId="3" borderId="1" xfId="0" applyFont="1" applyFill="1" applyBorder="1" applyAlignment="1" applyProtection="1">
      <alignment horizontal="left" vertical="center" wrapText="1"/>
    </xf>
    <xf numFmtId="49" fontId="127" fillId="3" borderId="1" xfId="6" applyNumberFormat="1" applyFont="1" applyFill="1" applyBorder="1" applyAlignment="1" applyProtection="1">
      <alignment horizontal="left" vertical="center" wrapText="1"/>
    </xf>
    <xf numFmtId="0" fontId="137" fillId="2" borderId="1" xfId="6" applyFont="1" applyFill="1" applyBorder="1" applyAlignment="1" applyProtection="1">
      <alignment horizontal="left" vertical="center" wrapText="1"/>
      <protection locked="0"/>
    </xf>
    <xf numFmtId="10" fontId="69" fillId="3" borderId="1" xfId="6" applyNumberFormat="1" applyFont="1" applyFill="1" applyBorder="1" applyAlignment="1" applyProtection="1">
      <alignment horizontal="left" vertical="center" wrapText="1"/>
    </xf>
    <xf numFmtId="10" fontId="21" fillId="3" borderId="57" xfId="6" applyNumberFormat="1" applyFont="1" applyFill="1" applyBorder="1" applyAlignment="1" applyProtection="1">
      <alignment horizontal="left" vertical="center" wrapText="1"/>
    </xf>
    <xf numFmtId="10" fontId="4" fillId="3" borderId="0" xfId="6" applyNumberFormat="1" applyFont="1" applyFill="1" applyBorder="1" applyAlignment="1" applyProtection="1">
      <alignment horizontal="left" vertical="center" wrapText="1"/>
    </xf>
    <xf numFmtId="10" fontId="51" fillId="0" borderId="1" xfId="6" applyNumberFormat="1" applyFont="1" applyBorder="1" applyAlignment="1" applyProtection="1">
      <alignment horizontal="left" vertical="center"/>
      <protection locked="0"/>
    </xf>
    <xf numFmtId="10" fontId="51" fillId="3" borderId="1" xfId="6" applyNumberFormat="1" applyFont="1" applyFill="1" applyBorder="1" applyAlignment="1" applyProtection="1">
      <alignment horizontal="left" vertical="center"/>
    </xf>
    <xf numFmtId="10" fontId="21" fillId="3" borderId="73" xfId="6" applyNumberFormat="1" applyFont="1" applyFill="1" applyBorder="1" applyAlignment="1" applyProtection="1">
      <alignment horizontal="left" vertical="center" wrapText="1"/>
    </xf>
    <xf numFmtId="0" fontId="9" fillId="3" borderId="6" xfId="0" applyNumberFormat="1" applyFont="1" applyFill="1" applyBorder="1" applyAlignment="1" applyProtection="1">
      <alignment horizontal="left" vertical="center" wrapText="1"/>
    </xf>
    <xf numFmtId="0" fontId="138" fillId="0" borderId="1" xfId="0" applyNumberFormat="1" applyFont="1" applyFill="1" applyBorder="1" applyAlignment="1" applyProtection="1">
      <alignment horizontal="left" vertical="center" wrapText="1"/>
      <protection locked="0"/>
    </xf>
    <xf numFmtId="0" fontId="138" fillId="0" borderId="9" xfId="0" applyNumberFormat="1" applyFont="1" applyFill="1" applyBorder="1" applyAlignment="1" applyProtection="1">
      <alignment horizontal="left" vertical="center" wrapText="1"/>
      <protection locked="0"/>
    </xf>
    <xf numFmtId="0" fontId="127" fillId="3" borderId="64" xfId="6" applyFont="1" applyFill="1" applyBorder="1" applyAlignment="1" applyProtection="1">
      <alignment horizontal="left" vertical="center" wrapText="1"/>
    </xf>
    <xf numFmtId="0" fontId="127" fillId="3" borderId="9" xfId="6" applyNumberFormat="1" applyFont="1" applyFill="1" applyBorder="1" applyAlignment="1" applyProtection="1">
      <alignment horizontal="left" vertical="center" wrapText="1"/>
    </xf>
    <xf numFmtId="0" fontId="127" fillId="3" borderId="7" xfId="6" applyFont="1" applyFill="1" applyBorder="1" applyAlignment="1" applyProtection="1">
      <alignment horizontal="left" vertical="center" wrapText="1"/>
    </xf>
    <xf numFmtId="49" fontId="127" fillId="3" borderId="80" xfId="6" applyNumberFormat="1" applyFont="1" applyFill="1" applyBorder="1" applyAlignment="1" applyProtection="1">
      <alignment horizontal="left" vertical="center" wrapText="1"/>
    </xf>
    <xf numFmtId="10" fontId="21" fillId="3" borderId="86" xfId="6" applyNumberFormat="1" applyFont="1" applyFill="1" applyBorder="1" applyAlignment="1" applyProtection="1">
      <alignment horizontal="left" vertical="center" wrapText="1"/>
    </xf>
    <xf numFmtId="0" fontId="139" fillId="3" borderId="78" xfId="6" applyFont="1" applyFill="1" applyBorder="1" applyAlignment="1" applyProtection="1">
      <alignment horizontal="left" vertical="center"/>
    </xf>
    <xf numFmtId="0" fontId="115" fillId="3" borderId="0" xfId="6" applyFont="1" applyFill="1" applyAlignment="1" applyProtection="1">
      <alignment vertical="center" wrapText="1"/>
      <protection locked="0"/>
    </xf>
    <xf numFmtId="0" fontId="51" fillId="3" borderId="4" xfId="0" applyNumberFormat="1" applyFont="1" applyFill="1" applyBorder="1" applyAlignment="1" applyProtection="1">
      <alignment horizontal="center" vertical="center"/>
    </xf>
    <xf numFmtId="0" fontId="51" fillId="3" borderId="39" xfId="0" applyNumberFormat="1" applyFont="1" applyFill="1" applyBorder="1" applyProtection="1">
      <alignment vertical="center"/>
    </xf>
    <xf numFmtId="10" fontId="21" fillId="3" borderId="13" xfId="6" applyNumberFormat="1" applyFont="1" applyFill="1" applyBorder="1" applyAlignment="1" applyProtection="1">
      <alignment vertical="center" wrapText="1"/>
    </xf>
    <xf numFmtId="0" fontId="21" fillId="3" borderId="1" xfId="6" applyNumberFormat="1" applyFont="1" applyFill="1" applyBorder="1" applyAlignment="1" applyProtection="1">
      <alignment horizontal="center" vertical="center" wrapText="1"/>
    </xf>
    <xf numFmtId="0" fontId="115" fillId="3" borderId="0" xfId="6" applyNumberFormat="1" applyFont="1" applyFill="1" applyAlignment="1" applyProtection="1">
      <alignment vertical="center" wrapText="1"/>
    </xf>
    <xf numFmtId="0" fontId="115" fillId="3" borderId="0" xfId="6" applyNumberFormat="1" applyFont="1" applyFill="1" applyAlignment="1" applyProtection="1">
      <alignment vertical="center" wrapText="1"/>
      <protection locked="0"/>
    </xf>
    <xf numFmtId="0" fontId="51" fillId="3" borderId="6" xfId="0" applyNumberFormat="1" applyFont="1" applyFill="1" applyBorder="1" applyAlignment="1" applyProtection="1">
      <alignment horizontal="center" vertical="center"/>
    </xf>
    <xf numFmtId="0" fontId="51" fillId="3" borderId="10" xfId="0" applyNumberFormat="1" applyFont="1" applyFill="1" applyBorder="1" applyProtection="1">
      <alignment vertical="center"/>
    </xf>
    <xf numFmtId="10" fontId="21" fillId="3" borderId="14" xfId="6" applyNumberFormat="1" applyFont="1" applyFill="1" applyBorder="1" applyAlignment="1" applyProtection="1">
      <alignment vertical="center" wrapText="1"/>
    </xf>
    <xf numFmtId="179" fontId="36" fillId="0" borderId="1" xfId="6" applyNumberFormat="1" applyFont="1" applyFill="1" applyBorder="1" applyAlignment="1" applyProtection="1">
      <alignment horizontal="center" vertical="center" wrapText="1"/>
      <protection locked="0"/>
    </xf>
    <xf numFmtId="0" fontId="53" fillId="3" borderId="11" xfId="6" applyFont="1" applyFill="1" applyBorder="1" applyAlignment="1" applyProtection="1">
      <alignment vertical="center" wrapText="1"/>
    </xf>
    <xf numFmtId="0" fontId="53" fillId="3" borderId="0" xfId="6" applyFont="1" applyFill="1" applyBorder="1" applyAlignment="1" applyProtection="1">
      <alignment vertical="center" wrapText="1"/>
      <protection locked="0"/>
    </xf>
    <xf numFmtId="0" fontId="52" fillId="3" borderId="58" xfId="6" applyFont="1" applyFill="1" applyBorder="1" applyAlignment="1" applyProtection="1">
      <alignment vertical="center" wrapText="1"/>
    </xf>
    <xf numFmtId="0" fontId="52" fillId="3" borderId="0" xfId="6" applyFont="1" applyFill="1" applyBorder="1" applyAlignment="1" applyProtection="1">
      <alignment vertical="center" wrapText="1"/>
      <protection locked="0"/>
    </xf>
    <xf numFmtId="0" fontId="52" fillId="3" borderId="0" xfId="6" applyFont="1" applyFill="1" applyAlignment="1" applyProtection="1">
      <alignment vertical="center"/>
      <protection locked="0"/>
    </xf>
    <xf numFmtId="0" fontId="115" fillId="3" borderId="100" xfId="6" applyFont="1" applyFill="1" applyBorder="1" applyAlignment="1" applyProtection="1">
      <alignment horizontal="left" vertical="center" wrapText="1"/>
    </xf>
    <xf numFmtId="0" fontId="115" fillId="3" borderId="0" xfId="6" applyFont="1" applyFill="1" applyBorder="1" applyAlignment="1" applyProtection="1">
      <alignment vertical="center" wrapText="1"/>
      <protection locked="0"/>
    </xf>
    <xf numFmtId="0" fontId="115" fillId="3" borderId="0" xfId="6" applyFont="1" applyFill="1" applyAlignment="1" applyProtection="1">
      <alignment vertical="center"/>
      <protection locked="0"/>
    </xf>
    <xf numFmtId="0" fontId="115" fillId="3" borderId="45" xfId="6" applyFont="1" applyFill="1" applyBorder="1" applyAlignment="1" applyProtection="1">
      <alignment horizontal="left" vertical="center" wrapText="1"/>
    </xf>
    <xf numFmtId="0" fontId="115" fillId="3" borderId="46" xfId="6" applyFont="1" applyFill="1" applyBorder="1" applyAlignment="1" applyProtection="1">
      <alignment horizontal="left" vertical="center" wrapText="1"/>
    </xf>
    <xf numFmtId="0" fontId="115" fillId="3" borderId="47" xfId="6" applyFont="1" applyFill="1" applyBorder="1" applyAlignment="1" applyProtection="1">
      <alignment horizontal="left" vertical="center" wrapText="1"/>
    </xf>
    <xf numFmtId="0" fontId="21" fillId="3" borderId="100" xfId="0" applyNumberFormat="1" applyFont="1" applyFill="1" applyBorder="1" applyAlignment="1" applyProtection="1">
      <alignment horizontal="left" vertical="center" wrapText="1"/>
      <protection locked="0"/>
    </xf>
    <xf numFmtId="0" fontId="51" fillId="3" borderId="7" xfId="0" applyNumberFormat="1" applyFont="1" applyFill="1" applyBorder="1" applyAlignment="1" applyProtection="1">
      <alignment horizontal="center" vertical="center"/>
    </xf>
    <xf numFmtId="0" fontId="51" fillId="3" borderId="42" xfId="0" applyNumberFormat="1" applyFont="1" applyFill="1" applyBorder="1" applyProtection="1">
      <alignment vertical="center"/>
    </xf>
    <xf numFmtId="10" fontId="21" fillId="3" borderId="15" xfId="6" applyNumberFormat="1" applyFont="1" applyFill="1" applyBorder="1" applyAlignment="1" applyProtection="1">
      <alignment vertical="center" wrapText="1"/>
    </xf>
    <xf numFmtId="0" fontId="115" fillId="3" borderId="44" xfId="6" applyFont="1" applyFill="1" applyBorder="1" applyAlignment="1" applyProtection="1">
      <alignment horizontal="left" vertical="center" wrapText="1"/>
    </xf>
    <xf numFmtId="0" fontId="115" fillId="3" borderId="0" xfId="6" applyFont="1" applyFill="1" applyBorder="1" applyAlignment="1" applyProtection="1">
      <alignment horizontal="center" vertical="center" wrapText="1"/>
      <protection locked="0"/>
    </xf>
    <xf numFmtId="0" fontId="115" fillId="0" borderId="1" xfId="6" applyFont="1" applyFill="1" applyBorder="1" applyAlignment="1" applyProtection="1">
      <alignment horizontal="left" vertical="center" wrapText="1"/>
      <protection locked="0"/>
    </xf>
    <xf numFmtId="0" fontId="133" fillId="3" borderId="0" xfId="6" applyFont="1" applyFill="1" applyBorder="1" applyAlignment="1" applyProtection="1">
      <alignment vertical="center"/>
      <protection locked="0"/>
    </xf>
    <xf numFmtId="0" fontId="21" fillId="3" borderId="0" xfId="0" applyNumberFormat="1" applyFont="1" applyFill="1" applyBorder="1" applyAlignment="1" applyProtection="1">
      <alignment horizontal="left" vertical="center" wrapText="1"/>
    </xf>
    <xf numFmtId="0" fontId="92" fillId="3" borderId="89" xfId="0" applyNumberFormat="1" applyFont="1" applyFill="1" applyBorder="1" applyAlignment="1" applyProtection="1">
      <alignment horizontal="left" vertical="center"/>
    </xf>
    <xf numFmtId="0" fontId="92" fillId="3" borderId="66" xfId="0" applyNumberFormat="1" applyFont="1" applyFill="1" applyBorder="1" applyAlignment="1" applyProtection="1">
      <alignment horizontal="left" vertical="center"/>
    </xf>
    <xf numFmtId="0" fontId="21" fillId="3" borderId="0" xfId="6" applyFont="1" applyFill="1" applyBorder="1" applyAlignment="1" applyProtection="1">
      <alignment horizontal="center" vertical="center" wrapText="1"/>
      <protection locked="0"/>
    </xf>
    <xf numFmtId="0" fontId="21" fillId="0" borderId="57" xfId="0" applyNumberFormat="1" applyFont="1" applyFill="1" applyBorder="1" applyAlignment="1" applyProtection="1">
      <alignment horizontal="left" vertical="center" wrapText="1"/>
      <protection locked="0"/>
    </xf>
    <xf numFmtId="0" fontId="21" fillId="3" borderId="13" xfId="0" applyNumberFormat="1" applyFont="1" applyFill="1" applyBorder="1" applyAlignment="1" applyProtection="1">
      <alignment horizontal="left" vertical="center" wrapText="1"/>
      <protection locked="0"/>
    </xf>
    <xf numFmtId="0" fontId="21" fillId="3" borderId="14" xfId="0" applyNumberFormat="1" applyFont="1" applyFill="1" applyBorder="1" applyAlignment="1" applyProtection="1">
      <alignment horizontal="left" vertical="center" wrapText="1"/>
      <protection locked="0"/>
    </xf>
    <xf numFmtId="0" fontId="21" fillId="3" borderId="15" xfId="0" applyNumberFormat="1" applyFont="1" applyFill="1" applyBorder="1" applyAlignment="1" applyProtection="1">
      <alignment horizontal="left" vertical="center" wrapText="1"/>
      <protection locked="0"/>
    </xf>
    <xf numFmtId="0" fontId="115" fillId="2" borderId="13" xfId="6" applyFont="1" applyFill="1" applyBorder="1" applyAlignment="1" applyProtection="1">
      <alignment horizontal="center" vertical="center" wrapText="1"/>
      <protection locked="0"/>
    </xf>
    <xf numFmtId="0" fontId="21" fillId="3" borderId="15" xfId="6" applyFont="1" applyFill="1" applyBorder="1" applyAlignment="1" applyProtection="1">
      <alignment horizontal="center" vertical="center" wrapText="1"/>
    </xf>
    <xf numFmtId="0" fontId="52" fillId="3" borderId="48" xfId="6" applyFont="1" applyFill="1" applyBorder="1" applyAlignment="1" applyProtection="1">
      <alignment vertical="center" wrapText="1"/>
    </xf>
    <xf numFmtId="0" fontId="52" fillId="3" borderId="0" xfId="6" applyFont="1" applyFill="1" applyAlignment="1" applyProtection="1">
      <alignment vertical="center" wrapText="1"/>
      <protection locked="0"/>
    </xf>
    <xf numFmtId="10" fontId="36" fillId="3" borderId="106" xfId="6" applyNumberFormat="1" applyFont="1" applyFill="1" applyBorder="1" applyAlignment="1" applyProtection="1">
      <alignment horizontal="center" vertical="center" wrapText="1"/>
    </xf>
    <xf numFmtId="0" fontId="36" fillId="2" borderId="100" xfId="6" applyFont="1" applyFill="1" applyBorder="1" applyAlignment="1" applyProtection="1">
      <alignment vertical="center" wrapText="1"/>
      <protection locked="0"/>
    </xf>
    <xf numFmtId="0" fontId="134" fillId="3" borderId="4" xfId="0" applyFont="1" applyFill="1" applyBorder="1" applyAlignment="1" applyProtection="1">
      <alignment vertical="center" wrapText="1"/>
    </xf>
    <xf numFmtId="0" fontId="50" fillId="3" borderId="13" xfId="0" applyFont="1" applyFill="1" applyBorder="1" applyAlignment="1" applyProtection="1">
      <alignment horizontal="center" vertical="center" wrapText="1"/>
    </xf>
    <xf numFmtId="0" fontId="115" fillId="3" borderId="19" xfId="6" applyFont="1" applyFill="1" applyBorder="1" applyAlignment="1" applyProtection="1">
      <alignment horizontal="center" vertical="center" wrapText="1"/>
    </xf>
    <xf numFmtId="0" fontId="69" fillId="3" borderId="70" xfId="6" applyFont="1" applyFill="1" applyBorder="1" applyAlignment="1" applyProtection="1">
      <alignment horizontal="center" vertical="center" wrapText="1"/>
    </xf>
    <xf numFmtId="0" fontId="21" fillId="3" borderId="0" xfId="6" applyFont="1" applyFill="1" applyAlignment="1" applyProtection="1">
      <alignment horizontal="center" vertical="center" wrapText="1"/>
      <protection locked="0"/>
    </xf>
    <xf numFmtId="0" fontId="21" fillId="3" borderId="16" xfId="6" applyFont="1" applyFill="1" applyBorder="1" applyAlignment="1" applyProtection="1">
      <alignment horizontal="center" vertical="center" wrapText="1"/>
    </xf>
    <xf numFmtId="0" fontId="21" fillId="3" borderId="86" xfId="6" applyFont="1" applyFill="1" applyBorder="1" applyAlignment="1" applyProtection="1">
      <alignment horizontal="center" vertical="center" wrapText="1"/>
    </xf>
    <xf numFmtId="0" fontId="134" fillId="3" borderId="7" xfId="0" applyFont="1" applyFill="1" applyBorder="1" applyAlignment="1" applyProtection="1">
      <alignment vertical="center" wrapText="1"/>
    </xf>
    <xf numFmtId="0" fontId="50" fillId="3" borderId="42" xfId="0" applyFont="1" applyFill="1" applyBorder="1" applyAlignment="1" applyProtection="1">
      <alignment horizontal="center" vertical="center" wrapText="1"/>
    </xf>
    <xf numFmtId="0" fontId="140" fillId="3" borderId="19" xfId="6" applyFont="1" applyFill="1" applyBorder="1" applyAlignment="1" applyProtection="1">
      <alignment horizontal="center" vertical="center" wrapText="1"/>
      <protection locked="0"/>
    </xf>
    <xf numFmtId="0" fontId="140" fillId="3" borderId="5" xfId="6" applyFont="1" applyFill="1" applyBorder="1" applyAlignment="1" applyProtection="1">
      <alignment vertical="center" wrapText="1"/>
      <protection locked="0"/>
    </xf>
    <xf numFmtId="0" fontId="140" fillId="3" borderId="45" xfId="6" applyFont="1" applyFill="1" applyBorder="1" applyAlignment="1" applyProtection="1">
      <alignment vertical="center"/>
      <protection locked="0"/>
    </xf>
    <xf numFmtId="0" fontId="52" fillId="3" borderId="3" xfId="6" applyFont="1" applyFill="1" applyBorder="1" applyAlignment="1" applyProtection="1">
      <alignment vertical="center" wrapText="1"/>
    </xf>
    <xf numFmtId="0" fontId="52" fillId="3" borderId="6" xfId="6" applyFont="1" applyFill="1" applyBorder="1" applyAlignment="1" applyProtection="1">
      <alignment horizontal="center" vertical="center" wrapText="1"/>
    </xf>
    <xf numFmtId="10" fontId="36" fillId="0" borderId="11" xfId="6" applyNumberFormat="1" applyFont="1" applyFill="1" applyBorder="1" applyAlignment="1" applyProtection="1">
      <alignment horizontal="center" vertical="center" wrapText="1"/>
      <protection locked="0"/>
    </xf>
    <xf numFmtId="10" fontId="21" fillId="3" borderId="14" xfId="6" applyNumberFormat="1" applyFont="1" applyFill="1" applyBorder="1" applyAlignment="1" applyProtection="1">
      <alignment horizontal="center" vertical="center" wrapText="1"/>
    </xf>
    <xf numFmtId="0" fontId="36" fillId="3" borderId="0" xfId="6" applyFont="1" applyFill="1" applyBorder="1" applyAlignment="1" applyProtection="1">
      <alignment horizontal="center" vertical="center" wrapText="1"/>
      <protection locked="0"/>
    </xf>
    <xf numFmtId="0" fontId="36" fillId="3" borderId="1" xfId="6" applyFont="1" applyFill="1" applyBorder="1" applyAlignment="1" applyProtection="1">
      <alignment vertical="center" wrapText="1"/>
    </xf>
    <xf numFmtId="0" fontId="36" fillId="3" borderId="0" xfId="6" applyFont="1" applyFill="1" applyBorder="1" applyAlignment="1" applyProtection="1">
      <alignment vertical="center" wrapText="1"/>
      <protection locked="0"/>
    </xf>
    <xf numFmtId="10" fontId="36" fillId="0" borderId="1" xfId="6" applyNumberFormat="1" applyFont="1" applyFill="1" applyBorder="1" applyAlignment="1" applyProtection="1">
      <alignment horizontal="center" vertical="center" wrapText="1"/>
      <protection locked="0"/>
    </xf>
    <xf numFmtId="0" fontId="115" fillId="3" borderId="45" xfId="6" applyFont="1" applyFill="1" applyBorder="1" applyAlignment="1" applyProtection="1">
      <alignment vertical="center" wrapText="1"/>
    </xf>
    <xf numFmtId="0" fontId="36" fillId="3" borderId="0" xfId="6" applyFont="1" applyFill="1" applyAlignment="1" applyProtection="1">
      <alignment vertical="center" wrapText="1"/>
      <protection locked="0"/>
    </xf>
    <xf numFmtId="0" fontId="140" fillId="3" borderId="7" xfId="6" applyFont="1" applyFill="1" applyBorder="1" applyAlignment="1" applyProtection="1">
      <alignment horizontal="center" vertical="center" wrapText="1"/>
      <protection locked="0"/>
    </xf>
    <xf numFmtId="0" fontId="36" fillId="3" borderId="8" xfId="6" applyFont="1" applyFill="1" applyBorder="1" applyAlignment="1" applyProtection="1">
      <alignment vertical="center" wrapText="1"/>
      <protection locked="0"/>
    </xf>
    <xf numFmtId="10" fontId="21" fillId="3" borderId="86" xfId="6" applyNumberFormat="1" applyFont="1" applyFill="1" applyBorder="1" applyAlignment="1" applyProtection="1">
      <alignment horizontal="center" vertical="center" wrapText="1"/>
    </xf>
    <xf numFmtId="0" fontId="115" fillId="3" borderId="48" xfId="6" applyFont="1" applyFill="1" applyBorder="1" applyAlignment="1" applyProtection="1">
      <alignment vertical="center" wrapText="1"/>
    </xf>
    <xf numFmtId="0" fontId="115" fillId="3" borderId="4" xfId="6" applyFont="1" applyFill="1" applyBorder="1" applyAlignment="1" applyProtection="1">
      <alignment horizontal="center" vertical="center" wrapText="1"/>
    </xf>
    <xf numFmtId="0" fontId="115" fillId="3" borderId="5" xfId="6" applyFont="1" applyFill="1" applyBorder="1" applyAlignment="1" applyProtection="1">
      <alignment horizontal="center" vertical="center" wrapText="1"/>
    </xf>
    <xf numFmtId="0" fontId="115" fillId="3" borderId="13" xfId="6" applyFont="1" applyFill="1" applyBorder="1" applyAlignment="1" applyProtection="1">
      <alignment horizontal="center" vertical="center" wrapText="1"/>
    </xf>
    <xf numFmtId="0" fontId="115" fillId="3" borderId="67" xfId="6" applyFont="1" applyFill="1" applyBorder="1" applyAlignment="1" applyProtection="1">
      <alignment vertical="center" wrapText="1"/>
    </xf>
    <xf numFmtId="0" fontId="115" fillId="3" borderId="6" xfId="6" applyFont="1" applyFill="1" applyBorder="1" applyAlignment="1" applyProtection="1">
      <alignment horizontal="center" vertical="center" wrapText="1"/>
    </xf>
    <xf numFmtId="9" fontId="21" fillId="3" borderId="1" xfId="6" applyNumberFormat="1" applyFont="1" applyFill="1" applyBorder="1" applyAlignment="1" applyProtection="1">
      <alignment horizontal="center" vertical="center" wrapText="1"/>
    </xf>
    <xf numFmtId="9" fontId="21" fillId="3" borderId="14" xfId="6" applyNumberFormat="1" applyFont="1" applyFill="1" applyBorder="1" applyAlignment="1" applyProtection="1">
      <alignment horizontal="center" vertical="center" wrapText="1"/>
    </xf>
    <xf numFmtId="0" fontId="115" fillId="3" borderId="44" xfId="6" applyFont="1" applyFill="1" applyBorder="1" applyAlignment="1" applyProtection="1">
      <alignment vertical="center" wrapText="1"/>
    </xf>
    <xf numFmtId="9" fontId="115" fillId="3" borderId="7" xfId="6" applyNumberFormat="1" applyFont="1" applyFill="1" applyBorder="1" applyAlignment="1" applyProtection="1">
      <alignment horizontal="center" vertical="center" wrapText="1"/>
    </xf>
    <xf numFmtId="10" fontId="21" fillId="3" borderId="8" xfId="6" applyNumberFormat="1" applyFont="1" applyFill="1" applyBorder="1" applyAlignment="1" applyProtection="1">
      <alignment horizontal="center" vertical="center" wrapText="1"/>
    </xf>
    <xf numFmtId="10" fontId="21" fillId="3" borderId="15" xfId="6" applyNumberFormat="1" applyFont="1" applyFill="1" applyBorder="1" applyAlignment="1" applyProtection="1">
      <alignment horizontal="center" vertical="center" wrapText="1"/>
    </xf>
    <xf numFmtId="0" fontId="110" fillId="3" borderId="46" xfId="6" applyFont="1" applyFill="1" applyBorder="1" applyAlignment="1" applyProtection="1">
      <alignment vertical="center"/>
    </xf>
    <xf numFmtId="0" fontId="110" fillId="3" borderId="0" xfId="6" applyFont="1" applyFill="1" applyBorder="1" applyAlignment="1" applyProtection="1">
      <alignment vertical="center"/>
      <protection locked="0"/>
    </xf>
    <xf numFmtId="0" fontId="4" fillId="6" borderId="0" xfId="0" applyNumberFormat="1" applyFont="1" applyFill="1" applyAlignment="1" applyProtection="1">
      <alignment horizontal="left" vertical="center" wrapText="1"/>
    </xf>
    <xf numFmtId="0" fontId="21" fillId="6" borderId="0" xfId="0" applyNumberFormat="1" applyFont="1" applyFill="1" applyAlignment="1" applyProtection="1">
      <alignment horizontal="left" vertical="center" wrapText="1"/>
    </xf>
    <xf numFmtId="0" fontId="115" fillId="3" borderId="53" xfId="6" applyFont="1" applyFill="1" applyBorder="1" applyAlignment="1" applyProtection="1">
      <alignment vertical="center" wrapText="1"/>
    </xf>
    <xf numFmtId="0" fontId="115" fillId="3" borderId="56" xfId="6" applyFont="1" applyFill="1" applyBorder="1" applyAlignment="1" applyProtection="1">
      <alignment vertical="center"/>
    </xf>
    <xf numFmtId="0" fontId="115" fillId="3" borderId="72" xfId="6" applyFont="1" applyFill="1" applyBorder="1" applyAlignment="1" applyProtection="1">
      <alignment vertical="center"/>
    </xf>
    <xf numFmtId="0" fontId="21" fillId="6" borderId="0" xfId="0" applyNumberFormat="1" applyFont="1" applyFill="1" applyAlignment="1" applyProtection="1">
      <alignment horizontal="left" vertical="center" wrapText="1"/>
      <protection locked="0"/>
    </xf>
    <xf numFmtId="10" fontId="21" fillId="6" borderId="0" xfId="0" applyNumberFormat="1" applyFont="1" applyFill="1" applyAlignment="1" applyProtection="1">
      <alignment horizontal="left" vertical="center" wrapText="1"/>
      <protection locked="0"/>
    </xf>
    <xf numFmtId="10" fontId="21" fillId="3" borderId="8" xfId="0" applyNumberFormat="1" applyFont="1" applyFill="1" applyBorder="1" applyAlignment="1" applyProtection="1">
      <alignment horizontal="left" vertical="center" wrapText="1"/>
    </xf>
    <xf numFmtId="0" fontId="4" fillId="6" borderId="0" xfId="0" applyNumberFormat="1" applyFont="1" applyFill="1" applyAlignment="1" applyProtection="1">
      <alignment horizontal="left" vertical="center" wrapText="1"/>
      <protection locked="0"/>
    </xf>
    <xf numFmtId="0" fontId="115" fillId="3" borderId="48" xfId="6" applyFont="1" applyFill="1" applyBorder="1" applyAlignment="1" applyProtection="1">
      <alignment horizontal="center" vertical="center" wrapText="1"/>
    </xf>
    <xf numFmtId="0" fontId="21" fillId="3" borderId="19" xfId="6" applyFont="1" applyFill="1" applyBorder="1" applyAlignment="1" applyProtection="1">
      <alignment vertical="center"/>
    </xf>
    <xf numFmtId="0" fontId="21" fillId="3" borderId="45" xfId="6" applyFont="1" applyFill="1" applyBorder="1" applyAlignment="1" applyProtection="1">
      <alignment vertical="center" wrapText="1"/>
    </xf>
    <xf numFmtId="0" fontId="21" fillId="3" borderId="6" xfId="0" applyNumberFormat="1" applyFont="1" applyFill="1" applyBorder="1" applyAlignment="1" applyProtection="1">
      <alignment horizontal="left" vertical="center"/>
    </xf>
    <xf numFmtId="9" fontId="21" fillId="3" borderId="14" xfId="6" applyNumberFormat="1" applyFont="1" applyFill="1" applyBorder="1" applyAlignment="1" applyProtection="1">
      <alignment horizontal="center" vertical="center"/>
    </xf>
    <xf numFmtId="0" fontId="115" fillId="3" borderId="67" xfId="6" applyFont="1" applyFill="1" applyBorder="1" applyAlignment="1" applyProtection="1">
      <alignment horizontal="center" vertical="center" wrapText="1"/>
    </xf>
    <xf numFmtId="0" fontId="21" fillId="3" borderId="7" xfId="6" applyFont="1" applyFill="1" applyBorder="1" applyAlignment="1" applyProtection="1">
      <alignment vertical="center" wrapText="1"/>
    </xf>
    <xf numFmtId="9" fontId="21" fillId="3" borderId="15" xfId="6" applyNumberFormat="1" applyFont="1" applyFill="1" applyBorder="1" applyAlignment="1" applyProtection="1">
      <alignment horizontal="center" vertical="center" wrapText="1"/>
    </xf>
    <xf numFmtId="0" fontId="32" fillId="3" borderId="1" xfId="6" applyNumberFormat="1" applyFont="1" applyFill="1" applyBorder="1" applyAlignment="1" applyProtection="1">
      <alignment horizontal="left" vertical="center" wrapText="1"/>
    </xf>
    <xf numFmtId="9" fontId="69" fillId="3" borderId="1" xfId="1" applyFont="1" applyFill="1" applyBorder="1" applyAlignment="1" applyProtection="1">
      <alignment horizontal="left" vertical="center" wrapText="1"/>
    </xf>
    <xf numFmtId="10" fontId="36" fillId="3" borderId="1" xfId="6" applyNumberFormat="1" applyFont="1" applyFill="1" applyBorder="1" applyAlignment="1" applyProtection="1">
      <alignment horizontal="left" vertical="center" wrapText="1"/>
    </xf>
    <xf numFmtId="9" fontId="69" fillId="3" borderId="8" xfId="1" applyFont="1" applyFill="1" applyBorder="1" applyAlignment="1" applyProtection="1">
      <alignment horizontal="left" vertical="center" wrapText="1"/>
    </xf>
    <xf numFmtId="0" fontId="59" fillId="3" borderId="1" xfId="6" applyFont="1" applyFill="1" applyBorder="1" applyAlignment="1" applyProtection="1">
      <alignment horizontal="center" vertical="center" wrapText="1"/>
    </xf>
    <xf numFmtId="0" fontId="50" fillId="3" borderId="1" xfId="6" applyFont="1" applyFill="1" applyBorder="1" applyAlignment="1" applyProtection="1">
      <alignment horizontal="center" vertical="center" wrapText="1"/>
    </xf>
    <xf numFmtId="0" fontId="50" fillId="0" borderId="1" xfId="6" applyFont="1" applyFill="1" applyBorder="1" applyAlignment="1" applyProtection="1">
      <alignment horizontal="center" vertical="center" wrapText="1"/>
      <protection locked="0"/>
    </xf>
    <xf numFmtId="0" fontId="21" fillId="3" borderId="11" xfId="6" applyFont="1" applyFill="1" applyBorder="1" applyAlignment="1" applyProtection="1">
      <alignment horizontal="center" vertical="center" wrapText="1"/>
      <protection locked="0"/>
    </xf>
    <xf numFmtId="0" fontId="21" fillId="3" borderId="1" xfId="6" applyFont="1" applyFill="1" applyBorder="1" applyAlignment="1" applyProtection="1">
      <alignment horizontal="center" vertical="center" wrapText="1"/>
      <protection locked="0"/>
    </xf>
    <xf numFmtId="184" fontId="69" fillId="3" borderId="1" xfId="6" applyNumberFormat="1" applyFont="1" applyFill="1" applyBorder="1" applyAlignment="1" applyProtection="1">
      <alignment horizontal="center" vertical="center"/>
    </xf>
    <xf numFmtId="0" fontId="21" fillId="3" borderId="0" xfId="6" applyFont="1" applyFill="1" applyAlignment="1" applyProtection="1">
      <alignment vertical="center" wrapText="1"/>
      <protection locked="0"/>
    </xf>
    <xf numFmtId="10" fontId="21" fillId="3" borderId="0" xfId="6" applyNumberFormat="1" applyFont="1" applyFill="1" applyAlignment="1" applyProtection="1">
      <alignment horizontal="center" vertical="center" wrapText="1"/>
      <protection locked="0"/>
    </xf>
    <xf numFmtId="0" fontId="36" fillId="3" borderId="0" xfId="6" applyFont="1" applyFill="1" applyAlignment="1" applyProtection="1">
      <alignment horizontal="center" vertical="center" wrapText="1"/>
      <protection locked="0"/>
    </xf>
    <xf numFmtId="0" fontId="115" fillId="3" borderId="0" xfId="6" applyFont="1" applyFill="1" applyAlignment="1" applyProtection="1">
      <alignment horizontal="center" vertical="center" wrapText="1"/>
      <protection locked="0"/>
    </xf>
    <xf numFmtId="0" fontId="115" fillId="6" borderId="0" xfId="6" applyFont="1" applyFill="1" applyAlignment="1" applyProtection="1">
      <alignment horizontal="center" vertical="center" wrapText="1"/>
      <protection locked="0"/>
    </xf>
    <xf numFmtId="0" fontId="52" fillId="3" borderId="0" xfId="6" applyFont="1" applyFill="1" applyAlignment="1" applyProtection="1">
      <alignment horizontal="center" vertical="center" wrapText="1"/>
      <protection locked="0"/>
    </xf>
    <xf numFmtId="0" fontId="52" fillId="6" borderId="0" xfId="6" applyFont="1" applyFill="1" applyAlignment="1" applyProtection="1">
      <alignment horizontal="center" vertical="center" wrapText="1"/>
    </xf>
    <xf numFmtId="181" fontId="21" fillId="3" borderId="1" xfId="6" applyNumberFormat="1" applyFont="1" applyFill="1" applyBorder="1" applyAlignment="1" applyProtection="1">
      <alignment horizontal="center" vertical="center" wrapText="1"/>
      <protection locked="0"/>
    </xf>
    <xf numFmtId="0" fontId="21" fillId="6" borderId="0" xfId="6" applyFont="1" applyFill="1" applyAlignment="1" applyProtection="1">
      <alignment horizontal="center" vertical="center" wrapText="1"/>
    </xf>
    <xf numFmtId="179" fontId="92" fillId="0" borderId="1" xfId="6" applyNumberFormat="1" applyFont="1" applyFill="1" applyBorder="1" applyAlignment="1" applyProtection="1">
      <alignment horizontal="center" vertical="center"/>
      <protection locked="0"/>
    </xf>
    <xf numFmtId="179" fontId="92" fillId="3" borderId="1" xfId="6" applyNumberFormat="1" applyFont="1" applyFill="1" applyBorder="1" applyAlignment="1" applyProtection="1">
      <alignment horizontal="center" vertical="center"/>
    </xf>
    <xf numFmtId="189" fontId="92" fillId="3" borderId="1" xfId="6" applyNumberFormat="1" applyFont="1" applyFill="1" applyBorder="1" applyAlignment="1" applyProtection="1">
      <alignment horizontal="center" vertical="center" wrapText="1"/>
    </xf>
    <xf numFmtId="0" fontId="52" fillId="6" borderId="0" xfId="6" applyFont="1" applyFill="1" applyAlignment="1" applyProtection="1">
      <alignment vertical="center" wrapText="1"/>
    </xf>
    <xf numFmtId="10" fontId="115" fillId="6" borderId="0" xfId="6" applyNumberFormat="1" applyFont="1" applyFill="1" applyAlignment="1" applyProtection="1">
      <alignment horizontal="center" vertical="center" wrapText="1"/>
    </xf>
    <xf numFmtId="10" fontId="115" fillId="0" borderId="0" xfId="6" applyNumberFormat="1" applyFont="1" applyAlignment="1" applyProtection="1">
      <alignment horizontal="center" vertical="center" wrapText="1"/>
    </xf>
    <xf numFmtId="0" fontId="52" fillId="0" borderId="0" xfId="6" applyFont="1" applyAlignment="1" applyProtection="1">
      <alignment horizontal="center" vertical="center" wrapText="1"/>
    </xf>
    <xf numFmtId="0" fontId="21" fillId="0" borderId="0" xfId="6" applyFont="1" applyAlignment="1" applyProtection="1">
      <alignment horizontal="center" vertical="center" wrapText="1"/>
    </xf>
    <xf numFmtId="49" fontId="127" fillId="3" borderId="8" xfId="6" applyNumberFormat="1" applyFont="1" applyFill="1" applyBorder="1" applyAlignment="1" applyProtection="1">
      <alignment horizontal="left" vertical="center" wrapText="1"/>
    </xf>
    <xf numFmtId="0" fontId="137" fillId="2" borderId="1" xfId="0" applyFont="1" applyFill="1" applyBorder="1" applyAlignment="1" applyProtection="1">
      <alignment horizontal="left" vertical="center" wrapText="1"/>
      <protection locked="0"/>
    </xf>
    <xf numFmtId="10" fontId="51" fillId="0" borderId="1" xfId="0" applyNumberFormat="1" applyFont="1" applyBorder="1" applyAlignment="1" applyProtection="1">
      <alignment horizontal="left" vertical="center"/>
      <protection locked="0"/>
    </xf>
    <xf numFmtId="10" fontId="51" fillId="3" borderId="1" xfId="0" applyNumberFormat="1" applyFont="1" applyFill="1" applyBorder="1" applyAlignment="1" applyProtection="1">
      <alignment horizontal="left" vertical="center"/>
    </xf>
    <xf numFmtId="0" fontId="127" fillId="0" borderId="8" xfId="6" applyNumberFormat="1" applyFont="1" applyFill="1" applyBorder="1" applyAlignment="1" applyProtection="1">
      <alignment horizontal="left" vertical="center" wrapText="1"/>
      <protection locked="0"/>
    </xf>
    <xf numFmtId="0" fontId="127" fillId="3" borderId="8" xfId="6" applyNumberFormat="1" applyFont="1" applyFill="1" applyBorder="1" applyAlignment="1" applyProtection="1">
      <alignment horizontal="left" vertical="center" wrapText="1"/>
    </xf>
    <xf numFmtId="0" fontId="136" fillId="3" borderId="59" xfId="0" applyNumberFormat="1" applyFont="1" applyFill="1" applyBorder="1" applyAlignment="1" applyProtection="1">
      <alignment horizontal="left" vertical="center"/>
    </xf>
    <xf numFmtId="10" fontId="69" fillId="3" borderId="0" xfId="6" applyNumberFormat="1" applyFont="1" applyFill="1" applyBorder="1" applyAlignment="1" applyProtection="1">
      <alignment horizontal="left" vertical="center" wrapText="1"/>
    </xf>
    <xf numFmtId="10" fontId="21" fillId="3" borderId="0" xfId="6" applyNumberFormat="1" applyFont="1" applyFill="1" applyBorder="1" applyAlignment="1" applyProtection="1">
      <alignment horizontal="left" vertical="center" wrapText="1"/>
    </xf>
    <xf numFmtId="10" fontId="51" fillId="0" borderId="0" xfId="6" applyNumberFormat="1" applyFont="1" applyBorder="1" applyAlignment="1" applyProtection="1">
      <alignment horizontal="left" vertical="center"/>
      <protection locked="0"/>
    </xf>
    <xf numFmtId="10" fontId="51" fillId="3" borderId="0" xfId="6" applyNumberFormat="1" applyFont="1" applyFill="1" applyBorder="1" applyAlignment="1" applyProtection="1">
      <alignment horizontal="left" vertical="center"/>
    </xf>
    <xf numFmtId="0" fontId="69" fillId="3" borderId="1" xfId="0" applyNumberFormat="1" applyFont="1" applyFill="1" applyBorder="1" applyAlignment="1" applyProtection="1">
      <alignment horizontal="left" vertical="center" wrapText="1"/>
    </xf>
    <xf numFmtId="0" fontId="21" fillId="3" borderId="1" xfId="0" applyNumberFormat="1" applyFont="1" applyFill="1" applyBorder="1" applyAlignment="1" applyProtection="1">
      <alignment horizontal="left" vertical="center" wrapText="1"/>
    </xf>
    <xf numFmtId="0" fontId="17" fillId="3" borderId="0" xfId="0" applyFont="1" applyFill="1" applyBorder="1" applyAlignment="1" applyProtection="1">
      <alignment horizontal="left" vertical="center" wrapText="1"/>
    </xf>
    <xf numFmtId="0" fontId="9" fillId="3" borderId="1" xfId="0" applyNumberFormat="1" applyFont="1" applyFill="1" applyBorder="1" applyAlignment="1" applyProtection="1">
      <alignment horizontal="left" vertical="center" wrapText="1"/>
    </xf>
    <xf numFmtId="0" fontId="69" fillId="0" borderId="1" xfId="0" applyNumberFormat="1" applyFont="1" applyFill="1" applyBorder="1" applyAlignment="1" applyProtection="1">
      <alignment horizontal="left" vertical="center" wrapText="1"/>
      <protection locked="0"/>
    </xf>
    <xf numFmtId="10" fontId="21" fillId="3" borderId="1" xfId="6" applyNumberFormat="1" applyFont="1" applyFill="1" applyBorder="1" applyAlignment="1" applyProtection="1">
      <alignment horizontal="left" vertical="center" wrapText="1"/>
    </xf>
    <xf numFmtId="0" fontId="26" fillId="0" borderId="1" xfId="0" applyNumberFormat="1" applyFont="1" applyFill="1" applyBorder="1" applyAlignment="1" applyProtection="1">
      <alignment horizontal="left" vertical="center" wrapText="1"/>
      <protection locked="0"/>
    </xf>
    <xf numFmtId="0" fontId="69" fillId="3" borderId="0" xfId="0" applyNumberFormat="1" applyFont="1" applyFill="1" applyBorder="1" applyAlignment="1" applyProtection="1">
      <alignment horizontal="left" vertical="center" wrapText="1"/>
    </xf>
    <xf numFmtId="0" fontId="127" fillId="3" borderId="0" xfId="6" applyNumberFormat="1" applyFont="1" applyFill="1" applyBorder="1" applyAlignment="1" applyProtection="1">
      <alignment horizontal="left" vertical="center" wrapText="1"/>
    </xf>
    <xf numFmtId="0" fontId="137" fillId="2" borderId="0" xfId="6" applyFont="1" applyFill="1" applyBorder="1" applyAlignment="1" applyProtection="1">
      <alignment horizontal="left" vertical="center" wrapText="1"/>
      <protection locked="0"/>
    </xf>
    <xf numFmtId="10" fontId="51" fillId="0" borderId="0" xfId="0" applyNumberFormat="1" applyFont="1" applyBorder="1" applyAlignment="1" applyProtection="1">
      <alignment horizontal="left" vertical="center"/>
      <protection locked="0"/>
    </xf>
    <xf numFmtId="0" fontId="127" fillId="3" borderId="10" xfId="6" applyFont="1" applyFill="1" applyBorder="1" applyAlignment="1" applyProtection="1">
      <alignment vertical="center"/>
    </xf>
    <xf numFmtId="0" fontId="127" fillId="3" borderId="12" xfId="6" applyFont="1" applyFill="1" applyBorder="1" applyAlignment="1" applyProtection="1">
      <alignment vertical="center"/>
    </xf>
    <xf numFmtId="184" fontId="127" fillId="3" borderId="1" xfId="6" applyNumberFormat="1" applyFont="1" applyFill="1" applyBorder="1" applyAlignment="1" applyProtection="1">
      <alignment horizontal="center" vertical="center"/>
    </xf>
    <xf numFmtId="189" fontId="127" fillId="3" borderId="1" xfId="6" applyNumberFormat="1" applyFont="1" applyFill="1" applyBorder="1" applyAlignment="1" applyProtection="1">
      <alignment horizontal="center" vertical="center"/>
    </xf>
    <xf numFmtId="179" fontId="141" fillId="3" borderId="1" xfId="6" applyNumberFormat="1" applyFont="1" applyFill="1" applyBorder="1" applyAlignment="1" applyProtection="1">
      <alignment horizontal="center" vertical="center"/>
    </xf>
    <xf numFmtId="189" fontId="141" fillId="3" borderId="1" xfId="6" applyNumberFormat="1" applyFont="1" applyFill="1" applyBorder="1" applyAlignment="1" applyProtection="1">
      <alignment horizontal="center" vertical="center" wrapText="1"/>
    </xf>
    <xf numFmtId="0" fontId="127" fillId="3" borderId="0" xfId="6" applyFont="1" applyFill="1" applyAlignment="1" applyProtection="1">
      <alignment horizontal="left" vertical="center"/>
    </xf>
    <xf numFmtId="0" fontId="21" fillId="3" borderId="35" xfId="9" applyNumberFormat="1" applyFont="1" applyFill="1" applyBorder="1" applyAlignment="1" applyProtection="1">
      <alignment horizontal="center" vertical="center" wrapText="1"/>
    </xf>
    <xf numFmtId="181" fontId="92" fillId="3" borderId="35" xfId="9" applyNumberFormat="1" applyFont="1" applyFill="1" applyBorder="1" applyAlignment="1" applyProtection="1">
      <alignment horizontal="center" vertical="center" wrapText="1"/>
    </xf>
    <xf numFmtId="0" fontId="21" fillId="3" borderId="41" xfId="9" applyNumberFormat="1" applyFont="1" applyFill="1" applyBorder="1" applyAlignment="1" applyProtection="1">
      <alignment horizontal="center" vertical="center" wrapText="1"/>
    </xf>
    <xf numFmtId="0" fontId="92" fillId="3" borderId="55" xfId="9" applyNumberFormat="1" applyFont="1" applyFill="1" applyBorder="1" applyAlignment="1" applyProtection="1">
      <alignment horizontal="center" vertical="center" wrapText="1"/>
    </xf>
    <xf numFmtId="0" fontId="74" fillId="3" borderId="1" xfId="9" applyNumberFormat="1" applyFont="1" applyFill="1" applyBorder="1" applyAlignment="1" applyProtection="1">
      <alignment horizontal="center" vertical="center" wrapText="1"/>
    </xf>
    <xf numFmtId="0" fontId="98" fillId="3" borderId="1" xfId="9" applyNumberFormat="1" applyFont="1" applyFill="1" applyBorder="1" applyAlignment="1" applyProtection="1">
      <alignment horizontal="center" vertical="center"/>
    </xf>
    <xf numFmtId="0" fontId="21" fillId="3" borderId="19" xfId="9" applyNumberFormat="1" applyFont="1" applyFill="1" applyBorder="1" applyAlignment="1" applyProtection="1">
      <alignment vertical="center" wrapText="1"/>
    </xf>
    <xf numFmtId="0" fontId="115" fillId="3" borderId="5" xfId="9" applyNumberFormat="1" applyFont="1" applyFill="1" applyBorder="1" applyAlignment="1" applyProtection="1">
      <alignment horizontal="center" vertical="center"/>
    </xf>
    <xf numFmtId="0" fontId="115" fillId="3" borderId="3" xfId="9" applyNumberFormat="1" applyFont="1" applyFill="1" applyBorder="1" applyAlignment="1" applyProtection="1">
      <alignment horizontal="center" vertical="center"/>
    </xf>
    <xf numFmtId="0" fontId="115" fillId="3" borderId="3" xfId="9" applyNumberFormat="1" applyFont="1" applyFill="1" applyBorder="1" applyAlignment="1" applyProtection="1">
      <alignment horizontal="center" vertical="center" wrapText="1"/>
    </xf>
    <xf numFmtId="0" fontId="21" fillId="3" borderId="6" xfId="0" applyNumberFormat="1" applyFont="1" applyFill="1" applyBorder="1" applyAlignment="1" applyProtection="1">
      <alignment horizontal="left" vertical="center" wrapText="1"/>
    </xf>
    <xf numFmtId="0" fontId="92" fillId="3" borderId="1" xfId="0" applyNumberFormat="1" applyFont="1" applyFill="1" applyBorder="1" applyAlignment="1" applyProtection="1">
      <alignment horizontal="left" vertical="center" wrapText="1"/>
    </xf>
    <xf numFmtId="0" fontId="21" fillId="3" borderId="7" xfId="0" applyNumberFormat="1" applyFont="1" applyFill="1" applyBorder="1" applyAlignment="1" applyProtection="1">
      <alignment horizontal="left" vertical="center" wrapText="1"/>
    </xf>
    <xf numFmtId="0" fontId="92" fillId="3" borderId="8" xfId="0" applyNumberFormat="1" applyFont="1" applyFill="1" applyBorder="1" applyAlignment="1" applyProtection="1">
      <alignment horizontal="left" vertical="center" wrapText="1"/>
    </xf>
    <xf numFmtId="0" fontId="4" fillId="0" borderId="0" xfId="0" applyNumberFormat="1" applyFont="1" applyAlignment="1" applyProtection="1">
      <alignment horizontal="left" vertical="center" wrapText="1"/>
    </xf>
    <xf numFmtId="0" fontId="115" fillId="0" borderId="0" xfId="6" applyFont="1" applyAlignment="1" applyProtection="1">
      <alignment horizontal="left" vertical="center" wrapText="1"/>
      <protection locked="0"/>
    </xf>
    <xf numFmtId="9" fontId="69" fillId="3" borderId="0" xfId="6" applyNumberFormat="1" applyFont="1" applyFill="1" applyBorder="1" applyAlignment="1" applyProtection="1">
      <alignment horizontal="left" vertical="center" wrapText="1"/>
    </xf>
    <xf numFmtId="10" fontId="36" fillId="3" borderId="0" xfId="6" applyNumberFormat="1" applyFont="1" applyFill="1" applyBorder="1" applyAlignment="1" applyProtection="1">
      <alignment horizontal="left" vertical="center" wrapText="1"/>
    </xf>
    <xf numFmtId="10" fontId="36" fillId="3" borderId="1" xfId="0" applyNumberFormat="1" applyFont="1" applyFill="1" applyBorder="1" applyAlignment="1" applyProtection="1">
      <alignment horizontal="left" vertical="center" wrapText="1"/>
    </xf>
    <xf numFmtId="9" fontId="69" fillId="3" borderId="0" xfId="1" applyFont="1" applyFill="1" applyBorder="1" applyAlignment="1" applyProtection="1">
      <alignment horizontal="left" vertical="center" wrapText="1"/>
    </xf>
    <xf numFmtId="10" fontId="36" fillId="3" borderId="0" xfId="0" applyNumberFormat="1" applyFont="1" applyFill="1" applyBorder="1" applyAlignment="1" applyProtection="1">
      <alignment horizontal="left" vertical="center" wrapText="1"/>
    </xf>
    <xf numFmtId="0" fontId="127" fillId="3" borderId="11" xfId="6" applyFont="1" applyFill="1" applyBorder="1" applyAlignment="1" applyProtection="1">
      <alignment vertical="center"/>
    </xf>
    <xf numFmtId="0" fontId="115" fillId="3" borderId="41" xfId="9" applyNumberFormat="1" applyFont="1" applyFill="1" applyBorder="1" applyAlignment="1" applyProtection="1">
      <alignment horizontal="center" vertical="center"/>
    </xf>
    <xf numFmtId="0" fontId="115" fillId="3" borderId="70" xfId="9" applyNumberFormat="1" applyFont="1" applyFill="1" applyBorder="1" applyAlignment="1" applyProtection="1">
      <alignment horizontal="center" vertical="center"/>
    </xf>
    <xf numFmtId="0" fontId="92" fillId="3" borderId="14" xfId="0" applyNumberFormat="1" applyFont="1" applyFill="1" applyBorder="1" applyAlignment="1" applyProtection="1">
      <alignment horizontal="left" vertical="center" wrapText="1"/>
    </xf>
    <xf numFmtId="0" fontId="92" fillId="3" borderId="15" xfId="0" applyNumberFormat="1" applyFont="1" applyFill="1" applyBorder="1" applyAlignment="1" applyProtection="1">
      <alignment horizontal="left" vertical="center" wrapText="1"/>
    </xf>
    <xf numFmtId="0" fontId="142" fillId="0" borderId="0" xfId="0" applyFont="1" applyFill="1" applyAlignment="1" applyProtection="1">
      <alignment horizontal="center" vertical="center"/>
    </xf>
    <xf numFmtId="0" fontId="143" fillId="3" borderId="54" xfId="0" applyFont="1" applyFill="1" applyBorder="1" applyAlignment="1" applyProtection="1">
      <alignment vertical="center"/>
    </xf>
    <xf numFmtId="0" fontId="144" fillId="3" borderId="54" xfId="0" applyFont="1" applyFill="1" applyBorder="1" applyAlignment="1" applyProtection="1">
      <alignment vertical="center"/>
    </xf>
    <xf numFmtId="179" fontId="40" fillId="3" borderId="1" xfId="0" applyNumberFormat="1" applyFont="1" applyFill="1" applyBorder="1" applyAlignment="1" applyProtection="1">
      <alignment horizontal="right" vertical="center"/>
    </xf>
    <xf numFmtId="0" fontId="38" fillId="9" borderId="0" xfId="0" applyFont="1" applyFill="1" applyBorder="1" applyAlignment="1" applyProtection="1">
      <alignment vertical="center"/>
      <protection locked="0"/>
    </xf>
    <xf numFmtId="0" fontId="39" fillId="9" borderId="0" xfId="0" applyFont="1" applyFill="1" applyBorder="1" applyAlignment="1" applyProtection="1">
      <alignment vertical="center"/>
      <protection locked="0"/>
    </xf>
    <xf numFmtId="0" fontId="53" fillId="3" borderId="9" xfId="5" applyFont="1" applyFill="1" applyBorder="1" applyAlignment="1" applyProtection="1">
      <alignment vertical="center"/>
    </xf>
    <xf numFmtId="0" fontId="40" fillId="3" borderId="9" xfId="0" applyFont="1" applyFill="1" applyBorder="1" applyAlignment="1" applyProtection="1">
      <alignment vertical="center"/>
    </xf>
    <xf numFmtId="0" fontId="32" fillId="5" borderId="59" xfId="0" applyNumberFormat="1" applyFont="1" applyFill="1" applyBorder="1" applyAlignment="1" applyProtection="1">
      <alignment horizontal="center" vertical="center" wrapText="1"/>
      <protection locked="0"/>
    </xf>
    <xf numFmtId="0" fontId="36" fillId="0" borderId="6" xfId="0" applyNumberFormat="1" applyFont="1" applyFill="1" applyBorder="1" applyAlignment="1" applyProtection="1">
      <alignment horizontal="center" vertical="center" wrapText="1"/>
      <protection locked="0"/>
    </xf>
    <xf numFmtId="0" fontId="32" fillId="5" borderId="65" xfId="0" applyNumberFormat="1" applyFont="1" applyFill="1" applyBorder="1" applyAlignment="1" applyProtection="1">
      <alignment horizontal="center" vertical="center" wrapText="1"/>
      <protection locked="0"/>
    </xf>
    <xf numFmtId="0" fontId="32" fillId="5" borderId="89" xfId="0" applyNumberFormat="1" applyFont="1" applyFill="1" applyBorder="1" applyAlignment="1" applyProtection="1">
      <alignment horizontal="center" vertical="center" wrapText="1"/>
      <protection locked="0"/>
    </xf>
    <xf numFmtId="0" fontId="36" fillId="3" borderId="68" xfId="0" applyNumberFormat="1" applyFont="1" applyFill="1" applyBorder="1" applyAlignment="1" applyProtection="1">
      <alignment horizontal="center" vertical="center" wrapText="1"/>
    </xf>
    <xf numFmtId="0" fontId="36" fillId="3" borderId="64" xfId="0" applyNumberFormat="1" applyFont="1" applyFill="1" applyBorder="1" applyAlignment="1" applyProtection="1">
      <alignment horizontal="center" vertical="center" wrapText="1"/>
    </xf>
    <xf numFmtId="0" fontId="36" fillId="3" borderId="21" xfId="0" applyFont="1" applyFill="1" applyBorder="1" applyAlignment="1" applyProtection="1">
      <alignment horizontal="center" vertical="center"/>
    </xf>
    <xf numFmtId="0" fontId="36" fillId="0" borderId="10" xfId="0" applyFont="1" applyFill="1" applyBorder="1" applyAlignment="1" applyProtection="1">
      <alignment horizontal="center" vertical="center"/>
      <protection locked="0"/>
    </xf>
    <xf numFmtId="0" fontId="47" fillId="3" borderId="32" xfId="0" applyFont="1" applyFill="1" applyBorder="1" applyAlignment="1" applyProtection="1">
      <alignment vertical="center" textRotation="255" wrapText="1"/>
    </xf>
    <xf numFmtId="0" fontId="34" fillId="0" borderId="42" xfId="0" applyFont="1" applyFill="1" applyBorder="1" applyAlignment="1" applyProtection="1">
      <alignment horizontal="center" vertical="center"/>
      <protection locked="0"/>
    </xf>
    <xf numFmtId="0" fontId="36" fillId="0" borderId="7" xfId="0" applyNumberFormat="1" applyFont="1" applyFill="1" applyBorder="1" applyAlignment="1" applyProtection="1">
      <alignment horizontal="center" vertical="center" wrapText="1"/>
      <protection locked="0"/>
    </xf>
    <xf numFmtId="0" fontId="32" fillId="3" borderId="15" xfId="0" applyNumberFormat="1" applyFont="1" applyFill="1" applyBorder="1" applyAlignment="1" applyProtection="1">
      <alignment horizontal="center" vertical="center" wrapText="1"/>
    </xf>
    <xf numFmtId="0" fontId="36" fillId="0" borderId="97" xfId="0" applyNumberFormat="1" applyFont="1" applyFill="1" applyBorder="1" applyAlignment="1" applyProtection="1">
      <alignment horizontal="center" vertical="center" wrapText="1"/>
      <protection locked="0"/>
    </xf>
    <xf numFmtId="0" fontId="36" fillId="0" borderId="4" xfId="0" applyNumberFormat="1" applyFont="1" applyFill="1" applyBorder="1" applyAlignment="1" applyProtection="1">
      <alignment horizontal="center" vertical="center" wrapText="1"/>
      <protection locked="0"/>
    </xf>
    <xf numFmtId="9" fontId="32" fillId="5" borderId="64" xfId="0" applyNumberFormat="1" applyFont="1" applyFill="1" applyBorder="1" applyAlignment="1" applyProtection="1">
      <alignment horizontal="center" vertical="center" wrapText="1"/>
      <protection locked="0"/>
    </xf>
    <xf numFmtId="0" fontId="34" fillId="0" borderId="77" xfId="0" applyNumberFormat="1" applyFont="1" applyFill="1" applyBorder="1" applyAlignment="1" applyProtection="1">
      <alignment horizontal="center" vertical="center" wrapText="1"/>
      <protection locked="0"/>
    </xf>
    <xf numFmtId="49" fontId="41" fillId="5" borderId="13" xfId="0" applyNumberFormat="1" applyFont="1" applyFill="1" applyBorder="1" applyAlignment="1" applyProtection="1">
      <alignment vertical="center"/>
      <protection locked="0"/>
    </xf>
    <xf numFmtId="0" fontId="41" fillId="3" borderId="78" xfId="0" applyFont="1" applyFill="1" applyBorder="1" applyAlignment="1" applyProtection="1">
      <alignment horizontal="right" vertical="center" wrapText="1"/>
    </xf>
    <xf numFmtId="0" fontId="41" fillId="3" borderId="44" xfId="0" applyFont="1" applyFill="1" applyBorder="1" applyAlignment="1" applyProtection="1">
      <alignment vertical="center" wrapText="1"/>
    </xf>
    <xf numFmtId="0" fontId="48" fillId="7" borderId="78" xfId="0" applyFont="1" applyFill="1" applyBorder="1" applyAlignment="1" applyProtection="1">
      <alignment vertical="center" wrapText="1"/>
      <protection locked="0"/>
    </xf>
    <xf numFmtId="0" fontId="48" fillId="3" borderId="78" xfId="0" applyFont="1" applyFill="1" applyBorder="1" applyAlignment="1" applyProtection="1">
      <alignment vertical="center" wrapText="1"/>
    </xf>
    <xf numFmtId="0" fontId="48" fillId="7" borderId="59" xfId="0" applyFont="1" applyFill="1" applyBorder="1" applyAlignment="1" applyProtection="1">
      <alignment vertical="center" wrapText="1"/>
      <protection locked="0"/>
    </xf>
    <xf numFmtId="0" fontId="48" fillId="3" borderId="44" xfId="0" applyFont="1" applyFill="1" applyBorder="1" applyAlignment="1" applyProtection="1">
      <alignment vertical="center" wrapText="1"/>
    </xf>
    <xf numFmtId="49" fontId="41" fillId="3" borderId="53" xfId="0" applyNumberFormat="1" applyFont="1" applyFill="1" applyBorder="1" applyAlignment="1" applyProtection="1">
      <alignment vertical="center"/>
    </xf>
    <xf numFmtId="184" fontId="41" fillId="3" borderId="79" xfId="0" applyNumberFormat="1" applyFont="1" applyFill="1" applyBorder="1" applyAlignment="1" applyProtection="1">
      <alignment vertical="center" wrapText="1"/>
    </xf>
    <xf numFmtId="184" fontId="41" fillId="3" borderId="77" xfId="0" applyNumberFormat="1" applyFont="1" applyFill="1" applyBorder="1" applyAlignment="1" applyProtection="1">
      <alignment vertical="center" wrapText="1"/>
    </xf>
    <xf numFmtId="184" fontId="41" fillId="3" borderId="17" xfId="0" applyNumberFormat="1" applyFont="1" applyFill="1" applyBorder="1" applyAlignment="1" applyProtection="1">
      <alignment vertical="center" wrapText="1"/>
    </xf>
    <xf numFmtId="14" fontId="36" fillId="9" borderId="0" xfId="0" applyNumberFormat="1" applyFont="1" applyFill="1" applyAlignment="1" applyProtection="1">
      <alignment horizontal="center" vertical="center"/>
      <protection locked="0"/>
    </xf>
    <xf numFmtId="14" fontId="36" fillId="3" borderId="4" xfId="0" applyNumberFormat="1" applyFont="1" applyFill="1" applyBorder="1" applyAlignment="1" applyProtection="1">
      <alignment horizontal="left" vertical="center"/>
    </xf>
    <xf numFmtId="186" fontId="36" fillId="3" borderId="5" xfId="0" applyNumberFormat="1" applyFont="1" applyFill="1" applyBorder="1" applyAlignment="1" applyProtection="1">
      <alignment horizontal="center" vertical="center"/>
    </xf>
    <xf numFmtId="0" fontId="134" fillId="2" borderId="5" xfId="0" applyFont="1" applyFill="1" applyBorder="1" applyAlignment="1" applyProtection="1">
      <alignment horizontal="center" vertical="center"/>
      <protection locked="0"/>
    </xf>
    <xf numFmtId="0" fontId="140" fillId="3" borderId="55" xfId="0" applyFont="1" applyFill="1" applyBorder="1" applyAlignment="1" applyProtection="1">
      <alignment horizontal="center" vertical="center" wrapText="1"/>
      <protection locked="0"/>
    </xf>
    <xf numFmtId="0" fontId="36" fillId="3" borderId="5" xfId="0" applyFont="1" applyFill="1" applyBorder="1" applyAlignment="1" applyProtection="1">
      <alignment horizontal="center" vertical="center"/>
    </xf>
    <xf numFmtId="0" fontId="36" fillId="3" borderId="39" xfId="0" applyFont="1" applyFill="1" applyBorder="1" applyAlignment="1" applyProtection="1">
      <alignment horizontal="center" vertical="center"/>
    </xf>
    <xf numFmtId="0" fontId="21" fillId="3" borderId="6" xfId="0" applyFont="1" applyFill="1" applyBorder="1" applyAlignment="1" applyProtection="1"/>
    <xf numFmtId="184" fontId="21" fillId="3" borderId="1" xfId="5" applyNumberFormat="1" applyFont="1" applyFill="1" applyBorder="1" applyAlignment="1" applyProtection="1">
      <alignment horizontal="center"/>
    </xf>
    <xf numFmtId="0" fontId="21" fillId="3" borderId="1" xfId="0" applyFont="1" applyFill="1" applyBorder="1" applyAlignment="1" applyProtection="1">
      <alignment horizontal="center"/>
    </xf>
    <xf numFmtId="0" fontId="142" fillId="3" borderId="1" xfId="0" applyFont="1" applyFill="1" applyBorder="1" applyAlignment="1" applyProtection="1">
      <alignment horizontal="center" vertical="center"/>
      <protection locked="0"/>
    </xf>
    <xf numFmtId="179" fontId="21" fillId="3" borderId="10" xfId="5" applyNumberFormat="1" applyFont="1" applyFill="1" applyBorder="1" applyAlignment="1" applyProtection="1">
      <alignment horizontal="center"/>
    </xf>
    <xf numFmtId="0" fontId="21" fillId="3" borderId="6" xfId="5" applyFont="1" applyFill="1" applyBorder="1" applyAlignment="1" applyProtection="1"/>
    <xf numFmtId="0" fontId="21" fillId="3" borderId="1" xfId="5" applyFont="1" applyFill="1" applyBorder="1" applyAlignment="1" applyProtection="1">
      <alignment horizontal="center"/>
    </xf>
    <xf numFmtId="9" fontId="142" fillId="2" borderId="1" xfId="0" applyNumberFormat="1" applyFont="1" applyFill="1" applyBorder="1" applyAlignment="1" applyProtection="1">
      <alignment horizontal="center" vertical="center"/>
      <protection locked="0"/>
    </xf>
    <xf numFmtId="181" fontId="21" fillId="0" borderId="1" xfId="5" applyNumberFormat="1" applyFont="1" applyFill="1" applyBorder="1" applyAlignment="1" applyProtection="1">
      <alignment horizontal="center"/>
      <protection locked="0"/>
    </xf>
    <xf numFmtId="0" fontId="69" fillId="3" borderId="22" xfId="0" applyFont="1" applyFill="1" applyBorder="1" applyAlignment="1" applyProtection="1">
      <alignment vertical="center"/>
    </xf>
    <xf numFmtId="0" fontId="69" fillId="3" borderId="14" xfId="0" applyNumberFormat="1" applyFont="1" applyFill="1" applyBorder="1" applyAlignment="1" applyProtection="1">
      <alignment horizontal="center" vertical="center"/>
    </xf>
    <xf numFmtId="0" fontId="69" fillId="3" borderId="68" xfId="0" applyFont="1" applyFill="1" applyBorder="1" applyAlignment="1" applyProtection="1">
      <alignment vertical="center"/>
    </xf>
    <xf numFmtId="49" fontId="69" fillId="3" borderId="14" xfId="0" applyNumberFormat="1" applyFont="1" applyFill="1" applyBorder="1" applyAlignment="1" applyProtection="1">
      <alignment horizontal="center" vertical="center"/>
    </xf>
    <xf numFmtId="0" fontId="115" fillId="3" borderId="6" xfId="5" applyFont="1" applyFill="1" applyBorder="1" applyAlignment="1" applyProtection="1"/>
    <xf numFmtId="181" fontId="21" fillId="3" borderId="1" xfId="5" applyNumberFormat="1" applyFont="1" applyFill="1" applyBorder="1" applyAlignment="1" applyProtection="1">
      <alignment horizontal="center"/>
    </xf>
    <xf numFmtId="0" fontId="69" fillId="3" borderId="6" xfId="0" applyFont="1" applyFill="1" applyBorder="1" applyAlignment="1" applyProtection="1">
      <alignment horizontal="center" vertical="center"/>
    </xf>
    <xf numFmtId="0" fontId="142" fillId="2" borderId="6" xfId="0" applyFont="1" applyFill="1" applyBorder="1" applyAlignment="1" applyProtection="1">
      <alignment horizontal="center" vertical="center"/>
      <protection locked="0"/>
    </xf>
    <xf numFmtId="0" fontId="69" fillId="3" borderId="7" xfId="0" applyFont="1" applyFill="1" applyBorder="1" applyAlignment="1" applyProtection="1">
      <alignment horizontal="center" vertical="center"/>
    </xf>
    <xf numFmtId="49" fontId="69" fillId="3" borderId="15" xfId="0" applyNumberFormat="1" applyFont="1" applyFill="1" applyBorder="1" applyAlignment="1" applyProtection="1">
      <alignment horizontal="center" vertical="center"/>
    </xf>
    <xf numFmtId="0" fontId="24" fillId="3" borderId="7" xfId="5" applyFont="1" applyFill="1" applyBorder="1" applyAlignment="1" applyProtection="1"/>
    <xf numFmtId="0" fontId="21" fillId="3" borderId="8" xfId="0" applyFont="1" applyFill="1" applyBorder="1" applyAlignment="1" applyProtection="1">
      <alignment horizontal="center"/>
    </xf>
    <xf numFmtId="179" fontId="24" fillId="3" borderId="15" xfId="0" applyNumberFormat="1" applyFont="1" applyFill="1" applyBorder="1" applyAlignment="1" applyProtection="1">
      <alignment horizontal="center"/>
    </xf>
    <xf numFmtId="0" fontId="21" fillId="3" borderId="0" xfId="0" applyFont="1" applyFill="1" applyAlignment="1" applyProtection="1">
      <protection locked="0"/>
    </xf>
    <xf numFmtId="186" fontId="36" fillId="3" borderId="0" xfId="0" applyNumberFormat="1" applyFont="1" applyFill="1" applyAlignment="1" applyProtection="1">
      <alignment horizontal="center" vertical="center"/>
    </xf>
    <xf numFmtId="14" fontId="36" fillId="3" borderId="0" xfId="0" applyNumberFormat="1" applyFont="1" applyFill="1" applyAlignment="1" applyProtection="1">
      <alignment horizontal="center" vertical="center"/>
    </xf>
    <xf numFmtId="182" fontId="144" fillId="3" borderId="54" xfId="0" applyNumberFormat="1" applyFont="1" applyFill="1" applyBorder="1" applyAlignment="1" applyProtection="1">
      <alignment horizontal="center" vertical="center"/>
    </xf>
    <xf numFmtId="182" fontId="38" fillId="9" borderId="0" xfId="0" applyNumberFormat="1" applyFont="1" applyFill="1" applyBorder="1" applyAlignment="1" applyProtection="1">
      <alignment horizontal="center" vertical="center"/>
      <protection locked="0"/>
    </xf>
    <xf numFmtId="0" fontId="83" fillId="3" borderId="11" xfId="0" applyNumberFormat="1" applyFont="1" applyFill="1" applyBorder="1" applyAlignment="1" applyProtection="1">
      <alignment horizontal="center" vertical="center" wrapText="1"/>
    </xf>
    <xf numFmtId="0" fontId="83" fillId="0" borderId="11" xfId="0" applyNumberFormat="1" applyFont="1" applyFill="1" applyBorder="1" applyAlignment="1" applyProtection="1">
      <alignment horizontal="center" vertical="center" wrapText="1"/>
      <protection locked="0"/>
    </xf>
    <xf numFmtId="0" fontId="83" fillId="0" borderId="6" xfId="0" applyNumberFormat="1" applyFont="1" applyFill="1" applyBorder="1" applyAlignment="1" applyProtection="1">
      <alignment horizontal="center" vertical="center" wrapText="1"/>
      <protection locked="0"/>
    </xf>
    <xf numFmtId="0" fontId="83" fillId="3" borderId="6" xfId="0" applyNumberFormat="1" applyFont="1" applyFill="1" applyBorder="1" applyAlignment="1" applyProtection="1">
      <alignment horizontal="center" vertical="center" wrapText="1"/>
    </xf>
    <xf numFmtId="0" fontId="145" fillId="3" borderId="11" xfId="0" applyNumberFormat="1" applyFont="1" applyFill="1" applyBorder="1" applyAlignment="1" applyProtection="1">
      <alignment horizontal="center" vertical="center" wrapText="1"/>
    </xf>
    <xf numFmtId="182" fontId="36" fillId="7" borderId="11" xfId="0" applyNumberFormat="1" applyFont="1" applyFill="1" applyBorder="1" applyAlignment="1" applyProtection="1">
      <alignment horizontal="center" vertical="center"/>
    </xf>
    <xf numFmtId="186" fontId="36" fillId="3" borderId="46" xfId="0" applyNumberFormat="1" applyFont="1" applyFill="1" applyBorder="1" applyAlignment="1" applyProtection="1">
      <alignment horizontal="left" vertical="center" wrapText="1"/>
    </xf>
    <xf numFmtId="182" fontId="36" fillId="7" borderId="1" xfId="0" applyNumberFormat="1" applyFont="1" applyFill="1" applyBorder="1" applyAlignment="1" applyProtection="1">
      <alignment horizontal="center" vertical="center" wrapText="1"/>
    </xf>
    <xf numFmtId="0" fontId="91" fillId="3" borderId="11" xfId="0" applyFont="1" applyFill="1" applyBorder="1" applyAlignment="1" applyProtection="1">
      <alignment horizontal="center" vertical="center"/>
    </xf>
    <xf numFmtId="0" fontId="91" fillId="3" borderId="1" xfId="0" applyFont="1" applyFill="1" applyBorder="1" applyAlignment="1" applyProtection="1">
      <alignment horizontal="center" vertical="center"/>
    </xf>
    <xf numFmtId="0" fontId="146" fillId="3" borderId="0" xfId="0" applyFont="1" applyFill="1" applyAlignment="1" applyProtection="1">
      <alignment horizontal="left" vertical="center"/>
      <protection locked="0"/>
    </xf>
    <xf numFmtId="0" fontId="69" fillId="3" borderId="11" xfId="0" applyFont="1" applyFill="1" applyBorder="1" applyAlignment="1" applyProtection="1">
      <alignment horizontal="center" vertical="center"/>
    </xf>
    <xf numFmtId="0" fontId="69" fillId="3" borderId="1" xfId="0" applyFont="1" applyFill="1" applyBorder="1" applyAlignment="1" applyProtection="1">
      <alignment horizontal="center" vertical="center"/>
    </xf>
    <xf numFmtId="0" fontId="142" fillId="9" borderId="0" xfId="0" applyFont="1" applyFill="1" applyAlignment="1" applyProtection="1">
      <alignment horizontal="center" vertical="center"/>
      <protection locked="0"/>
    </xf>
    <xf numFmtId="0" fontId="142" fillId="3" borderId="0" xfId="0" applyFont="1" applyFill="1" applyAlignment="1" applyProtection="1">
      <alignment horizontal="center" vertical="center"/>
      <protection locked="0"/>
    </xf>
    <xf numFmtId="0" fontId="69" fillId="0" borderId="1" xfId="0" applyFont="1" applyFill="1" applyBorder="1" applyAlignment="1" applyProtection="1">
      <alignment horizontal="center" vertical="center"/>
      <protection locked="0"/>
    </xf>
    <xf numFmtId="0" fontId="21" fillId="9" borderId="0" xfId="0" applyFont="1" applyFill="1" applyAlignment="1" applyProtection="1">
      <protection locked="0"/>
    </xf>
    <xf numFmtId="0" fontId="147" fillId="3" borderId="19" xfId="0" applyNumberFormat="1" applyFont="1" applyFill="1" applyBorder="1" applyAlignment="1" applyProtection="1">
      <alignment vertical="center"/>
    </xf>
    <xf numFmtId="0" fontId="32" fillId="3" borderId="56" xfId="0" applyNumberFormat="1" applyFont="1" applyFill="1" applyBorder="1" applyAlignment="1" applyProtection="1">
      <alignment horizontal="center" vertical="center" wrapText="1"/>
    </xf>
    <xf numFmtId="0" fontId="147" fillId="3" borderId="6" xfId="0" applyNumberFormat="1" applyFont="1" applyFill="1" applyBorder="1" applyAlignment="1" applyProtection="1">
      <alignment horizontal="center" vertical="center" wrapText="1"/>
    </xf>
    <xf numFmtId="10" fontId="43" fillId="3" borderId="1" xfId="0" applyNumberFormat="1" applyFont="1" applyFill="1" applyBorder="1" applyAlignment="1" applyProtection="1">
      <alignment horizontal="center" vertical="center" wrapText="1"/>
    </xf>
    <xf numFmtId="179" fontId="32" fillId="0" borderId="43" xfId="0" applyNumberFormat="1" applyFont="1" applyFill="1" applyBorder="1" applyAlignment="1" applyProtection="1">
      <alignment horizontal="center" vertical="center" wrapText="1"/>
      <protection locked="0"/>
    </xf>
    <xf numFmtId="190" fontId="32" fillId="0" borderId="80" xfId="0" applyNumberFormat="1" applyFont="1" applyFill="1" applyBorder="1" applyAlignment="1" applyProtection="1">
      <alignment horizontal="center" vertical="center" wrapText="1"/>
      <protection locked="0"/>
    </xf>
    <xf numFmtId="0" fontId="36" fillId="0" borderId="9" xfId="0" applyNumberFormat="1" applyFont="1" applyFill="1" applyBorder="1" applyAlignment="1" applyProtection="1">
      <alignment horizontal="center" vertical="center" wrapText="1"/>
      <protection locked="0"/>
    </xf>
    <xf numFmtId="0" fontId="148" fillId="0" borderId="1" xfId="0" applyNumberFormat="1" applyFont="1" applyFill="1" applyBorder="1" applyAlignment="1" applyProtection="1">
      <alignment horizontal="center" vertical="center" wrapText="1"/>
      <protection locked="0"/>
    </xf>
    <xf numFmtId="0" fontId="148" fillId="0" borderId="8" xfId="0" applyNumberFormat="1" applyFont="1" applyFill="1" applyBorder="1" applyAlignment="1" applyProtection="1">
      <alignment horizontal="center" vertical="center" wrapText="1"/>
      <protection locked="0"/>
    </xf>
    <xf numFmtId="0" fontId="149" fillId="0" borderId="8" xfId="0" applyNumberFormat="1" applyFont="1" applyFill="1" applyBorder="1" applyAlignment="1" applyProtection="1">
      <alignment horizontal="center" vertical="center" wrapText="1"/>
      <protection locked="0"/>
    </xf>
    <xf numFmtId="0" fontId="150" fillId="0" borderId="85" xfId="0" applyNumberFormat="1" applyFont="1" applyFill="1" applyBorder="1" applyAlignment="1" applyProtection="1">
      <alignment horizontal="center" vertical="center" wrapText="1"/>
      <protection locked="0"/>
    </xf>
    <xf numFmtId="0" fontId="34" fillId="3" borderId="80" xfId="0" applyNumberFormat="1" applyFont="1" applyFill="1" applyBorder="1" applyAlignment="1" applyProtection="1">
      <alignment horizontal="center" vertical="center" wrapText="1"/>
    </xf>
    <xf numFmtId="49" fontId="32" fillId="3" borderId="0" xfId="0" applyNumberFormat="1" applyFont="1" applyFill="1" applyBorder="1" applyAlignment="1" applyProtection="1">
      <alignment horizontal="center" vertical="center" wrapText="1"/>
      <protection locked="0"/>
    </xf>
    <xf numFmtId="0" fontId="32" fillId="9" borderId="0" xfId="0" applyNumberFormat="1" applyFont="1" applyFill="1" applyBorder="1" applyAlignment="1" applyProtection="1">
      <alignment horizontal="center" vertical="center" wrapText="1"/>
      <protection locked="0"/>
    </xf>
    <xf numFmtId="0" fontId="35" fillId="9" borderId="0" xfId="0" applyNumberFormat="1" applyFont="1" applyFill="1" applyBorder="1" applyAlignment="1" applyProtection="1">
      <alignment horizontal="center" vertical="center" wrapText="1"/>
      <protection locked="0"/>
    </xf>
    <xf numFmtId="0" fontId="36" fillId="9" borderId="0" xfId="0" applyNumberFormat="1" applyFont="1" applyFill="1" applyBorder="1" applyAlignment="1" applyProtection="1">
      <alignment horizontal="center" vertical="center" wrapText="1"/>
      <protection locked="0"/>
    </xf>
    <xf numFmtId="0" fontId="34" fillId="9" borderId="0" xfId="0" applyNumberFormat="1" applyFont="1" applyFill="1" applyBorder="1" applyAlignment="1" applyProtection="1">
      <alignment horizontal="center" vertical="center" wrapText="1"/>
      <protection locked="0"/>
    </xf>
    <xf numFmtId="0" fontId="32" fillId="3" borderId="85" xfId="0" applyNumberFormat="1" applyFont="1" applyFill="1" applyBorder="1" applyAlignment="1" applyProtection="1">
      <alignment horizontal="left" vertical="center" wrapText="1"/>
    </xf>
    <xf numFmtId="0" fontId="34" fillId="3" borderId="73" xfId="0" applyNumberFormat="1" applyFont="1" applyFill="1" applyBorder="1" applyAlignment="1" applyProtection="1">
      <alignment horizontal="center" vertical="center" wrapText="1"/>
    </xf>
    <xf numFmtId="0" fontId="36" fillId="0" borderId="57" xfId="0" applyNumberFormat="1" applyFont="1" applyFill="1" applyBorder="1" applyAlignment="1" applyProtection="1">
      <alignment horizontal="center" vertical="center" wrapText="1"/>
      <protection locked="0"/>
    </xf>
    <xf numFmtId="0" fontId="51" fillId="3" borderId="5" xfId="0" applyNumberFormat="1" applyFont="1" applyFill="1" applyBorder="1" applyAlignment="1" applyProtection="1">
      <alignment horizontal="center" vertical="center" wrapText="1"/>
    </xf>
    <xf numFmtId="0" fontId="51" fillId="3" borderId="5" xfId="0" applyNumberFormat="1" applyFont="1" applyFill="1" applyBorder="1" applyAlignment="1" applyProtection="1">
      <alignment horizontal="left" vertical="center" wrapText="1"/>
    </xf>
    <xf numFmtId="0" fontId="51" fillId="3" borderId="13" xfId="0" applyNumberFormat="1" applyFont="1" applyFill="1" applyBorder="1" applyAlignment="1" applyProtection="1">
      <alignment horizontal="center" vertical="center" wrapText="1"/>
    </xf>
    <xf numFmtId="0" fontId="36" fillId="6" borderId="0" xfId="0" applyFont="1" applyFill="1" applyAlignment="1" applyProtection="1">
      <alignment horizontal="center" vertical="center"/>
    </xf>
    <xf numFmtId="0" fontId="40" fillId="9" borderId="0" xfId="0" applyFont="1" applyFill="1" applyBorder="1" applyAlignment="1" applyProtection="1">
      <alignment vertical="center"/>
      <protection locked="0"/>
    </xf>
    <xf numFmtId="0" fontId="52" fillId="9" borderId="0" xfId="0" applyFont="1" applyFill="1" applyAlignment="1" applyProtection="1">
      <alignment horizontal="center" vertical="center"/>
      <protection locked="0"/>
    </xf>
    <xf numFmtId="185" fontId="32" fillId="3" borderId="62" xfId="0" applyNumberFormat="1" applyFont="1" applyFill="1" applyBorder="1" applyAlignment="1" applyProtection="1">
      <alignment horizontal="center" vertical="center" wrapText="1"/>
    </xf>
    <xf numFmtId="0" fontId="32" fillId="5" borderId="78" xfId="0" applyNumberFormat="1" applyFont="1" applyFill="1" applyBorder="1" applyAlignment="1" applyProtection="1">
      <alignment horizontal="center" vertical="center" wrapText="1"/>
      <protection locked="0"/>
    </xf>
    <xf numFmtId="0" fontId="43" fillId="3" borderId="46" xfId="0" applyFont="1" applyFill="1" applyBorder="1" applyAlignment="1" applyProtection="1">
      <alignment horizontal="left" vertical="center" wrapText="1"/>
      <protection locked="0"/>
    </xf>
    <xf numFmtId="0" fontId="46" fillId="0" borderId="81" xfId="0" applyNumberFormat="1" applyFont="1" applyFill="1" applyBorder="1" applyAlignment="1" applyProtection="1">
      <alignment horizontal="center" vertical="center" wrapText="1"/>
      <protection locked="0"/>
    </xf>
    <xf numFmtId="49" fontId="46" fillId="0" borderId="29" xfId="0" applyNumberFormat="1" applyFont="1" applyFill="1" applyBorder="1" applyAlignment="1" applyProtection="1">
      <alignment horizontal="center" vertical="center" wrapText="1"/>
      <protection locked="0"/>
    </xf>
    <xf numFmtId="49" fontId="36" fillId="3" borderId="58" xfId="0" applyNumberFormat="1" applyFont="1" applyFill="1" applyBorder="1" applyAlignment="1" applyProtection="1">
      <alignment horizontal="center" vertical="center" wrapText="1"/>
    </xf>
    <xf numFmtId="0" fontId="32" fillId="3" borderId="9" xfId="0" applyFont="1" applyFill="1" applyBorder="1" applyAlignment="1" applyProtection="1">
      <alignment horizontal="center" vertical="center" wrapText="1"/>
    </xf>
    <xf numFmtId="0" fontId="32" fillId="3" borderId="3" xfId="0" applyFont="1" applyFill="1" applyBorder="1" applyAlignment="1" applyProtection="1">
      <alignment horizontal="center" vertical="center" wrapText="1"/>
    </xf>
    <xf numFmtId="0" fontId="36" fillId="0" borderId="14" xfId="0" applyFont="1" applyFill="1" applyBorder="1" applyAlignment="1" applyProtection="1">
      <alignment horizontal="center" vertical="center"/>
      <protection locked="0"/>
    </xf>
    <xf numFmtId="0" fontId="34" fillId="0" borderId="15" xfId="0" applyFont="1" applyFill="1" applyBorder="1" applyAlignment="1" applyProtection="1">
      <alignment horizontal="center" vertical="center"/>
      <protection locked="0"/>
    </xf>
    <xf numFmtId="0" fontId="36" fillId="0" borderId="58" xfId="0" applyNumberFormat="1" applyFont="1" applyFill="1" applyBorder="1" applyAlignment="1" applyProtection="1">
      <alignment horizontal="center" vertical="center" wrapText="1"/>
      <protection locked="0"/>
    </xf>
    <xf numFmtId="0" fontId="32" fillId="3" borderId="18" xfId="0" applyNumberFormat="1" applyFont="1" applyFill="1" applyBorder="1" applyAlignment="1" applyProtection="1">
      <alignment horizontal="center" vertical="center" wrapText="1"/>
    </xf>
    <xf numFmtId="0" fontId="34" fillId="3" borderId="15" xfId="0" applyNumberFormat="1" applyFont="1" applyFill="1" applyBorder="1" applyAlignment="1" applyProtection="1">
      <alignment horizontal="center" vertical="center" wrapText="1"/>
    </xf>
    <xf numFmtId="0" fontId="36" fillId="3" borderId="13" xfId="0" applyFont="1" applyFill="1" applyBorder="1" applyAlignment="1" applyProtection="1">
      <alignment horizontal="center" vertical="center"/>
    </xf>
    <xf numFmtId="179" fontId="21" fillId="3" borderId="14" xfId="5" applyNumberFormat="1" applyFont="1" applyFill="1" applyBorder="1" applyAlignment="1" applyProtection="1">
      <alignment horizontal="center"/>
    </xf>
    <xf numFmtId="0" fontId="9" fillId="3" borderId="22" xfId="0" applyFont="1" applyFill="1" applyBorder="1" applyAlignment="1" applyProtection="1">
      <alignment vertical="center"/>
    </xf>
    <xf numFmtId="49" fontId="142" fillId="3" borderId="1" xfId="0" applyNumberFormat="1" applyFont="1" applyFill="1" applyBorder="1" applyAlignment="1" applyProtection="1">
      <alignment horizontal="center" vertical="center"/>
    </xf>
    <xf numFmtId="0" fontId="9" fillId="3" borderId="68" xfId="0" applyFont="1" applyFill="1" applyBorder="1" applyAlignment="1" applyProtection="1">
      <alignment vertical="center"/>
    </xf>
    <xf numFmtId="0" fontId="9" fillId="3" borderId="6" xfId="0" applyFont="1" applyFill="1" applyBorder="1" applyAlignment="1" applyProtection="1">
      <alignment horizontal="center" vertical="center"/>
    </xf>
    <xf numFmtId="0" fontId="142" fillId="3" borderId="1" xfId="0" applyFont="1" applyFill="1" applyBorder="1" applyAlignment="1" applyProtection="1">
      <alignment horizontal="center" vertical="center"/>
    </xf>
    <xf numFmtId="0" fontId="31" fillId="0" borderId="0" xfId="0" applyFont="1" applyFill="1" applyBorder="1" applyAlignment="1" applyProtection="1">
      <alignment horizontal="center" vertical="center"/>
    </xf>
    <xf numFmtId="0" fontId="9" fillId="3" borderId="7" xfId="0" applyFont="1" applyFill="1" applyBorder="1" applyAlignment="1" applyProtection="1">
      <alignment horizontal="center" vertical="center"/>
    </xf>
    <xf numFmtId="49" fontId="142" fillId="3" borderId="8" xfId="0" applyNumberFormat="1" applyFont="1" applyFill="1" applyBorder="1" applyAlignment="1" applyProtection="1">
      <alignment horizontal="center" vertical="center"/>
    </xf>
    <xf numFmtId="0" fontId="43" fillId="3" borderId="71" xfId="0" applyNumberFormat="1" applyFont="1" applyFill="1" applyBorder="1" applyAlignment="1" applyProtection="1">
      <alignment vertical="center"/>
    </xf>
    <xf numFmtId="0" fontId="43" fillId="2" borderId="1" xfId="0" applyNumberFormat="1" applyFont="1" applyFill="1" applyBorder="1" applyAlignment="1" applyProtection="1">
      <alignment horizontal="center" vertical="center" wrapText="1"/>
      <protection locked="0"/>
    </xf>
    <xf numFmtId="0" fontId="43" fillId="3" borderId="76" xfId="0" applyNumberFormat="1" applyFont="1" applyFill="1" applyBorder="1" applyAlignment="1" applyProtection="1">
      <alignment vertical="center"/>
    </xf>
    <xf numFmtId="0" fontId="59" fillId="3" borderId="3" xfId="6" applyNumberFormat="1" applyFont="1" applyFill="1" applyBorder="1" applyAlignment="1" applyProtection="1">
      <alignment horizontal="center" vertical="center" wrapText="1"/>
      <protection locked="0"/>
    </xf>
    <xf numFmtId="0" fontId="46" fillId="0" borderId="85" xfId="0" applyNumberFormat="1" applyFont="1" applyFill="1" applyBorder="1" applyAlignment="1" applyProtection="1">
      <alignment horizontal="center" vertical="center" wrapText="1"/>
      <protection locked="0"/>
    </xf>
    <xf numFmtId="0" fontId="151" fillId="0" borderId="85" xfId="0" applyNumberFormat="1" applyFont="1" applyFill="1" applyBorder="1" applyAlignment="1" applyProtection="1">
      <alignment horizontal="center" vertical="center" wrapText="1"/>
      <protection locked="0"/>
    </xf>
    <xf numFmtId="0" fontId="32" fillId="0" borderId="10" xfId="0" applyNumberFormat="1" applyFont="1" applyFill="1" applyBorder="1" applyAlignment="1" applyProtection="1">
      <alignment horizontal="center" vertical="center" wrapText="1"/>
      <protection locked="0"/>
    </xf>
    <xf numFmtId="0" fontId="32" fillId="0" borderId="14"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14" xfId="0" applyNumberFormat="1" applyFont="1" applyFill="1" applyBorder="1" applyAlignment="1" applyProtection="1">
      <alignment horizontal="center" vertical="center" wrapText="1"/>
      <protection locked="0"/>
    </xf>
    <xf numFmtId="0" fontId="36" fillId="6" borderId="0" xfId="0" applyFont="1" applyFill="1" applyAlignment="1" applyProtection="1">
      <alignment horizontal="center" vertical="center"/>
      <protection locked="0"/>
    </xf>
    <xf numFmtId="182" fontId="36" fillId="6" borderId="0" xfId="0" applyNumberFormat="1" applyFont="1" applyFill="1" applyAlignment="1" applyProtection="1">
      <alignment horizontal="center" vertical="center"/>
      <protection locked="0"/>
    </xf>
    <xf numFmtId="183" fontId="36" fillId="6" borderId="0" xfId="0" applyNumberFormat="1" applyFont="1" applyFill="1" applyAlignment="1" applyProtection="1">
      <alignment horizontal="center" vertical="center"/>
      <protection locked="0"/>
    </xf>
    <xf numFmtId="182" fontId="36" fillId="6" borderId="0" xfId="0" applyNumberFormat="1" applyFont="1" applyFill="1" applyAlignment="1" applyProtection="1">
      <alignment horizontal="center" vertical="center"/>
    </xf>
    <xf numFmtId="183" fontId="36" fillId="6" borderId="0" xfId="0" applyNumberFormat="1" applyFont="1" applyFill="1" applyAlignment="1" applyProtection="1">
      <alignment horizontal="center" vertical="center"/>
    </xf>
    <xf numFmtId="0" fontId="83" fillId="6" borderId="0" xfId="0" applyFont="1" applyFill="1" applyAlignment="1" applyProtection="1">
      <protection locked="0"/>
    </xf>
    <xf numFmtId="0" fontId="43" fillId="0" borderId="0" xfId="0" applyFont="1" applyFill="1" applyAlignment="1" applyProtection="1">
      <protection locked="0"/>
    </xf>
    <xf numFmtId="0" fontId="20" fillId="0" borderId="0" xfId="0" applyFont="1" applyFill="1" applyAlignment="1" applyProtection="1">
      <protection locked="0"/>
    </xf>
    <xf numFmtId="0" fontId="34" fillId="6" borderId="0" xfId="0" applyFont="1" applyFill="1" applyProtection="1">
      <alignment vertical="center"/>
      <protection locked="0"/>
    </xf>
    <xf numFmtId="0" fontId="34" fillId="0" borderId="0" xfId="0" applyFont="1" applyFill="1" applyProtection="1">
      <alignment vertical="center"/>
      <protection locked="0"/>
    </xf>
    <xf numFmtId="0" fontId="47" fillId="6" borderId="0" xfId="0" applyFont="1" applyFill="1" applyProtection="1">
      <alignment vertical="center"/>
      <protection locked="0"/>
    </xf>
    <xf numFmtId="0" fontId="47" fillId="6" borderId="0" xfId="0" applyFont="1" applyFill="1" applyAlignment="1" applyProtection="1">
      <protection locked="0"/>
    </xf>
    <xf numFmtId="0" fontId="22" fillId="6" borderId="0" xfId="0" applyFont="1" applyFill="1" applyAlignment="1" applyProtection="1">
      <protection locked="0"/>
    </xf>
    <xf numFmtId="0" fontId="47" fillId="6" borderId="0" xfId="0" applyFont="1" applyFill="1" applyAlignment="1" applyProtection="1">
      <alignment vertical="center" wrapText="1"/>
      <protection locked="0"/>
    </xf>
    <xf numFmtId="0" fontId="32" fillId="17" borderId="0" xfId="0" applyFont="1" applyFill="1" applyAlignment="1" applyProtection="1">
      <protection locked="0"/>
    </xf>
    <xf numFmtId="0" fontId="20" fillId="7" borderId="0" xfId="0" applyFont="1" applyFill="1" applyAlignment="1" applyProtection="1">
      <alignment horizontal="center"/>
      <protection locked="0"/>
    </xf>
    <xf numFmtId="0" fontId="20" fillId="6" borderId="0" xfId="0" applyFont="1" applyFill="1" applyAlignment="1" applyProtection="1">
      <protection locked="0"/>
    </xf>
    <xf numFmtId="184" fontId="20" fillId="7" borderId="0" xfId="0" applyNumberFormat="1" applyFont="1" applyFill="1" applyAlignment="1" applyProtection="1">
      <alignment horizontal="center"/>
      <protection locked="0"/>
    </xf>
    <xf numFmtId="0" fontId="29" fillId="2" borderId="78" xfId="5" applyFont="1" applyFill="1" applyBorder="1" applyAlignment="1" applyProtection="1">
      <alignment horizontal="right" vertical="center"/>
      <protection locked="0"/>
    </xf>
    <xf numFmtId="0" fontId="29" fillId="3" borderId="0" xfId="5" applyFont="1" applyFill="1" applyBorder="1" applyAlignment="1" applyProtection="1">
      <alignment vertical="center"/>
      <protection locked="0"/>
    </xf>
    <xf numFmtId="179" fontId="40" fillId="3" borderId="1" xfId="5" applyNumberFormat="1" applyFont="1" applyFill="1" applyBorder="1" applyAlignment="1" applyProtection="1">
      <alignment horizontal="right" vertical="center"/>
    </xf>
    <xf numFmtId="0" fontId="29" fillId="3" borderId="59" xfId="0" applyFont="1" applyFill="1" applyBorder="1" applyAlignment="1" applyProtection="1"/>
    <xf numFmtId="0" fontId="29" fillId="3" borderId="78" xfId="0" applyFont="1" applyFill="1" applyBorder="1" applyAlignment="1" applyProtection="1"/>
    <xf numFmtId="184" fontId="43" fillId="3" borderId="39" xfId="0" applyNumberFormat="1" applyFont="1" applyFill="1" applyBorder="1" applyAlignment="1" applyProtection="1">
      <alignment horizontal="center"/>
    </xf>
    <xf numFmtId="0" fontId="29" fillId="3" borderId="78" xfId="0" applyFont="1" applyFill="1" applyBorder="1" applyAlignment="1" applyProtection="1">
      <protection locked="0"/>
    </xf>
    <xf numFmtId="0" fontId="43" fillId="3" borderId="6" xfId="0" applyFont="1" applyFill="1" applyBorder="1" applyAlignment="1" applyProtection="1">
      <alignment horizontal="center"/>
    </xf>
    <xf numFmtId="0" fontId="43" fillId="3" borderId="18" xfId="0" applyFont="1" applyFill="1" applyBorder="1" applyAlignment="1" applyProtection="1"/>
    <xf numFmtId="184" fontId="78" fillId="2" borderId="1" xfId="0" applyNumberFormat="1" applyFont="1" applyFill="1" applyBorder="1" applyAlignment="1" applyProtection="1">
      <alignment horizontal="center" vertical="center" wrapText="1"/>
      <protection locked="0"/>
    </xf>
    <xf numFmtId="184" fontId="20" fillId="2" borderId="1" xfId="0" applyNumberFormat="1" applyFont="1" applyFill="1" applyBorder="1" applyAlignment="1" applyProtection="1">
      <alignment horizontal="center" vertical="center" wrapText="1"/>
      <protection locked="0"/>
    </xf>
    <xf numFmtId="49" fontId="20" fillId="3" borderId="6" xfId="0" applyNumberFormat="1" applyFont="1" applyFill="1" applyBorder="1" applyAlignment="1" applyProtection="1">
      <alignment horizontal="left"/>
    </xf>
    <xf numFmtId="0" fontId="20" fillId="3" borderId="10" xfId="0" applyFont="1" applyFill="1" applyBorder="1" applyAlignment="1" applyProtection="1"/>
    <xf numFmtId="184" fontId="20" fillId="0" borderId="1" xfId="0" applyNumberFormat="1" applyFont="1" applyFill="1" applyBorder="1" applyAlignment="1" applyProtection="1">
      <alignment horizontal="center"/>
      <protection locked="0"/>
    </xf>
    <xf numFmtId="186" fontId="69" fillId="3" borderId="1" xfId="0" applyNumberFormat="1" applyFont="1" applyFill="1" applyBorder="1" applyAlignment="1" applyProtection="1">
      <alignment horizontal="center" vertical="center"/>
    </xf>
    <xf numFmtId="49" fontId="20" fillId="3" borderId="7" xfId="0" applyNumberFormat="1" applyFont="1" applyFill="1" applyBorder="1" applyAlignment="1" applyProtection="1">
      <alignment horizontal="left"/>
    </xf>
    <xf numFmtId="0" fontId="20" fillId="3" borderId="42" xfId="0" applyFont="1" applyFill="1" applyBorder="1" applyAlignment="1" applyProtection="1"/>
    <xf numFmtId="184" fontId="69" fillId="0" borderId="8" xfId="0" applyNumberFormat="1" applyFont="1" applyFill="1" applyBorder="1" applyAlignment="1" applyProtection="1">
      <alignment horizontal="center"/>
      <protection locked="0"/>
    </xf>
    <xf numFmtId="184" fontId="20" fillId="0" borderId="8" xfId="0" applyNumberFormat="1" applyFont="1" applyFill="1" applyBorder="1" applyAlignment="1" applyProtection="1">
      <alignment horizontal="center"/>
      <protection locked="0"/>
    </xf>
    <xf numFmtId="0" fontId="29" fillId="3" borderId="65" xfId="0" applyFont="1" applyFill="1" applyBorder="1" applyAlignment="1" applyProtection="1"/>
    <xf numFmtId="0" fontId="29" fillId="3" borderId="89" xfId="0" applyFont="1" applyFill="1" applyBorder="1" applyAlignment="1" applyProtection="1"/>
    <xf numFmtId="0" fontId="43" fillId="3" borderId="10" xfId="0" applyFont="1" applyFill="1" applyBorder="1" applyAlignment="1" applyProtection="1"/>
    <xf numFmtId="184" fontId="43" fillId="3" borderId="1" xfId="0" applyNumberFormat="1" applyFont="1" applyFill="1" applyBorder="1" applyAlignment="1" applyProtection="1">
      <alignment horizontal="center"/>
    </xf>
    <xf numFmtId="0" fontId="43" fillId="3" borderId="1" xfId="0" applyFont="1" applyFill="1" applyBorder="1" applyAlignment="1" applyProtection="1">
      <alignment horizontal="center"/>
    </xf>
    <xf numFmtId="0" fontId="43" fillId="3" borderId="12" xfId="0" applyFont="1" applyFill="1" applyBorder="1" applyAlignment="1" applyProtection="1"/>
    <xf numFmtId="49" fontId="20" fillId="3" borderId="6" xfId="5" applyNumberFormat="1" applyFont="1" applyFill="1" applyBorder="1" applyAlignment="1" applyProtection="1">
      <alignment horizontal="left"/>
    </xf>
    <xf numFmtId="0" fontId="20" fillId="3" borderId="10" xfId="5" applyFont="1" applyFill="1" applyBorder="1" applyAlignment="1" applyProtection="1"/>
    <xf numFmtId="179" fontId="20" fillId="3" borderId="1" xfId="0" applyNumberFormat="1" applyFont="1" applyFill="1" applyBorder="1" applyAlignment="1" applyProtection="1">
      <alignment horizontal="center" vertical="center"/>
    </xf>
    <xf numFmtId="181" fontId="20" fillId="3" borderId="1" xfId="5" applyNumberFormat="1" applyFont="1" applyFill="1" applyBorder="1" applyAlignment="1" applyProtection="1">
      <alignment horizontal="center"/>
    </xf>
    <xf numFmtId="183" fontId="20" fillId="3" borderId="1" xfId="5" applyNumberFormat="1" applyFont="1" applyFill="1" applyBorder="1" applyAlignment="1" applyProtection="1">
      <alignment horizontal="center"/>
    </xf>
    <xf numFmtId="10" fontId="20" fillId="3" borderId="1" xfId="5" applyNumberFormat="1" applyFont="1" applyFill="1" applyBorder="1" applyAlignment="1" applyProtection="1">
      <alignment horizontal="center"/>
    </xf>
    <xf numFmtId="9" fontId="20" fillId="3" borderId="1" xfId="5" applyNumberFormat="1" applyFont="1" applyFill="1" applyBorder="1" applyAlignment="1" applyProtection="1">
      <alignment horizontal="center"/>
    </xf>
    <xf numFmtId="179" fontId="20" fillId="3" borderId="1" xfId="5" applyNumberFormat="1" applyFont="1" applyFill="1" applyBorder="1" applyAlignment="1" applyProtection="1">
      <alignment horizontal="center"/>
    </xf>
    <xf numFmtId="179" fontId="20" fillId="3" borderId="1" xfId="5" applyNumberFormat="1" applyFont="1" applyFill="1" applyBorder="1" applyAlignment="1" applyProtection="1"/>
    <xf numFmtId="0" fontId="20" fillId="3" borderId="12" xfId="0" applyFont="1" applyFill="1" applyBorder="1" applyAlignment="1" applyProtection="1"/>
    <xf numFmtId="49" fontId="43" fillId="3" borderId="6" xfId="5" applyNumberFormat="1" applyFont="1" applyFill="1" applyBorder="1" applyAlignment="1" applyProtection="1">
      <alignment horizontal="left"/>
    </xf>
    <xf numFmtId="0" fontId="43" fillId="3" borderId="10" xfId="5" applyFont="1" applyFill="1" applyBorder="1" applyAlignment="1" applyProtection="1"/>
    <xf numFmtId="179" fontId="43" fillId="3" borderId="1" xfId="5" applyNumberFormat="1" applyFont="1" applyFill="1" applyBorder="1" applyAlignment="1" applyProtection="1">
      <alignment horizontal="center"/>
    </xf>
    <xf numFmtId="0" fontId="43" fillId="3" borderId="1" xfId="5" applyFont="1" applyFill="1" applyBorder="1" applyAlignment="1" applyProtection="1"/>
    <xf numFmtId="179" fontId="43" fillId="3" borderId="1" xfId="5" applyNumberFormat="1" applyFont="1" applyFill="1" applyBorder="1" applyAlignment="1" applyProtection="1"/>
    <xf numFmtId="0" fontId="24" fillId="3" borderId="1" xfId="5" applyFont="1" applyFill="1" applyBorder="1" applyAlignment="1" applyProtection="1">
      <alignment horizontal="left"/>
    </xf>
    <xf numFmtId="10" fontId="43" fillId="3" borderId="1" xfId="5" applyNumberFormat="1" applyFont="1" applyFill="1" applyBorder="1" applyAlignment="1" applyProtection="1">
      <alignment horizontal="center"/>
    </xf>
    <xf numFmtId="179" fontId="43" fillId="3" borderId="0" xfId="0" applyNumberFormat="1" applyFont="1" applyFill="1" applyBorder="1" applyAlignment="1" applyProtection="1">
      <alignment horizontal="center"/>
    </xf>
    <xf numFmtId="10" fontId="43" fillId="3" borderId="9" xfId="0" applyNumberFormat="1" applyFont="1" applyFill="1" applyBorder="1" applyAlignment="1" applyProtection="1">
      <alignment horizontal="center" vertical="center"/>
    </xf>
    <xf numFmtId="0" fontId="147" fillId="3" borderId="1" xfId="5" applyFont="1" applyFill="1" applyBorder="1" applyAlignment="1" applyProtection="1">
      <alignment vertical="center" wrapText="1"/>
    </xf>
    <xf numFmtId="179" fontId="43" fillId="3" borderId="11" xfId="0" applyNumberFormat="1" applyFont="1" applyFill="1" applyBorder="1" applyAlignment="1" applyProtection="1">
      <alignment horizontal="center" vertical="center" wrapText="1"/>
    </xf>
    <xf numFmtId="0" fontId="25" fillId="3" borderId="1" xfId="0" applyFont="1" applyFill="1" applyBorder="1" applyAlignment="1" applyProtection="1"/>
    <xf numFmtId="0" fontId="43" fillId="3" borderId="1" xfId="5" applyFont="1" applyFill="1" applyBorder="1" applyAlignment="1" applyProtection="1">
      <alignment horizontal="left"/>
    </xf>
    <xf numFmtId="189" fontId="152" fillId="3" borderId="1" xfId="0" applyNumberFormat="1" applyFont="1" applyFill="1" applyBorder="1" applyAlignment="1" applyProtection="1">
      <alignment horizontal="center" vertical="center"/>
    </xf>
    <xf numFmtId="179" fontId="152" fillId="3" borderId="12" xfId="5" applyNumberFormat="1" applyFont="1" applyFill="1" applyBorder="1" applyAlignment="1" applyProtection="1">
      <alignment vertical="center"/>
    </xf>
    <xf numFmtId="10" fontId="152" fillId="3" borderId="1" xfId="0" applyNumberFormat="1" applyFont="1" applyFill="1" applyBorder="1" applyAlignment="1" applyProtection="1">
      <alignment horizontal="center"/>
    </xf>
    <xf numFmtId="49" fontId="43" fillId="3" borderId="22" xfId="5" applyNumberFormat="1" applyFont="1" applyFill="1" applyBorder="1" applyAlignment="1" applyProtection="1">
      <alignment horizontal="left"/>
    </xf>
    <xf numFmtId="0" fontId="43" fillId="3" borderId="9" xfId="5" applyFont="1" applyFill="1" applyBorder="1" applyAlignment="1" applyProtection="1">
      <alignment horizontal="left"/>
    </xf>
    <xf numFmtId="184" fontId="25" fillId="3" borderId="9" xfId="0" applyNumberFormat="1" applyFont="1" applyFill="1" applyBorder="1" applyAlignment="1" applyProtection="1">
      <alignment horizontal="center"/>
    </xf>
    <xf numFmtId="189" fontId="152" fillId="3" borderId="9" xfId="0" applyNumberFormat="1" applyFont="1" applyFill="1" applyBorder="1" applyAlignment="1" applyProtection="1">
      <alignment horizontal="center" vertical="center"/>
    </xf>
    <xf numFmtId="179" fontId="152" fillId="3" borderId="54" xfId="5" applyNumberFormat="1" applyFont="1" applyFill="1" applyBorder="1" applyAlignment="1" applyProtection="1">
      <alignment vertical="center"/>
    </xf>
    <xf numFmtId="10" fontId="152" fillId="3" borderId="9" xfId="0" applyNumberFormat="1" applyFont="1" applyFill="1" applyBorder="1" applyAlignment="1" applyProtection="1">
      <alignment horizontal="center" vertical="center"/>
    </xf>
    <xf numFmtId="0" fontId="43" fillId="3" borderId="54" xfId="0" applyFont="1" applyFill="1" applyBorder="1" applyAlignment="1" applyProtection="1"/>
    <xf numFmtId="184" fontId="25" fillId="3" borderId="106" xfId="0" applyNumberFormat="1" applyFont="1" applyFill="1" applyBorder="1" applyAlignment="1" applyProtection="1">
      <alignment horizontal="center"/>
    </xf>
    <xf numFmtId="189" fontId="152" fillId="3" borderId="106" xfId="0" applyNumberFormat="1" applyFont="1" applyFill="1" applyBorder="1" applyAlignment="1" applyProtection="1">
      <alignment horizontal="center" vertical="center"/>
    </xf>
    <xf numFmtId="179" fontId="152" fillId="3" borderId="99" xfId="5" applyNumberFormat="1" applyFont="1" applyFill="1" applyBorder="1" applyAlignment="1" applyProtection="1">
      <alignment vertical="center"/>
    </xf>
    <xf numFmtId="10" fontId="152" fillId="3" borderId="106" xfId="0" applyNumberFormat="1" applyFont="1" applyFill="1" applyBorder="1" applyAlignment="1" applyProtection="1">
      <alignment horizontal="center" vertical="center"/>
    </xf>
    <xf numFmtId="0" fontId="43" fillId="3" borderId="99" xfId="0" applyFont="1" applyFill="1" applyBorder="1" applyAlignment="1" applyProtection="1"/>
    <xf numFmtId="10" fontId="43" fillId="3" borderId="106" xfId="0" applyNumberFormat="1" applyFont="1" applyFill="1" applyBorder="1" applyAlignment="1" applyProtection="1">
      <alignment horizontal="center"/>
    </xf>
    <xf numFmtId="0" fontId="43" fillId="3" borderId="63" xfId="0" applyFont="1" applyFill="1" applyBorder="1" applyAlignment="1" applyProtection="1"/>
    <xf numFmtId="0" fontId="152" fillId="3" borderId="106" xfId="0" applyFont="1" applyFill="1" applyBorder="1" applyAlignment="1" applyProtection="1">
      <alignment horizontal="center" vertical="center" wrapText="1"/>
    </xf>
    <xf numFmtId="0" fontId="152" fillId="3" borderId="106" xfId="0" applyFont="1" applyFill="1" applyBorder="1" applyAlignment="1" applyProtection="1">
      <alignment vertical="center" wrapText="1"/>
    </xf>
    <xf numFmtId="10" fontId="152" fillId="3" borderId="106" xfId="0" applyNumberFormat="1" applyFont="1" applyFill="1" applyBorder="1" applyAlignment="1" applyProtection="1">
      <alignment horizontal="center" vertical="center" wrapText="1"/>
    </xf>
    <xf numFmtId="0" fontId="152" fillId="3" borderId="99" xfId="0" applyFont="1" applyFill="1" applyBorder="1" applyAlignment="1" applyProtection="1">
      <alignment vertical="center" wrapText="1"/>
    </xf>
    <xf numFmtId="184" fontId="25" fillId="3" borderId="80" xfId="0" applyNumberFormat="1" applyFont="1" applyFill="1" applyBorder="1" applyAlignment="1" applyProtection="1">
      <alignment horizontal="center"/>
    </xf>
    <xf numFmtId="0" fontId="43" fillId="3" borderId="17" xfId="0" applyFont="1" applyFill="1" applyBorder="1" applyAlignment="1" applyProtection="1"/>
    <xf numFmtId="0" fontId="147" fillId="3" borderId="16" xfId="0" applyFont="1" applyFill="1" applyBorder="1" applyAlignment="1" applyProtection="1"/>
    <xf numFmtId="0" fontId="20" fillId="0" borderId="0" xfId="0" applyFont="1" applyFill="1" applyAlignment="1" applyProtection="1">
      <alignment horizontal="center"/>
      <protection locked="0"/>
    </xf>
    <xf numFmtId="184" fontId="20" fillId="0" borderId="0" xfId="0" applyNumberFormat="1" applyFont="1" applyFill="1" applyAlignment="1" applyProtection="1">
      <alignment horizontal="center"/>
      <protection locked="0"/>
    </xf>
    <xf numFmtId="0" fontId="29" fillId="3" borderId="0" xfId="5" applyFont="1" applyFill="1" applyBorder="1" applyAlignment="1" applyProtection="1">
      <alignment vertical="center"/>
    </xf>
    <xf numFmtId="0" fontId="20" fillId="0" borderId="0" xfId="0" applyFont="1" applyFill="1" applyProtection="1">
      <alignment vertical="center"/>
      <protection locked="0"/>
    </xf>
    <xf numFmtId="0" fontId="29" fillId="3" borderId="44" xfId="0" applyFont="1" applyFill="1" applyBorder="1" applyAlignment="1" applyProtection="1">
      <protection locked="0"/>
    </xf>
    <xf numFmtId="0" fontId="83" fillId="0" borderId="0" xfId="0" applyFont="1" applyFill="1" applyAlignment="1" applyProtection="1">
      <protection locked="0"/>
    </xf>
    <xf numFmtId="184" fontId="20" fillId="2" borderId="14" xfId="0" applyNumberFormat="1" applyFont="1" applyFill="1" applyBorder="1" applyAlignment="1" applyProtection="1">
      <alignment horizontal="center" vertical="center" wrapText="1"/>
      <protection locked="0"/>
    </xf>
    <xf numFmtId="184" fontId="20" fillId="0" borderId="14" xfId="0" applyNumberFormat="1" applyFont="1" applyFill="1" applyBorder="1" applyAlignment="1" applyProtection="1">
      <alignment horizontal="center"/>
      <protection locked="0"/>
    </xf>
    <xf numFmtId="186" fontId="69" fillId="3" borderId="14" xfId="0" applyNumberFormat="1" applyFont="1" applyFill="1" applyBorder="1" applyAlignment="1" applyProtection="1">
      <alignment horizontal="center" vertical="center"/>
    </xf>
    <xf numFmtId="184" fontId="20" fillId="0" borderId="15" xfId="0" applyNumberFormat="1" applyFont="1" applyFill="1" applyBorder="1" applyAlignment="1" applyProtection="1">
      <alignment horizontal="center"/>
      <protection locked="0"/>
    </xf>
    <xf numFmtId="0" fontId="29" fillId="3" borderId="66" xfId="0" applyFont="1" applyFill="1" applyBorder="1" applyAlignment="1" applyProtection="1"/>
    <xf numFmtId="0" fontId="43" fillId="3" borderId="46" xfId="0" applyFont="1" applyFill="1" applyBorder="1" applyAlignment="1" applyProtection="1"/>
    <xf numFmtId="0" fontId="32" fillId="0" borderId="0" xfId="0" applyFont="1" applyFill="1" applyAlignment="1" applyProtection="1">
      <protection locked="0"/>
    </xf>
    <xf numFmtId="0" fontId="20" fillId="3" borderId="46" xfId="0" applyFont="1" applyFill="1" applyBorder="1" applyAlignment="1" applyProtection="1"/>
    <xf numFmtId="0" fontId="47" fillId="0" borderId="0" xfId="0" applyFont="1" applyFill="1" applyProtection="1">
      <alignment vertical="center"/>
      <protection locked="0"/>
    </xf>
    <xf numFmtId="0" fontId="47" fillId="0" borderId="0" xfId="0" applyFont="1" applyFill="1" applyAlignment="1" applyProtection="1">
      <protection locked="0"/>
    </xf>
    <xf numFmtId="0" fontId="34" fillId="3" borderId="0" xfId="0" applyFont="1" applyFill="1" applyAlignment="1" applyProtection="1"/>
    <xf numFmtId="0" fontId="47" fillId="3" borderId="0" xfId="0" applyFont="1" applyFill="1" applyAlignment="1" applyProtection="1"/>
    <xf numFmtId="0" fontId="22" fillId="0" borderId="0" xfId="0" applyFont="1" applyFill="1" applyAlignment="1" applyProtection="1">
      <protection locked="0"/>
    </xf>
    <xf numFmtId="0" fontId="43" fillId="3" borderId="47" xfId="0" applyFont="1" applyFill="1" applyBorder="1" applyAlignment="1" applyProtection="1"/>
    <xf numFmtId="0" fontId="43" fillId="3" borderId="100" xfId="0" applyFont="1" applyFill="1" applyBorder="1" applyAlignment="1" applyProtection="1"/>
    <xf numFmtId="0" fontId="47" fillId="3" borderId="99" xfId="0" applyFont="1" applyFill="1" applyBorder="1" applyAlignment="1" applyProtection="1">
      <alignment vertical="center" wrapText="1"/>
    </xf>
    <xf numFmtId="0" fontId="47" fillId="3" borderId="100" xfId="0" applyFont="1" applyFill="1" applyBorder="1" applyAlignment="1" applyProtection="1">
      <alignment vertical="center" wrapText="1"/>
    </xf>
    <xf numFmtId="0" fontId="47" fillId="0" borderId="0" xfId="0" applyFont="1" applyFill="1" applyAlignment="1" applyProtection="1">
      <alignment vertical="center" wrapText="1"/>
      <protection locked="0"/>
    </xf>
    <xf numFmtId="0" fontId="43" fillId="3" borderId="67" xfId="0" applyFont="1" applyFill="1" applyBorder="1" applyAlignment="1" applyProtection="1"/>
    <xf numFmtId="0" fontId="43" fillId="6" borderId="0" xfId="0" applyFont="1" applyFill="1" applyAlignment="1" applyProtection="1">
      <protection locked="0"/>
    </xf>
    <xf numFmtId="0" fontId="34" fillId="6" borderId="0" xfId="0" applyFont="1" applyFill="1" applyAlignment="1" applyProtection="1">
      <protection locked="0"/>
    </xf>
    <xf numFmtId="0" fontId="34" fillId="6" borderId="0" xfId="0" applyFont="1" applyFill="1" applyAlignment="1" applyProtection="1">
      <alignment vertical="center" wrapText="1"/>
      <protection locked="0"/>
    </xf>
    <xf numFmtId="0" fontId="22" fillId="6" borderId="0" xfId="0" applyFont="1" applyFill="1" applyAlignment="1" applyProtection="1">
      <alignment vertical="center" wrapText="1"/>
      <protection locked="0"/>
    </xf>
    <xf numFmtId="0" fontId="37" fillId="3" borderId="59" xfId="5" applyFont="1" applyFill="1" applyBorder="1" applyAlignment="1" applyProtection="1">
      <alignment vertical="center"/>
      <protection locked="0"/>
    </xf>
    <xf numFmtId="0" fontId="40" fillId="3" borderId="1" xfId="5" applyFont="1" applyFill="1" applyBorder="1" applyAlignment="1" applyProtection="1">
      <alignment vertical="center"/>
      <protection locked="0"/>
    </xf>
    <xf numFmtId="179" fontId="40" fillId="3" borderId="1" xfId="5" applyNumberFormat="1" applyFont="1" applyFill="1" applyBorder="1" applyAlignment="1" applyProtection="1">
      <alignment horizontal="right" vertical="center"/>
      <protection locked="0"/>
    </xf>
    <xf numFmtId="0" fontId="54" fillId="3" borderId="9" xfId="5" applyFont="1" applyFill="1" applyBorder="1" applyAlignment="1" applyProtection="1">
      <alignment vertical="center"/>
      <protection locked="0"/>
    </xf>
    <xf numFmtId="0" fontId="40" fillId="3" borderId="9" xfId="5" applyFont="1" applyFill="1" applyBorder="1" applyAlignment="1" applyProtection="1">
      <alignment horizontal="right" vertical="center"/>
      <protection locked="0"/>
    </xf>
    <xf numFmtId="0" fontId="29" fillId="3" borderId="59" xfId="0" applyFont="1" applyFill="1" applyBorder="1" applyAlignment="1" applyProtection="1">
      <alignment vertical="center"/>
    </xf>
    <xf numFmtId="0" fontId="29" fillId="3" borderId="78" xfId="0" applyFont="1" applyFill="1" applyBorder="1" applyAlignment="1" applyProtection="1">
      <alignment vertical="center"/>
    </xf>
    <xf numFmtId="184" fontId="43" fillId="3" borderId="39" xfId="0" applyNumberFormat="1" applyFont="1" applyFill="1" applyBorder="1" applyAlignment="1" applyProtection="1">
      <alignment horizontal="center" vertical="center"/>
    </xf>
    <xf numFmtId="0" fontId="43" fillId="3" borderId="6" xfId="0" applyFont="1" applyFill="1" applyBorder="1" applyAlignment="1" applyProtection="1">
      <alignment horizontal="center" vertical="center"/>
    </xf>
    <xf numFmtId="0" fontId="43" fillId="3" borderId="18" xfId="0" applyFont="1" applyFill="1" applyBorder="1" applyAlignment="1" applyProtection="1">
      <alignment vertical="center"/>
    </xf>
    <xf numFmtId="184" fontId="20" fillId="0" borderId="1" xfId="0" applyNumberFormat="1" applyFont="1" applyFill="1" applyBorder="1" applyAlignment="1" applyProtection="1">
      <alignment horizontal="center" vertical="center"/>
      <protection locked="0"/>
    </xf>
    <xf numFmtId="49" fontId="20" fillId="3" borderId="7" xfId="0" applyNumberFormat="1" applyFont="1" applyFill="1" applyBorder="1" applyAlignment="1" applyProtection="1">
      <alignment horizontal="left" vertical="center"/>
    </xf>
    <xf numFmtId="0" fontId="20" fillId="3" borderId="42" xfId="0" applyFont="1" applyFill="1" applyBorder="1" applyAlignment="1" applyProtection="1">
      <alignment vertical="center"/>
    </xf>
    <xf numFmtId="184" fontId="69" fillId="0" borderId="9" xfId="0" applyNumberFormat="1" applyFont="1" applyFill="1" applyBorder="1" applyAlignment="1" applyProtection="1">
      <alignment horizontal="center" vertical="center"/>
      <protection locked="0"/>
    </xf>
    <xf numFmtId="184" fontId="20" fillId="0" borderId="8" xfId="0" applyNumberFormat="1" applyFont="1" applyFill="1" applyBorder="1" applyAlignment="1" applyProtection="1">
      <alignment horizontal="center" vertical="center"/>
      <protection locked="0"/>
    </xf>
    <xf numFmtId="49" fontId="29" fillId="3" borderId="59" xfId="0" applyNumberFormat="1" applyFont="1" applyFill="1" applyBorder="1" applyAlignment="1" applyProtection="1">
      <alignment vertical="center"/>
    </xf>
    <xf numFmtId="49" fontId="43" fillId="3" borderId="6" xfId="0" applyNumberFormat="1" applyFont="1" applyFill="1" applyBorder="1" applyAlignment="1" applyProtection="1">
      <alignment horizontal="center" vertical="center"/>
    </xf>
    <xf numFmtId="0" fontId="43" fillId="3" borderId="10" xfId="0" applyFont="1" applyFill="1" applyBorder="1" applyAlignment="1" applyProtection="1">
      <alignment vertical="center"/>
    </xf>
    <xf numFmtId="184" fontId="43" fillId="3" borderId="1" xfId="0" applyNumberFormat="1" applyFont="1" applyFill="1" applyBorder="1" applyAlignment="1" applyProtection="1">
      <alignment horizontal="center" vertical="center"/>
    </xf>
    <xf numFmtId="0" fontId="43" fillId="3" borderId="1" xfId="0" applyFont="1" applyFill="1" applyBorder="1" applyAlignment="1" applyProtection="1">
      <alignment horizontal="center" vertical="center"/>
    </xf>
    <xf numFmtId="0" fontId="43" fillId="3" borderId="12" xfId="0" applyFont="1" applyFill="1" applyBorder="1" applyAlignment="1" applyProtection="1">
      <alignment vertical="center"/>
    </xf>
    <xf numFmtId="49" fontId="20" fillId="3" borderId="6" xfId="5" applyNumberFormat="1" applyFont="1" applyFill="1" applyBorder="1" applyAlignment="1" applyProtection="1">
      <alignment horizontal="left" vertical="center"/>
    </xf>
    <xf numFmtId="0" fontId="20" fillId="3" borderId="10" xfId="5" applyFont="1" applyFill="1" applyBorder="1" applyAlignment="1" applyProtection="1">
      <alignment vertical="center"/>
    </xf>
    <xf numFmtId="181" fontId="20" fillId="3" borderId="1" xfId="5" applyNumberFormat="1" applyFont="1" applyFill="1" applyBorder="1" applyAlignment="1" applyProtection="1">
      <alignment horizontal="center" vertical="center"/>
    </xf>
    <xf numFmtId="0" fontId="20" fillId="3" borderId="1" xfId="0" applyFont="1" applyFill="1" applyBorder="1" applyAlignment="1" applyProtection="1">
      <alignment vertical="center"/>
    </xf>
    <xf numFmtId="183" fontId="20" fillId="3" borderId="1" xfId="5" applyNumberFormat="1" applyFont="1" applyFill="1" applyBorder="1" applyAlignment="1" applyProtection="1">
      <alignment horizontal="center" vertical="center"/>
    </xf>
    <xf numFmtId="10" fontId="20" fillId="3" borderId="1" xfId="5" applyNumberFormat="1" applyFont="1" applyFill="1" applyBorder="1" applyAlignment="1" applyProtection="1">
      <alignment horizontal="center" vertical="center"/>
    </xf>
    <xf numFmtId="9" fontId="20" fillId="3" borderId="1" xfId="5" applyNumberFormat="1" applyFont="1" applyFill="1" applyBorder="1" applyAlignment="1" applyProtection="1">
      <alignment horizontal="center" vertical="center"/>
    </xf>
    <xf numFmtId="179" fontId="20" fillId="3" borderId="1" xfId="5" applyNumberFormat="1" applyFont="1" applyFill="1" applyBorder="1" applyAlignment="1" applyProtection="1">
      <alignment horizontal="center" vertical="center"/>
    </xf>
    <xf numFmtId="179" fontId="20" fillId="3" borderId="1" xfId="5" applyNumberFormat="1" applyFont="1" applyFill="1" applyBorder="1" applyAlignment="1" applyProtection="1">
      <alignment vertical="center"/>
    </xf>
    <xf numFmtId="0" fontId="20" fillId="3" borderId="12" xfId="0" applyFont="1" applyFill="1" applyBorder="1" applyAlignment="1" applyProtection="1">
      <alignment vertical="center"/>
    </xf>
    <xf numFmtId="49" fontId="43" fillId="3" borderId="6" xfId="5" applyNumberFormat="1" applyFont="1" applyFill="1" applyBorder="1" applyAlignment="1" applyProtection="1">
      <alignment horizontal="left" vertical="center"/>
    </xf>
    <xf numFmtId="0" fontId="43" fillId="3" borderId="10" xfId="5" applyFont="1" applyFill="1" applyBorder="1" applyAlignment="1" applyProtection="1">
      <alignment vertical="center"/>
    </xf>
    <xf numFmtId="179" fontId="43" fillId="3" borderId="1" xfId="5" applyNumberFormat="1" applyFont="1" applyFill="1" applyBorder="1" applyAlignment="1" applyProtection="1">
      <alignment horizontal="center" vertical="center"/>
    </xf>
    <xf numFmtId="0" fontId="43" fillId="3" borderId="1" xfId="5" applyFont="1" applyFill="1" applyBorder="1" applyAlignment="1" applyProtection="1">
      <alignment vertical="center"/>
    </xf>
    <xf numFmtId="179" fontId="43" fillId="3" borderId="1" xfId="5" applyNumberFormat="1" applyFont="1" applyFill="1" applyBorder="1" applyAlignment="1" applyProtection="1">
      <alignment vertical="center"/>
    </xf>
    <xf numFmtId="0" fontId="32" fillId="3" borderId="10" xfId="0" applyFont="1" applyFill="1" applyBorder="1" applyAlignment="1" applyProtection="1">
      <alignment vertical="center"/>
    </xf>
    <xf numFmtId="0" fontId="32" fillId="3" borderId="12" xfId="0" applyFont="1" applyFill="1" applyBorder="1" applyAlignment="1" applyProtection="1">
      <alignment vertical="center"/>
    </xf>
    <xf numFmtId="181" fontId="43" fillId="3" borderId="1" xfId="5" applyNumberFormat="1" applyFont="1" applyFill="1" applyBorder="1" applyAlignment="1" applyProtection="1">
      <alignment horizontal="center" vertical="center"/>
    </xf>
    <xf numFmtId="9" fontId="43" fillId="3" borderId="1" xfId="5" applyNumberFormat="1" applyFont="1" applyFill="1" applyBorder="1" applyAlignment="1" applyProtection="1">
      <alignment horizontal="center" vertical="center"/>
    </xf>
    <xf numFmtId="0" fontId="25" fillId="2" borderId="10" xfId="0" applyFont="1" applyFill="1" applyBorder="1" applyAlignment="1" applyProtection="1">
      <alignment vertical="center"/>
      <protection locked="0"/>
    </xf>
    <xf numFmtId="0" fontId="20" fillId="0" borderId="12" xfId="0" applyFont="1" applyFill="1" applyBorder="1" applyAlignment="1" applyProtection="1">
      <alignment vertical="center"/>
      <protection locked="0"/>
    </xf>
    <xf numFmtId="0" fontId="20" fillId="3" borderId="12" xfId="0" applyFont="1" applyFill="1" applyBorder="1" applyAlignment="1" applyProtection="1">
      <alignment horizontal="left" vertical="center"/>
    </xf>
    <xf numFmtId="0" fontId="153" fillId="3" borderId="10" xfId="5" applyFont="1" applyFill="1" applyBorder="1" applyAlignment="1" applyProtection="1">
      <alignment vertical="center"/>
    </xf>
    <xf numFmtId="10" fontId="43" fillId="3" borderId="1" xfId="5" applyNumberFormat="1" applyFont="1" applyFill="1" applyBorder="1" applyAlignment="1" applyProtection="1">
      <alignment horizontal="center" vertical="center"/>
    </xf>
    <xf numFmtId="179" fontId="20" fillId="3" borderId="12" xfId="5" applyNumberFormat="1" applyFont="1" applyFill="1" applyBorder="1" applyAlignment="1" applyProtection="1">
      <alignment vertical="center"/>
    </xf>
    <xf numFmtId="179" fontId="20" fillId="3" borderId="10" xfId="0" applyNumberFormat="1" applyFont="1" applyFill="1" applyBorder="1" applyAlignment="1" applyProtection="1">
      <alignment vertical="center"/>
    </xf>
    <xf numFmtId="0" fontId="43" fillId="3" borderId="1" xfId="0" applyFont="1" applyFill="1" applyBorder="1" applyAlignment="1" applyProtection="1">
      <alignment horizontal="right" vertical="center"/>
    </xf>
    <xf numFmtId="179" fontId="43" fillId="3" borderId="12" xfId="5" applyNumberFormat="1" applyFont="1" applyFill="1" applyBorder="1" applyAlignment="1" applyProtection="1">
      <alignment vertical="center"/>
    </xf>
    <xf numFmtId="0" fontId="147" fillId="3" borderId="10" xfId="0" applyFont="1" applyFill="1" applyBorder="1" applyAlignment="1" applyProtection="1">
      <alignment vertical="center"/>
    </xf>
    <xf numFmtId="0" fontId="153" fillId="3" borderId="1" xfId="5" applyFont="1" applyFill="1" applyBorder="1" applyAlignment="1" applyProtection="1">
      <alignment vertical="center"/>
    </xf>
    <xf numFmtId="179" fontId="43" fillId="3" borderId="0" xfId="0" applyNumberFormat="1" applyFont="1" applyFill="1" applyBorder="1" applyAlignment="1" applyProtection="1">
      <alignment horizontal="center" vertical="center"/>
    </xf>
    <xf numFmtId="0" fontId="20" fillId="3" borderId="1" xfId="5" applyFont="1" applyFill="1" applyBorder="1" applyAlignment="1" applyProtection="1">
      <alignment horizontal="left" vertical="center"/>
    </xf>
    <xf numFmtId="189" fontId="20" fillId="3" borderId="11" xfId="0" applyNumberFormat="1" applyFont="1" applyFill="1" applyBorder="1" applyAlignment="1" applyProtection="1">
      <alignment horizontal="center" vertical="center"/>
    </xf>
    <xf numFmtId="189" fontId="20" fillId="3" borderId="1" xfId="0" applyNumberFormat="1" applyFont="1" applyFill="1" applyBorder="1" applyAlignment="1" applyProtection="1">
      <alignment horizontal="center" vertical="center"/>
    </xf>
    <xf numFmtId="10" fontId="20" fillId="3" borderId="9" xfId="0" applyNumberFormat="1" applyFont="1" applyFill="1" applyBorder="1" applyAlignment="1" applyProtection="1">
      <alignment horizontal="center" vertical="center"/>
    </xf>
    <xf numFmtId="179" fontId="20" fillId="3" borderId="0" xfId="0" applyNumberFormat="1" applyFont="1" applyFill="1" applyBorder="1" applyAlignment="1" applyProtection="1">
      <alignment horizontal="center" vertical="center"/>
    </xf>
    <xf numFmtId="49" fontId="43" fillId="3" borderId="6" xfId="0" applyNumberFormat="1" applyFont="1" applyFill="1" applyBorder="1" applyAlignment="1" applyProtection="1">
      <alignment horizontal="left" vertical="center"/>
    </xf>
    <xf numFmtId="10" fontId="25" fillId="3" borderId="1" xfId="5" applyNumberFormat="1" applyFont="1" applyFill="1" applyBorder="1" applyAlignment="1" applyProtection="1">
      <alignment horizontal="center" vertical="center"/>
    </xf>
    <xf numFmtId="49" fontId="43" fillId="3" borderId="6" xfId="0" applyNumberFormat="1" applyFont="1" applyFill="1" applyBorder="1" applyAlignment="1" applyProtection="1">
      <alignment horizontal="left" vertical="center" wrapText="1"/>
    </xf>
    <xf numFmtId="0" fontId="43" fillId="3" borderId="1" xfId="5" applyFont="1" applyFill="1" applyBorder="1" applyAlignment="1" applyProtection="1">
      <alignment horizontal="left" vertical="center"/>
    </xf>
    <xf numFmtId="189" fontId="43" fillId="3" borderId="1" xfId="0" applyNumberFormat="1" applyFont="1" applyFill="1" applyBorder="1" applyAlignment="1" applyProtection="1">
      <alignment horizontal="right" vertical="center"/>
    </xf>
    <xf numFmtId="49" fontId="154" fillId="3" borderId="6" xfId="0" applyNumberFormat="1" applyFont="1" applyFill="1" applyBorder="1" applyAlignment="1" applyProtection="1">
      <alignment horizontal="left" vertical="center" wrapText="1"/>
    </xf>
    <xf numFmtId="49" fontId="20" fillId="3" borderId="6" xfId="0" applyNumberFormat="1" applyFont="1" applyFill="1" applyBorder="1" applyAlignment="1" applyProtection="1">
      <alignment horizontal="left" vertical="center" wrapText="1"/>
    </xf>
    <xf numFmtId="0" fontId="20" fillId="3" borderId="10" xfId="5" applyFont="1" applyFill="1" applyBorder="1" applyAlignment="1" applyProtection="1">
      <alignment horizontal="left" vertical="center"/>
    </xf>
    <xf numFmtId="10" fontId="20" fillId="3" borderId="1" xfId="0" applyNumberFormat="1" applyFont="1" applyFill="1" applyBorder="1" applyAlignment="1" applyProtection="1">
      <alignment horizontal="center" vertical="center" wrapText="1"/>
    </xf>
    <xf numFmtId="49" fontId="20" fillId="3" borderId="7" xfId="0" applyNumberFormat="1" applyFont="1" applyFill="1" applyBorder="1" applyAlignment="1" applyProtection="1">
      <alignment horizontal="left" vertical="center" wrapText="1"/>
    </xf>
    <xf numFmtId="0" fontId="115" fillId="3" borderId="8" xfId="0" applyFont="1" applyFill="1" applyBorder="1" applyAlignment="1" applyProtection="1">
      <alignment vertical="center"/>
    </xf>
    <xf numFmtId="179" fontId="20" fillId="3" borderId="8" xfId="0" applyNumberFormat="1" applyFont="1" applyFill="1" applyBorder="1" applyAlignment="1" applyProtection="1">
      <alignment horizontal="center" vertical="center" wrapText="1"/>
    </xf>
    <xf numFmtId="189" fontId="20" fillId="3" borderId="8" xfId="0" applyNumberFormat="1" applyFont="1" applyFill="1" applyBorder="1" applyAlignment="1" applyProtection="1">
      <alignment horizontal="center" vertical="center"/>
    </xf>
    <xf numFmtId="179" fontId="20" fillId="3" borderId="79" xfId="5" applyNumberFormat="1" applyFont="1" applyFill="1" applyBorder="1" applyAlignment="1" applyProtection="1">
      <alignment vertical="center"/>
    </xf>
    <xf numFmtId="10" fontId="20" fillId="3" borderId="8" xfId="0" applyNumberFormat="1" applyFont="1" applyFill="1" applyBorder="1" applyAlignment="1" applyProtection="1">
      <alignment horizontal="center" vertical="center" wrapText="1"/>
    </xf>
    <xf numFmtId="0" fontId="20" fillId="3" borderId="79" xfId="0" applyFont="1" applyFill="1" applyBorder="1" applyAlignment="1" applyProtection="1">
      <alignment vertical="center"/>
    </xf>
    <xf numFmtId="0" fontId="43" fillId="3" borderId="32" xfId="0" applyFont="1" applyFill="1" applyBorder="1" applyAlignment="1" applyProtection="1">
      <alignment vertical="center"/>
    </xf>
    <xf numFmtId="0" fontId="43" fillId="3" borderId="17" xfId="0" applyFont="1" applyFill="1" applyBorder="1" applyAlignment="1" applyProtection="1">
      <alignment vertical="center"/>
    </xf>
    <xf numFmtId="184" fontId="29" fillId="3" borderId="80" xfId="0" applyNumberFormat="1" applyFont="1" applyFill="1" applyBorder="1" applyAlignment="1" applyProtection="1">
      <alignment horizontal="center" vertical="center"/>
    </xf>
    <xf numFmtId="0" fontId="29" fillId="3" borderId="16" xfId="0" applyFont="1" applyFill="1" applyBorder="1" applyAlignment="1" applyProtection="1">
      <alignment vertical="center"/>
    </xf>
    <xf numFmtId="0" fontId="29" fillId="3" borderId="44" xfId="0" applyFont="1" applyFill="1" applyBorder="1" applyAlignment="1" applyProtection="1">
      <alignment vertical="center"/>
    </xf>
    <xf numFmtId="184" fontId="20" fillId="0" borderId="14" xfId="0" applyNumberFormat="1" applyFont="1" applyFill="1" applyBorder="1" applyAlignment="1" applyProtection="1">
      <alignment horizontal="center" vertical="center"/>
      <protection locked="0"/>
    </xf>
    <xf numFmtId="184" fontId="20" fillId="0" borderId="15" xfId="0" applyNumberFormat="1" applyFont="1" applyFill="1" applyBorder="1" applyAlignment="1" applyProtection="1">
      <alignment horizontal="center" vertical="center"/>
      <protection locked="0"/>
    </xf>
    <xf numFmtId="0" fontId="43" fillId="3" borderId="46" xfId="0" applyFont="1" applyFill="1" applyBorder="1" applyAlignment="1" applyProtection="1">
      <alignment vertical="center"/>
    </xf>
    <xf numFmtId="0" fontId="20" fillId="3" borderId="46" xfId="0" applyFont="1" applyFill="1" applyBorder="1" applyAlignment="1" applyProtection="1">
      <alignment vertical="center"/>
    </xf>
    <xf numFmtId="0" fontId="32" fillId="3" borderId="46" xfId="0" applyFont="1" applyFill="1" applyBorder="1" applyAlignment="1" applyProtection="1">
      <alignment vertical="center"/>
    </xf>
    <xf numFmtId="0" fontId="27" fillId="3" borderId="12" xfId="0" applyFont="1" applyFill="1" applyBorder="1" applyAlignment="1" applyProtection="1">
      <alignment vertical="center"/>
    </xf>
    <xf numFmtId="0" fontId="20" fillId="3" borderId="46" xfId="0" applyFont="1" applyFill="1" applyBorder="1" applyAlignment="1" applyProtection="1">
      <alignment horizontal="left" vertical="center"/>
    </xf>
    <xf numFmtId="0" fontId="34" fillId="0" borderId="0" xfId="0" applyFont="1" applyFill="1" applyAlignment="1" applyProtection="1">
      <protection locked="0"/>
    </xf>
    <xf numFmtId="0" fontId="34" fillId="0" borderId="0" xfId="0" applyFont="1" applyFill="1" applyAlignment="1" applyProtection="1">
      <alignment vertical="center" wrapText="1"/>
      <protection locked="0"/>
    </xf>
    <xf numFmtId="0" fontId="22" fillId="0" borderId="0" xfId="0" applyFont="1" applyFill="1" applyAlignment="1" applyProtection="1">
      <alignment vertical="center" wrapText="1"/>
      <protection locked="0"/>
    </xf>
    <xf numFmtId="0" fontId="20" fillId="3" borderId="53" xfId="0" applyFont="1" applyFill="1" applyBorder="1" applyAlignment="1" applyProtection="1">
      <alignment vertical="center"/>
    </xf>
    <xf numFmtId="0" fontId="43" fillId="3" borderId="67" xfId="0" applyFont="1" applyFill="1" applyBorder="1" applyAlignment="1" applyProtection="1">
      <alignment vertical="center"/>
    </xf>
    <xf numFmtId="0" fontId="20" fillId="0" borderId="0" xfId="0" applyFont="1" applyFill="1" applyProtection="1">
      <alignment vertical="center"/>
    </xf>
    <xf numFmtId="0" fontId="51" fillId="0" borderId="0" xfId="0" applyFont="1" applyFill="1" applyProtection="1">
      <alignment vertical="center"/>
    </xf>
    <xf numFmtId="0" fontId="155" fillId="3" borderId="0" xfId="0" applyFont="1" applyFill="1" applyProtection="1">
      <alignment vertical="center"/>
    </xf>
    <xf numFmtId="0" fontId="28" fillId="3" borderId="0" xfId="0" applyFont="1" applyFill="1" applyProtection="1">
      <alignment vertical="center"/>
    </xf>
    <xf numFmtId="0" fontId="156" fillId="3" borderId="1" xfId="0" applyFont="1" applyFill="1" applyBorder="1" applyProtection="1">
      <alignment vertical="center"/>
    </xf>
    <xf numFmtId="0" fontId="156" fillId="2" borderId="1" xfId="0" applyFont="1" applyFill="1" applyBorder="1" applyAlignment="1" applyProtection="1">
      <alignment horizontal="center" vertical="center"/>
      <protection locked="0"/>
    </xf>
    <xf numFmtId="0" fontId="156" fillId="2" borderId="1" xfId="0" applyFont="1" applyFill="1" applyBorder="1" applyAlignment="1" applyProtection="1">
      <alignment horizontal="center" vertical="center" wrapText="1"/>
      <protection locked="0"/>
    </xf>
    <xf numFmtId="0" fontId="32" fillId="3" borderId="9" xfId="0" applyFont="1" applyFill="1" applyBorder="1" applyAlignment="1" applyProtection="1">
      <alignment vertical="center" wrapText="1"/>
    </xf>
    <xf numFmtId="0" fontId="51" fillId="5" borderId="9" xfId="0" applyFont="1" applyFill="1" applyBorder="1" applyAlignment="1" applyProtection="1">
      <alignment horizontal="center" vertical="center"/>
      <protection locked="0"/>
    </xf>
    <xf numFmtId="0" fontId="20" fillId="3" borderId="10" xfId="0" applyFont="1" applyFill="1" applyBorder="1" applyAlignment="1" applyProtection="1">
      <alignment horizontal="center" vertical="center" wrapText="1"/>
    </xf>
    <xf numFmtId="0" fontId="32" fillId="0" borderId="1" xfId="0" applyFont="1" applyBorder="1" applyAlignment="1" applyProtection="1">
      <alignment horizontal="center" vertical="center"/>
      <protection locked="0"/>
    </xf>
    <xf numFmtId="0" fontId="20" fillId="3" borderId="12" xfId="0" applyFont="1" applyFill="1" applyBorder="1" applyAlignment="1" applyProtection="1">
      <alignment vertical="center" wrapText="1"/>
    </xf>
    <xf numFmtId="0" fontId="43" fillId="3" borderId="10" xfId="0" applyFont="1" applyFill="1" applyBorder="1" applyAlignment="1" applyProtection="1">
      <alignment horizontal="right" vertical="center"/>
    </xf>
    <xf numFmtId="0" fontId="32" fillId="3" borderId="11" xfId="0" applyFont="1" applyFill="1" applyBorder="1" applyProtection="1">
      <alignment vertical="center"/>
    </xf>
    <xf numFmtId="0" fontId="32" fillId="3" borderId="3" xfId="0" applyFont="1" applyFill="1" applyBorder="1" applyAlignment="1" applyProtection="1">
      <alignment horizontal="center" vertical="center"/>
    </xf>
    <xf numFmtId="0" fontId="43" fillId="3" borderId="20" xfId="0" applyFont="1" applyFill="1" applyBorder="1" applyAlignment="1" applyProtection="1">
      <alignment horizontal="right" vertical="center"/>
    </xf>
    <xf numFmtId="0" fontId="32" fillId="3" borderId="0" xfId="0" applyFont="1" applyFill="1" applyProtection="1">
      <alignment vertical="center"/>
    </xf>
    <xf numFmtId="181" fontId="32" fillId="3" borderId="9" xfId="0" applyNumberFormat="1" applyFont="1" applyFill="1" applyBorder="1" applyAlignment="1" applyProtection="1">
      <alignment horizontal="center" vertical="center"/>
    </xf>
    <xf numFmtId="0" fontId="43" fillId="3" borderId="19" xfId="0" applyFont="1" applyFill="1" applyBorder="1" applyAlignment="1" applyProtection="1">
      <alignment vertical="center"/>
    </xf>
    <xf numFmtId="0" fontId="32" fillId="3" borderId="5" xfId="0" applyFont="1" applyFill="1" applyBorder="1" applyAlignment="1" applyProtection="1">
      <alignment vertical="center"/>
    </xf>
    <xf numFmtId="0" fontId="51" fillId="3" borderId="5" xfId="0" applyFont="1" applyFill="1" applyBorder="1" applyAlignment="1" applyProtection="1">
      <alignment horizontal="center" vertical="center"/>
    </xf>
    <xf numFmtId="0" fontId="51" fillId="3" borderId="39" xfId="0" applyFont="1" applyFill="1" applyBorder="1" applyAlignment="1" applyProtection="1">
      <alignment horizontal="center" vertical="center"/>
    </xf>
    <xf numFmtId="0" fontId="32" fillId="3" borderId="40" xfId="0" applyFont="1" applyFill="1" applyBorder="1" applyAlignment="1" applyProtection="1">
      <alignment horizontal="right" vertical="center"/>
    </xf>
    <xf numFmtId="0" fontId="20" fillId="3" borderId="45" xfId="0" applyFont="1" applyFill="1" applyBorder="1" applyAlignment="1" applyProtection="1">
      <alignment vertical="center"/>
    </xf>
    <xf numFmtId="0" fontId="43" fillId="3" borderId="21" xfId="0" applyFont="1" applyFill="1" applyBorder="1" applyAlignment="1" applyProtection="1">
      <alignment vertical="center"/>
    </xf>
    <xf numFmtId="0" fontId="32" fillId="3" borderId="1" xfId="0" applyFont="1" applyFill="1" applyBorder="1" applyProtection="1">
      <alignment vertical="center"/>
    </xf>
    <xf numFmtId="0" fontId="51" fillId="3" borderId="1" xfId="0" applyFont="1" applyFill="1" applyBorder="1" applyAlignment="1" applyProtection="1">
      <alignment horizontal="center" vertical="center"/>
    </xf>
    <xf numFmtId="0" fontId="51" fillId="3" borderId="10" xfId="0" applyFont="1" applyFill="1" applyBorder="1" applyAlignment="1" applyProtection="1">
      <alignment horizontal="center" vertical="center"/>
    </xf>
    <xf numFmtId="0" fontId="32" fillId="3" borderId="10" xfId="0" applyFont="1" applyFill="1" applyBorder="1" applyAlignment="1" applyProtection="1">
      <alignment horizontal="right" vertical="center"/>
    </xf>
    <xf numFmtId="0" fontId="32" fillId="3" borderId="9" xfId="0" applyFont="1" applyFill="1" applyBorder="1" applyProtection="1">
      <alignment vertical="center"/>
    </xf>
    <xf numFmtId="0" fontId="32" fillId="3" borderId="9" xfId="0" applyFont="1" applyFill="1" applyBorder="1" applyAlignment="1" applyProtection="1">
      <alignment horizontal="center" vertical="center"/>
    </xf>
    <xf numFmtId="0" fontId="32" fillId="3" borderId="18" xfId="0" applyFont="1" applyFill="1" applyBorder="1" applyAlignment="1" applyProtection="1">
      <alignment horizontal="center" vertical="center"/>
    </xf>
    <xf numFmtId="0" fontId="32" fillId="3" borderId="12" xfId="0" applyFont="1" applyFill="1" applyBorder="1" applyAlignment="1" applyProtection="1">
      <alignment horizontal="right" vertical="center"/>
    </xf>
    <xf numFmtId="0" fontId="20" fillId="3" borderId="46" xfId="0" applyFont="1" applyFill="1" applyBorder="1" applyProtection="1">
      <alignment vertical="center"/>
    </xf>
    <xf numFmtId="0" fontId="43" fillId="3" borderId="10" xfId="0" applyFont="1" applyFill="1" applyBorder="1" applyAlignment="1" applyProtection="1">
      <alignment horizontal="left" vertical="center"/>
    </xf>
    <xf numFmtId="0" fontId="20" fillId="3" borderId="12" xfId="0" applyFont="1" applyFill="1" applyBorder="1" applyProtection="1">
      <alignment vertical="center"/>
    </xf>
    <xf numFmtId="0" fontId="20" fillId="3" borderId="10" xfId="0" applyFont="1" applyFill="1" applyBorder="1" applyProtection="1">
      <alignment vertical="center"/>
    </xf>
    <xf numFmtId="183" fontId="158" fillId="3" borderId="12" xfId="0" applyNumberFormat="1" applyFont="1" applyFill="1" applyBorder="1" applyAlignment="1" applyProtection="1">
      <alignment horizontal="center" vertical="center"/>
    </xf>
    <xf numFmtId="0" fontId="32" fillId="3" borderId="80" xfId="0" applyFont="1" applyFill="1" applyBorder="1" applyProtection="1">
      <alignment vertical="center"/>
    </xf>
    <xf numFmtId="0" fontId="20" fillId="3" borderId="79" xfId="0" applyFont="1" applyFill="1" applyBorder="1" applyAlignment="1" applyProtection="1">
      <alignment horizontal="right" vertical="center"/>
    </xf>
    <xf numFmtId="0" fontId="20" fillId="3" borderId="53" xfId="0" applyFont="1" applyFill="1" applyBorder="1" applyAlignment="1" applyProtection="1">
      <alignment horizontal="left" vertical="center"/>
    </xf>
    <xf numFmtId="0" fontId="32" fillId="3" borderId="39" xfId="0" applyFont="1" applyFill="1" applyBorder="1" applyAlignment="1" applyProtection="1">
      <alignment horizontal="right" vertical="center"/>
    </xf>
    <xf numFmtId="0" fontId="32" fillId="3" borderId="44" xfId="0" applyFont="1" applyFill="1" applyBorder="1" applyAlignment="1" applyProtection="1">
      <alignment horizontal="center" vertical="center"/>
    </xf>
    <xf numFmtId="0" fontId="32" fillId="2" borderId="1" xfId="0" applyFont="1" applyFill="1" applyBorder="1" applyProtection="1">
      <alignment vertical="center"/>
      <protection locked="0"/>
    </xf>
    <xf numFmtId="0" fontId="32" fillId="3" borderId="34" xfId="0" applyFont="1" applyFill="1" applyBorder="1" applyAlignment="1" applyProtection="1">
      <alignment horizontal="right" vertical="center"/>
    </xf>
    <xf numFmtId="0" fontId="32" fillId="3" borderId="46" xfId="0" applyFont="1" applyFill="1" applyBorder="1" applyAlignment="1" applyProtection="1">
      <alignment horizontal="center" vertical="center"/>
    </xf>
    <xf numFmtId="0" fontId="157" fillId="0" borderId="6" xfId="0" applyFont="1" applyBorder="1" applyAlignment="1" applyProtection="1">
      <alignment horizontal="center" vertical="center"/>
      <protection locked="0"/>
    </xf>
    <xf numFmtId="0" fontId="157" fillId="0" borderId="1" xfId="0" applyFont="1" applyFill="1" applyBorder="1" applyAlignment="1" applyProtection="1">
      <alignment horizontal="center" vertical="center"/>
      <protection locked="0"/>
    </xf>
    <xf numFmtId="0" fontId="157" fillId="0" borderId="14" xfId="0" applyFont="1" applyFill="1" applyBorder="1" applyAlignment="1" applyProtection="1">
      <alignment horizontal="center" vertical="center"/>
      <protection locked="0"/>
    </xf>
    <xf numFmtId="0" fontId="157" fillId="0" borderId="7" xfId="0" applyFont="1" applyFill="1" applyBorder="1" applyAlignment="1" applyProtection="1">
      <alignment horizontal="center" vertical="center"/>
    </xf>
    <xf numFmtId="0" fontId="157" fillId="0" borderId="8" xfId="0" applyFont="1" applyFill="1" applyBorder="1" applyAlignment="1" applyProtection="1">
      <alignment horizontal="center" vertical="center"/>
      <protection locked="0"/>
    </xf>
    <xf numFmtId="0" fontId="157" fillId="0" borderId="15" xfId="0" applyFont="1" applyFill="1" applyBorder="1" applyAlignment="1" applyProtection="1">
      <alignment horizontal="center" vertical="center"/>
      <protection locked="0"/>
    </xf>
    <xf numFmtId="0" fontId="17" fillId="3" borderId="0" xfId="0" applyFont="1" applyFill="1" applyAlignment="1" applyProtection="1">
      <alignment horizontal="left" vertical="center"/>
    </xf>
    <xf numFmtId="0" fontId="43" fillId="3" borderId="3" xfId="0" applyFont="1" applyFill="1" applyBorder="1" applyAlignment="1" applyProtection="1">
      <alignment vertical="center"/>
    </xf>
    <xf numFmtId="0" fontId="25" fillId="3" borderId="66" xfId="0" applyFont="1" applyFill="1" applyBorder="1" applyAlignment="1" applyProtection="1">
      <alignment vertical="center"/>
    </xf>
    <xf numFmtId="0" fontId="159" fillId="3" borderId="21" xfId="0" applyFont="1" applyFill="1" applyBorder="1" applyAlignment="1" applyProtection="1">
      <alignment vertical="center"/>
    </xf>
    <xf numFmtId="0" fontId="43" fillId="3" borderId="1" xfId="0" applyFont="1" applyFill="1" applyBorder="1" applyProtection="1">
      <alignment vertical="center"/>
    </xf>
    <xf numFmtId="0" fontId="25" fillId="3" borderId="46" xfId="0" applyFont="1" applyFill="1" applyBorder="1" applyAlignment="1" applyProtection="1">
      <alignment vertical="center"/>
    </xf>
    <xf numFmtId="0" fontId="32" fillId="3" borderId="56" xfId="0" applyFont="1" applyFill="1" applyBorder="1" applyAlignment="1" applyProtection="1">
      <alignment horizontal="left" vertical="center"/>
    </xf>
    <xf numFmtId="0" fontId="43" fillId="0" borderId="13" xfId="0" applyFont="1" applyFill="1" applyBorder="1" applyAlignment="1" applyProtection="1">
      <alignment horizontal="center" vertical="center"/>
      <protection locked="0"/>
    </xf>
    <xf numFmtId="0" fontId="20" fillId="2" borderId="99" xfId="0" applyFont="1" applyFill="1" applyBorder="1" applyProtection="1">
      <alignment vertical="center"/>
      <protection locked="0"/>
    </xf>
    <xf numFmtId="0" fontId="160" fillId="3" borderId="21" xfId="0" applyFont="1" applyFill="1" applyBorder="1" applyAlignment="1" applyProtection="1">
      <alignment horizontal="right" vertical="center"/>
    </xf>
    <xf numFmtId="0" fontId="43" fillId="3" borderId="9" xfId="0" applyFont="1" applyFill="1" applyBorder="1" applyProtection="1">
      <alignment vertical="center"/>
    </xf>
    <xf numFmtId="0" fontId="25" fillId="3" borderId="46" xfId="0" applyFont="1" applyFill="1" applyBorder="1" applyProtection="1">
      <alignment vertical="center"/>
    </xf>
    <xf numFmtId="0" fontId="32" fillId="3" borderId="11" xfId="0" applyFont="1" applyFill="1" applyBorder="1" applyAlignment="1" applyProtection="1">
      <alignment horizontal="left" vertical="center"/>
    </xf>
    <xf numFmtId="0" fontId="43" fillId="0" borderId="14" xfId="0" applyFont="1" applyFill="1" applyBorder="1" applyAlignment="1" applyProtection="1">
      <alignment horizontal="center" vertical="center"/>
      <protection locked="0"/>
    </xf>
    <xf numFmtId="0" fontId="43" fillId="3" borderId="35" xfId="0" applyFont="1" applyFill="1" applyBorder="1" applyProtection="1">
      <alignment vertical="center"/>
    </xf>
    <xf numFmtId="0" fontId="25" fillId="3" borderId="54" xfId="0" applyFont="1" applyFill="1" applyBorder="1" applyAlignment="1" applyProtection="1">
      <alignment horizontal="right" vertical="center"/>
    </xf>
    <xf numFmtId="0" fontId="25" fillId="3" borderId="47" xfId="0" applyFont="1" applyFill="1" applyBorder="1" applyAlignment="1" applyProtection="1">
      <alignment horizontal="left" vertical="center"/>
    </xf>
    <xf numFmtId="0" fontId="32" fillId="3" borderId="97" xfId="0" applyFont="1" applyFill="1" applyBorder="1" applyAlignment="1" applyProtection="1">
      <alignment horizontal="left" vertical="center"/>
    </xf>
    <xf numFmtId="0" fontId="43" fillId="0" borderId="8" xfId="0" applyFont="1" applyFill="1" applyBorder="1" applyAlignment="1" applyProtection="1">
      <alignment horizontal="center" vertical="center"/>
      <protection locked="0"/>
    </xf>
    <xf numFmtId="0" fontId="32" fillId="0" borderId="100" xfId="0" applyFont="1" applyFill="1" applyBorder="1" applyProtection="1">
      <alignment vertical="center"/>
      <protection locked="0"/>
    </xf>
    <xf numFmtId="0" fontId="43" fillId="3" borderId="103" xfId="0" applyFont="1" applyFill="1" applyBorder="1" applyAlignment="1" applyProtection="1">
      <alignment vertical="center"/>
    </xf>
    <xf numFmtId="0" fontId="157" fillId="0" borderId="4" xfId="0" applyFont="1" applyFill="1" applyBorder="1" applyAlignment="1" applyProtection="1">
      <alignment horizontal="center" vertical="center"/>
      <protection locked="0"/>
    </xf>
    <xf numFmtId="0" fontId="157" fillId="0" borderId="5" xfId="0" applyFont="1" applyFill="1" applyBorder="1" applyAlignment="1" applyProtection="1">
      <alignment horizontal="center" vertical="center"/>
      <protection locked="0"/>
    </xf>
    <xf numFmtId="0" fontId="157" fillId="0" borderId="13" xfId="0" applyFont="1" applyFill="1" applyBorder="1" applyAlignment="1" applyProtection="1">
      <alignment horizontal="center" vertical="center"/>
      <protection locked="0"/>
    </xf>
    <xf numFmtId="0" fontId="20" fillId="3" borderId="93" xfId="0" applyFont="1" applyFill="1" applyBorder="1" applyProtection="1">
      <alignment vertical="center"/>
    </xf>
    <xf numFmtId="0" fontId="157" fillId="0" borderId="6" xfId="0" applyFont="1" applyFill="1" applyBorder="1" applyAlignment="1" applyProtection="1">
      <alignment horizontal="center" vertical="center"/>
      <protection locked="0"/>
    </xf>
    <xf numFmtId="0" fontId="20" fillId="3" borderId="112" xfId="0" applyFont="1" applyFill="1" applyBorder="1" applyProtection="1">
      <alignment vertical="center"/>
    </xf>
    <xf numFmtId="0" fontId="157" fillId="0" borderId="7" xfId="0" applyFont="1" applyFill="1" applyBorder="1" applyAlignment="1" applyProtection="1">
      <alignment horizontal="center" vertical="center"/>
      <protection locked="0"/>
    </xf>
    <xf numFmtId="0" fontId="161" fillId="3" borderId="0" xfId="0" applyFont="1" applyFill="1" applyProtection="1">
      <alignment vertical="center"/>
    </xf>
    <xf numFmtId="0" fontId="29" fillId="3" borderId="19" xfId="0" applyFont="1" applyFill="1" applyBorder="1" applyAlignment="1" applyProtection="1">
      <alignment horizontal="center" vertical="center"/>
    </xf>
    <xf numFmtId="0" fontId="29" fillId="3" borderId="71" xfId="0" applyFont="1" applyFill="1" applyBorder="1" applyAlignment="1" applyProtection="1">
      <alignment horizontal="center" vertical="center"/>
    </xf>
    <xf numFmtId="0" fontId="61" fillId="3" borderId="40" xfId="0" applyFont="1" applyFill="1" applyBorder="1" applyAlignment="1" applyProtection="1">
      <alignment horizontal="center" vertical="center" wrapText="1"/>
    </xf>
    <xf numFmtId="0" fontId="29" fillId="3" borderId="5" xfId="0" applyFont="1" applyFill="1" applyBorder="1" applyAlignment="1" applyProtection="1">
      <alignment horizontal="center" vertical="center"/>
    </xf>
    <xf numFmtId="0" fontId="29" fillId="3" borderId="13" xfId="0" applyFont="1" applyFill="1" applyBorder="1" applyAlignment="1" applyProtection="1">
      <alignment horizontal="center" vertical="center"/>
    </xf>
    <xf numFmtId="0" fontId="25" fillId="3" borderId="1" xfId="0" applyFont="1" applyFill="1" applyBorder="1" applyAlignment="1" applyProtection="1">
      <alignment horizontal="right" vertical="center"/>
    </xf>
    <xf numFmtId="0" fontId="25" fillId="3" borderId="14" xfId="0" applyFont="1" applyFill="1" applyBorder="1" applyAlignment="1" applyProtection="1">
      <alignment horizontal="right" vertical="center"/>
    </xf>
    <xf numFmtId="0" fontId="20" fillId="2" borderId="0" xfId="0" applyFont="1" applyFill="1" applyProtection="1">
      <alignment vertical="center"/>
      <protection locked="0"/>
    </xf>
    <xf numFmtId="0" fontId="43" fillId="3" borderId="18" xfId="0" applyFont="1" applyFill="1" applyBorder="1" applyAlignment="1" applyProtection="1">
      <alignment horizontal="right" vertical="center"/>
    </xf>
    <xf numFmtId="0" fontId="43" fillId="3" borderId="42" xfId="0" applyFont="1" applyFill="1" applyBorder="1" applyAlignment="1" applyProtection="1">
      <alignment horizontal="right" vertical="center"/>
    </xf>
    <xf numFmtId="0" fontId="162" fillId="0" borderId="20" xfId="0" applyFont="1" applyBorder="1" applyAlignment="1" applyProtection="1">
      <alignment horizontal="left" vertical="center"/>
    </xf>
    <xf numFmtId="0" fontId="163" fillId="0" borderId="0" xfId="0" applyFont="1" applyBorder="1" applyAlignment="1" applyProtection="1">
      <alignment horizontal="left" vertical="center" wrapText="1"/>
    </xf>
    <xf numFmtId="0" fontId="164" fillId="2" borderId="0" xfId="0" applyFont="1" applyFill="1" applyBorder="1" applyAlignment="1" applyProtection="1">
      <alignment horizontal="left" vertical="center" wrapText="1"/>
      <protection locked="0"/>
    </xf>
    <xf numFmtId="0" fontId="20" fillId="0" borderId="0" xfId="0" applyFont="1" applyFill="1" applyBorder="1" applyAlignment="1" applyProtection="1">
      <alignment horizontal="center" vertical="center" wrapText="1"/>
      <protection locked="0"/>
    </xf>
    <xf numFmtId="0" fontId="20" fillId="0" borderId="54" xfId="0" applyFont="1" applyFill="1" applyBorder="1" applyAlignment="1" applyProtection="1">
      <alignment horizontal="center" vertical="center" wrapText="1"/>
      <protection locked="0"/>
    </xf>
    <xf numFmtId="0" fontId="20" fillId="0" borderId="54" xfId="0" applyFont="1" applyFill="1" applyBorder="1" applyAlignment="1" applyProtection="1">
      <alignment horizontal="center" vertical="center"/>
      <protection locked="0"/>
    </xf>
    <xf numFmtId="0" fontId="20" fillId="0" borderId="20" xfId="0" applyFont="1" applyBorder="1" applyAlignment="1" applyProtection="1">
      <alignment horizontal="left" vertical="center" wrapText="1"/>
      <protection locked="0"/>
    </xf>
    <xf numFmtId="0" fontId="20" fillId="0" borderId="0" xfId="0" applyFont="1" applyBorder="1" applyAlignment="1" applyProtection="1">
      <alignment horizontal="left" vertical="center" wrapText="1"/>
      <protection locked="0"/>
    </xf>
    <xf numFmtId="0" fontId="20" fillId="0" borderId="0" xfId="0" applyFont="1" applyFill="1" applyBorder="1" applyAlignment="1" applyProtection="1">
      <alignment horizontal="center" vertical="center"/>
      <protection locked="0"/>
    </xf>
    <xf numFmtId="0" fontId="20" fillId="0" borderId="34" xfId="0" applyFont="1" applyBorder="1" applyAlignment="1" applyProtection="1">
      <alignment horizontal="left" vertical="center" wrapText="1"/>
      <protection locked="0"/>
    </xf>
    <xf numFmtId="0" fontId="20" fillId="0" borderId="89" xfId="0" applyFont="1" applyBorder="1" applyAlignment="1" applyProtection="1">
      <alignment horizontal="left" vertical="center" wrapText="1"/>
      <protection locked="0"/>
    </xf>
    <xf numFmtId="0" fontId="20" fillId="0" borderId="89" xfId="0" applyFont="1" applyFill="1" applyBorder="1" applyAlignment="1" applyProtection="1">
      <alignment horizontal="center" vertical="center" wrapText="1"/>
      <protection locked="0"/>
    </xf>
    <xf numFmtId="0" fontId="20" fillId="0" borderId="89" xfId="0" applyFont="1" applyFill="1" applyBorder="1" applyAlignment="1" applyProtection="1">
      <alignment horizontal="center" vertical="center"/>
      <protection locked="0"/>
    </xf>
    <xf numFmtId="0" fontId="25" fillId="0" borderId="89" xfId="0" applyFont="1" applyBorder="1" applyAlignment="1" applyProtection="1">
      <alignment horizontal="left" vertical="center"/>
      <protection locked="0"/>
    </xf>
    <xf numFmtId="0" fontId="20" fillId="0" borderId="89" xfId="0" applyFont="1" applyBorder="1" applyProtection="1">
      <alignment vertical="center"/>
      <protection locked="0"/>
    </xf>
    <xf numFmtId="0" fontId="25" fillId="0" borderId="0" xfId="0" applyFont="1" applyAlignment="1" applyProtection="1">
      <alignment horizontal="left" vertical="center"/>
      <protection locked="0"/>
    </xf>
    <xf numFmtId="2" fontId="20" fillId="0" borderId="0" xfId="0" applyNumberFormat="1" applyFont="1" applyAlignment="1" applyProtection="1">
      <alignment vertical="center" wrapText="1"/>
      <protection locked="0"/>
    </xf>
    <xf numFmtId="0" fontId="25" fillId="0" borderId="0" xfId="0" applyFont="1" applyAlignment="1" applyProtection="1">
      <alignment vertical="center" wrapText="1"/>
      <protection locked="0"/>
    </xf>
    <xf numFmtId="0" fontId="20" fillId="0" borderId="0" xfId="0" applyFont="1" applyAlignment="1" applyProtection="1">
      <alignment vertical="center" wrapText="1"/>
      <protection locked="0"/>
    </xf>
    <xf numFmtId="0" fontId="161" fillId="3" borderId="0" xfId="0" applyFont="1" applyFill="1" applyBorder="1" applyAlignment="1" applyProtection="1">
      <alignment horizontal="left" vertical="center"/>
    </xf>
    <xf numFmtId="0" fontId="165" fillId="3" borderId="0" xfId="0" applyFont="1" applyFill="1" applyBorder="1" applyAlignment="1" applyProtection="1">
      <alignment horizontal="left" vertical="center"/>
    </xf>
    <xf numFmtId="0" fontId="166" fillId="3" borderId="0" xfId="0" applyFont="1" applyFill="1" applyBorder="1" applyAlignment="1" applyProtection="1">
      <alignment vertical="center"/>
    </xf>
    <xf numFmtId="0" fontId="166" fillId="3" borderId="0" xfId="0" applyFont="1" applyFill="1" applyBorder="1" applyAlignment="1" applyProtection="1">
      <alignment horizontal="center" vertical="center"/>
    </xf>
    <xf numFmtId="0" fontId="20" fillId="3" borderId="54" xfId="0" applyFont="1" applyFill="1" applyBorder="1" applyAlignment="1" applyProtection="1">
      <alignment horizontal="right" vertical="center"/>
    </xf>
    <xf numFmtId="9" fontId="20" fillId="2" borderId="54" xfId="0" applyNumberFormat="1" applyFont="1" applyFill="1" applyBorder="1" applyAlignment="1" applyProtection="1">
      <alignment horizontal="center" vertical="center"/>
      <protection locked="0"/>
    </xf>
    <xf numFmtId="0" fontId="20" fillId="3" borderId="58" xfId="0" applyFont="1" applyFill="1" applyBorder="1" applyProtection="1">
      <alignment vertical="center"/>
    </xf>
    <xf numFmtId="9" fontId="20" fillId="3" borderId="0" xfId="0" applyNumberFormat="1" applyFont="1" applyFill="1" applyAlignment="1" applyProtection="1">
      <alignment horizontal="center" vertical="center"/>
    </xf>
    <xf numFmtId="0" fontId="157" fillId="3" borderId="0" xfId="0" applyFont="1" applyFill="1" applyAlignment="1" applyProtection="1">
      <alignment horizontal="center" vertical="center"/>
      <protection locked="0"/>
    </xf>
    <xf numFmtId="0" fontId="20" fillId="3" borderId="11" xfId="0" applyFont="1" applyFill="1" applyBorder="1" applyAlignment="1" applyProtection="1">
      <alignment horizontal="center" vertical="center" wrapText="1"/>
    </xf>
    <xf numFmtId="0" fontId="20" fillId="3" borderId="0" xfId="0" applyFont="1" applyFill="1" applyAlignment="1" applyProtection="1">
      <alignment horizontal="left" vertical="center"/>
    </xf>
    <xf numFmtId="0" fontId="20" fillId="3" borderId="11" xfId="0" applyFont="1" applyFill="1" applyBorder="1" applyAlignment="1" applyProtection="1">
      <alignment vertical="center" wrapText="1"/>
    </xf>
    <xf numFmtId="0" fontId="96" fillId="3" borderId="59" xfId="0" applyFont="1" applyFill="1" applyBorder="1" applyAlignment="1" applyProtection="1">
      <alignment horizontal="left" vertical="center"/>
    </xf>
    <xf numFmtId="0" fontId="20" fillId="3" borderId="78" xfId="0" applyFont="1" applyFill="1" applyBorder="1" applyProtection="1">
      <alignment vertical="center"/>
    </xf>
    <xf numFmtId="0" fontId="20" fillId="3" borderId="44" xfId="0" applyFont="1" applyFill="1" applyBorder="1" applyProtection="1">
      <alignment vertical="center"/>
    </xf>
    <xf numFmtId="0" fontId="96" fillId="3" borderId="64" xfId="0" applyFont="1" applyFill="1" applyBorder="1" applyAlignment="1" applyProtection="1">
      <alignment horizontal="left" vertical="center"/>
    </xf>
    <xf numFmtId="0" fontId="166" fillId="3" borderId="64" xfId="0" applyFont="1" applyFill="1" applyBorder="1" applyProtection="1">
      <alignment vertical="center"/>
      <protection locked="0"/>
    </xf>
    <xf numFmtId="0" fontId="20" fillId="3" borderId="12" xfId="0" applyFont="1" applyFill="1" applyBorder="1" applyProtection="1">
      <alignment vertical="center"/>
      <protection locked="0"/>
    </xf>
    <xf numFmtId="0" fontId="20" fillId="3" borderId="46" xfId="0" applyFont="1" applyFill="1" applyBorder="1" applyProtection="1">
      <alignment vertical="center"/>
      <protection locked="0"/>
    </xf>
    <xf numFmtId="0" fontId="96" fillId="3" borderId="21" xfId="0" applyFont="1" applyFill="1" applyBorder="1" applyAlignment="1" applyProtection="1">
      <alignment horizontal="left" vertical="center"/>
    </xf>
    <xf numFmtId="0" fontId="20" fillId="3" borderId="0" xfId="0" applyFont="1" applyFill="1" applyBorder="1" applyProtection="1">
      <alignment vertical="center"/>
      <protection locked="0"/>
    </xf>
    <xf numFmtId="0" fontId="20" fillId="3" borderId="48" xfId="0" applyFont="1" applyFill="1" applyBorder="1" applyProtection="1">
      <alignment vertical="center"/>
      <protection locked="0"/>
    </xf>
    <xf numFmtId="0" fontId="20" fillId="3" borderId="100" xfId="0" applyFont="1" applyFill="1" applyBorder="1" applyProtection="1">
      <alignment vertical="center"/>
    </xf>
    <xf numFmtId="0" fontId="96" fillId="3" borderId="32" xfId="0" applyFont="1" applyFill="1" applyBorder="1" applyAlignment="1" applyProtection="1">
      <alignment horizontal="left" vertical="center"/>
    </xf>
    <xf numFmtId="0" fontId="20" fillId="3" borderId="17" xfId="0" applyFont="1" applyFill="1" applyBorder="1" applyProtection="1">
      <alignment vertical="center"/>
    </xf>
    <xf numFmtId="0" fontId="20" fillId="3" borderId="67" xfId="0" applyFont="1" applyFill="1" applyBorder="1" applyProtection="1">
      <alignment vertical="center"/>
    </xf>
    <xf numFmtId="0" fontId="167" fillId="3" borderId="45" xfId="0" applyFont="1" applyFill="1" applyBorder="1" applyAlignment="1" applyProtection="1">
      <alignment horizontal="center" vertical="center" wrapText="1"/>
    </xf>
    <xf numFmtId="0" fontId="92" fillId="3" borderId="0" xfId="0" applyFont="1" applyFill="1" applyBorder="1" applyAlignment="1" applyProtection="1">
      <alignment horizontal="center" vertical="center"/>
      <protection locked="0"/>
    </xf>
    <xf numFmtId="0" fontId="167" fillId="3" borderId="48" xfId="0" applyFont="1" applyFill="1" applyBorder="1" applyAlignment="1" applyProtection="1">
      <alignment horizontal="center" vertical="center" wrapText="1"/>
    </xf>
    <xf numFmtId="0" fontId="51" fillId="3" borderId="67" xfId="0" applyFont="1" applyFill="1" applyBorder="1" applyAlignment="1" applyProtection="1">
      <alignment vertical="center" wrapText="1"/>
    </xf>
    <xf numFmtId="0" fontId="167" fillId="3" borderId="111" xfId="0" applyFont="1" applyFill="1" applyBorder="1" applyAlignment="1" applyProtection="1">
      <alignment horizontal="center" vertical="center" wrapText="1"/>
    </xf>
    <xf numFmtId="0" fontId="167" fillId="3" borderId="100" xfId="0" applyFont="1" applyFill="1" applyBorder="1" applyAlignment="1" applyProtection="1">
      <alignment horizontal="center" vertical="center" wrapText="1"/>
    </xf>
    <xf numFmtId="0" fontId="168" fillId="3" borderId="100" xfId="0" applyFont="1" applyFill="1" applyBorder="1" applyAlignment="1" applyProtection="1">
      <alignment horizontal="center" vertical="center" wrapText="1"/>
    </xf>
    <xf numFmtId="0" fontId="170" fillId="3" borderId="67" xfId="0" applyFont="1" applyFill="1" applyBorder="1" applyAlignment="1" applyProtection="1">
      <alignment horizontal="center" vertical="center" wrapText="1"/>
    </xf>
    <xf numFmtId="0" fontId="157" fillId="3" borderId="0" xfId="0" applyFont="1" applyFill="1" applyBorder="1" applyAlignment="1" applyProtection="1">
      <alignment horizontal="center" vertical="center"/>
    </xf>
    <xf numFmtId="0" fontId="90" fillId="3" borderId="69" xfId="0" applyFont="1" applyFill="1" applyBorder="1" applyAlignment="1" applyProtection="1">
      <alignment horizontal="justify" vertical="center" wrapText="1"/>
    </xf>
    <xf numFmtId="0" fontId="90" fillId="2" borderId="41" xfId="0" applyFont="1" applyFill="1" applyBorder="1" applyAlignment="1" applyProtection="1">
      <alignment horizontal="center" vertical="center" wrapText="1"/>
    </xf>
    <xf numFmtId="0" fontId="90" fillId="3" borderId="41" xfId="0" applyFont="1" applyFill="1" applyBorder="1" applyAlignment="1" applyProtection="1">
      <alignment horizontal="center" vertical="center" wrapText="1"/>
    </xf>
    <xf numFmtId="0" fontId="90" fillId="2" borderId="5" xfId="0" applyFont="1" applyFill="1" applyBorder="1" applyAlignment="1" applyProtection="1">
      <alignment horizontal="justify" vertical="center" wrapText="1"/>
    </xf>
    <xf numFmtId="0" fontId="90" fillId="2" borderId="13" xfId="0" applyFont="1" applyFill="1" applyBorder="1" applyAlignment="1" applyProtection="1">
      <alignment horizontal="justify" vertical="center" wrapText="1"/>
    </xf>
    <xf numFmtId="0" fontId="171" fillId="3" borderId="6" xfId="0" applyFont="1" applyFill="1" applyBorder="1" applyAlignment="1" applyProtection="1">
      <alignment horizontal="center" vertical="center" wrapText="1"/>
    </xf>
    <xf numFmtId="0" fontId="171" fillId="3" borderId="1" xfId="0" applyFont="1" applyFill="1" applyBorder="1" applyAlignment="1" applyProtection="1">
      <alignment horizontal="center" vertical="center" wrapText="1"/>
    </xf>
    <xf numFmtId="181" fontId="96" fillId="3" borderId="1" xfId="0" applyNumberFormat="1" applyFont="1" applyFill="1" applyBorder="1" applyAlignment="1" applyProtection="1">
      <alignment horizontal="center" vertical="center" wrapText="1"/>
    </xf>
    <xf numFmtId="0" fontId="171" fillId="3" borderId="9" xfId="0" applyFont="1" applyFill="1" applyBorder="1" applyAlignment="1" applyProtection="1">
      <alignment horizontal="center" vertical="center" wrapText="1"/>
    </xf>
    <xf numFmtId="0" fontId="171" fillId="3" borderId="57" xfId="0" applyFont="1" applyFill="1" applyBorder="1" applyAlignment="1" applyProtection="1">
      <alignment horizontal="center" vertical="center" wrapText="1"/>
    </xf>
    <xf numFmtId="0" fontId="171" fillId="3" borderId="7" xfId="0" applyFont="1" applyFill="1" applyBorder="1" applyAlignment="1" applyProtection="1">
      <alignment horizontal="center" vertical="center" wrapText="1"/>
    </xf>
    <xf numFmtId="0" fontId="171" fillId="3" borderId="8" xfId="0" applyFont="1" applyFill="1" applyBorder="1" applyAlignment="1" applyProtection="1">
      <alignment horizontal="center" vertical="center" wrapText="1"/>
    </xf>
    <xf numFmtId="181" fontId="96" fillId="3" borderId="8" xfId="0" applyNumberFormat="1" applyFont="1" applyFill="1" applyBorder="1" applyAlignment="1" applyProtection="1">
      <alignment horizontal="center" vertical="center" wrapText="1"/>
    </xf>
    <xf numFmtId="0" fontId="20" fillId="3" borderId="80" xfId="0" applyFont="1" applyFill="1" applyBorder="1" applyProtection="1">
      <alignment vertical="center"/>
    </xf>
    <xf numFmtId="0" fontId="96" fillId="3" borderId="86" xfId="0" applyFont="1" applyFill="1" applyBorder="1" applyAlignment="1" applyProtection="1">
      <alignment horizontal="center" vertical="center" wrapText="1"/>
    </xf>
    <xf numFmtId="0" fontId="20" fillId="0" borderId="58" xfId="0" applyFont="1" applyBorder="1" applyProtection="1">
      <alignment vertical="center"/>
      <protection locked="0"/>
    </xf>
    <xf numFmtId="0" fontId="20" fillId="0" borderId="74" xfId="0" applyFont="1" applyBorder="1" applyProtection="1">
      <alignment vertical="center"/>
      <protection locked="0"/>
    </xf>
    <xf numFmtId="0" fontId="92" fillId="3" borderId="0" xfId="0" applyFont="1" applyFill="1" applyProtection="1">
      <alignment vertical="center"/>
      <protection locked="0"/>
    </xf>
    <xf numFmtId="0" fontId="20" fillId="0" borderId="81" xfId="0" applyFont="1" applyBorder="1" applyProtection="1">
      <alignment vertical="center"/>
      <protection locked="0"/>
    </xf>
    <xf numFmtId="0" fontId="20" fillId="0" borderId="89" xfId="0" applyFont="1" applyBorder="1" applyAlignment="1" applyProtection="1">
      <alignment horizontal="right" vertical="center"/>
      <protection locked="0"/>
    </xf>
    <xf numFmtId="0" fontId="166" fillId="3" borderId="0" xfId="0" applyFont="1" applyFill="1" applyBorder="1" applyAlignment="1" applyProtection="1">
      <alignment horizontal="center" vertical="center"/>
      <protection locked="0"/>
    </xf>
    <xf numFmtId="0" fontId="30" fillId="3" borderId="0" xfId="0" applyFont="1" applyFill="1" applyAlignment="1" applyProtection="1">
      <alignment horizontal="left" vertical="center"/>
    </xf>
    <xf numFmtId="0" fontId="51" fillId="3" borderId="0" xfId="0" applyFont="1" applyFill="1" applyProtection="1">
      <alignment vertical="center"/>
    </xf>
    <xf numFmtId="0" fontId="25" fillId="3" borderId="21" xfId="0" applyFont="1" applyFill="1" applyBorder="1" applyAlignment="1" applyProtection="1">
      <alignment horizontal="left" vertical="center" wrapText="1"/>
    </xf>
    <xf numFmtId="0" fontId="25" fillId="3" borderId="89" xfId="0" applyFont="1" applyFill="1" applyBorder="1" applyAlignment="1" applyProtection="1">
      <alignment horizontal="left" vertical="center" wrapText="1"/>
    </xf>
    <xf numFmtId="0" fontId="25" fillId="3" borderId="81" xfId="0" applyFont="1" applyFill="1" applyBorder="1" applyAlignment="1" applyProtection="1">
      <alignment horizontal="left" vertical="center" wrapText="1"/>
    </xf>
    <xf numFmtId="0" fontId="20" fillId="3" borderId="34" xfId="0" applyFont="1" applyFill="1" applyBorder="1" applyAlignment="1" applyProtection="1">
      <alignment horizontal="center" vertical="center"/>
    </xf>
    <xf numFmtId="0" fontId="25" fillId="3" borderId="1" xfId="0" applyFont="1" applyFill="1" applyBorder="1" applyAlignment="1" applyProtection="1">
      <alignment horizontal="left" vertical="center" wrapText="1"/>
    </xf>
    <xf numFmtId="9" fontId="20" fillId="3" borderId="14" xfId="0" applyNumberFormat="1" applyFont="1" applyFill="1" applyBorder="1" applyAlignment="1" applyProtection="1">
      <alignment horizontal="center" vertical="center"/>
    </xf>
    <xf numFmtId="10" fontId="20" fillId="3" borderId="3" xfId="0" applyNumberFormat="1" applyFont="1" applyFill="1" applyBorder="1" applyAlignment="1" applyProtection="1">
      <alignment horizontal="center" vertical="center"/>
    </xf>
    <xf numFmtId="0" fontId="22" fillId="0" borderId="14" xfId="0" applyFont="1" applyFill="1" applyBorder="1" applyAlignment="1" applyProtection="1">
      <alignment vertical="center" wrapText="1"/>
      <protection locked="0"/>
    </xf>
    <xf numFmtId="0" fontId="20" fillId="2" borderId="11" xfId="0" applyFont="1" applyFill="1" applyBorder="1" applyAlignment="1" applyProtection="1">
      <alignment horizontal="center" vertical="center"/>
      <protection locked="0"/>
    </xf>
    <xf numFmtId="0" fontId="20" fillId="3" borderId="22" xfId="0" applyFont="1" applyFill="1" applyBorder="1" applyAlignment="1" applyProtection="1">
      <alignment horizontal="right" vertical="center" wrapText="1"/>
    </xf>
    <xf numFmtId="0" fontId="20" fillId="3" borderId="18" xfId="0" applyFont="1" applyFill="1" applyBorder="1" applyAlignment="1" applyProtection="1">
      <alignment vertical="center"/>
    </xf>
    <xf numFmtId="0" fontId="20" fillId="3" borderId="9" xfId="0" applyFont="1" applyFill="1" applyBorder="1" applyAlignment="1" applyProtection="1">
      <alignment horizontal="center" vertical="center" wrapText="1"/>
    </xf>
    <xf numFmtId="0" fontId="20" fillId="3" borderId="74" xfId="0" applyFont="1" applyFill="1" applyBorder="1" applyAlignment="1" applyProtection="1">
      <alignment horizontal="center" vertical="center"/>
    </xf>
    <xf numFmtId="0" fontId="20" fillId="3" borderId="57" xfId="0" applyFont="1" applyFill="1" applyBorder="1" applyAlignment="1" applyProtection="1">
      <alignment horizontal="center" vertical="center"/>
    </xf>
    <xf numFmtId="0" fontId="78" fillId="8" borderId="0" xfId="0" applyFont="1" applyFill="1" applyAlignment="1" applyProtection="1">
      <alignment horizontal="left" vertical="center"/>
    </xf>
    <xf numFmtId="0" fontId="20" fillId="3" borderId="68" xfId="0" applyFont="1" applyFill="1" applyBorder="1" applyAlignment="1" applyProtection="1">
      <alignment horizontal="right" vertical="center" wrapText="1"/>
    </xf>
    <xf numFmtId="0" fontId="20" fillId="3" borderId="20" xfId="0" applyFont="1" applyFill="1" applyBorder="1" applyAlignment="1" applyProtection="1">
      <alignment vertical="center"/>
    </xf>
    <xf numFmtId="0" fontId="20" fillId="3" borderId="35" xfId="0" applyFont="1" applyFill="1" applyBorder="1" applyAlignment="1" applyProtection="1">
      <alignment horizontal="center" vertical="center" wrapText="1"/>
    </xf>
    <xf numFmtId="0" fontId="20" fillId="3" borderId="74" xfId="0" applyFont="1" applyFill="1" applyBorder="1" applyProtection="1">
      <alignment vertical="center"/>
    </xf>
    <xf numFmtId="0" fontId="20" fillId="8" borderId="0" xfId="0" applyFont="1" applyFill="1" applyAlignment="1" applyProtection="1">
      <alignment horizontal="left" vertical="center"/>
    </xf>
    <xf numFmtId="0" fontId="20" fillId="3" borderId="29" xfId="0" applyFont="1" applyFill="1" applyBorder="1" applyAlignment="1" applyProtection="1">
      <alignment horizontal="right" vertical="center" wrapText="1"/>
    </xf>
    <xf numFmtId="0" fontId="20" fillId="3" borderId="34" xfId="0" applyFont="1" applyFill="1" applyBorder="1" applyAlignment="1" applyProtection="1">
      <alignment vertical="center"/>
    </xf>
    <xf numFmtId="0" fontId="20" fillId="3" borderId="3" xfId="0" applyFont="1" applyFill="1" applyBorder="1" applyAlignment="1" applyProtection="1">
      <alignment horizontal="center" vertical="center" wrapText="1"/>
    </xf>
    <xf numFmtId="0" fontId="20" fillId="3" borderId="72" xfId="0" applyFont="1" applyFill="1" applyBorder="1" applyAlignment="1" applyProtection="1">
      <alignment horizontal="center" vertical="center"/>
    </xf>
    <xf numFmtId="0" fontId="20" fillId="3" borderId="6" xfId="0" applyFont="1" applyFill="1" applyBorder="1" applyAlignment="1" applyProtection="1">
      <alignment horizontal="right" vertical="center" wrapText="1"/>
    </xf>
    <xf numFmtId="10" fontId="20" fillId="3" borderId="1" xfId="0" applyNumberFormat="1" applyFont="1" applyFill="1" applyBorder="1" applyAlignment="1" applyProtection="1">
      <alignment horizontal="center" vertical="center"/>
    </xf>
    <xf numFmtId="0" fontId="20" fillId="3" borderId="14" xfId="0" applyFont="1" applyFill="1" applyBorder="1" applyProtection="1">
      <alignment vertical="center"/>
    </xf>
    <xf numFmtId="0" fontId="22" fillId="3" borderId="0" xfId="0" applyFont="1" applyFill="1" applyProtection="1">
      <alignment vertical="center"/>
    </xf>
    <xf numFmtId="0" fontId="20" fillId="3" borderId="10" xfId="0" applyFont="1" applyFill="1" applyBorder="1" applyAlignment="1" applyProtection="1">
      <alignment horizontal="right" vertical="center"/>
    </xf>
    <xf numFmtId="0" fontId="92" fillId="0" borderId="14" xfId="0" applyFont="1" applyFill="1" applyBorder="1" applyAlignment="1" applyProtection="1">
      <alignment vertical="center" wrapText="1"/>
      <protection locked="0"/>
    </xf>
    <xf numFmtId="0" fontId="20" fillId="5" borderId="11" xfId="0" applyFont="1" applyFill="1" applyBorder="1" applyAlignment="1" applyProtection="1">
      <alignment horizontal="center" vertical="center" wrapText="1"/>
      <protection locked="0"/>
    </xf>
    <xf numFmtId="0" fontId="20" fillId="3" borderId="18" xfId="0" applyFont="1" applyFill="1" applyBorder="1" applyAlignment="1" applyProtection="1">
      <alignment horizontal="right" vertical="center"/>
    </xf>
    <xf numFmtId="0" fontId="20" fillId="3" borderId="0" xfId="0" applyFont="1" applyFill="1" applyBorder="1" applyAlignment="1" applyProtection="1">
      <alignment horizontal="center" vertical="center" wrapText="1"/>
    </xf>
    <xf numFmtId="0" fontId="20" fillId="8" borderId="42" xfId="0" applyFont="1" applyFill="1" applyBorder="1" applyAlignment="1" applyProtection="1">
      <alignment horizontal="right" vertical="center"/>
    </xf>
    <xf numFmtId="0" fontId="20" fillId="8" borderId="8" xfId="0" applyFont="1" applyFill="1" applyBorder="1" applyAlignment="1" applyProtection="1">
      <alignment horizontal="center" vertical="center" wrapText="1"/>
    </xf>
    <xf numFmtId="10" fontId="20" fillId="8" borderId="8" xfId="0" applyNumberFormat="1" applyFont="1" applyFill="1" applyBorder="1" applyAlignment="1" applyProtection="1">
      <alignment horizontal="center" vertical="center"/>
    </xf>
    <xf numFmtId="0" fontId="92" fillId="0" borderId="15" xfId="0" applyFont="1" applyFill="1" applyBorder="1" applyAlignment="1" applyProtection="1">
      <alignment vertical="center" wrapText="1"/>
      <protection locked="0"/>
    </xf>
    <xf numFmtId="0" fontId="78" fillId="8" borderId="11" xfId="0" applyFont="1" applyFill="1" applyBorder="1" applyAlignment="1" applyProtection="1">
      <alignment horizontal="left" vertical="center" wrapText="1"/>
      <protection locked="0"/>
    </xf>
    <xf numFmtId="0" fontId="20" fillId="3" borderId="0" xfId="0" applyFont="1" applyFill="1" applyBorder="1" applyAlignment="1" applyProtection="1">
      <alignment horizontal="left" vertical="center" wrapText="1"/>
    </xf>
    <xf numFmtId="0" fontId="20" fillId="3" borderId="0" xfId="0" applyFont="1" applyFill="1" applyBorder="1" applyAlignment="1" applyProtection="1">
      <alignment horizontal="center" vertical="center"/>
    </xf>
    <xf numFmtId="0" fontId="24" fillId="3" borderId="5" xfId="0" applyFont="1" applyFill="1" applyBorder="1" applyAlignment="1" applyProtection="1">
      <alignment horizontal="center" vertical="center" wrapText="1"/>
    </xf>
    <xf numFmtId="0" fontId="20" fillId="3" borderId="13" xfId="0" applyFont="1" applyFill="1" applyBorder="1" applyAlignment="1" applyProtection="1">
      <alignment horizontal="left" vertical="center" wrapText="1"/>
    </xf>
    <xf numFmtId="49" fontId="25" fillId="3" borderId="6" xfId="0" applyNumberFormat="1" applyFont="1" applyFill="1" applyBorder="1" applyAlignment="1" applyProtection="1">
      <alignment horizontal="left" vertical="center" wrapText="1"/>
    </xf>
    <xf numFmtId="0" fontId="24" fillId="3" borderId="3" xfId="0" applyFont="1" applyFill="1" applyBorder="1" applyAlignment="1" applyProtection="1">
      <alignment horizontal="left" vertical="center" wrapText="1"/>
    </xf>
    <xf numFmtId="179" fontId="24" fillId="3" borderId="3" xfId="0" applyNumberFormat="1" applyFont="1" applyFill="1" applyBorder="1" applyAlignment="1" applyProtection="1">
      <alignment horizontal="center" vertical="center" wrapText="1"/>
    </xf>
    <xf numFmtId="0" fontId="24" fillId="3" borderId="3" xfId="0" applyFont="1" applyFill="1" applyBorder="1" applyAlignment="1" applyProtection="1">
      <alignment horizontal="center" vertical="center" wrapText="1"/>
    </xf>
    <xf numFmtId="0" fontId="20" fillId="3" borderId="72" xfId="0" applyFont="1" applyFill="1" applyBorder="1" applyAlignment="1" applyProtection="1">
      <alignment horizontal="left" vertical="center" wrapText="1"/>
    </xf>
    <xf numFmtId="0" fontId="21" fillId="3" borderId="1" xfId="0" applyFont="1" applyFill="1" applyBorder="1" applyAlignment="1" applyProtection="1">
      <alignment horizontal="left" vertical="center" wrapText="1"/>
    </xf>
    <xf numFmtId="179" fontId="21" fillId="3" borderId="1" xfId="0" applyNumberFormat="1" applyFont="1" applyFill="1" applyBorder="1" applyAlignment="1" applyProtection="1">
      <alignment horizontal="center" vertical="center" wrapText="1"/>
    </xf>
    <xf numFmtId="0" fontId="20" fillId="3" borderId="14" xfId="0" applyFont="1" applyFill="1" applyBorder="1" applyAlignment="1" applyProtection="1">
      <alignment horizontal="left" vertical="center" wrapText="1"/>
    </xf>
    <xf numFmtId="179" fontId="21" fillId="0" borderId="1" xfId="0" applyNumberFormat="1" applyFont="1" applyFill="1" applyBorder="1" applyAlignment="1" applyProtection="1">
      <alignment horizontal="center" vertical="center" wrapText="1"/>
      <protection locked="0"/>
    </xf>
    <xf numFmtId="0" fontId="24" fillId="3" borderId="1" xfId="0" applyFont="1" applyFill="1" applyBorder="1" applyAlignment="1" applyProtection="1">
      <alignment horizontal="left" vertical="center" wrapText="1"/>
    </xf>
    <xf numFmtId="0" fontId="24" fillId="0" borderId="1" xfId="0" applyFont="1" applyFill="1" applyBorder="1" applyAlignment="1" applyProtection="1">
      <alignment horizontal="center" vertical="center" wrapText="1"/>
      <protection locked="0"/>
    </xf>
    <xf numFmtId="0" fontId="24" fillId="3" borderId="1" xfId="0" applyFont="1" applyFill="1" applyBorder="1" applyAlignment="1" applyProtection="1">
      <alignment horizontal="center" vertical="center" wrapText="1"/>
    </xf>
    <xf numFmtId="0" fontId="92" fillId="3" borderId="14" xfId="0" applyFont="1" applyFill="1" applyBorder="1" applyAlignment="1" applyProtection="1">
      <alignment horizontal="left" vertical="center"/>
    </xf>
    <xf numFmtId="179" fontId="24" fillId="3" borderId="1" xfId="0" applyNumberFormat="1" applyFont="1" applyFill="1" applyBorder="1" applyAlignment="1" applyProtection="1">
      <alignment horizontal="center" vertical="center" wrapText="1"/>
    </xf>
    <xf numFmtId="49" fontId="25" fillId="3" borderId="7" xfId="0" applyNumberFormat="1" applyFont="1" applyFill="1" applyBorder="1" applyAlignment="1" applyProtection="1">
      <alignment horizontal="left" vertical="center" wrapText="1"/>
    </xf>
    <xf numFmtId="0" fontId="24" fillId="3" borderId="8" xfId="0" applyFont="1" applyFill="1" applyBorder="1" applyAlignment="1" applyProtection="1">
      <alignment horizontal="left" vertical="center" wrapText="1"/>
    </xf>
    <xf numFmtId="179" fontId="24" fillId="3" borderId="8" xfId="0" applyNumberFormat="1" applyFont="1" applyFill="1" applyBorder="1" applyAlignment="1" applyProtection="1">
      <alignment horizontal="center" vertical="center" wrapText="1"/>
    </xf>
    <xf numFmtId="10" fontId="21" fillId="3" borderId="8" xfId="0" applyNumberFormat="1" applyFont="1" applyFill="1" applyBorder="1" applyAlignment="1" applyProtection="1">
      <alignment horizontal="center" vertical="center" wrapText="1"/>
    </xf>
    <xf numFmtId="0" fontId="20" fillId="3" borderId="15" xfId="0" applyFont="1" applyFill="1" applyBorder="1" applyAlignment="1" applyProtection="1">
      <alignment horizontal="left" vertical="center"/>
    </xf>
    <xf numFmtId="49" fontId="25" fillId="3" borderId="21" xfId="0" applyNumberFormat="1" applyFont="1" applyFill="1" applyBorder="1" applyAlignment="1" applyProtection="1">
      <alignment horizontal="left" vertical="center" wrapText="1"/>
    </xf>
    <xf numFmtId="0" fontId="24" fillId="3" borderId="0" xfId="0" applyFont="1" applyFill="1" applyBorder="1" applyAlignment="1" applyProtection="1">
      <alignment horizontal="left" vertical="center" wrapText="1"/>
    </xf>
    <xf numFmtId="179" fontId="24" fillId="3" borderId="0" xfId="0" applyNumberFormat="1" applyFont="1" applyFill="1" applyBorder="1" applyAlignment="1" applyProtection="1">
      <alignment horizontal="center" vertical="center" wrapText="1"/>
    </xf>
    <xf numFmtId="10" fontId="21" fillId="3" borderId="0" xfId="0" applyNumberFormat="1" applyFont="1" applyFill="1" applyBorder="1" applyAlignment="1" applyProtection="1">
      <alignment horizontal="center" vertical="center" wrapText="1"/>
    </xf>
    <xf numFmtId="0" fontId="20" fillId="3" borderId="0" xfId="0" applyFont="1" applyFill="1" applyBorder="1" applyAlignment="1" applyProtection="1">
      <alignment horizontal="left" vertical="center"/>
    </xf>
    <xf numFmtId="0" fontId="20" fillId="3" borderId="39" xfId="0" applyFont="1" applyFill="1" applyBorder="1" applyAlignment="1" applyProtection="1">
      <alignment horizontal="left" vertical="center" wrapText="1"/>
    </xf>
    <xf numFmtId="0" fontId="20" fillId="3" borderId="78" xfId="0" applyFont="1" applyFill="1" applyBorder="1" applyAlignment="1" applyProtection="1">
      <alignment horizontal="left" vertical="center" wrapText="1"/>
    </xf>
    <xf numFmtId="0" fontId="32" fillId="3" borderId="44" xfId="8" applyFont="1" applyFill="1" applyBorder="1" applyAlignment="1" applyProtection="1">
      <alignment horizontal="left" vertical="center" wrapText="1"/>
    </xf>
    <xf numFmtId="0" fontId="32" fillId="3" borderId="46" xfId="8" applyFont="1" applyFill="1" applyBorder="1" applyAlignment="1" applyProtection="1">
      <alignment horizontal="left" vertical="center" wrapText="1"/>
    </xf>
    <xf numFmtId="49" fontId="20" fillId="3" borderId="6" xfId="0" applyNumberFormat="1" applyFont="1" applyFill="1" applyBorder="1" applyAlignment="1" applyProtection="1">
      <alignment vertical="center" wrapText="1"/>
    </xf>
    <xf numFmtId="0" fontId="32" fillId="3" borderId="1" xfId="8" applyFont="1" applyFill="1" applyBorder="1" applyAlignment="1" applyProtection="1">
      <alignment horizontal="left" vertical="center" wrapText="1"/>
    </xf>
    <xf numFmtId="0" fontId="32" fillId="5" borderId="1" xfId="8" applyFont="1" applyFill="1" applyBorder="1" applyAlignment="1" applyProtection="1">
      <alignment horizontal="center" vertical="center" wrapText="1"/>
      <protection locked="0"/>
    </xf>
    <xf numFmtId="179" fontId="21" fillId="0" borderId="14" xfId="0" applyNumberFormat="1" applyFont="1" applyFill="1" applyBorder="1" applyAlignment="1" applyProtection="1">
      <alignment horizontal="center" vertical="center" wrapText="1"/>
      <protection locked="0"/>
    </xf>
    <xf numFmtId="0" fontId="21" fillId="3" borderId="3" xfId="0" applyFont="1" applyFill="1" applyBorder="1" applyAlignment="1" applyProtection="1">
      <alignment horizontal="left" vertical="center" wrapText="1"/>
    </xf>
    <xf numFmtId="9" fontId="32" fillId="3" borderId="0" xfId="0" applyNumberFormat="1" applyFont="1" applyFill="1" applyBorder="1" applyAlignment="1" applyProtection="1">
      <alignment horizontal="center" vertical="center"/>
    </xf>
    <xf numFmtId="0" fontId="20" fillId="3" borderId="46" xfId="0" applyFont="1" applyFill="1" applyBorder="1" applyAlignment="1" applyProtection="1">
      <alignment horizontal="left" vertical="center" wrapText="1"/>
    </xf>
    <xf numFmtId="10" fontId="21" fillId="3" borderId="1" xfId="0" applyNumberFormat="1" applyFont="1" applyFill="1" applyBorder="1" applyAlignment="1" applyProtection="1">
      <alignment horizontal="center" vertical="center" wrapText="1"/>
    </xf>
    <xf numFmtId="0" fontId="32" fillId="3" borderId="12" xfId="0" applyFont="1" applyFill="1" applyBorder="1" applyAlignment="1" applyProtection="1">
      <alignment horizontal="left" vertical="center"/>
    </xf>
    <xf numFmtId="0" fontId="20" fillId="5" borderId="12" xfId="0" applyFont="1" applyFill="1" applyBorder="1" applyAlignment="1" applyProtection="1">
      <alignment horizontal="left" vertical="center" wrapText="1"/>
      <protection locked="0"/>
    </xf>
    <xf numFmtId="195" fontId="21" fillId="3" borderId="1" xfId="0" applyNumberFormat="1" applyFont="1" applyFill="1" applyBorder="1" applyAlignment="1" applyProtection="1">
      <alignment horizontal="center" vertical="center" wrapText="1"/>
    </xf>
    <xf numFmtId="10" fontId="25" fillId="3" borderId="10" xfId="0" applyNumberFormat="1" applyFont="1" applyFill="1" applyBorder="1" applyAlignment="1" applyProtection="1">
      <alignment horizontal="center" vertical="center" wrapText="1"/>
    </xf>
    <xf numFmtId="10" fontId="20" fillId="3" borderId="12" xfId="0" applyNumberFormat="1" applyFont="1" applyFill="1" applyBorder="1" applyAlignment="1" applyProtection="1">
      <alignment horizontal="left" vertical="center" wrapText="1"/>
    </xf>
    <xf numFmtId="10" fontId="20" fillId="3" borderId="46" xfId="0" applyNumberFormat="1" applyFont="1" applyFill="1" applyBorder="1" applyAlignment="1" applyProtection="1">
      <alignment horizontal="left" vertical="center" wrapText="1"/>
    </xf>
    <xf numFmtId="49" fontId="27" fillId="3" borderId="6" xfId="0" applyNumberFormat="1" applyFont="1" applyFill="1" applyBorder="1" applyAlignment="1" applyProtection="1">
      <alignment vertical="center" wrapText="1"/>
    </xf>
    <xf numFmtId="183" fontId="24" fillId="3" borderId="1" xfId="0" applyNumberFormat="1" applyFont="1" applyFill="1" applyBorder="1" applyAlignment="1" applyProtection="1">
      <alignment horizontal="center" vertical="center" wrapText="1"/>
    </xf>
    <xf numFmtId="49" fontId="27" fillId="3" borderId="7" xfId="0" applyNumberFormat="1" applyFont="1" applyFill="1" applyBorder="1" applyAlignment="1" applyProtection="1">
      <alignment vertical="center" wrapText="1"/>
    </xf>
    <xf numFmtId="0" fontId="25" fillId="3" borderId="8" xfId="0" applyFont="1" applyFill="1" applyBorder="1" applyAlignment="1" applyProtection="1">
      <alignment horizontal="center" vertical="center" wrapText="1"/>
    </xf>
    <xf numFmtId="0" fontId="21" fillId="3" borderId="8" xfId="0" applyFont="1" applyFill="1" applyBorder="1" applyAlignment="1" applyProtection="1">
      <alignment horizontal="center" vertical="center" wrapText="1"/>
    </xf>
    <xf numFmtId="0" fontId="20" fillId="3" borderId="42" xfId="0" applyFont="1" applyFill="1" applyBorder="1" applyAlignment="1" applyProtection="1">
      <alignment horizontal="left" vertical="center"/>
    </xf>
    <xf numFmtId="0" fontId="20" fillId="3" borderId="79" xfId="0" applyFont="1" applyFill="1" applyBorder="1" applyAlignment="1" applyProtection="1">
      <alignment horizontal="left" vertical="center" wrapText="1"/>
    </xf>
    <xf numFmtId="0" fontId="32" fillId="3" borderId="53" xfId="8" applyFont="1" applyFill="1" applyBorder="1" applyAlignment="1" applyProtection="1">
      <alignment horizontal="left" vertical="center" wrapText="1"/>
    </xf>
    <xf numFmtId="0" fontId="51" fillId="3" borderId="0" xfId="0" applyFont="1" applyFill="1" applyAlignment="1" applyProtection="1">
      <alignment vertical="center"/>
    </xf>
    <xf numFmtId="0" fontId="51" fillId="3" borderId="0" xfId="0" applyFont="1" applyFill="1" applyAlignment="1" applyProtection="1">
      <alignment horizontal="left" vertical="center"/>
    </xf>
    <xf numFmtId="0" fontId="51" fillId="3" borderId="0" xfId="8" applyFont="1" applyFill="1" applyAlignment="1" applyProtection="1">
      <alignment horizontal="left"/>
    </xf>
    <xf numFmtId="0" fontId="20" fillId="3" borderId="44" xfId="8" applyFont="1" applyFill="1" applyBorder="1" applyAlignment="1" applyProtection="1">
      <alignment horizontal="left" vertical="center" wrapText="1"/>
    </xf>
    <xf numFmtId="0" fontId="20" fillId="3" borderId="46" xfId="8" applyFont="1" applyFill="1" applyBorder="1" applyAlignment="1" applyProtection="1">
      <alignment horizontal="left" vertical="center" wrapText="1"/>
    </xf>
    <xf numFmtId="0" fontId="21" fillId="3" borderId="10" xfId="0" applyFont="1" applyFill="1" applyBorder="1" applyAlignment="1" applyProtection="1">
      <alignment horizontal="center" vertical="center" wrapText="1"/>
    </xf>
    <xf numFmtId="10" fontId="20" fillId="3" borderId="10" xfId="0" applyNumberFormat="1" applyFont="1" applyFill="1" applyBorder="1" applyAlignment="1" applyProtection="1">
      <alignment horizontal="left" vertical="center" wrapText="1"/>
    </xf>
    <xf numFmtId="195" fontId="21" fillId="0" borderId="1" xfId="0" applyNumberFormat="1" applyFont="1" applyFill="1" applyBorder="1" applyAlignment="1" applyProtection="1">
      <alignment horizontal="center" vertical="center" wrapText="1"/>
      <protection locked="0"/>
    </xf>
    <xf numFmtId="10" fontId="20" fillId="3" borderId="10" xfId="0" applyNumberFormat="1" applyFont="1" applyFill="1" applyBorder="1" applyAlignment="1" applyProtection="1">
      <alignment horizontal="left" vertical="center"/>
    </xf>
    <xf numFmtId="0" fontId="172" fillId="3" borderId="0" xfId="0" applyFont="1" applyFill="1" applyBorder="1" applyAlignment="1" applyProtection="1">
      <alignment horizontal="left" vertical="center"/>
    </xf>
    <xf numFmtId="10" fontId="20" fillId="5" borderId="46" xfId="0" applyNumberFormat="1" applyFont="1" applyFill="1" applyBorder="1" applyAlignment="1" applyProtection="1">
      <alignment horizontal="left" vertical="center" wrapText="1"/>
      <protection locked="0"/>
    </xf>
    <xf numFmtId="49" fontId="78" fillId="3" borderId="6" xfId="0" applyNumberFormat="1" applyFont="1" applyFill="1" applyBorder="1" applyAlignment="1" applyProtection="1">
      <alignment vertical="center" wrapText="1"/>
    </xf>
    <xf numFmtId="10" fontId="28" fillId="2" borderId="46" xfId="0" applyNumberFormat="1" applyFont="1" applyFill="1" applyBorder="1" applyAlignment="1" applyProtection="1">
      <alignment horizontal="left" vertical="center" wrapText="1"/>
      <protection locked="0"/>
    </xf>
    <xf numFmtId="10" fontId="25" fillId="8" borderId="10" xfId="0" applyNumberFormat="1" applyFont="1" applyFill="1" applyBorder="1" applyAlignment="1" applyProtection="1">
      <alignment horizontal="center" vertical="center" wrapText="1"/>
      <protection locked="0"/>
    </xf>
    <xf numFmtId="0" fontId="20" fillId="3" borderId="53" xfId="8" applyFont="1" applyFill="1" applyBorder="1" applyAlignment="1" applyProtection="1">
      <alignment horizontal="left" vertical="center" wrapText="1"/>
    </xf>
    <xf numFmtId="0" fontId="30" fillId="3" borderId="10" xfId="0" applyFont="1" applyFill="1" applyBorder="1" applyAlignment="1" applyProtection="1">
      <alignment horizontal="center" vertical="center" wrapText="1"/>
    </xf>
    <xf numFmtId="0" fontId="30" fillId="3" borderId="12" xfId="0" applyFont="1" applyFill="1" applyBorder="1" applyAlignment="1" applyProtection="1">
      <alignment horizontal="center" vertical="center" wrapText="1"/>
    </xf>
    <xf numFmtId="0" fontId="30" fillId="3" borderId="54" xfId="0" applyFont="1" applyFill="1" applyBorder="1" applyAlignment="1" applyProtection="1">
      <alignment horizontal="left" vertical="center" wrapText="1"/>
    </xf>
    <xf numFmtId="0" fontId="30" fillId="3" borderId="54" xfId="0" applyFont="1" applyFill="1" applyBorder="1" applyAlignment="1" applyProtection="1">
      <alignment horizontal="center" vertical="center" wrapText="1"/>
    </xf>
    <xf numFmtId="0" fontId="30" fillId="3" borderId="58" xfId="0" applyFont="1" applyFill="1" applyBorder="1" applyAlignment="1" applyProtection="1">
      <alignment horizontal="center" vertical="center" wrapText="1"/>
    </xf>
    <xf numFmtId="9" fontId="20" fillId="3" borderId="0" xfId="0" applyNumberFormat="1" applyFont="1" applyFill="1" applyAlignment="1" applyProtection="1">
      <alignment horizontal="center" vertical="center"/>
      <protection locked="0"/>
    </xf>
    <xf numFmtId="0" fontId="69" fillId="3" borderId="3" xfId="0" applyFont="1" applyFill="1" applyBorder="1" applyAlignment="1" applyProtection="1">
      <alignment horizontal="center" vertical="center" wrapText="1"/>
    </xf>
    <xf numFmtId="0" fontId="173" fillId="0" borderId="10" xfId="0" applyFont="1" applyFill="1" applyBorder="1" applyAlignment="1" applyProtection="1">
      <alignment horizontal="center" vertical="center" wrapText="1"/>
      <protection locked="0"/>
    </xf>
    <xf numFmtId="0" fontId="173" fillId="0" borderId="12" xfId="0" applyFont="1" applyFill="1" applyBorder="1" applyAlignment="1" applyProtection="1">
      <alignment horizontal="center" vertical="center" wrapText="1"/>
      <protection locked="0"/>
    </xf>
    <xf numFmtId="0" fontId="173" fillId="0" borderId="11" xfId="0" applyFont="1" applyFill="1" applyBorder="1" applyAlignment="1" applyProtection="1">
      <alignment horizontal="center" vertical="center" wrapText="1"/>
      <protection locked="0"/>
    </xf>
    <xf numFmtId="10" fontId="20" fillId="8" borderId="0" xfId="0" applyNumberFormat="1" applyFont="1" applyFill="1" applyAlignment="1" applyProtection="1">
      <alignment horizontal="center" vertical="center"/>
    </xf>
    <xf numFmtId="10" fontId="20" fillId="3" borderId="0" xfId="0" applyNumberFormat="1" applyFont="1" applyFill="1" applyAlignment="1" applyProtection="1">
      <alignment horizontal="center" vertical="center"/>
      <protection locked="0"/>
    </xf>
    <xf numFmtId="0" fontId="69" fillId="3" borderId="1" xfId="0" applyFont="1" applyFill="1" applyBorder="1" applyAlignment="1" applyProtection="1">
      <alignment horizontal="center" vertical="center" wrapText="1"/>
    </xf>
    <xf numFmtId="196" fontId="173" fillId="3" borderId="3" xfId="0" applyNumberFormat="1" applyFont="1" applyFill="1" applyBorder="1" applyAlignment="1" applyProtection="1">
      <alignment horizontal="center" vertical="center" wrapText="1"/>
    </xf>
    <xf numFmtId="0" fontId="173" fillId="3" borderId="1" xfId="0" applyFont="1" applyFill="1" applyBorder="1" applyAlignment="1" applyProtection="1">
      <alignment horizontal="center" vertical="center" wrapText="1"/>
    </xf>
    <xf numFmtId="0" fontId="69" fillId="3" borderId="9" xfId="0" applyFont="1" applyFill="1" applyBorder="1" applyAlignment="1" applyProtection="1">
      <alignment horizontal="center" vertical="center" wrapText="1"/>
    </xf>
    <xf numFmtId="0" fontId="173" fillId="3" borderId="9" xfId="0" applyFont="1" applyFill="1" applyBorder="1" applyAlignment="1" applyProtection="1">
      <alignment horizontal="center" vertical="center" wrapText="1"/>
    </xf>
    <xf numFmtId="10" fontId="20" fillId="3" borderId="0" xfId="0" applyNumberFormat="1" applyFont="1" applyFill="1" applyAlignment="1" applyProtection="1">
      <alignment horizontal="center" vertical="center"/>
    </xf>
    <xf numFmtId="0" fontId="109" fillId="3" borderId="10" xfId="0" applyFont="1" applyFill="1" applyBorder="1" applyAlignment="1" applyProtection="1">
      <alignment horizontal="center" vertical="center" wrapText="1"/>
    </xf>
    <xf numFmtId="0" fontId="109" fillId="3" borderId="12" xfId="0" applyFont="1" applyFill="1" applyBorder="1" applyAlignment="1" applyProtection="1">
      <alignment horizontal="center" vertical="center" wrapText="1"/>
    </xf>
    <xf numFmtId="0" fontId="109" fillId="3" borderId="12" xfId="0" applyFont="1" applyFill="1" applyBorder="1" applyAlignment="1" applyProtection="1">
      <alignment horizontal="center" vertical="center"/>
    </xf>
    <xf numFmtId="0" fontId="109" fillId="3" borderId="11" xfId="0" applyFont="1" applyFill="1" applyBorder="1" applyAlignment="1" applyProtection="1">
      <alignment horizontal="center" vertical="center" wrapText="1"/>
    </xf>
    <xf numFmtId="0" fontId="109" fillId="3" borderId="3" xfId="0" applyFont="1" applyFill="1" applyBorder="1" applyAlignment="1" applyProtection="1">
      <alignment horizontal="center" vertical="center" wrapText="1"/>
    </xf>
    <xf numFmtId="0" fontId="110" fillId="3" borderId="1" xfId="0" applyFont="1" applyFill="1" applyBorder="1" applyAlignment="1" applyProtection="1">
      <alignment horizontal="center" vertical="center" wrapText="1"/>
    </xf>
    <xf numFmtId="0" fontId="174" fillId="3" borderId="1" xfId="0" applyFont="1" applyFill="1" applyBorder="1" applyAlignment="1" applyProtection="1">
      <alignment horizontal="center" vertical="center" wrapText="1"/>
    </xf>
    <xf numFmtId="10" fontId="174" fillId="3" borderId="1" xfId="0" applyNumberFormat="1" applyFont="1" applyFill="1" applyBorder="1" applyAlignment="1" applyProtection="1">
      <alignment horizontal="center" vertical="center"/>
    </xf>
    <xf numFmtId="9" fontId="174" fillId="3" borderId="1" xfId="0" applyNumberFormat="1" applyFont="1" applyFill="1" applyBorder="1" applyAlignment="1" applyProtection="1">
      <alignment horizontal="center" vertical="center"/>
    </xf>
    <xf numFmtId="0" fontId="174" fillId="3" borderId="9" xfId="0" applyFont="1" applyFill="1" applyBorder="1" applyAlignment="1" applyProtection="1">
      <alignment horizontal="center" vertical="center" wrapText="1"/>
    </xf>
    <xf numFmtId="0" fontId="110" fillId="3" borderId="9" xfId="0" applyFont="1" applyFill="1" applyBorder="1" applyAlignment="1" applyProtection="1">
      <alignment horizontal="center" vertical="center" wrapText="1"/>
    </xf>
    <xf numFmtId="9" fontId="174" fillId="3" borderId="9" xfId="0" applyNumberFormat="1" applyFont="1" applyFill="1" applyBorder="1" applyAlignment="1" applyProtection="1">
      <alignment horizontal="center" vertical="center"/>
    </xf>
    <xf numFmtId="0" fontId="77" fillId="3" borderId="10" xfId="0" applyFont="1" applyFill="1" applyBorder="1" applyAlignment="1" applyProtection="1">
      <alignment horizontal="left" vertical="center"/>
    </xf>
    <xf numFmtId="0" fontId="78" fillId="8" borderId="0" xfId="0" applyFont="1" applyFill="1" applyProtection="1">
      <alignment vertical="center"/>
    </xf>
    <xf numFmtId="0" fontId="110" fillId="3" borderId="10" xfId="0" applyFont="1" applyFill="1" applyBorder="1" applyAlignment="1" applyProtection="1">
      <alignment horizontal="center" vertical="center" wrapText="1"/>
    </xf>
    <xf numFmtId="0" fontId="174" fillId="3" borderId="10" xfId="0" applyFont="1" applyFill="1" applyBorder="1" applyAlignment="1" applyProtection="1">
      <alignment vertical="center" wrapText="1"/>
    </xf>
    <xf numFmtId="0" fontId="174" fillId="3" borderId="12" xfId="0" applyFont="1" applyFill="1" applyBorder="1" applyAlignment="1" applyProtection="1">
      <alignment horizontal="center" vertical="center" wrapText="1"/>
    </xf>
    <xf numFmtId="0" fontId="174" fillId="3" borderId="11" xfId="0" applyFont="1" applyFill="1" applyBorder="1" applyAlignment="1" applyProtection="1">
      <alignment vertical="center" wrapText="1"/>
    </xf>
    <xf numFmtId="0" fontId="174" fillId="3" borderId="109" xfId="0" applyFont="1" applyFill="1" applyBorder="1" applyAlignment="1" applyProtection="1">
      <alignment vertical="center" wrapText="1"/>
    </xf>
    <xf numFmtId="0" fontId="174" fillId="3" borderId="110" xfId="0" applyFont="1" applyFill="1" applyBorder="1" applyAlignment="1" applyProtection="1">
      <alignment horizontal="center" vertical="center" wrapText="1"/>
    </xf>
    <xf numFmtId="0" fontId="174" fillId="3" borderId="105" xfId="0" applyFont="1" applyFill="1" applyBorder="1" applyAlignment="1" applyProtection="1">
      <alignment vertical="center" wrapText="1"/>
    </xf>
    <xf numFmtId="0" fontId="116" fillId="3" borderId="1" xfId="0" applyFont="1" applyFill="1" applyBorder="1" applyAlignment="1">
      <alignment horizontal="center" vertical="center" wrapText="1"/>
    </xf>
    <xf numFmtId="0" fontId="175" fillId="3" borderId="1" xfId="0" applyFont="1" applyFill="1" applyBorder="1" applyAlignment="1">
      <alignment horizontal="left" vertical="center" wrapText="1"/>
    </xf>
    <xf numFmtId="0" fontId="28" fillId="3" borderId="0" xfId="0" applyFont="1" applyFill="1" applyProtection="1">
      <alignment vertical="center"/>
      <protection locked="0"/>
    </xf>
    <xf numFmtId="0" fontId="20" fillId="3" borderId="0" xfId="8" applyFont="1" applyFill="1" applyBorder="1" applyAlignment="1" applyProtection="1">
      <alignment horizontal="left" vertical="center" wrapText="1"/>
    </xf>
    <xf numFmtId="0" fontId="20" fillId="3" borderId="0" xfId="8" applyFont="1" applyFill="1" applyBorder="1" applyAlignment="1" applyProtection="1">
      <alignment horizontal="left" vertical="center" wrapText="1"/>
      <protection locked="0"/>
    </xf>
    <xf numFmtId="0" fontId="51" fillId="3" borderId="0" xfId="0" applyFont="1" applyFill="1" applyProtection="1">
      <alignment vertical="center"/>
      <protection locked="0"/>
    </xf>
    <xf numFmtId="0" fontId="51" fillId="3" borderId="0" xfId="8" applyFont="1" applyFill="1" applyAlignment="1" applyProtection="1">
      <alignment vertical="center" wrapText="1"/>
    </xf>
    <xf numFmtId="0" fontId="51" fillId="3" borderId="0" xfId="8" applyFont="1" applyFill="1" applyAlignment="1" applyProtection="1">
      <alignment vertical="center" wrapText="1"/>
      <protection locked="0"/>
    </xf>
    <xf numFmtId="0" fontId="176" fillId="3" borderId="1" xfId="0" applyFont="1" applyFill="1" applyBorder="1" applyAlignment="1">
      <alignment vertical="center" wrapText="1"/>
    </xf>
    <xf numFmtId="183" fontId="20" fillId="3" borderId="0" xfId="0" applyNumberFormat="1" applyFont="1" applyFill="1" applyAlignment="1" applyProtection="1">
      <alignment horizontal="left" vertical="center"/>
    </xf>
    <xf numFmtId="0" fontId="51" fillId="3" borderId="0" xfId="8" applyFont="1" applyFill="1" applyProtection="1"/>
    <xf numFmtId="0" fontId="51" fillId="3" borderId="0" xfId="8" applyFont="1" applyFill="1" applyProtection="1">
      <protection locked="0"/>
    </xf>
    <xf numFmtId="0" fontId="146" fillId="6" borderId="0" xfId="0" applyFont="1" applyFill="1" applyProtection="1">
      <alignment vertical="center"/>
    </xf>
    <xf numFmtId="0" fontId="125" fillId="3" borderId="0" xfId="0" applyFont="1" applyFill="1" applyProtection="1">
      <alignment vertical="center"/>
    </xf>
    <xf numFmtId="0" fontId="91" fillId="0" borderId="6" xfId="0" applyFont="1" applyFill="1" applyBorder="1" applyProtection="1">
      <alignment vertical="center"/>
      <protection locked="0"/>
    </xf>
    <xf numFmtId="0" fontId="157" fillId="6" borderId="0" xfId="0" applyFont="1" applyFill="1" applyProtection="1">
      <alignment vertical="center"/>
    </xf>
    <xf numFmtId="0" fontId="20" fillId="6" borderId="0" xfId="0" applyFont="1" applyFill="1" applyBorder="1" applyProtection="1">
      <alignment vertical="center"/>
      <protection locked="0"/>
    </xf>
    <xf numFmtId="0" fontId="20" fillId="6" borderId="0" xfId="0" applyFont="1" applyFill="1" applyBorder="1" applyAlignment="1" applyProtection="1">
      <alignment horizontal="right" vertical="center"/>
      <protection locked="0"/>
    </xf>
    <xf numFmtId="183" fontId="20" fillId="3" borderId="0" xfId="0" applyNumberFormat="1" applyFont="1" applyFill="1" applyProtection="1">
      <alignment vertical="center"/>
    </xf>
    <xf numFmtId="0" fontId="51" fillId="0" borderId="0" xfId="0" applyFont="1" applyFill="1" applyProtection="1">
      <alignment vertical="center"/>
      <protection locked="0"/>
    </xf>
    <xf numFmtId="0" fontId="25" fillId="6" borderId="0" xfId="0" applyFont="1" applyFill="1" applyAlignment="1" applyProtection="1">
      <alignment horizontal="left" vertical="center"/>
      <protection locked="0"/>
    </xf>
    <xf numFmtId="2" fontId="20" fillId="6" borderId="0" xfId="0" applyNumberFormat="1" applyFont="1" applyFill="1" applyAlignment="1" applyProtection="1">
      <alignment vertical="center" wrapText="1"/>
      <protection locked="0"/>
    </xf>
    <xf numFmtId="0" fontId="25" fillId="6" borderId="0" xfId="0" applyFont="1" applyFill="1" applyAlignment="1" applyProtection="1">
      <alignment vertical="center" wrapText="1"/>
      <protection locked="0"/>
    </xf>
    <xf numFmtId="0" fontId="20" fillId="6" borderId="0" xfId="0" applyFont="1" applyFill="1" applyAlignment="1" applyProtection="1">
      <alignment vertical="center" wrapText="1"/>
      <protection locked="0"/>
    </xf>
    <xf numFmtId="0" fontId="0" fillId="0" borderId="0" xfId="0" applyAlignment="1" applyProtection="1">
      <alignment horizontal="left" vertical="center"/>
      <protection locked="0"/>
    </xf>
    <xf numFmtId="0" fontId="177" fillId="3" borderId="1" xfId="17" applyFont="1" applyFill="1" applyBorder="1" applyAlignment="1" applyProtection="1">
      <alignment horizontal="left" vertical="center" wrapText="1"/>
    </xf>
    <xf numFmtId="0" fontId="177" fillId="9" borderId="0" xfId="17" applyFont="1" applyFill="1" applyBorder="1" applyAlignment="1" applyProtection="1">
      <alignment horizontal="left" vertical="center" wrapText="1"/>
      <protection locked="0"/>
    </xf>
    <xf numFmtId="0" fontId="0" fillId="9" borderId="0" xfId="0" applyFill="1" applyAlignment="1" applyProtection="1">
      <alignment horizontal="left" vertical="center"/>
      <protection locked="0"/>
    </xf>
    <xf numFmtId="14" fontId="177" fillId="3" borderId="1" xfId="17" applyNumberFormat="1" applyFont="1" applyFill="1" applyBorder="1" applyAlignment="1" applyProtection="1">
      <alignment horizontal="left" vertical="center" wrapText="1"/>
    </xf>
    <xf numFmtId="0" fontId="177" fillId="0" borderId="1" xfId="17" applyFont="1" applyFill="1" applyBorder="1" applyAlignment="1" applyProtection="1">
      <alignment horizontal="left" vertical="center" wrapText="1"/>
      <protection locked="0"/>
    </xf>
    <xf numFmtId="0" fontId="178" fillId="3" borderId="1" xfId="17" applyFill="1" applyBorder="1" applyAlignment="1" applyProtection="1">
      <alignment horizontal="left" vertical="center"/>
    </xf>
    <xf numFmtId="0" fontId="177" fillId="3" borderId="9" xfId="17" applyFont="1" applyFill="1" applyBorder="1" applyAlignment="1" applyProtection="1">
      <alignment horizontal="left" vertical="center" wrapText="1"/>
    </xf>
    <xf numFmtId="0" fontId="3" fillId="0" borderId="1" xfId="17" applyFont="1" applyFill="1" applyBorder="1" applyAlignment="1" applyProtection="1">
      <alignment horizontal="left" vertical="center"/>
      <protection locked="0"/>
    </xf>
    <xf numFmtId="0" fontId="177" fillId="0" borderId="9" xfId="17" applyFont="1" applyFill="1" applyBorder="1" applyAlignment="1" applyProtection="1">
      <alignment horizontal="left" vertical="center" wrapText="1"/>
      <protection locked="0"/>
    </xf>
    <xf numFmtId="0" fontId="178" fillId="0" borderId="1" xfId="17" applyBorder="1" applyAlignment="1" applyProtection="1">
      <alignment horizontal="left" vertical="center"/>
      <protection locked="0"/>
    </xf>
    <xf numFmtId="0" fontId="177" fillId="0" borderId="1" xfId="17" applyFont="1" applyBorder="1" applyAlignment="1" applyProtection="1">
      <alignment horizontal="left" vertical="center" wrapText="1"/>
      <protection locked="0"/>
    </xf>
    <xf numFmtId="0" fontId="179" fillId="0" borderId="0" xfId="0" applyFont="1" applyAlignment="1" applyProtection="1">
      <alignment horizontal="left" vertical="center"/>
      <protection locked="0"/>
    </xf>
    <xf numFmtId="0" fontId="46" fillId="0" borderId="0" xfId="0" applyFont="1" applyFill="1" applyAlignment="1" applyProtection="1">
      <alignment horizontal="left" vertical="center"/>
      <protection locked="0"/>
    </xf>
    <xf numFmtId="0" fontId="46" fillId="0" borderId="0" xfId="0" applyFont="1" applyAlignment="1" applyProtection="1">
      <alignment horizontal="left" vertical="center"/>
      <protection locked="0"/>
    </xf>
    <xf numFmtId="0" fontId="46" fillId="0" borderId="0" xfId="0" applyFont="1" applyAlignment="1" applyProtection="1">
      <alignment horizontal="left" vertical="center" wrapText="1"/>
      <protection locked="0"/>
    </xf>
    <xf numFmtId="0" fontId="46" fillId="0" borderId="0" xfId="0" applyFont="1" applyFill="1" applyAlignment="1" applyProtection="1">
      <alignment horizontal="left" vertical="center" wrapText="1"/>
      <protection locked="0"/>
    </xf>
    <xf numFmtId="0" fontId="46" fillId="0" borderId="0" xfId="0" applyNumberFormat="1" applyFont="1" applyFill="1" applyAlignment="1" applyProtection="1">
      <alignment horizontal="left" vertical="center" wrapText="1"/>
      <protection locked="0"/>
    </xf>
    <xf numFmtId="0" fontId="46" fillId="0" borderId="0" xfId="0" applyNumberFormat="1" applyFont="1" applyAlignment="1" applyProtection="1">
      <alignment horizontal="left" vertical="center"/>
      <protection locked="0"/>
    </xf>
    <xf numFmtId="0" fontId="181" fillId="0" borderId="160" xfId="0" applyFont="1" applyBorder="1" applyAlignment="1" applyProtection="1">
      <alignment horizontal="left" vertical="center" wrapText="1"/>
      <protection locked="0"/>
    </xf>
    <xf numFmtId="0" fontId="147" fillId="3" borderId="98" xfId="0" applyFont="1" applyFill="1" applyBorder="1" applyAlignment="1" applyProtection="1">
      <alignment horizontal="left" vertical="center" wrapText="1"/>
    </xf>
    <xf numFmtId="0" fontId="147" fillId="3" borderId="63" xfId="0" applyFont="1" applyFill="1" applyBorder="1" applyAlignment="1" applyProtection="1">
      <alignment horizontal="left" vertical="center" wrapText="1"/>
    </xf>
    <xf numFmtId="0" fontId="147" fillId="3" borderId="100" xfId="0" applyFont="1" applyFill="1" applyBorder="1" applyAlignment="1" applyProtection="1">
      <alignment horizontal="left" vertical="center"/>
    </xf>
    <xf numFmtId="0" fontId="147" fillId="3" borderId="0" xfId="0" applyFont="1" applyFill="1" applyBorder="1" applyAlignment="1" applyProtection="1">
      <alignment horizontal="left" vertical="center" wrapText="1"/>
    </xf>
    <xf numFmtId="0" fontId="46" fillId="3" borderId="99" xfId="0" applyFont="1" applyFill="1" applyBorder="1" applyAlignment="1" applyProtection="1">
      <alignment horizontal="left" vertical="center"/>
    </xf>
    <xf numFmtId="0" fontId="147" fillId="3" borderId="69" xfId="0" applyFont="1" applyFill="1" applyBorder="1" applyAlignment="1" applyProtection="1">
      <alignment horizontal="left" vertical="center" wrapText="1"/>
    </xf>
    <xf numFmtId="0" fontId="46" fillId="3" borderId="5" xfId="0" applyFont="1" applyFill="1" applyBorder="1" applyAlignment="1" applyProtection="1">
      <alignment horizontal="left" vertical="center" wrapText="1"/>
    </xf>
    <xf numFmtId="49" fontId="42" fillId="0" borderId="13" xfId="0" applyNumberFormat="1" applyFont="1" applyFill="1" applyBorder="1" applyAlignment="1" applyProtection="1">
      <alignment horizontal="left" vertical="center" wrapText="1"/>
      <protection locked="0"/>
    </xf>
    <xf numFmtId="49" fontId="46" fillId="3" borderId="0" xfId="0" applyNumberFormat="1" applyFont="1" applyFill="1" applyBorder="1" applyAlignment="1" applyProtection="1">
      <alignment horizontal="left" vertical="center" wrapText="1"/>
      <protection locked="0"/>
    </xf>
    <xf numFmtId="0" fontId="147" fillId="3" borderId="68" xfId="0" applyFont="1" applyFill="1" applyBorder="1" applyAlignment="1" applyProtection="1">
      <alignment horizontal="left" vertical="center" wrapText="1"/>
    </xf>
    <xf numFmtId="0" fontId="46" fillId="3" borderId="81" xfId="0" applyFont="1" applyFill="1" applyBorder="1" applyAlignment="1" applyProtection="1">
      <alignment horizontal="left" vertical="center" wrapText="1"/>
    </xf>
    <xf numFmtId="0" fontId="42" fillId="0" borderId="72" xfId="0" applyNumberFormat="1" applyFont="1" applyFill="1" applyBorder="1" applyAlignment="1" applyProtection="1">
      <alignment horizontal="left" vertical="center" wrapText="1"/>
      <protection locked="0"/>
    </xf>
    <xf numFmtId="0" fontId="46" fillId="3" borderId="1" xfId="0" applyFont="1" applyFill="1" applyBorder="1" applyAlignment="1" applyProtection="1">
      <alignment horizontal="left" vertical="center" wrapText="1"/>
    </xf>
    <xf numFmtId="49" fontId="42" fillId="0" borderId="14" xfId="0" applyNumberFormat="1" applyFont="1" applyFill="1" applyBorder="1" applyAlignment="1" applyProtection="1">
      <alignment horizontal="left" vertical="center" wrapText="1"/>
      <protection locked="0"/>
    </xf>
    <xf numFmtId="49" fontId="46" fillId="3" borderId="68" xfId="0" applyNumberFormat="1" applyFont="1" applyFill="1" applyBorder="1" applyAlignment="1" applyProtection="1">
      <alignment horizontal="left" vertical="center" wrapText="1"/>
    </xf>
    <xf numFmtId="0" fontId="46" fillId="3" borderId="11" xfId="0" applyFont="1" applyFill="1" applyBorder="1" applyAlignment="1" applyProtection="1">
      <alignment horizontal="left" vertical="center" wrapText="1"/>
    </xf>
    <xf numFmtId="0" fontId="42" fillId="0" borderId="14" xfId="0" applyFont="1" applyBorder="1" applyAlignment="1" applyProtection="1">
      <alignment horizontal="left" vertical="center" wrapText="1"/>
      <protection locked="0"/>
    </xf>
    <xf numFmtId="0" fontId="46" fillId="3" borderId="0" xfId="0" applyFont="1" applyFill="1" applyBorder="1" applyAlignment="1" applyProtection="1">
      <alignment horizontal="left" vertical="center" wrapText="1"/>
      <protection locked="0"/>
    </xf>
    <xf numFmtId="49" fontId="46" fillId="3" borderId="76" xfId="0" applyNumberFormat="1" applyFont="1" applyFill="1" applyBorder="1" applyAlignment="1" applyProtection="1">
      <alignment horizontal="left" vertical="center" wrapText="1"/>
    </xf>
    <xf numFmtId="0" fontId="46" fillId="3" borderId="97" xfId="0" applyFont="1" applyFill="1" applyBorder="1" applyAlignment="1" applyProtection="1">
      <alignment horizontal="left" vertical="center" wrapText="1"/>
    </xf>
    <xf numFmtId="0" fontId="42" fillId="0" borderId="15" xfId="0" applyNumberFormat="1" applyFont="1" applyFill="1" applyBorder="1" applyAlignment="1" applyProtection="1">
      <alignment horizontal="left" vertical="center" wrapText="1"/>
      <protection locked="0"/>
    </xf>
    <xf numFmtId="0" fontId="46" fillId="3" borderId="0" xfId="0" applyFont="1" applyFill="1" applyBorder="1" applyAlignment="1" applyProtection="1">
      <alignment horizontal="left" vertical="center"/>
      <protection locked="0"/>
    </xf>
    <xf numFmtId="0" fontId="147" fillId="3" borderId="76" xfId="0" applyFont="1" applyFill="1" applyBorder="1" applyAlignment="1" applyProtection="1">
      <alignment horizontal="left" vertical="center" wrapText="1"/>
    </xf>
    <xf numFmtId="0" fontId="46" fillId="3" borderId="8" xfId="0" applyFont="1" applyFill="1" applyBorder="1" applyAlignment="1" applyProtection="1">
      <alignment horizontal="left" vertical="center" wrapText="1"/>
    </xf>
    <xf numFmtId="0" fontId="42" fillId="0" borderId="15" xfId="0" applyFont="1" applyBorder="1" applyAlignment="1" applyProtection="1">
      <alignment horizontal="left" vertical="center"/>
      <protection locked="0"/>
    </xf>
    <xf numFmtId="0" fontId="46" fillId="0" borderId="0" xfId="0" applyFont="1" applyFill="1" applyBorder="1" applyAlignment="1" applyProtection="1">
      <alignment horizontal="left" vertical="center" wrapText="1"/>
      <protection locked="0"/>
    </xf>
    <xf numFmtId="0" fontId="147" fillId="3" borderId="0" xfId="0" applyFont="1" applyFill="1" applyBorder="1" applyAlignment="1" applyProtection="1">
      <alignment horizontal="left" vertical="center" wrapText="1"/>
      <protection locked="0"/>
    </xf>
    <xf numFmtId="0" fontId="46" fillId="3" borderId="0" xfId="0" applyNumberFormat="1" applyFont="1" applyFill="1" applyBorder="1" applyAlignment="1" applyProtection="1">
      <alignment horizontal="left" vertical="center" wrapText="1"/>
      <protection locked="0"/>
    </xf>
    <xf numFmtId="0" fontId="180" fillId="3" borderId="0" xfId="0" applyFont="1" applyFill="1" applyBorder="1" applyAlignment="1" applyProtection="1">
      <alignment horizontal="left" vertical="center"/>
    </xf>
    <xf numFmtId="0" fontId="181" fillId="0" borderId="0" xfId="0" applyFont="1" applyBorder="1" applyAlignment="1" applyProtection="1">
      <alignment horizontal="left" vertical="center" wrapText="1"/>
      <protection locked="0"/>
    </xf>
    <xf numFmtId="0" fontId="180" fillId="3" borderId="161" xfId="0" applyFont="1" applyFill="1" applyBorder="1" applyAlignment="1" applyProtection="1">
      <alignment horizontal="left" vertical="center"/>
    </xf>
    <xf numFmtId="0" fontId="147" fillId="3" borderId="19" xfId="0" applyFont="1" applyFill="1" applyBorder="1" applyAlignment="1" applyProtection="1">
      <alignment horizontal="left" vertical="center" wrapText="1"/>
    </xf>
    <xf numFmtId="0" fontId="147" fillId="3" borderId="45" xfId="0" applyFont="1" applyFill="1" applyBorder="1" applyAlignment="1" applyProtection="1">
      <alignment horizontal="left" vertical="center" wrapText="1"/>
    </xf>
    <xf numFmtId="0" fontId="147" fillId="3" borderId="111" xfId="0" applyFont="1" applyFill="1" applyBorder="1" applyAlignment="1" applyProtection="1">
      <alignment horizontal="left" vertical="center" wrapText="1"/>
    </xf>
    <xf numFmtId="0" fontId="147" fillId="3" borderId="103" xfId="0" applyFont="1" applyFill="1" applyBorder="1" applyAlignment="1" applyProtection="1">
      <alignment horizontal="left" vertical="center" wrapText="1"/>
    </xf>
    <xf numFmtId="0" fontId="46" fillId="3" borderId="4" xfId="0" applyFont="1" applyFill="1" applyBorder="1" applyAlignment="1" applyProtection="1">
      <alignment horizontal="left" vertical="center" wrapText="1"/>
    </xf>
    <xf numFmtId="49" fontId="46" fillId="3" borderId="70" xfId="0" applyNumberFormat="1" applyFont="1" applyFill="1" applyBorder="1" applyAlignment="1" applyProtection="1">
      <alignment horizontal="left" vertical="center" wrapText="1"/>
    </xf>
    <xf numFmtId="49" fontId="147" fillId="3" borderId="103" xfId="0" applyNumberFormat="1" applyFont="1" applyFill="1" applyBorder="1" applyAlignment="1" applyProtection="1">
      <alignment horizontal="left" vertical="center" wrapText="1"/>
    </xf>
    <xf numFmtId="0" fontId="46" fillId="3" borderId="13" xfId="0" applyNumberFormat="1" applyFont="1" applyFill="1" applyBorder="1" applyAlignment="1" applyProtection="1">
      <alignment horizontal="left" vertical="center" wrapText="1"/>
    </xf>
    <xf numFmtId="0" fontId="147" fillId="3" borderId="93" xfId="0" applyFont="1" applyFill="1" applyBorder="1" applyAlignment="1" applyProtection="1">
      <alignment horizontal="left" vertical="center" wrapText="1"/>
    </xf>
    <xf numFmtId="0" fontId="46" fillId="3" borderId="29" xfId="0" applyFont="1" applyFill="1" applyBorder="1" applyAlignment="1" applyProtection="1">
      <alignment horizontal="left" vertical="center" wrapText="1"/>
    </xf>
    <xf numFmtId="49" fontId="46" fillId="3" borderId="14" xfId="0" applyNumberFormat="1" applyFont="1" applyFill="1" applyBorder="1" applyAlignment="1" applyProtection="1">
      <alignment horizontal="left" vertical="center" wrapText="1"/>
    </xf>
    <xf numFmtId="49" fontId="147" fillId="3" borderId="93" xfId="0" applyNumberFormat="1" applyFont="1" applyFill="1" applyBorder="1" applyAlignment="1" applyProtection="1">
      <alignment horizontal="left" vertical="center" wrapText="1"/>
    </xf>
    <xf numFmtId="0" fontId="46" fillId="3" borderId="6" xfId="0" applyFont="1" applyFill="1" applyBorder="1" applyAlignment="1" applyProtection="1">
      <alignment horizontal="left" vertical="center" wrapText="1"/>
    </xf>
    <xf numFmtId="0" fontId="46" fillId="3" borderId="14" xfId="0" applyNumberFormat="1" applyFont="1" applyFill="1" applyBorder="1" applyAlignment="1" applyProtection="1">
      <alignment horizontal="left" vertical="center" wrapText="1"/>
    </xf>
    <xf numFmtId="0" fontId="32" fillId="0" borderId="14" xfId="0" applyNumberFormat="1" applyFont="1" applyFill="1" applyBorder="1" applyAlignment="1" applyProtection="1">
      <alignment horizontal="left" vertical="center" wrapText="1"/>
      <protection locked="0"/>
    </xf>
    <xf numFmtId="0" fontId="32" fillId="2" borderId="14" xfId="0" applyNumberFormat="1" applyFont="1" applyFill="1" applyBorder="1" applyAlignment="1" applyProtection="1">
      <alignment horizontal="left" vertical="center" wrapText="1"/>
      <protection locked="0"/>
    </xf>
    <xf numFmtId="49" fontId="147" fillId="3" borderId="112" xfId="0" applyNumberFormat="1" applyFont="1" applyFill="1" applyBorder="1" applyAlignment="1" applyProtection="1">
      <alignment horizontal="left" vertical="center" wrapText="1"/>
    </xf>
    <xf numFmtId="0" fontId="46" fillId="3" borderId="7" xfId="0" applyFont="1" applyFill="1" applyBorder="1" applyAlignment="1" applyProtection="1">
      <alignment horizontal="left" vertical="center" wrapText="1"/>
    </xf>
    <xf numFmtId="0" fontId="32" fillId="0" borderId="15" xfId="0" applyNumberFormat="1" applyFont="1" applyFill="1" applyBorder="1" applyAlignment="1" applyProtection="1">
      <alignment horizontal="left" vertical="center" wrapText="1"/>
      <protection locked="0"/>
    </xf>
    <xf numFmtId="0" fontId="147" fillId="3" borderId="112" xfId="0" applyFont="1" applyFill="1" applyBorder="1" applyAlignment="1" applyProtection="1">
      <alignment horizontal="left" vertical="center" wrapText="1"/>
    </xf>
    <xf numFmtId="0" fontId="46" fillId="3" borderId="15" xfId="0" applyNumberFormat="1" applyFont="1" applyFill="1" applyBorder="1" applyAlignment="1" applyProtection="1">
      <alignment horizontal="left" vertical="center" wrapText="1"/>
    </xf>
    <xf numFmtId="0" fontId="46" fillId="3" borderId="0" xfId="0" applyFont="1" applyFill="1" applyAlignment="1" applyProtection="1">
      <alignment horizontal="left" vertical="center" wrapText="1"/>
      <protection locked="0"/>
    </xf>
    <xf numFmtId="0" fontId="46" fillId="3" borderId="0" xfId="0" applyNumberFormat="1" applyFont="1" applyFill="1" applyAlignment="1" applyProtection="1">
      <alignment horizontal="left" vertical="center" wrapText="1"/>
      <protection locked="0"/>
    </xf>
    <xf numFmtId="0" fontId="181" fillId="0" borderId="160" xfId="0" applyNumberFormat="1" applyFont="1" applyFill="1" applyBorder="1" applyAlignment="1" applyProtection="1">
      <alignment horizontal="left" vertical="center" wrapText="1"/>
      <protection locked="0"/>
    </xf>
    <xf numFmtId="0" fontId="181" fillId="0" borderId="160" xfId="0"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49" fontId="46" fillId="0" borderId="0" xfId="0" applyNumberFormat="1" applyFont="1" applyFill="1" applyBorder="1" applyAlignment="1" applyProtection="1">
      <alignment horizontal="left" vertical="center" wrapText="1"/>
      <protection locked="0"/>
    </xf>
    <xf numFmtId="0" fontId="181" fillId="0" borderId="0" xfId="0" applyNumberFormat="1" applyFont="1" applyBorder="1" applyAlignment="1" applyProtection="1">
      <alignment horizontal="left" vertical="center" wrapText="1"/>
      <protection locked="0"/>
    </xf>
    <xf numFmtId="0" fontId="181" fillId="0" borderId="74" xfId="0" applyNumberFormat="1" applyFont="1" applyBorder="1" applyAlignment="1" applyProtection="1">
      <alignment horizontal="left" vertical="center" wrapText="1"/>
      <protection locked="0"/>
    </xf>
    <xf numFmtId="0" fontId="179" fillId="0" borderId="0" xfId="0" applyFont="1" applyAlignment="1" applyProtection="1">
      <alignment horizontal="left" vertical="center" wrapText="1"/>
      <protection locked="0"/>
    </xf>
    <xf numFmtId="0" fontId="179" fillId="0" borderId="0" xfId="0" applyNumberFormat="1" applyFont="1" applyFill="1" applyAlignment="1" applyProtection="1">
      <alignment horizontal="left" vertical="center" wrapText="1"/>
      <protection locked="0"/>
    </xf>
    <xf numFmtId="0" fontId="179" fillId="0" borderId="0" xfId="0" applyFont="1" applyFill="1" applyAlignment="1" applyProtection="1">
      <alignment horizontal="left" vertical="center" wrapText="1"/>
      <protection locked="0"/>
    </xf>
    <xf numFmtId="0" fontId="181" fillId="0" borderId="162" xfId="0" applyFont="1" applyBorder="1" applyAlignment="1" applyProtection="1">
      <alignment horizontal="left" vertical="center" wrapText="1"/>
      <protection locked="0"/>
    </xf>
    <xf numFmtId="0" fontId="179" fillId="0" borderId="0" xfId="0" applyNumberFormat="1" applyFont="1" applyAlignment="1" applyProtection="1">
      <alignment horizontal="left" vertical="center"/>
      <protection locked="0"/>
    </xf>
    <xf numFmtId="0" fontId="32" fillId="0" borderId="0" xfId="0" applyFont="1" applyAlignment="1" applyProtection="1">
      <alignment vertical="center"/>
    </xf>
    <xf numFmtId="0" fontId="32" fillId="0" borderId="0" xfId="0" applyFont="1" applyAlignment="1" applyProtection="1">
      <alignment vertical="center" wrapText="1"/>
    </xf>
    <xf numFmtId="0" fontId="20" fillId="0" borderId="0" xfId="0" applyFont="1" applyFill="1" applyAlignment="1" applyProtection="1">
      <alignment vertical="center"/>
    </xf>
    <xf numFmtId="0" fontId="20" fillId="0" borderId="0" xfId="0" applyFont="1" applyAlignment="1" applyProtection="1">
      <alignment vertical="center"/>
      <protection locked="0"/>
    </xf>
    <xf numFmtId="0" fontId="20" fillId="0" borderId="0" xfId="0" applyFont="1" applyAlignment="1" applyProtection="1">
      <alignment vertical="center" wrapText="1"/>
    </xf>
    <xf numFmtId="0" fontId="20" fillId="0" borderId="0" xfId="0" applyFont="1" applyAlignment="1" applyProtection="1">
      <alignment vertical="center"/>
    </xf>
    <xf numFmtId="181" fontId="20" fillId="0" borderId="0" xfId="0" applyNumberFormat="1" applyFont="1" applyAlignment="1" applyProtection="1">
      <alignment vertical="center"/>
    </xf>
    <xf numFmtId="0" fontId="161" fillId="3" borderId="0" xfId="0" applyFont="1" applyFill="1" applyAlignment="1" applyProtection="1">
      <alignment vertical="center" wrapText="1"/>
    </xf>
    <xf numFmtId="0" fontId="20" fillId="3" borderId="0" xfId="0" applyFont="1" applyFill="1" applyAlignment="1" applyProtection="1">
      <alignment vertical="center"/>
    </xf>
    <xf numFmtId="181" fontId="20" fillId="3" borderId="0" xfId="0" applyNumberFormat="1" applyFont="1" applyFill="1" applyAlignment="1" applyProtection="1">
      <alignment vertical="center"/>
      <protection locked="0"/>
    </xf>
    <xf numFmtId="0" fontId="43" fillId="3" borderId="60" xfId="0" applyFont="1" applyFill="1" applyBorder="1" applyAlignment="1" applyProtection="1">
      <alignment vertical="center" wrapText="1"/>
    </xf>
    <xf numFmtId="14" fontId="43" fillId="3" borderId="61" xfId="0" applyNumberFormat="1" applyFont="1" applyFill="1" applyBorder="1" applyAlignment="1" applyProtection="1">
      <alignment horizontal="center" vertical="center"/>
    </xf>
    <xf numFmtId="0" fontId="32" fillId="3" borderId="0" xfId="0" applyFont="1" applyFill="1" applyAlignment="1" applyProtection="1">
      <alignment vertical="center"/>
      <protection locked="0"/>
    </xf>
    <xf numFmtId="181" fontId="32" fillId="3" borderId="0" xfId="0" applyNumberFormat="1" applyFont="1" applyFill="1" applyAlignment="1" applyProtection="1">
      <alignment vertical="center"/>
      <protection locked="0"/>
    </xf>
    <xf numFmtId="0" fontId="32" fillId="3" borderId="0" xfId="0" applyFont="1" applyFill="1" applyAlignment="1" applyProtection="1">
      <alignment vertical="center" wrapText="1"/>
    </xf>
    <xf numFmtId="0" fontId="32" fillId="3" borderId="0" xfId="0" applyFont="1" applyFill="1" applyAlignment="1" applyProtection="1">
      <alignment vertical="center"/>
    </xf>
    <xf numFmtId="0" fontId="43" fillId="3" borderId="103" xfId="0" applyFont="1" applyFill="1" applyBorder="1" applyAlignment="1" applyProtection="1">
      <alignment vertical="center" wrapText="1"/>
    </xf>
    <xf numFmtId="0" fontId="32" fillId="3" borderId="98" xfId="0" applyFont="1" applyFill="1" applyBorder="1" applyAlignment="1" applyProtection="1">
      <alignment vertical="center"/>
    </xf>
    <xf numFmtId="0" fontId="32" fillId="3" borderId="99" xfId="0" applyFont="1" applyFill="1" applyBorder="1" applyAlignment="1" applyProtection="1">
      <alignment vertical="center"/>
    </xf>
    <xf numFmtId="181" fontId="32" fillId="3" borderId="99" xfId="0" applyNumberFormat="1" applyFont="1" applyFill="1" applyBorder="1" applyAlignment="1" applyProtection="1">
      <alignment vertical="center"/>
    </xf>
    <xf numFmtId="0" fontId="151" fillId="3" borderId="99" xfId="0" applyFont="1" applyFill="1" applyBorder="1" applyAlignment="1" applyProtection="1">
      <alignment vertical="center"/>
    </xf>
    <xf numFmtId="0" fontId="102" fillId="3" borderId="4" xfId="5" applyFont="1" applyFill="1" applyBorder="1" applyAlignment="1" applyProtection="1">
      <alignment vertical="center" wrapText="1"/>
    </xf>
    <xf numFmtId="0" fontId="32" fillId="3" borderId="5" xfId="5" applyFont="1" applyFill="1" applyBorder="1" applyAlignment="1" applyProtection="1">
      <alignment vertical="center" wrapText="1"/>
    </xf>
    <xf numFmtId="0" fontId="32" fillId="3" borderId="39" xfId="5" applyFont="1" applyFill="1" applyBorder="1" applyAlignment="1" applyProtection="1">
      <alignment vertical="center" wrapText="1"/>
    </xf>
    <xf numFmtId="194" fontId="36" fillId="3" borderId="4" xfId="5" applyNumberFormat="1" applyFont="1" applyFill="1" applyBorder="1" applyAlignment="1" applyProtection="1">
      <alignment horizontal="center" vertical="center" wrapText="1"/>
    </xf>
    <xf numFmtId="0" fontId="32" fillId="3" borderId="5" xfId="0" applyFont="1" applyFill="1" applyBorder="1" applyAlignment="1" applyProtection="1">
      <alignment horizontal="center" vertical="center" wrapText="1"/>
    </xf>
    <xf numFmtId="181" fontId="32" fillId="3" borderId="5" xfId="0" applyNumberFormat="1" applyFont="1" applyFill="1" applyBorder="1" applyAlignment="1" applyProtection="1">
      <alignment horizontal="center" vertical="center" wrapText="1"/>
    </xf>
    <xf numFmtId="179" fontId="151" fillId="3" borderId="6" xfId="5" applyNumberFormat="1" applyFont="1" applyFill="1" applyBorder="1" applyAlignment="1" applyProtection="1">
      <alignment horizontal="left" vertical="center"/>
    </xf>
    <xf numFmtId="179" fontId="46" fillId="3" borderId="1" xfId="5" applyNumberFormat="1" applyFont="1" applyFill="1" applyBorder="1" applyAlignment="1" applyProtection="1">
      <alignment vertical="center"/>
    </xf>
    <xf numFmtId="179" fontId="32" fillId="5" borderId="10" xfId="5" applyNumberFormat="1" applyFont="1" applyFill="1" applyBorder="1" applyAlignment="1" applyProtection="1">
      <alignment vertical="center"/>
      <protection locked="0"/>
    </xf>
    <xf numFmtId="179" fontId="32" fillId="3" borderId="6" xfId="5" applyNumberFormat="1" applyFont="1" applyFill="1" applyBorder="1" applyAlignment="1" applyProtection="1">
      <alignment horizontal="center" vertical="center"/>
    </xf>
    <xf numFmtId="185" fontId="32" fillId="3" borderId="1" xfId="0" applyNumberFormat="1" applyFont="1" applyFill="1" applyBorder="1" applyAlignment="1" applyProtection="1">
      <alignment horizontal="center" vertical="center"/>
    </xf>
    <xf numFmtId="181" fontId="36" fillId="3" borderId="1" xfId="5" applyNumberFormat="1" applyFont="1" applyFill="1" applyBorder="1" applyAlignment="1" applyProtection="1">
      <alignment horizontal="center" vertical="center"/>
    </xf>
    <xf numFmtId="194" fontId="36" fillId="3" borderId="1" xfId="5" applyNumberFormat="1" applyFont="1" applyFill="1" applyBorder="1" applyAlignment="1" applyProtection="1">
      <alignment horizontal="center" vertical="center"/>
    </xf>
    <xf numFmtId="183" fontId="69" fillId="0" borderId="1" xfId="0" applyNumberFormat="1" applyFont="1" applyFill="1" applyBorder="1" applyAlignment="1" applyProtection="1">
      <alignment horizontal="center" vertical="center"/>
      <protection locked="0"/>
    </xf>
    <xf numFmtId="183" fontId="32" fillId="0" borderId="1" xfId="0" applyNumberFormat="1" applyFont="1" applyFill="1" applyBorder="1" applyAlignment="1" applyProtection="1">
      <alignment horizontal="center" vertical="center"/>
      <protection locked="0"/>
    </xf>
    <xf numFmtId="179" fontId="32" fillId="3" borderId="6" xfId="5" applyNumberFormat="1" applyFont="1" applyFill="1" applyBorder="1" applyAlignment="1" applyProtection="1">
      <alignment horizontal="left" vertical="center" wrapText="1"/>
    </xf>
    <xf numFmtId="179" fontId="32" fillId="3" borderId="1" xfId="5" applyNumberFormat="1" applyFont="1" applyFill="1" applyBorder="1" applyAlignment="1" applyProtection="1">
      <alignment vertical="center"/>
    </xf>
    <xf numFmtId="179" fontId="32" fillId="3" borderId="10" xfId="5" applyNumberFormat="1" applyFont="1" applyFill="1" applyBorder="1" applyAlignment="1" applyProtection="1">
      <alignment vertical="center"/>
    </xf>
    <xf numFmtId="183" fontId="34" fillId="3" borderId="1" xfId="0" applyNumberFormat="1" applyFont="1" applyFill="1" applyBorder="1" applyAlignment="1" applyProtection="1">
      <alignment horizontal="center" vertical="center"/>
    </xf>
    <xf numFmtId="179" fontId="151" fillId="3" borderId="6" xfId="5" applyNumberFormat="1" applyFont="1" applyFill="1" applyBorder="1" applyAlignment="1" applyProtection="1">
      <alignment horizontal="left" vertical="center" wrapText="1"/>
    </xf>
    <xf numFmtId="0" fontId="43" fillId="3" borderId="7" xfId="5" applyFont="1" applyFill="1" applyBorder="1" applyAlignment="1" applyProtection="1">
      <alignment vertical="center" wrapText="1"/>
    </xf>
    <xf numFmtId="0" fontId="43" fillId="3" borderId="8" xfId="5" applyFont="1" applyFill="1" applyBorder="1" applyAlignment="1" applyProtection="1">
      <alignment vertical="center"/>
    </xf>
    <xf numFmtId="0" fontId="43" fillId="3" borderId="42" xfId="5" applyFont="1" applyFill="1" applyBorder="1" applyAlignment="1" applyProtection="1">
      <alignment vertical="center"/>
    </xf>
    <xf numFmtId="0" fontId="43" fillId="3" borderId="7" xfId="5" applyFont="1" applyFill="1" applyBorder="1" applyAlignment="1" applyProtection="1">
      <alignment vertical="center"/>
    </xf>
    <xf numFmtId="0" fontId="43" fillId="3" borderId="8" xfId="5" applyFont="1" applyFill="1" applyBorder="1" applyAlignment="1" applyProtection="1">
      <alignment horizontal="center" vertical="center"/>
    </xf>
    <xf numFmtId="183" fontId="43" fillId="3" borderId="8" xfId="5" applyNumberFormat="1" applyFont="1" applyFill="1" applyBorder="1" applyAlignment="1" applyProtection="1">
      <alignment vertical="center"/>
    </xf>
    <xf numFmtId="0" fontId="25" fillId="3" borderId="0" xfId="0" applyFont="1" applyFill="1" applyAlignment="1" applyProtection="1">
      <alignment vertical="center" wrapText="1"/>
    </xf>
    <xf numFmtId="0" fontId="20" fillId="9" borderId="0" xfId="0" applyFont="1" applyFill="1" applyAlignment="1" applyProtection="1">
      <alignment vertical="center"/>
      <protection locked="0"/>
    </xf>
    <xf numFmtId="181" fontId="20" fillId="9" borderId="0" xfId="0" applyNumberFormat="1" applyFont="1" applyFill="1" applyAlignment="1" applyProtection="1">
      <alignment vertical="center"/>
      <protection locked="0"/>
    </xf>
    <xf numFmtId="0" fontId="32" fillId="9" borderId="0" xfId="0" applyFont="1" applyFill="1" applyAlignment="1" applyProtection="1">
      <alignment vertical="center"/>
      <protection locked="0"/>
    </xf>
    <xf numFmtId="181" fontId="32" fillId="9" borderId="0" xfId="0" applyNumberFormat="1" applyFont="1" applyFill="1" applyAlignment="1" applyProtection="1">
      <alignment vertical="center"/>
      <protection locked="0"/>
    </xf>
    <xf numFmtId="186" fontId="36" fillId="3" borderId="4" xfId="5" applyNumberFormat="1" applyFont="1" applyFill="1" applyBorder="1" applyAlignment="1" applyProtection="1">
      <alignment vertical="center" wrapText="1"/>
    </xf>
    <xf numFmtId="186" fontId="36" fillId="0" borderId="13" xfId="5" applyNumberFormat="1" applyFont="1" applyFill="1" applyBorder="1" applyAlignment="1" applyProtection="1">
      <alignment horizontal="center" vertical="center"/>
      <protection locked="0"/>
    </xf>
    <xf numFmtId="0" fontId="146" fillId="9" borderId="0" xfId="0" applyFont="1" applyFill="1" applyAlignment="1" applyProtection="1">
      <alignment vertical="center"/>
    </xf>
    <xf numFmtId="186" fontId="36" fillId="3" borderId="6" xfId="5" applyNumberFormat="1" applyFont="1" applyFill="1" applyBorder="1" applyAlignment="1" applyProtection="1">
      <alignment vertical="center" wrapText="1"/>
    </xf>
    <xf numFmtId="186" fontId="32" fillId="0" borderId="14" xfId="5" applyNumberFormat="1" applyFont="1" applyFill="1" applyBorder="1" applyAlignment="1" applyProtection="1">
      <alignment horizontal="center" vertical="center"/>
      <protection locked="0"/>
    </xf>
    <xf numFmtId="186" fontId="32" fillId="3" borderId="6" xfId="5" applyNumberFormat="1" applyFont="1" applyFill="1" applyBorder="1" applyAlignment="1" applyProtection="1">
      <alignment vertical="center" wrapText="1"/>
    </xf>
    <xf numFmtId="186" fontId="36" fillId="3" borderId="14" xfId="5" applyNumberFormat="1" applyFont="1" applyFill="1" applyBorder="1" applyAlignment="1" applyProtection="1">
      <alignment horizontal="center" vertical="center"/>
    </xf>
    <xf numFmtId="186" fontId="36" fillId="3" borderId="7" xfId="5" applyNumberFormat="1" applyFont="1" applyFill="1" applyBorder="1" applyAlignment="1" applyProtection="1">
      <alignment vertical="center" wrapText="1"/>
    </xf>
    <xf numFmtId="186" fontId="36" fillId="3" borderId="15" xfId="5" applyNumberFormat="1" applyFont="1" applyFill="1" applyBorder="1" applyAlignment="1" applyProtection="1">
      <alignment horizontal="center" vertical="center"/>
    </xf>
    <xf numFmtId="0" fontId="32" fillId="3" borderId="63" xfId="0" applyFont="1" applyFill="1" applyBorder="1" applyAlignment="1" applyProtection="1">
      <alignment horizontal="center" vertical="center"/>
    </xf>
    <xf numFmtId="0" fontId="32" fillId="9" borderId="61" xfId="0" applyFont="1" applyFill="1" applyBorder="1" applyAlignment="1" applyProtection="1">
      <alignment horizontal="center" vertical="center"/>
      <protection locked="0"/>
    </xf>
    <xf numFmtId="0" fontId="32" fillId="3" borderId="4" xfId="0" applyFont="1" applyFill="1" applyBorder="1" applyAlignment="1" applyProtection="1">
      <alignment vertical="center" wrapText="1"/>
    </xf>
    <xf numFmtId="0" fontId="21" fillId="0" borderId="13" xfId="5" applyNumberFormat="1" applyFont="1" applyFill="1" applyBorder="1" applyAlignment="1" applyProtection="1">
      <alignment horizontal="center" vertical="center"/>
      <protection locked="0"/>
    </xf>
    <xf numFmtId="0" fontId="60" fillId="9" borderId="0" xfId="0" applyFont="1" applyFill="1" applyAlignment="1" applyProtection="1">
      <alignment horizontal="left" vertical="center"/>
    </xf>
    <xf numFmtId="181" fontId="32" fillId="9" borderId="0" xfId="0" applyNumberFormat="1" applyFont="1" applyFill="1" applyAlignment="1" applyProtection="1">
      <alignment horizontal="center" vertical="center"/>
      <protection locked="0"/>
    </xf>
    <xf numFmtId="0" fontId="32" fillId="9" borderId="0" xfId="0" applyFont="1" applyFill="1" applyAlignment="1" applyProtection="1">
      <alignment horizontal="center" vertical="center"/>
      <protection locked="0"/>
    </xf>
    <xf numFmtId="0" fontId="32" fillId="3" borderId="6" xfId="0" applyFont="1" applyFill="1" applyBorder="1" applyAlignment="1" applyProtection="1">
      <alignment vertical="center" wrapText="1"/>
    </xf>
    <xf numFmtId="0" fontId="21" fillId="0" borderId="14" xfId="5" applyNumberFormat="1" applyFont="1" applyFill="1" applyBorder="1" applyAlignment="1" applyProtection="1">
      <alignment horizontal="center" vertical="center"/>
      <protection locked="0"/>
    </xf>
    <xf numFmtId="0" fontId="51" fillId="9" borderId="0" xfId="0" applyFont="1" applyFill="1" applyAlignment="1" applyProtection="1">
      <alignment horizontal="center" vertical="center"/>
      <protection locked="0"/>
    </xf>
    <xf numFmtId="0" fontId="32" fillId="3" borderId="7" xfId="0" applyFont="1" applyFill="1" applyBorder="1" applyAlignment="1" applyProtection="1">
      <alignment vertical="center" wrapText="1"/>
    </xf>
    <xf numFmtId="0" fontId="21" fillId="0" borderId="15" xfId="5" applyNumberFormat="1" applyFont="1" applyFill="1" applyBorder="1" applyAlignment="1" applyProtection="1">
      <alignment horizontal="center" vertical="center"/>
      <protection locked="0"/>
    </xf>
    <xf numFmtId="0" fontId="146" fillId="9" borderId="0" xfId="0" applyFont="1" applyFill="1" applyAlignment="1" applyProtection="1">
      <alignment horizontal="left" vertical="center"/>
    </xf>
    <xf numFmtId="0" fontId="32" fillId="3" borderId="29" xfId="0" applyFont="1" applyFill="1" applyBorder="1" applyAlignment="1" applyProtection="1">
      <alignment vertical="center" wrapText="1"/>
    </xf>
    <xf numFmtId="0" fontId="21" fillId="0" borderId="72" xfId="5" applyNumberFormat="1" applyFont="1" applyFill="1" applyBorder="1" applyAlignment="1" applyProtection="1">
      <alignment horizontal="center" vertical="center"/>
      <protection locked="0"/>
    </xf>
    <xf numFmtId="0" fontId="36" fillId="3" borderId="14" xfId="5" applyNumberFormat="1" applyFont="1" applyFill="1" applyBorder="1" applyAlignment="1" applyProtection="1">
      <alignment horizontal="center" vertical="center"/>
    </xf>
    <xf numFmtId="0" fontId="51" fillId="9" borderId="0" xfId="0" applyFont="1" applyFill="1" applyAlignment="1" applyProtection="1">
      <alignment horizontal="left" vertical="center"/>
      <protection locked="0"/>
    </xf>
    <xf numFmtId="0" fontId="32" fillId="3" borderId="22" xfId="0" applyFont="1" applyFill="1" applyBorder="1" applyAlignment="1" applyProtection="1">
      <alignment vertical="center" wrapText="1"/>
    </xf>
    <xf numFmtId="0" fontId="21" fillId="0" borderId="57" xfId="5" applyNumberFormat="1" applyFont="1" applyFill="1" applyBorder="1" applyAlignment="1" applyProtection="1">
      <alignment horizontal="center" vertical="center"/>
      <protection locked="0"/>
    </xf>
    <xf numFmtId="183" fontId="20" fillId="0" borderId="13" xfId="0" applyNumberFormat="1" applyFont="1" applyFill="1" applyBorder="1" applyAlignment="1" applyProtection="1">
      <alignment horizontal="center" vertical="center"/>
      <protection locked="0"/>
    </xf>
    <xf numFmtId="0" fontId="92" fillId="9" borderId="0" xfId="0" applyFont="1" applyFill="1" applyAlignment="1" applyProtection="1">
      <alignment vertical="center"/>
    </xf>
    <xf numFmtId="183" fontId="20" fillId="0" borderId="14" xfId="0" applyNumberFormat="1" applyFont="1" applyFill="1" applyBorder="1" applyAlignment="1" applyProtection="1">
      <alignment horizontal="center" vertical="center"/>
      <protection locked="0"/>
    </xf>
    <xf numFmtId="181" fontId="157" fillId="9" borderId="0" xfId="0" applyNumberFormat="1" applyFont="1" applyFill="1" applyAlignment="1" applyProtection="1">
      <alignment vertical="center"/>
    </xf>
    <xf numFmtId="183" fontId="20" fillId="0" borderId="15" xfId="0" applyNumberFormat="1" applyFont="1" applyFill="1" applyBorder="1" applyAlignment="1" applyProtection="1">
      <alignment horizontal="center" vertical="center"/>
      <protection locked="0"/>
    </xf>
    <xf numFmtId="183" fontId="20" fillId="0" borderId="72" xfId="0" applyNumberFormat="1" applyFont="1" applyFill="1" applyBorder="1" applyAlignment="1" applyProtection="1">
      <alignment horizontal="center" vertical="center"/>
      <protection locked="0"/>
    </xf>
    <xf numFmtId="0" fontId="102" fillId="3" borderId="22" xfId="0" applyFont="1" applyFill="1" applyBorder="1" applyAlignment="1" applyProtection="1">
      <alignment vertical="center" wrapText="1"/>
    </xf>
    <xf numFmtId="0" fontId="69" fillId="9" borderId="0" xfId="0" applyFont="1" applyFill="1" applyAlignment="1" applyProtection="1">
      <alignment vertical="center"/>
      <protection locked="0"/>
    </xf>
    <xf numFmtId="0" fontId="102" fillId="2" borderId="22" xfId="0" applyFont="1" applyFill="1" applyBorder="1" applyAlignment="1" applyProtection="1">
      <alignment vertical="center" wrapText="1"/>
      <protection locked="0"/>
    </xf>
    <xf numFmtId="10" fontId="20" fillId="3" borderId="57" xfId="0" applyNumberFormat="1" applyFont="1" applyFill="1" applyBorder="1" applyAlignment="1" applyProtection="1">
      <alignment horizontal="center" vertical="center"/>
    </xf>
    <xf numFmtId="10" fontId="92" fillId="0" borderId="6" xfId="0" applyNumberFormat="1" applyFont="1" applyFill="1" applyBorder="1" applyAlignment="1" applyProtection="1">
      <alignment vertical="center"/>
      <protection locked="0"/>
    </xf>
    <xf numFmtId="10" fontId="32" fillId="3" borderId="13" xfId="0" applyNumberFormat="1" applyFont="1" applyFill="1" applyBorder="1" applyAlignment="1" applyProtection="1">
      <alignment horizontal="center" vertical="center"/>
    </xf>
    <xf numFmtId="0" fontId="32" fillId="3" borderId="22" xfId="0" applyFont="1" applyFill="1" applyBorder="1" applyAlignment="1" applyProtection="1">
      <alignment horizontal="left" vertical="center" wrapText="1"/>
    </xf>
    <xf numFmtId="10" fontId="32" fillId="0" borderId="57" xfId="0" applyNumberFormat="1" applyFont="1" applyFill="1" applyBorder="1" applyAlignment="1" applyProtection="1">
      <alignment horizontal="center" vertical="center"/>
      <protection locked="0"/>
    </xf>
    <xf numFmtId="183" fontId="51" fillId="9" borderId="0" xfId="0" applyNumberFormat="1" applyFont="1" applyFill="1" applyAlignment="1" applyProtection="1">
      <alignment horizontal="center" vertical="center"/>
    </xf>
    <xf numFmtId="191" fontId="32" fillId="3" borderId="57" xfId="0" applyNumberFormat="1" applyFont="1" applyFill="1" applyBorder="1" applyAlignment="1" applyProtection="1">
      <alignment horizontal="center" vertical="center"/>
    </xf>
    <xf numFmtId="0" fontId="32" fillId="3" borderId="22" xfId="0" applyFont="1" applyFill="1" applyBorder="1" applyAlignment="1" applyProtection="1">
      <alignment horizontal="right" vertical="center" wrapText="1"/>
    </xf>
    <xf numFmtId="10" fontId="32" fillId="5" borderId="57" xfId="0" applyNumberFormat="1" applyFont="1" applyFill="1" applyBorder="1" applyAlignment="1" applyProtection="1">
      <alignment horizontal="center" vertical="center"/>
      <protection locked="0"/>
    </xf>
    <xf numFmtId="0" fontId="157" fillId="9" borderId="0" xfId="0" applyFont="1" applyFill="1" applyAlignment="1" applyProtection="1">
      <alignment horizontal="left" vertical="center"/>
    </xf>
    <xf numFmtId="0" fontId="32" fillId="3" borderId="7" xfId="0" applyFont="1" applyFill="1" applyBorder="1" applyAlignment="1" applyProtection="1">
      <alignment horizontal="right" vertical="center" wrapText="1"/>
    </xf>
    <xf numFmtId="10" fontId="32" fillId="0" borderId="15" xfId="0" applyNumberFormat="1" applyFont="1" applyFill="1" applyBorder="1" applyAlignment="1" applyProtection="1">
      <alignment horizontal="center" vertical="center"/>
      <protection locked="0"/>
    </xf>
    <xf numFmtId="0" fontId="32" fillId="3" borderId="68" xfId="0" applyFont="1" applyFill="1" applyBorder="1" applyAlignment="1" applyProtection="1">
      <alignment vertical="center" wrapText="1"/>
    </xf>
    <xf numFmtId="10" fontId="32" fillId="0" borderId="73" xfId="0" applyNumberFormat="1" applyFont="1" applyFill="1" applyBorder="1" applyAlignment="1" applyProtection="1">
      <alignment horizontal="center" vertical="center"/>
      <protection locked="0"/>
    </xf>
    <xf numFmtId="0" fontId="32" fillId="3" borderId="69" xfId="0" applyFont="1" applyFill="1" applyBorder="1" applyAlignment="1" applyProtection="1">
      <alignment vertical="center" wrapText="1"/>
    </xf>
    <xf numFmtId="10" fontId="32" fillId="3" borderId="70" xfId="0" applyNumberFormat="1" applyFont="1" applyFill="1" applyBorder="1" applyAlignment="1" applyProtection="1">
      <alignment horizontal="center" vertical="center"/>
    </xf>
    <xf numFmtId="10" fontId="32" fillId="3" borderId="15" xfId="0" applyNumberFormat="1" applyFont="1" applyFill="1" applyBorder="1" applyAlignment="1" applyProtection="1">
      <alignment horizontal="center" vertical="center"/>
    </xf>
    <xf numFmtId="190" fontId="32" fillId="3" borderId="70" xfId="0" applyNumberFormat="1" applyFont="1" applyFill="1" applyBorder="1" applyAlignment="1" applyProtection="1">
      <alignment horizontal="center" vertical="center"/>
    </xf>
    <xf numFmtId="0" fontId="32" fillId="5" borderId="14" xfId="0" applyFont="1" applyFill="1" applyBorder="1" applyAlignment="1" applyProtection="1">
      <alignment horizontal="center" vertical="center"/>
      <protection locked="0"/>
    </xf>
    <xf numFmtId="0" fontId="102" fillId="9" borderId="0" xfId="0" applyFont="1" applyFill="1" applyAlignment="1" applyProtection="1">
      <alignment horizontal="center" vertical="center"/>
      <protection locked="0"/>
    </xf>
    <xf numFmtId="0" fontId="182" fillId="9" borderId="0" xfId="0" applyFont="1" applyFill="1" applyAlignment="1" applyProtection="1">
      <alignment vertical="center"/>
    </xf>
    <xf numFmtId="0" fontId="102" fillId="0" borderId="6" xfId="0" applyFont="1" applyBorder="1" applyAlignment="1" applyProtection="1">
      <alignment horizontal="right" vertical="center" wrapText="1"/>
      <protection locked="0"/>
    </xf>
    <xf numFmtId="0" fontId="32" fillId="0" borderId="14" xfId="0" applyFont="1" applyBorder="1" applyAlignment="1" applyProtection="1">
      <alignment horizontal="center" vertical="center"/>
      <protection locked="0"/>
    </xf>
    <xf numFmtId="181" fontId="102" fillId="9" borderId="0" xfId="0" applyNumberFormat="1" applyFont="1" applyFill="1" applyAlignment="1" applyProtection="1">
      <alignment vertical="center"/>
      <protection locked="0"/>
    </xf>
    <xf numFmtId="0" fontId="102" fillId="0" borderId="7" xfId="0" applyFont="1" applyBorder="1" applyAlignment="1" applyProtection="1">
      <alignment horizontal="right" vertical="center" wrapText="1"/>
      <protection locked="0"/>
    </xf>
    <xf numFmtId="0" fontId="32" fillId="0" borderId="15" xfId="0" applyFont="1" applyBorder="1" applyAlignment="1" applyProtection="1">
      <alignment vertical="center"/>
      <protection locked="0"/>
    </xf>
    <xf numFmtId="181" fontId="20" fillId="0" borderId="0" xfId="0" applyNumberFormat="1" applyFont="1" applyAlignment="1" applyProtection="1">
      <alignment vertical="center"/>
      <protection locked="0"/>
    </xf>
    <xf numFmtId="0" fontId="32" fillId="3" borderId="100" xfId="0" applyFont="1" applyFill="1" applyBorder="1" applyAlignment="1" applyProtection="1">
      <alignment vertical="center"/>
    </xf>
    <xf numFmtId="0" fontId="32" fillId="3" borderId="98" xfId="0" applyFont="1" applyFill="1" applyBorder="1" applyAlignment="1" applyProtection="1">
      <alignment horizontal="center" vertical="center"/>
    </xf>
    <xf numFmtId="0" fontId="32" fillId="3" borderId="99" xfId="0" applyFont="1" applyFill="1" applyBorder="1" applyAlignment="1" applyProtection="1">
      <alignment horizontal="center" vertical="center"/>
    </xf>
    <xf numFmtId="0" fontId="51" fillId="3" borderId="13" xfId="0" applyFont="1" applyFill="1" applyBorder="1" applyAlignment="1" applyProtection="1">
      <alignment horizontal="center" vertical="center" wrapText="1"/>
    </xf>
    <xf numFmtId="179" fontId="32" fillId="3" borderId="4" xfId="5" applyNumberFormat="1" applyFont="1" applyFill="1" applyBorder="1" applyAlignment="1" applyProtection="1">
      <alignment horizontal="center" vertical="center" wrapText="1"/>
    </xf>
    <xf numFmtId="0" fontId="32" fillId="3" borderId="5" xfId="5" applyFont="1" applyFill="1" applyBorder="1" applyAlignment="1" applyProtection="1">
      <alignment horizontal="center" vertical="center" wrapText="1"/>
    </xf>
    <xf numFmtId="181" fontId="32" fillId="3" borderId="5" xfId="5" applyNumberFormat="1" applyFont="1" applyFill="1" applyBorder="1" applyAlignment="1" applyProtection="1">
      <alignment horizontal="center" vertical="center" wrapText="1"/>
    </xf>
    <xf numFmtId="0" fontId="32" fillId="2" borderId="5" xfId="5" applyFont="1" applyFill="1" applyBorder="1" applyAlignment="1" applyProtection="1">
      <alignment horizontal="center" vertical="center" wrapText="1"/>
      <protection locked="0"/>
    </xf>
    <xf numFmtId="0" fontId="32" fillId="3" borderId="39" xfId="5" applyFont="1" applyFill="1" applyBorder="1" applyAlignment="1" applyProtection="1">
      <alignment horizontal="center" vertical="center" wrapText="1"/>
    </xf>
    <xf numFmtId="183" fontId="69" fillId="18" borderId="1" xfId="0" applyNumberFormat="1" applyFont="1" applyFill="1" applyBorder="1" applyAlignment="1" applyProtection="1">
      <alignment horizontal="center" vertical="center"/>
      <protection locked="0"/>
    </xf>
    <xf numFmtId="181" fontId="32" fillId="3" borderId="6" xfId="5" applyNumberFormat="1" applyFont="1" applyFill="1" applyBorder="1" applyAlignment="1" applyProtection="1">
      <alignment horizontal="center" vertical="center"/>
    </xf>
    <xf numFmtId="179" fontId="20" fillId="18" borderId="1" xfId="5" applyNumberFormat="1" applyFont="1" applyFill="1" applyBorder="1" applyAlignment="1" applyProtection="1">
      <alignment horizontal="center" vertical="center"/>
      <protection locked="0"/>
    </xf>
    <xf numFmtId="0" fontId="32" fillId="3" borderId="1" xfId="5" applyNumberFormat="1" applyFont="1" applyFill="1" applyBorder="1" applyAlignment="1" applyProtection="1">
      <alignment horizontal="center" vertical="center"/>
    </xf>
    <xf numFmtId="10" fontId="20" fillId="0" borderId="1" xfId="5" applyNumberFormat="1" applyFont="1" applyFill="1" applyBorder="1" applyAlignment="1" applyProtection="1">
      <alignment horizontal="center" vertical="center"/>
      <protection locked="0"/>
    </xf>
    <xf numFmtId="0" fontId="32" fillId="3" borderId="10" xfId="0" applyNumberFormat="1" applyFont="1" applyFill="1" applyBorder="1" applyAlignment="1" applyProtection="1">
      <alignment horizontal="center" vertical="center"/>
    </xf>
    <xf numFmtId="179" fontId="20" fillId="0" borderId="1" xfId="5" applyNumberFormat="1" applyFont="1" applyFill="1" applyBorder="1" applyAlignment="1" applyProtection="1">
      <alignment horizontal="center" vertical="center"/>
      <protection locked="0"/>
    </xf>
    <xf numFmtId="179" fontId="32" fillId="0" borderId="1" xfId="5" applyNumberFormat="1" applyFont="1" applyFill="1" applyBorder="1" applyAlignment="1" applyProtection="1">
      <alignment horizontal="center" vertical="center"/>
      <protection locked="0"/>
    </xf>
    <xf numFmtId="10" fontId="32" fillId="0" borderId="1" xfId="5" applyNumberFormat="1" applyFont="1" applyFill="1" applyBorder="1" applyAlignment="1" applyProtection="1">
      <alignment horizontal="center" vertical="center"/>
      <protection locked="0"/>
    </xf>
    <xf numFmtId="179" fontId="32" fillId="3" borderId="1" xfId="5" applyNumberFormat="1" applyFont="1" applyFill="1" applyBorder="1" applyAlignment="1" applyProtection="1">
      <alignment horizontal="center" vertical="center"/>
    </xf>
    <xf numFmtId="10" fontId="32" fillId="3" borderId="1" xfId="5" applyNumberFormat="1" applyFont="1" applyFill="1" applyBorder="1" applyAlignment="1" applyProtection="1">
      <alignment horizontal="center" vertical="center"/>
    </xf>
    <xf numFmtId="0" fontId="43" fillId="3" borderId="15" xfId="5" applyFont="1" applyFill="1" applyBorder="1" applyAlignment="1" applyProtection="1">
      <alignment vertical="center"/>
    </xf>
    <xf numFmtId="186" fontId="32" fillId="3" borderId="7" xfId="0" applyNumberFormat="1" applyFont="1" applyFill="1" applyBorder="1" applyAlignment="1" applyProtection="1">
      <alignment horizontal="center" vertical="center"/>
    </xf>
    <xf numFmtId="0" fontId="32" fillId="3" borderId="8" xfId="5" applyNumberFormat="1" applyFont="1" applyFill="1" applyBorder="1" applyAlignment="1" applyProtection="1">
      <alignment horizontal="center" vertical="center"/>
    </xf>
    <xf numFmtId="10" fontId="32" fillId="3" borderId="8" xfId="5" applyNumberFormat="1" applyFont="1" applyFill="1" applyBorder="1" applyAlignment="1" applyProtection="1">
      <alignment horizontal="center" vertical="center"/>
    </xf>
    <xf numFmtId="0" fontId="20" fillId="9" borderId="0" xfId="0" applyFont="1" applyFill="1" applyAlignment="1" applyProtection="1">
      <alignment horizontal="center" vertical="center"/>
      <protection locked="0"/>
    </xf>
    <xf numFmtId="0" fontId="32" fillId="9" borderId="0" xfId="0" applyFont="1" applyFill="1" applyBorder="1" applyAlignment="1" applyProtection="1">
      <alignment vertical="center"/>
      <protection locked="0"/>
    </xf>
    <xf numFmtId="0" fontId="32" fillId="3" borderId="111" xfId="0" applyFont="1" applyFill="1" applyBorder="1" applyAlignment="1" applyProtection="1">
      <alignment horizontal="center" vertical="center"/>
    </xf>
    <xf numFmtId="0" fontId="32" fillId="3" borderId="4" xfId="5" applyFont="1" applyFill="1" applyBorder="1" applyAlignment="1" applyProtection="1">
      <alignment horizontal="center" vertical="center" wrapText="1"/>
    </xf>
    <xf numFmtId="0" fontId="102" fillId="3" borderId="55" xfId="5" applyFont="1" applyFill="1" applyBorder="1" applyAlignment="1" applyProtection="1">
      <alignment horizontal="center" vertical="center" wrapText="1"/>
    </xf>
    <xf numFmtId="0" fontId="32" fillId="3" borderId="70" xfId="5" applyFont="1" applyFill="1" applyBorder="1" applyAlignment="1" applyProtection="1">
      <alignment horizontal="center" vertical="center" wrapText="1"/>
    </xf>
    <xf numFmtId="0" fontId="32" fillId="3" borderId="4" xfId="0" applyFont="1" applyFill="1" applyBorder="1" applyAlignment="1" applyProtection="1">
      <alignment horizontal="center" vertical="center" wrapText="1"/>
    </xf>
    <xf numFmtId="0" fontId="102" fillId="3" borderId="39" xfId="0" applyFont="1" applyFill="1" applyBorder="1" applyAlignment="1" applyProtection="1">
      <alignment horizontal="center" vertical="center" wrapText="1"/>
    </xf>
    <xf numFmtId="9" fontId="20" fillId="0" borderId="10" xfId="0" applyNumberFormat="1" applyFont="1" applyFill="1" applyBorder="1" applyAlignment="1" applyProtection="1">
      <alignment horizontal="center" vertical="center"/>
      <protection locked="0"/>
    </xf>
    <xf numFmtId="181" fontId="32" fillId="3" borderId="1" xfId="0" applyNumberFormat="1" applyFont="1" applyFill="1" applyBorder="1" applyAlignment="1" applyProtection="1">
      <alignment horizontal="center" vertical="center"/>
    </xf>
    <xf numFmtId="0" fontId="32" fillId="0" borderId="14" xfId="5" applyNumberFormat="1" applyFont="1" applyFill="1" applyBorder="1" applyAlignment="1" applyProtection="1">
      <alignment horizontal="center" vertical="center"/>
      <protection locked="0"/>
    </xf>
    <xf numFmtId="0" fontId="32" fillId="18" borderId="6" xfId="0" applyFont="1" applyFill="1" applyBorder="1" applyAlignment="1" applyProtection="1">
      <alignment vertical="center"/>
      <protection locked="0"/>
    </xf>
    <xf numFmtId="183" fontId="32" fillId="0" borderId="1" xfId="0" applyNumberFormat="1" applyFont="1" applyBorder="1" applyAlignment="1" applyProtection="1">
      <alignment vertical="center"/>
      <protection locked="0"/>
    </xf>
    <xf numFmtId="183" fontId="32" fillId="3" borderId="10" xfId="0" applyNumberFormat="1" applyFont="1" applyFill="1" applyBorder="1" applyAlignment="1" applyProtection="1">
      <alignment vertical="center"/>
    </xf>
    <xf numFmtId="0" fontId="32" fillId="0" borderId="6" xfId="0" applyFont="1" applyBorder="1" applyAlignment="1" applyProtection="1">
      <alignment vertical="center"/>
      <protection locked="0"/>
    </xf>
    <xf numFmtId="9" fontId="32" fillId="0" borderId="10" xfId="0" applyNumberFormat="1" applyFont="1" applyFill="1" applyBorder="1" applyAlignment="1" applyProtection="1">
      <alignment horizontal="center" vertical="center"/>
      <protection locked="0"/>
    </xf>
    <xf numFmtId="0" fontId="32" fillId="0" borderId="6" xfId="0" applyFont="1" applyBorder="1" applyAlignment="1" applyProtection="1">
      <alignment horizontal="center" vertical="center"/>
      <protection locked="0"/>
    </xf>
    <xf numFmtId="183" fontId="32" fillId="3" borderId="10" xfId="0" applyNumberFormat="1" applyFont="1" applyFill="1" applyBorder="1" applyAlignment="1" applyProtection="1">
      <alignment horizontal="center" vertical="center"/>
    </xf>
    <xf numFmtId="9" fontId="32" fillId="3" borderId="10" xfId="0" applyNumberFormat="1" applyFont="1" applyFill="1" applyBorder="1" applyAlignment="1" applyProtection="1">
      <alignment horizontal="center" vertical="center"/>
    </xf>
    <xf numFmtId="0" fontId="32" fillId="0" borderId="14" xfId="5" applyNumberFormat="1" applyFont="1" applyFill="1" applyBorder="1" applyAlignment="1" applyProtection="1">
      <alignment horizontal="center" vertical="center"/>
    </xf>
    <xf numFmtId="0" fontId="32" fillId="3" borderId="6" xfId="0" applyFont="1" applyFill="1" applyBorder="1" applyAlignment="1" applyProtection="1">
      <alignment vertical="center"/>
    </xf>
    <xf numFmtId="183" fontId="32" fillId="3" borderId="1" xfId="0" applyNumberFormat="1" applyFont="1" applyFill="1" applyBorder="1" applyAlignment="1" applyProtection="1">
      <alignment vertical="center"/>
    </xf>
    <xf numFmtId="9" fontId="32" fillId="3" borderId="42" xfId="0" applyNumberFormat="1" applyFont="1" applyFill="1" applyBorder="1" applyAlignment="1" applyProtection="1">
      <alignment horizontal="center" vertical="center"/>
    </xf>
    <xf numFmtId="181" fontId="32" fillId="3" borderId="7" xfId="5" applyNumberFormat="1" applyFont="1" applyFill="1" applyBorder="1" applyAlignment="1" applyProtection="1">
      <alignment horizontal="center" vertical="center"/>
    </xf>
    <xf numFmtId="181" fontId="32" fillId="3" borderId="97" xfId="5" applyNumberFormat="1" applyFont="1" applyFill="1" applyBorder="1" applyAlignment="1" applyProtection="1">
      <alignment horizontal="center" vertical="center"/>
    </xf>
    <xf numFmtId="0" fontId="32" fillId="3" borderId="53" xfId="5" applyNumberFormat="1" applyFont="1" applyFill="1" applyBorder="1" applyAlignment="1" applyProtection="1">
      <alignment horizontal="center" vertical="center"/>
    </xf>
    <xf numFmtId="0" fontId="32" fillId="3" borderId="7" xfId="0" applyFont="1" applyFill="1" applyBorder="1" applyAlignment="1" applyProtection="1">
      <alignment vertical="center"/>
    </xf>
    <xf numFmtId="0" fontId="32" fillId="3" borderId="8" xfId="0" applyFont="1" applyFill="1" applyBorder="1" applyAlignment="1" applyProtection="1">
      <alignment vertical="center"/>
    </xf>
    <xf numFmtId="0" fontId="32" fillId="3" borderId="42" xfId="0" applyFont="1" applyFill="1" applyBorder="1" applyAlignment="1" applyProtection="1">
      <alignment vertical="center"/>
    </xf>
    <xf numFmtId="0" fontId="32" fillId="3" borderId="55" xfId="0" applyFont="1" applyFill="1" applyBorder="1" applyAlignment="1" applyProtection="1">
      <alignment vertical="center"/>
    </xf>
    <xf numFmtId="0" fontId="32" fillId="3" borderId="19" xfId="0" applyFont="1" applyFill="1" applyBorder="1" applyAlignment="1" applyProtection="1">
      <alignment vertical="center"/>
    </xf>
    <xf numFmtId="0" fontId="32" fillId="3" borderId="56" xfId="0" applyFont="1" applyFill="1" applyBorder="1" applyAlignment="1" applyProtection="1">
      <alignment horizontal="center" vertical="center" wrapText="1"/>
    </xf>
    <xf numFmtId="0" fontId="102" fillId="3" borderId="5" xfId="0" applyFont="1" applyFill="1" applyBorder="1" applyAlignment="1" applyProtection="1">
      <alignment horizontal="center" vertical="center" wrapText="1"/>
    </xf>
    <xf numFmtId="0" fontId="102" fillId="3" borderId="4" xfId="0" applyFont="1" applyFill="1" applyBorder="1" applyAlignment="1" applyProtection="1">
      <alignment horizontal="center" vertical="center" wrapText="1"/>
    </xf>
    <xf numFmtId="183" fontId="32" fillId="0" borderId="14" xfId="0" applyNumberFormat="1" applyFont="1" applyBorder="1" applyAlignment="1" applyProtection="1">
      <alignment vertical="center"/>
      <protection locked="0"/>
    </xf>
    <xf numFmtId="0" fontId="32" fillId="0" borderId="11" xfId="0" applyFont="1" applyBorder="1" applyAlignment="1" applyProtection="1">
      <alignment vertical="center"/>
      <protection locked="0"/>
    </xf>
    <xf numFmtId="183" fontId="32" fillId="0" borderId="10" xfId="0" applyNumberFormat="1" applyFont="1" applyBorder="1" applyAlignment="1" applyProtection="1">
      <alignment vertical="center"/>
      <protection locked="0"/>
    </xf>
    <xf numFmtId="0" fontId="32" fillId="3" borderId="6" xfId="0" applyFont="1" applyFill="1" applyBorder="1" applyAlignment="1" applyProtection="1">
      <alignment horizontal="center" vertical="center"/>
    </xf>
    <xf numFmtId="0" fontId="32" fillId="0" borderId="11" xfId="0" applyFont="1" applyBorder="1" applyAlignment="1" applyProtection="1">
      <alignment horizontal="center" vertical="center"/>
      <protection locked="0"/>
    </xf>
    <xf numFmtId="183" fontId="32" fillId="3" borderId="14" xfId="0" applyNumberFormat="1" applyFont="1" applyFill="1" applyBorder="1" applyAlignment="1" applyProtection="1">
      <alignment vertical="center"/>
    </xf>
    <xf numFmtId="0" fontId="32" fillId="3" borderId="11" xfId="0" applyFont="1" applyFill="1" applyBorder="1" applyAlignment="1" applyProtection="1">
      <alignment vertical="center"/>
    </xf>
    <xf numFmtId="183" fontId="32" fillId="3" borderId="1" xfId="0" applyNumberFormat="1" applyFont="1" applyFill="1" applyBorder="1" applyAlignment="1" applyProtection="1">
      <alignment horizontal="center" vertical="center"/>
    </xf>
    <xf numFmtId="0" fontId="32" fillId="3" borderId="15" xfId="0" applyFont="1" applyFill="1" applyBorder="1" applyAlignment="1" applyProtection="1">
      <alignment vertical="center"/>
    </xf>
    <xf numFmtId="0" fontId="32" fillId="3" borderId="97" xfId="0" applyFont="1" applyFill="1" applyBorder="1" applyAlignment="1" applyProtection="1">
      <alignment vertical="center"/>
    </xf>
    <xf numFmtId="0" fontId="32" fillId="3" borderId="45" xfId="0" applyFont="1" applyFill="1" applyBorder="1" applyAlignment="1" applyProtection="1">
      <alignment vertical="center"/>
    </xf>
    <xf numFmtId="0" fontId="102" fillId="3" borderId="1" xfId="0" applyFont="1" applyFill="1" applyBorder="1" applyAlignment="1" applyProtection="1">
      <alignment horizontal="center" vertical="center" wrapText="1"/>
      <protection locked="0"/>
    </xf>
    <xf numFmtId="0" fontId="51" fillId="3" borderId="14" xfId="0" applyFont="1" applyFill="1" applyBorder="1" applyAlignment="1" applyProtection="1">
      <alignment horizontal="center" vertical="center"/>
    </xf>
    <xf numFmtId="0" fontId="32" fillId="2" borderId="11" xfId="0" applyFont="1" applyFill="1" applyBorder="1" applyAlignment="1" applyProtection="1">
      <alignment horizontal="center" vertical="center"/>
      <protection locked="0"/>
    </xf>
    <xf numFmtId="0" fontId="32" fillId="0" borderId="1" xfId="0" applyNumberFormat="1" applyFont="1" applyBorder="1" applyAlignment="1" applyProtection="1">
      <alignment horizontal="center" vertical="center"/>
      <protection locked="0"/>
    </xf>
    <xf numFmtId="10" fontId="32" fillId="0" borderId="1" xfId="0" applyNumberFormat="1" applyFont="1" applyBorder="1" applyAlignment="1" applyProtection="1">
      <alignment horizontal="center" vertical="center"/>
      <protection locked="0"/>
    </xf>
    <xf numFmtId="191" fontId="32" fillId="0" borderId="1" xfId="0" applyNumberFormat="1" applyFont="1" applyBorder="1" applyAlignment="1" applyProtection="1">
      <alignment horizontal="center" vertical="center"/>
      <protection locked="0"/>
    </xf>
    <xf numFmtId="183" fontId="32" fillId="0" borderId="14" xfId="0" applyNumberFormat="1" applyFont="1" applyBorder="1" applyAlignment="1" applyProtection="1">
      <alignment horizontal="center" vertical="center"/>
      <protection locked="0"/>
    </xf>
    <xf numFmtId="0" fontId="32" fillId="2" borderId="1" xfId="0" applyFont="1" applyFill="1" applyBorder="1" applyAlignment="1" applyProtection="1">
      <alignment vertical="center"/>
      <protection locked="0"/>
    </xf>
    <xf numFmtId="183" fontId="32" fillId="0" borderId="10" xfId="0" applyNumberFormat="1" applyFont="1" applyBorder="1" applyAlignment="1" applyProtection="1">
      <alignment horizontal="center" vertical="center"/>
      <protection locked="0"/>
    </xf>
    <xf numFmtId="10" fontId="32" fillId="3" borderId="1" xfId="0" applyNumberFormat="1" applyFont="1" applyFill="1" applyBorder="1" applyAlignment="1" applyProtection="1">
      <alignment horizontal="center" vertical="center"/>
    </xf>
    <xf numFmtId="191" fontId="32" fillId="3" borderId="1" xfId="0" applyNumberFormat="1" applyFont="1" applyFill="1" applyBorder="1" applyAlignment="1" applyProtection="1">
      <alignment horizontal="center" vertical="center"/>
    </xf>
    <xf numFmtId="183" fontId="32" fillId="3" borderId="14" xfId="0" applyNumberFormat="1" applyFont="1" applyFill="1" applyBorder="1" applyAlignment="1" applyProtection="1">
      <alignment horizontal="center" vertical="center"/>
    </xf>
    <xf numFmtId="0" fontId="32" fillId="9" borderId="0" xfId="0" applyFont="1" applyFill="1" applyAlignment="1" applyProtection="1">
      <alignment vertical="center" wrapText="1"/>
      <protection locked="0"/>
    </xf>
    <xf numFmtId="0" fontId="151" fillId="3" borderId="0" xfId="0" applyFont="1" applyFill="1" applyAlignment="1" applyProtection="1">
      <alignment vertical="center" wrapText="1"/>
    </xf>
    <xf numFmtId="0" fontId="32" fillId="0" borderId="0" xfId="0" applyFont="1" applyAlignment="1" applyProtection="1">
      <alignment vertical="center"/>
      <protection locked="0"/>
    </xf>
    <xf numFmtId="0" fontId="32" fillId="0" borderId="0" xfId="0" applyFont="1" applyAlignment="1" applyProtection="1">
      <alignment vertical="center" wrapText="1"/>
      <protection locked="0"/>
    </xf>
    <xf numFmtId="0" fontId="20" fillId="0" borderId="0" xfId="0" applyFont="1" applyFill="1" applyAlignment="1" applyProtection="1">
      <alignment vertical="center"/>
      <protection locked="0"/>
    </xf>
    <xf numFmtId="0" fontId="32" fillId="0" borderId="0" xfId="0" applyFont="1" applyProtection="1">
      <alignment vertical="center"/>
      <protection locked="0"/>
    </xf>
    <xf numFmtId="0" fontId="32" fillId="3" borderId="0" xfId="0" applyFont="1" applyFill="1" applyProtection="1">
      <alignment vertical="center"/>
      <protection locked="0"/>
    </xf>
    <xf numFmtId="186" fontId="41" fillId="3" borderId="1" xfId="5" applyNumberFormat="1" applyFont="1" applyFill="1" applyBorder="1" applyAlignment="1" applyProtection="1">
      <alignment horizontal="center" vertical="center"/>
    </xf>
    <xf numFmtId="0" fontId="32" fillId="9" borderId="0" xfId="0" applyFont="1" applyFill="1" applyProtection="1">
      <alignment vertical="center"/>
      <protection locked="0"/>
    </xf>
    <xf numFmtId="0" fontId="32" fillId="3" borderId="10" xfId="0" applyFont="1" applyFill="1" applyBorder="1" applyProtection="1">
      <alignment vertical="center"/>
    </xf>
    <xf numFmtId="0" fontId="32" fillId="3" borderId="12" xfId="0" applyFont="1" applyFill="1" applyBorder="1" applyProtection="1">
      <alignment vertical="center"/>
    </xf>
    <xf numFmtId="0" fontId="43" fillId="3" borderId="9" xfId="0" applyFont="1" applyFill="1" applyBorder="1" applyAlignment="1" applyProtection="1">
      <alignment vertical="center"/>
    </xf>
    <xf numFmtId="0" fontId="43" fillId="3" borderId="5" xfId="0" applyFont="1" applyFill="1" applyBorder="1" applyAlignment="1" applyProtection="1">
      <alignment horizontal="center" vertical="center"/>
    </xf>
    <xf numFmtId="186" fontId="41" fillId="3" borderId="13" xfId="5" applyNumberFormat="1" applyFont="1" applyFill="1" applyBorder="1" applyAlignment="1" applyProtection="1">
      <alignment horizontal="center" vertical="center"/>
    </xf>
    <xf numFmtId="0" fontId="32" fillId="3" borderId="3" xfId="0" applyFont="1" applyFill="1" applyBorder="1" applyProtection="1">
      <alignment vertical="center"/>
    </xf>
    <xf numFmtId="0" fontId="32" fillId="3" borderId="22" xfId="0" applyFont="1" applyFill="1" applyBorder="1" applyAlignment="1" applyProtection="1">
      <alignment vertical="center"/>
    </xf>
    <xf numFmtId="0" fontId="32" fillId="3" borderId="1" xfId="0" applyFont="1" applyFill="1" applyBorder="1" applyAlignment="1" applyProtection="1">
      <alignment vertical="center"/>
    </xf>
    <xf numFmtId="186" fontId="32" fillId="3" borderId="14" xfId="0" applyNumberFormat="1" applyFont="1" applyFill="1" applyBorder="1" applyAlignment="1" applyProtection="1">
      <alignment vertical="center"/>
    </xf>
    <xf numFmtId="0" fontId="32" fillId="3" borderId="76" xfId="0" applyFont="1" applyFill="1" applyBorder="1" applyAlignment="1" applyProtection="1">
      <alignment vertical="center"/>
    </xf>
    <xf numFmtId="186" fontId="43" fillId="3" borderId="13" xfId="5" applyNumberFormat="1" applyFont="1" applyFill="1" applyBorder="1" applyAlignment="1" applyProtection="1">
      <alignment horizontal="center" vertical="center"/>
    </xf>
    <xf numFmtId="0" fontId="102" fillId="3" borderId="10" xfId="0" applyFont="1" applyFill="1" applyBorder="1" applyProtection="1">
      <alignment vertical="center"/>
    </xf>
    <xf numFmtId="0" fontId="102" fillId="3" borderId="11" xfId="0" applyFont="1" applyFill="1" applyBorder="1" applyProtection="1">
      <alignment vertical="center"/>
    </xf>
    <xf numFmtId="0" fontId="32" fillId="3" borderId="9" xfId="0" applyFont="1" applyFill="1" applyBorder="1" applyAlignment="1" applyProtection="1">
      <alignment vertical="center"/>
    </xf>
    <xf numFmtId="0" fontId="32" fillId="3" borderId="14" xfId="0" applyFont="1" applyFill="1" applyBorder="1" applyAlignment="1" applyProtection="1">
      <alignment vertical="center"/>
    </xf>
    <xf numFmtId="0" fontId="32" fillId="9" borderId="0" xfId="0" applyFont="1" applyFill="1" applyBorder="1" applyProtection="1">
      <alignment vertical="center"/>
      <protection locked="0"/>
    </xf>
    <xf numFmtId="0" fontId="32" fillId="3" borderId="68" xfId="0" applyFont="1" applyFill="1" applyBorder="1" applyAlignment="1" applyProtection="1">
      <alignment vertical="center"/>
    </xf>
    <xf numFmtId="0" fontId="32" fillId="3" borderId="35" xfId="0" applyFont="1" applyFill="1" applyBorder="1" applyAlignment="1" applyProtection="1">
      <alignment vertical="center"/>
    </xf>
    <xf numFmtId="0" fontId="32" fillId="0" borderId="14" xfId="0" applyFont="1" applyFill="1" applyBorder="1" applyAlignment="1" applyProtection="1">
      <alignment vertical="center"/>
      <protection locked="0"/>
    </xf>
    <xf numFmtId="0" fontId="46" fillId="3" borderId="1" xfId="0" applyFont="1" applyFill="1" applyBorder="1" applyAlignment="1" applyProtection="1">
      <alignment vertical="center"/>
    </xf>
    <xf numFmtId="0" fontId="32" fillId="3" borderId="57" xfId="0" applyFont="1" applyFill="1" applyBorder="1" applyAlignment="1" applyProtection="1">
      <alignment vertical="center"/>
    </xf>
    <xf numFmtId="0" fontId="43" fillId="3" borderId="59" xfId="0" applyFont="1" applyFill="1" applyBorder="1" applyAlignment="1" applyProtection="1">
      <alignment horizontal="left" vertical="center"/>
    </xf>
    <xf numFmtId="0" fontId="32" fillId="3" borderId="41" xfId="0" applyFont="1" applyFill="1" applyBorder="1" applyProtection="1">
      <alignment vertical="center"/>
    </xf>
    <xf numFmtId="0" fontId="46" fillId="3" borderId="55" xfId="0" applyFont="1" applyFill="1" applyBorder="1" applyAlignment="1" applyProtection="1">
      <alignment vertical="center"/>
    </xf>
    <xf numFmtId="186" fontId="41" fillId="3" borderId="39" xfId="5" applyNumberFormat="1" applyFont="1" applyFill="1" applyBorder="1" applyAlignment="1" applyProtection="1">
      <alignment horizontal="center" vertical="center"/>
    </xf>
    <xf numFmtId="186" fontId="41" fillId="3" borderId="78" xfId="5" applyNumberFormat="1" applyFont="1" applyFill="1" applyBorder="1" applyAlignment="1" applyProtection="1">
      <alignment horizontal="center" vertical="center"/>
    </xf>
    <xf numFmtId="186" fontId="41" fillId="3" borderId="44" xfId="5" applyNumberFormat="1" applyFont="1" applyFill="1" applyBorder="1" applyAlignment="1" applyProtection="1">
      <alignment horizontal="center" vertical="center"/>
    </xf>
    <xf numFmtId="0" fontId="43" fillId="3" borderId="75" xfId="0" applyFont="1" applyFill="1" applyBorder="1" applyAlignment="1" applyProtection="1">
      <alignment horizontal="right" vertical="center"/>
    </xf>
    <xf numFmtId="0" fontId="32" fillId="3" borderId="3" xfId="0" applyFont="1" applyFill="1" applyBorder="1" applyAlignment="1" applyProtection="1">
      <alignment vertical="center"/>
    </xf>
    <xf numFmtId="0" fontId="32" fillId="3" borderId="0" xfId="0" applyFont="1" applyFill="1" applyBorder="1" applyAlignment="1" applyProtection="1">
      <alignment vertical="center"/>
    </xf>
    <xf numFmtId="186" fontId="36" fillId="3" borderId="1" xfId="5" applyNumberFormat="1" applyFont="1" applyFill="1" applyBorder="1" applyAlignment="1" applyProtection="1">
      <alignment horizontal="center" vertical="center"/>
    </xf>
    <xf numFmtId="0" fontId="32" fillId="3" borderId="81" xfId="0" applyFont="1" applyFill="1" applyBorder="1" applyAlignment="1" applyProtection="1">
      <alignment horizontal="center" vertical="center"/>
    </xf>
    <xf numFmtId="0" fontId="32" fillId="3" borderId="72" xfId="0" applyFont="1" applyFill="1" applyBorder="1" applyAlignment="1" applyProtection="1">
      <alignment horizontal="center" vertical="center"/>
    </xf>
    <xf numFmtId="0" fontId="32" fillId="3" borderId="21" xfId="0" applyFont="1" applyFill="1" applyBorder="1" applyProtection="1">
      <alignment vertical="center"/>
    </xf>
    <xf numFmtId="179" fontId="28" fillId="0" borderId="1" xfId="5" applyNumberFormat="1" applyFont="1" applyFill="1" applyBorder="1" applyAlignment="1" applyProtection="1">
      <alignment vertical="center"/>
      <protection locked="0" hidden="1"/>
    </xf>
    <xf numFmtId="186" fontId="32" fillId="3" borderId="1" xfId="0" applyNumberFormat="1" applyFont="1" applyFill="1" applyBorder="1" applyAlignment="1" applyProtection="1">
      <alignment vertical="center"/>
    </xf>
    <xf numFmtId="0" fontId="20" fillId="0" borderId="11" xfId="0" applyFont="1" applyFill="1" applyBorder="1" applyProtection="1">
      <alignment vertical="center"/>
      <protection locked="0"/>
    </xf>
    <xf numFmtId="0" fontId="20" fillId="0" borderId="14" xfId="0" applyFont="1" applyFill="1" applyBorder="1" applyProtection="1">
      <alignment vertical="center"/>
      <protection locked="0"/>
    </xf>
    <xf numFmtId="0" fontId="32" fillId="3" borderId="21" xfId="0" applyFont="1" applyFill="1" applyBorder="1" applyAlignment="1" applyProtection="1">
      <alignment vertical="center"/>
    </xf>
    <xf numFmtId="179" fontId="151" fillId="0" borderId="1" xfId="5" applyNumberFormat="1" applyFont="1" applyFill="1" applyBorder="1" applyAlignment="1" applyProtection="1">
      <alignment vertical="center"/>
      <protection locked="0"/>
    </xf>
    <xf numFmtId="0" fontId="32" fillId="0" borderId="58" xfId="0" applyFont="1" applyFill="1" applyBorder="1" applyProtection="1">
      <alignment vertical="center"/>
      <protection locked="0"/>
    </xf>
    <xf numFmtId="0" fontId="32" fillId="0" borderId="57" xfId="0" applyFont="1" applyFill="1" applyBorder="1" applyProtection="1">
      <alignment vertical="center"/>
      <protection locked="0"/>
    </xf>
    <xf numFmtId="179" fontId="32" fillId="0" borderId="11" xfId="5" applyNumberFormat="1" applyFont="1" applyFill="1" applyBorder="1" applyAlignment="1" applyProtection="1">
      <alignment vertical="center"/>
      <protection locked="0"/>
    </xf>
    <xf numFmtId="186" fontId="32" fillId="3" borderId="1" xfId="0" applyNumberFormat="1" applyFont="1" applyFill="1" applyBorder="1" applyAlignment="1" applyProtection="1">
      <alignment horizontal="center" vertical="center"/>
    </xf>
    <xf numFmtId="186" fontId="32" fillId="3" borderId="7" xfId="0" applyNumberFormat="1" applyFont="1" applyFill="1" applyBorder="1" applyAlignment="1" applyProtection="1">
      <alignment vertical="center"/>
    </xf>
    <xf numFmtId="0" fontId="32" fillId="3" borderId="46" xfId="0" applyFont="1" applyFill="1" applyBorder="1" applyProtection="1">
      <alignment vertical="center"/>
    </xf>
    <xf numFmtId="0" fontId="46" fillId="3" borderId="11" xfId="0" applyFont="1" applyFill="1" applyBorder="1" applyAlignment="1" applyProtection="1">
      <alignment horizontal="left" vertical="center"/>
    </xf>
    <xf numFmtId="0" fontId="32" fillId="3" borderId="57" xfId="0" applyFont="1" applyFill="1" applyBorder="1" applyProtection="1">
      <alignment vertical="center"/>
    </xf>
    <xf numFmtId="0" fontId="32" fillId="3" borderId="58" xfId="0" applyFont="1" applyFill="1" applyBorder="1" applyAlignment="1" applyProtection="1">
      <alignment horizontal="left" vertical="center"/>
    </xf>
    <xf numFmtId="0" fontId="32" fillId="3" borderId="32" xfId="0" applyFont="1" applyFill="1" applyBorder="1" applyAlignment="1" applyProtection="1">
      <alignment vertical="center"/>
    </xf>
    <xf numFmtId="0" fontId="43" fillId="3" borderId="42" xfId="0" applyFont="1" applyFill="1" applyBorder="1" applyAlignment="1" applyProtection="1">
      <alignment vertical="center"/>
    </xf>
    <xf numFmtId="0" fontId="154" fillId="3" borderId="97" xfId="0" applyFont="1" applyFill="1" applyBorder="1" applyAlignment="1" applyProtection="1">
      <alignment vertical="center"/>
    </xf>
    <xf numFmtId="181" fontId="43" fillId="3" borderId="97" xfId="0" applyNumberFormat="1" applyFont="1" applyFill="1" applyBorder="1" applyAlignment="1" applyProtection="1">
      <alignment vertical="center"/>
    </xf>
    <xf numFmtId="181" fontId="43" fillId="3" borderId="8" xfId="0" applyNumberFormat="1" applyFont="1" applyFill="1" applyBorder="1" applyAlignment="1" applyProtection="1">
      <alignment vertical="center"/>
    </xf>
    <xf numFmtId="181" fontId="43" fillId="3" borderId="15" xfId="0" applyNumberFormat="1" applyFont="1" applyFill="1" applyBorder="1" applyAlignment="1" applyProtection="1">
      <alignment vertical="center"/>
    </xf>
    <xf numFmtId="0" fontId="151" fillId="3" borderId="3" xfId="0" applyFont="1" applyFill="1" applyBorder="1" applyProtection="1">
      <alignment vertical="center"/>
    </xf>
    <xf numFmtId="0" fontId="32" fillId="3" borderId="81" xfId="0" applyFont="1" applyFill="1" applyBorder="1" applyProtection="1">
      <alignment vertical="center"/>
      <protection locked="0"/>
    </xf>
    <xf numFmtId="186" fontId="32" fillId="0" borderId="0" xfId="0" applyNumberFormat="1" applyFont="1" applyProtection="1">
      <alignment vertical="center"/>
      <protection locked="0"/>
    </xf>
    <xf numFmtId="0" fontId="43" fillId="3" borderId="11" xfId="0" applyFont="1" applyFill="1" applyBorder="1" applyAlignment="1" applyProtection="1">
      <alignment horizontal="center" vertical="center"/>
    </xf>
    <xf numFmtId="0" fontId="32" fillId="0" borderId="1" xfId="0" applyFont="1" applyFill="1" applyBorder="1" applyAlignment="1" applyProtection="1">
      <alignment horizontal="center" vertical="center"/>
      <protection locked="0"/>
    </xf>
    <xf numFmtId="0" fontId="32" fillId="3" borderId="44" xfId="0" applyFont="1" applyFill="1" applyBorder="1" applyAlignment="1" applyProtection="1">
      <alignment horizontal="left" vertical="center"/>
    </xf>
    <xf numFmtId="181" fontId="43" fillId="5" borderId="14" xfId="0" applyNumberFormat="1" applyFont="1" applyFill="1" applyBorder="1" applyAlignment="1" applyProtection="1">
      <alignment horizontal="center" vertical="center"/>
      <protection locked="0"/>
    </xf>
    <xf numFmtId="181" fontId="32" fillId="3" borderId="14" xfId="0" applyNumberFormat="1" applyFont="1" applyFill="1" applyBorder="1" applyAlignment="1" applyProtection="1">
      <alignment horizontal="center" vertical="center"/>
    </xf>
    <xf numFmtId="0" fontId="102" fillId="3" borderId="6" xfId="0" applyFont="1" applyFill="1" applyBorder="1" applyAlignment="1" applyProtection="1">
      <alignment horizontal="center" vertical="center"/>
    </xf>
    <xf numFmtId="0" fontId="102" fillId="3" borderId="1" xfId="0" applyFont="1" applyFill="1" applyBorder="1" applyAlignment="1" applyProtection="1">
      <alignment horizontal="left" vertical="center"/>
    </xf>
    <xf numFmtId="0" fontId="102" fillId="3" borderId="14" xfId="0" applyFont="1" applyFill="1" applyBorder="1" applyAlignment="1" applyProtection="1">
      <alignment horizontal="center" vertical="center"/>
    </xf>
    <xf numFmtId="0" fontId="32" fillId="3" borderId="6" xfId="0" applyFont="1" applyFill="1" applyBorder="1" applyProtection="1">
      <alignment vertical="center"/>
    </xf>
    <xf numFmtId="0" fontId="32" fillId="3" borderId="14" xfId="0" applyFont="1" applyFill="1" applyBorder="1" applyProtection="1">
      <alignment vertical="center"/>
    </xf>
    <xf numFmtId="0" fontId="102" fillId="0" borderId="6" xfId="0" applyFont="1" applyBorder="1" applyProtection="1">
      <alignment vertical="center"/>
      <protection locked="0"/>
    </xf>
    <xf numFmtId="0" fontId="102" fillId="0" borderId="1" xfId="0" applyFont="1" applyBorder="1" applyProtection="1">
      <alignment vertical="center"/>
      <protection locked="0"/>
    </xf>
    <xf numFmtId="0" fontId="102" fillId="3" borderId="14" xfId="0" applyFont="1" applyFill="1" applyBorder="1" applyProtection="1">
      <alignment vertical="center"/>
    </xf>
    <xf numFmtId="0" fontId="32" fillId="3" borderId="22" xfId="0" applyFont="1" applyFill="1" applyBorder="1" applyProtection="1">
      <alignment vertical="center"/>
    </xf>
    <xf numFmtId="0" fontId="102" fillId="0" borderId="22" xfId="0" applyFont="1" applyBorder="1" applyProtection="1">
      <alignment vertical="center"/>
      <protection locked="0"/>
    </xf>
    <xf numFmtId="0" fontId="102" fillId="0" borderId="9" xfId="0" applyFont="1" applyBorder="1" applyProtection="1">
      <alignment vertical="center"/>
      <protection locked="0"/>
    </xf>
    <xf numFmtId="0" fontId="102" fillId="3" borderId="57" xfId="0" applyFont="1" applyFill="1" applyBorder="1" applyProtection="1">
      <alignment vertical="center"/>
    </xf>
    <xf numFmtId="186" fontId="32" fillId="3" borderId="86" xfId="0" applyNumberFormat="1" applyFont="1" applyFill="1" applyBorder="1" applyAlignment="1" applyProtection="1">
      <alignment vertical="center"/>
    </xf>
    <xf numFmtId="0" fontId="43" fillId="3" borderId="7" xfId="0" applyFont="1" applyFill="1" applyBorder="1" applyProtection="1">
      <alignment vertical="center"/>
    </xf>
    <xf numFmtId="0" fontId="43" fillId="3" borderId="8" xfId="0" applyFont="1" applyFill="1" applyBorder="1" applyProtection="1">
      <alignment vertical="center"/>
    </xf>
    <xf numFmtId="0" fontId="43" fillId="3" borderId="15" xfId="0" applyFont="1" applyFill="1" applyBorder="1" applyProtection="1">
      <alignment vertical="center"/>
    </xf>
    <xf numFmtId="0" fontId="32" fillId="3" borderId="15" xfId="0" applyFont="1" applyFill="1" applyBorder="1" applyProtection="1">
      <alignment vertical="center"/>
    </xf>
    <xf numFmtId="0" fontId="151" fillId="3" borderId="10" xfId="0" applyFont="1" applyFill="1" applyBorder="1" applyProtection="1">
      <alignment vertical="center"/>
    </xf>
    <xf numFmtId="0" fontId="151" fillId="3" borderId="1" xfId="0" applyFont="1" applyFill="1" applyBorder="1" applyProtection="1">
      <alignment vertical="center"/>
    </xf>
    <xf numFmtId="186" fontId="32" fillId="3" borderId="1" xfId="0" applyNumberFormat="1" applyFont="1" applyFill="1" applyBorder="1" applyProtection="1">
      <alignment vertical="center"/>
    </xf>
    <xf numFmtId="0" fontId="32" fillId="3" borderId="1" xfId="0" applyFont="1" applyFill="1" applyBorder="1" applyAlignment="1" applyProtection="1">
      <alignment horizontal="right" vertical="center" wrapText="1"/>
    </xf>
    <xf numFmtId="0" fontId="20" fillId="0" borderId="0" xfId="0" applyFont="1" applyFill="1" applyAlignment="1" applyProtection="1">
      <alignment horizontal="center" vertical="center" wrapText="1"/>
      <protection locked="0"/>
    </xf>
    <xf numFmtId="186" fontId="20" fillId="0" borderId="0" xfId="0" applyNumberFormat="1" applyFont="1" applyAlignment="1" applyProtection="1">
      <alignment horizontal="center" vertical="center" wrapText="1"/>
      <protection locked="0"/>
    </xf>
    <xf numFmtId="0" fontId="32" fillId="0" borderId="0" xfId="0" applyFont="1" applyFill="1" applyAlignment="1" applyProtection="1">
      <alignment horizontal="center" vertical="center" wrapText="1"/>
      <protection locked="0"/>
    </xf>
    <xf numFmtId="0" fontId="34" fillId="0" borderId="0" xfId="0" applyFont="1" applyAlignment="1" applyProtection="1">
      <alignment horizontal="center" vertical="center" wrapText="1"/>
      <protection locked="0"/>
    </xf>
    <xf numFmtId="0" fontId="32" fillId="0" borderId="0" xfId="0" applyFont="1" applyAlignment="1" applyProtection="1">
      <alignment horizontal="center" vertical="center" wrapText="1"/>
      <protection locked="0"/>
    </xf>
    <xf numFmtId="0" fontId="161" fillId="3" borderId="0" xfId="0" applyFont="1" applyFill="1" applyAlignment="1" applyProtection="1">
      <alignment horizontal="left" vertical="center"/>
    </xf>
    <xf numFmtId="0" fontId="32" fillId="3" borderId="0" xfId="0" applyFont="1" applyFill="1" applyAlignment="1" applyProtection="1">
      <alignment horizontal="center" vertical="center" wrapText="1"/>
    </xf>
    <xf numFmtId="0" fontId="20" fillId="3" borderId="0" xfId="0" applyFont="1" applyFill="1" applyAlignment="1" applyProtection="1">
      <alignment horizontal="center" vertical="center" wrapText="1"/>
    </xf>
    <xf numFmtId="181" fontId="20" fillId="0" borderId="1" xfId="0" applyNumberFormat="1" applyFont="1" applyBorder="1" applyAlignment="1" applyProtection="1">
      <alignment horizontal="center" vertical="center" wrapText="1"/>
      <protection locked="0"/>
    </xf>
    <xf numFmtId="181" fontId="69" fillId="3" borderId="1" xfId="0" applyNumberFormat="1" applyFont="1" applyFill="1" applyBorder="1" applyAlignment="1" applyProtection="1">
      <alignment horizontal="center" vertical="center" wrapText="1"/>
    </xf>
    <xf numFmtId="0" fontId="20" fillId="5" borderId="1" xfId="0" applyFont="1" applyFill="1" applyBorder="1" applyAlignment="1" applyProtection="1">
      <alignment horizontal="center" vertical="center" wrapText="1"/>
      <protection locked="0"/>
    </xf>
    <xf numFmtId="0" fontId="22" fillId="3" borderId="34" xfId="0" applyFont="1" applyFill="1" applyBorder="1" applyAlignment="1" applyProtection="1">
      <alignment horizontal="left" vertical="center"/>
    </xf>
    <xf numFmtId="181" fontId="20" fillId="3" borderId="0" xfId="0" applyNumberFormat="1" applyFont="1" applyFill="1" applyBorder="1" applyAlignment="1" applyProtection="1">
      <alignment horizontal="center" vertical="center" wrapText="1"/>
    </xf>
    <xf numFmtId="181" fontId="22" fillId="3" borderId="0" xfId="0" applyNumberFormat="1" applyFont="1" applyFill="1" applyBorder="1" applyAlignment="1" applyProtection="1">
      <alignment horizontal="center" vertical="center" wrapText="1"/>
    </xf>
    <xf numFmtId="186" fontId="20" fillId="3" borderId="1" xfId="0" applyNumberFormat="1" applyFont="1" applyFill="1" applyBorder="1" applyAlignment="1" applyProtection="1">
      <alignment horizontal="center" vertical="center" wrapText="1"/>
    </xf>
    <xf numFmtId="186" fontId="20" fillId="3" borderId="12" xfId="0" applyNumberFormat="1" applyFont="1" applyFill="1" applyBorder="1" applyAlignment="1" applyProtection="1">
      <alignment horizontal="center" vertical="center" wrapText="1"/>
    </xf>
    <xf numFmtId="186" fontId="20" fillId="3" borderId="11" xfId="0" applyNumberFormat="1" applyFont="1" applyFill="1" applyBorder="1" applyAlignment="1" applyProtection="1">
      <alignment horizontal="center" vertical="center" wrapText="1"/>
    </xf>
    <xf numFmtId="186" fontId="20" fillId="3" borderId="9" xfId="0" applyNumberFormat="1" applyFont="1" applyFill="1" applyBorder="1" applyAlignment="1" applyProtection="1">
      <alignment horizontal="center" vertical="center" wrapText="1"/>
    </xf>
    <xf numFmtId="0" fontId="20" fillId="3" borderId="20" xfId="0" applyFont="1" applyFill="1" applyBorder="1" applyAlignment="1" applyProtection="1">
      <alignment horizontal="center" vertical="center" wrapText="1"/>
    </xf>
    <xf numFmtId="0" fontId="20" fillId="3" borderId="18" xfId="0" applyFont="1" applyFill="1" applyBorder="1" applyAlignment="1" applyProtection="1">
      <alignment horizontal="left" vertical="center"/>
    </xf>
    <xf numFmtId="0" fontId="20" fillId="3" borderId="54" xfId="0" applyFont="1" applyFill="1" applyBorder="1" applyAlignment="1" applyProtection="1">
      <alignment horizontal="center" vertical="center" wrapText="1"/>
    </xf>
    <xf numFmtId="0" fontId="20" fillId="3" borderId="20" xfId="0" applyFont="1" applyFill="1" applyBorder="1" applyAlignment="1" applyProtection="1">
      <alignment horizontal="center" vertical="center"/>
    </xf>
    <xf numFmtId="0" fontId="20" fillId="3" borderId="18" xfId="0" applyFont="1" applyFill="1" applyBorder="1" applyAlignment="1" applyProtection="1">
      <alignment horizontal="center" vertical="center"/>
    </xf>
    <xf numFmtId="181" fontId="20" fillId="3" borderId="10" xfId="0" applyNumberFormat="1" applyFont="1" applyFill="1" applyBorder="1" applyAlignment="1" applyProtection="1">
      <alignment horizontal="left" vertical="center"/>
    </xf>
    <xf numFmtId="181" fontId="20" fillId="3" borderId="0" xfId="0" applyNumberFormat="1" applyFont="1" applyFill="1" applyBorder="1" applyAlignment="1" applyProtection="1">
      <alignment horizontal="center" vertical="center"/>
    </xf>
    <xf numFmtId="181" fontId="20" fillId="3" borderId="74" xfId="0" applyNumberFormat="1" applyFont="1" applyFill="1" applyBorder="1" applyAlignment="1" applyProtection="1">
      <alignment horizontal="center" vertical="center"/>
    </xf>
    <xf numFmtId="0" fontId="20" fillId="3" borderId="34" xfId="0" applyFont="1" applyFill="1" applyBorder="1" applyAlignment="1" applyProtection="1">
      <alignment horizontal="center" vertical="center" wrapText="1"/>
    </xf>
    <xf numFmtId="181" fontId="20" fillId="3" borderId="81" xfId="0" applyNumberFormat="1" applyFont="1" applyFill="1" applyBorder="1" applyAlignment="1" applyProtection="1">
      <alignment horizontal="center" vertical="center" wrapText="1"/>
    </xf>
    <xf numFmtId="0" fontId="28" fillId="0" borderId="1" xfId="0" applyFont="1" applyBorder="1" applyAlignment="1" applyProtection="1">
      <alignment horizontal="center" vertical="center" wrapText="1"/>
      <protection locked="0"/>
    </xf>
    <xf numFmtId="0" fontId="28" fillId="5" borderId="3" xfId="0" applyFont="1" applyFill="1" applyBorder="1" applyAlignment="1" applyProtection="1">
      <alignment horizontal="center" vertical="center" wrapText="1"/>
      <protection locked="0"/>
    </xf>
    <xf numFmtId="186" fontId="20" fillId="0" borderId="3" xfId="0" applyNumberFormat="1" applyFont="1" applyFill="1" applyBorder="1" applyAlignment="1" applyProtection="1">
      <alignment horizontal="center" vertical="center" wrapText="1"/>
      <protection locked="0"/>
    </xf>
    <xf numFmtId="186" fontId="20" fillId="3" borderId="3" xfId="0" applyNumberFormat="1" applyFont="1" applyFill="1" applyBorder="1" applyAlignment="1" applyProtection="1">
      <alignment horizontal="center" vertical="center" wrapText="1"/>
    </xf>
    <xf numFmtId="0" fontId="28" fillId="0" borderId="1" xfId="0" applyFont="1" applyBorder="1" applyAlignment="1" applyProtection="1">
      <alignment vertical="center" wrapText="1"/>
      <protection locked="0"/>
    </xf>
    <xf numFmtId="0" fontId="32" fillId="0" borderId="1" xfId="0" applyFont="1" applyBorder="1" applyAlignment="1" applyProtection="1">
      <alignment horizontal="center" vertical="center" wrapText="1"/>
      <protection locked="0"/>
    </xf>
    <xf numFmtId="0" fontId="32" fillId="0" borderId="3" xfId="0" applyFont="1" applyBorder="1" applyAlignment="1" applyProtection="1">
      <alignment horizontal="center" vertical="center" wrapText="1"/>
      <protection locked="0"/>
    </xf>
    <xf numFmtId="186" fontId="32" fillId="3" borderId="1" xfId="0" applyNumberFormat="1" applyFont="1" applyFill="1" applyBorder="1" applyAlignment="1" applyProtection="1">
      <alignment horizontal="center" vertical="center" wrapText="1"/>
    </xf>
    <xf numFmtId="186" fontId="32" fillId="0" borderId="3" xfId="0" applyNumberFormat="1" applyFont="1" applyFill="1" applyBorder="1" applyAlignment="1" applyProtection="1">
      <alignment horizontal="center" vertical="center" wrapText="1"/>
      <protection locked="0"/>
    </xf>
    <xf numFmtId="186" fontId="32" fillId="3" borderId="3" xfId="0" applyNumberFormat="1" applyFont="1" applyFill="1" applyBorder="1" applyAlignment="1" applyProtection="1">
      <alignment horizontal="center" vertical="center" wrapText="1"/>
    </xf>
    <xf numFmtId="186" fontId="32" fillId="3" borderId="9" xfId="0" applyNumberFormat="1" applyFont="1" applyFill="1" applyBorder="1" applyAlignment="1" applyProtection="1">
      <alignment horizontal="center" vertical="center" wrapText="1"/>
    </xf>
    <xf numFmtId="0" fontId="137" fillId="0" borderId="1" xfId="4" applyFont="1" applyFill="1" applyBorder="1" applyAlignment="1" applyProtection="1">
      <alignment horizontal="center" vertical="center" wrapText="1"/>
      <protection locked="0"/>
    </xf>
    <xf numFmtId="0" fontId="89" fillId="0" borderId="1" xfId="4" applyFont="1" applyBorder="1" applyAlignment="1" applyProtection="1">
      <alignment horizontal="center" vertical="center" wrapText="1"/>
      <protection locked="0"/>
    </xf>
    <xf numFmtId="0" fontId="91" fillId="0" borderId="1" xfId="4" applyFont="1" applyBorder="1" applyAlignment="1" applyProtection="1">
      <alignment horizontal="center" vertical="center" wrapText="1"/>
      <protection locked="0"/>
    </xf>
    <xf numFmtId="0" fontId="91" fillId="0" borderId="1" xfId="4" applyFont="1" applyFill="1" applyBorder="1" applyAlignment="1" applyProtection="1">
      <alignment horizontal="center" vertical="center" wrapText="1"/>
      <protection locked="0"/>
    </xf>
    <xf numFmtId="0" fontId="89" fillId="0" borderId="1" xfId="4" applyFont="1" applyFill="1" applyBorder="1" applyAlignment="1" applyProtection="1">
      <alignment horizontal="center" vertical="center" wrapText="1"/>
      <protection locked="0"/>
    </xf>
    <xf numFmtId="0" fontId="22" fillId="3" borderId="12" xfId="0" applyFont="1" applyFill="1" applyBorder="1" applyAlignment="1" applyProtection="1">
      <alignment horizontal="center" vertical="center"/>
    </xf>
    <xf numFmtId="0" fontId="28" fillId="5" borderId="34" xfId="0" applyFont="1" applyFill="1" applyBorder="1" applyAlignment="1" applyProtection="1">
      <alignment horizontal="left" vertical="center"/>
      <protection locked="0"/>
    </xf>
    <xf numFmtId="0" fontId="20" fillId="5" borderId="34" xfId="0" applyFont="1" applyFill="1" applyBorder="1" applyAlignment="1" applyProtection="1">
      <alignment horizontal="left" vertical="center"/>
      <protection locked="0"/>
    </xf>
    <xf numFmtId="0" fontId="28" fillId="5" borderId="10" xfId="0" applyFont="1" applyFill="1" applyBorder="1" applyAlignment="1" applyProtection="1">
      <alignment horizontal="left" vertical="center"/>
      <protection locked="0"/>
    </xf>
    <xf numFmtId="0" fontId="20" fillId="5" borderId="10" xfId="0" applyFont="1" applyFill="1" applyBorder="1" applyAlignment="1" applyProtection="1">
      <alignment horizontal="left" vertical="center"/>
      <protection locked="0"/>
    </xf>
    <xf numFmtId="0" fontId="28" fillId="5" borderId="12" xfId="0" applyFont="1" applyFill="1" applyBorder="1" applyAlignment="1" applyProtection="1">
      <alignment horizontal="left" vertical="center"/>
      <protection locked="0"/>
    </xf>
    <xf numFmtId="0" fontId="22" fillId="3" borderId="11" xfId="0" applyFont="1" applyFill="1" applyBorder="1" applyAlignment="1" applyProtection="1">
      <alignment horizontal="left" vertical="center"/>
    </xf>
    <xf numFmtId="0" fontId="20" fillId="5" borderId="12" xfId="0" applyFont="1" applyFill="1" applyBorder="1" applyAlignment="1" applyProtection="1">
      <alignment horizontal="left" vertical="center"/>
      <protection locked="0"/>
    </xf>
    <xf numFmtId="186" fontId="28" fillId="0" borderId="1" xfId="0" applyNumberFormat="1" applyFont="1" applyBorder="1" applyAlignment="1" applyProtection="1">
      <alignment vertical="center" wrapText="1"/>
      <protection locked="0"/>
    </xf>
    <xf numFmtId="186" fontId="20" fillId="0" borderId="1" xfId="0" applyNumberFormat="1" applyFont="1" applyBorder="1" applyAlignment="1" applyProtection="1">
      <alignment vertical="center" wrapText="1"/>
      <protection locked="0"/>
    </xf>
    <xf numFmtId="186" fontId="32" fillId="0" borderId="1" xfId="0" applyNumberFormat="1" applyFont="1" applyBorder="1" applyAlignment="1" applyProtection="1">
      <alignment vertical="center" wrapText="1"/>
      <protection locked="0"/>
    </xf>
    <xf numFmtId="0" fontId="183" fillId="0" borderId="1" xfId="0" applyFont="1" applyBorder="1" applyAlignment="1" applyProtection="1">
      <alignment horizontal="center" vertical="center"/>
      <protection locked="0"/>
    </xf>
    <xf numFmtId="181" fontId="20" fillId="3" borderId="12" xfId="0" applyNumberFormat="1" applyFont="1" applyFill="1" applyBorder="1" applyAlignment="1" applyProtection="1">
      <alignment horizontal="center" vertical="center"/>
    </xf>
    <xf numFmtId="0" fontId="22" fillId="3" borderId="12" xfId="0" applyFont="1" applyFill="1" applyBorder="1" applyAlignment="1" applyProtection="1">
      <alignment horizontal="left" vertical="center"/>
    </xf>
    <xf numFmtId="181" fontId="20" fillId="3" borderId="11" xfId="0" applyNumberFormat="1" applyFont="1" applyFill="1" applyBorder="1" applyAlignment="1" applyProtection="1">
      <alignment horizontal="center" vertical="center"/>
    </xf>
    <xf numFmtId="0" fontId="22" fillId="3" borderId="54" xfId="0" applyFont="1" applyFill="1" applyBorder="1" applyAlignment="1" applyProtection="1">
      <alignment horizontal="center" vertical="center"/>
    </xf>
    <xf numFmtId="0" fontId="20" fillId="3" borderId="54" xfId="0" applyFont="1" applyFill="1" applyBorder="1" applyAlignment="1" applyProtection="1">
      <alignment horizontal="center" vertical="center"/>
    </xf>
    <xf numFmtId="0" fontId="78" fillId="3" borderId="11" xfId="0" applyFont="1" applyFill="1" applyBorder="1" applyAlignment="1" applyProtection="1">
      <alignment horizontal="right" vertical="center"/>
    </xf>
    <xf numFmtId="0" fontId="17" fillId="3" borderId="10" xfId="0" applyFont="1" applyFill="1" applyBorder="1" applyAlignment="1" applyProtection="1">
      <alignment horizontal="left" vertical="center"/>
    </xf>
    <xf numFmtId="181" fontId="20" fillId="3" borderId="3" xfId="0" applyNumberFormat="1" applyFont="1" applyFill="1" applyBorder="1" applyAlignment="1" applyProtection="1">
      <alignment horizontal="center" vertical="center" wrapText="1"/>
    </xf>
    <xf numFmtId="186" fontId="28" fillId="0" borderId="1" xfId="0" applyNumberFormat="1" applyFont="1" applyBorder="1" applyAlignment="1" applyProtection="1">
      <alignment horizontal="center" vertical="center" wrapText="1"/>
      <protection locked="0"/>
    </xf>
    <xf numFmtId="186" fontId="32" fillId="0" borderId="1" xfId="0" applyNumberFormat="1" applyFont="1" applyBorder="1" applyAlignment="1" applyProtection="1">
      <alignment horizontal="center" vertical="center" wrapText="1"/>
      <protection locked="0"/>
    </xf>
    <xf numFmtId="0" fontId="88" fillId="0" borderId="1" xfId="4" applyFont="1" applyFill="1" applyBorder="1" applyAlignment="1" applyProtection="1">
      <alignment horizontal="center" vertical="center" wrapText="1"/>
      <protection locked="0"/>
    </xf>
    <xf numFmtId="0" fontId="184" fillId="3" borderId="11" xfId="0" applyFont="1" applyFill="1" applyBorder="1" applyAlignment="1" applyProtection="1">
      <alignment horizontal="right" vertical="center"/>
    </xf>
    <xf numFmtId="0" fontId="78" fillId="3" borderId="11" xfId="0" applyFont="1" applyFill="1" applyBorder="1" applyAlignment="1" applyProtection="1">
      <alignment horizontal="center" vertical="center"/>
    </xf>
    <xf numFmtId="0" fontId="185" fillId="3" borderId="11" xfId="0" applyFont="1" applyFill="1" applyBorder="1" applyAlignment="1" applyProtection="1">
      <alignment horizontal="right" vertical="center"/>
    </xf>
    <xf numFmtId="0" fontId="37" fillId="3" borderId="0" xfId="0" applyFont="1" applyFill="1" applyAlignment="1" applyProtection="1">
      <alignment horizontal="left" vertical="center"/>
    </xf>
    <xf numFmtId="186" fontId="20" fillId="3" borderId="10" xfId="0" applyNumberFormat="1" applyFont="1" applyFill="1" applyBorder="1" applyAlignment="1" applyProtection="1">
      <alignment horizontal="center" vertical="center" wrapText="1"/>
    </xf>
    <xf numFmtId="0" fontId="78" fillId="3" borderId="11" xfId="0" applyFont="1" applyFill="1" applyBorder="1" applyAlignment="1" applyProtection="1">
      <alignment horizontal="center" vertical="center" wrapText="1"/>
    </xf>
    <xf numFmtId="0" fontId="78" fillId="3" borderId="74" xfId="0" applyFont="1" applyFill="1" applyBorder="1" applyAlignment="1" applyProtection="1">
      <alignment horizontal="center" vertical="center"/>
    </xf>
    <xf numFmtId="0" fontId="20" fillId="3" borderId="10" xfId="0" applyFont="1" applyFill="1" applyBorder="1" applyAlignment="1" applyProtection="1">
      <alignment horizontal="left" vertical="center"/>
      <protection locked="0"/>
    </xf>
    <xf numFmtId="0" fontId="20" fillId="3" borderId="11" xfId="0" applyFont="1" applyFill="1" applyBorder="1" applyAlignment="1" applyProtection="1">
      <alignment horizontal="left" vertical="center"/>
      <protection locked="0"/>
    </xf>
    <xf numFmtId="0" fontId="20" fillId="3" borderId="81" xfId="0" applyFont="1" applyFill="1" applyBorder="1" applyAlignment="1" applyProtection="1">
      <alignment horizontal="left" vertical="center"/>
      <protection locked="0"/>
    </xf>
    <xf numFmtId="0" fontId="20" fillId="3" borderId="10" xfId="0" applyFont="1" applyFill="1" applyBorder="1" applyAlignment="1" applyProtection="1">
      <alignment horizontal="center" vertical="center"/>
      <protection locked="0"/>
    </xf>
    <xf numFmtId="0" fontId="20" fillId="3" borderId="11" xfId="0" applyFont="1" applyFill="1" applyBorder="1" applyAlignment="1" applyProtection="1">
      <alignment horizontal="center" vertical="center"/>
      <protection locked="0"/>
    </xf>
    <xf numFmtId="0" fontId="20" fillId="3" borderId="1" xfId="0" applyFont="1" applyFill="1" applyBorder="1" applyAlignment="1" applyProtection="1">
      <alignment horizontal="center" vertical="center" wrapText="1"/>
      <protection locked="0"/>
    </xf>
    <xf numFmtId="0" fontId="20" fillId="3" borderId="3" xfId="0" applyFont="1" applyFill="1" applyBorder="1" applyAlignment="1" applyProtection="1">
      <alignment horizontal="center" vertical="center" wrapText="1"/>
      <protection locked="0"/>
    </xf>
    <xf numFmtId="0" fontId="20" fillId="3" borderId="34" xfId="0" applyFont="1" applyFill="1" applyBorder="1" applyAlignment="1" applyProtection="1">
      <alignment horizontal="center" vertical="center" wrapText="1"/>
      <protection locked="0"/>
    </xf>
    <xf numFmtId="181" fontId="20" fillId="3" borderId="34" xfId="0" applyNumberFormat="1" applyFont="1" applyFill="1" applyBorder="1" applyAlignment="1" applyProtection="1">
      <alignment horizontal="center" vertical="center" wrapText="1"/>
    </xf>
    <xf numFmtId="186" fontId="28" fillId="0" borderId="3" xfId="0" applyNumberFormat="1" applyFont="1" applyBorder="1" applyAlignment="1" applyProtection="1">
      <alignment horizontal="center" vertical="center" wrapText="1"/>
      <protection locked="0"/>
    </xf>
    <xf numFmtId="0" fontId="28" fillId="0" borderId="34" xfId="0" applyFont="1" applyBorder="1" applyAlignment="1" applyProtection="1">
      <alignment horizontal="center" vertical="center" wrapText="1"/>
      <protection locked="0"/>
    </xf>
    <xf numFmtId="186" fontId="32" fillId="0" borderId="3" xfId="0" applyNumberFormat="1" applyFont="1" applyBorder="1" applyAlignment="1" applyProtection="1">
      <alignment horizontal="center" vertical="center" wrapText="1"/>
      <protection locked="0"/>
    </xf>
    <xf numFmtId="0" fontId="32" fillId="0" borderId="34" xfId="0" applyFont="1" applyBorder="1" applyAlignment="1" applyProtection="1">
      <alignment horizontal="center" vertical="center" wrapText="1"/>
      <protection locked="0"/>
    </xf>
    <xf numFmtId="0" fontId="20" fillId="3" borderId="18" xfId="0" applyFont="1" applyFill="1" applyBorder="1" applyAlignment="1" applyProtection="1">
      <alignment horizontal="center" vertical="center" wrapText="1"/>
    </xf>
    <xf numFmtId="0" fontId="69" fillId="3" borderId="1" xfId="0" applyFont="1" applyFill="1" applyBorder="1" applyAlignment="1" applyProtection="1">
      <alignment horizontal="left" vertical="center" wrapText="1"/>
      <protection locked="0"/>
    </xf>
    <xf numFmtId="0" fontId="78" fillId="3" borderId="1" xfId="0" applyFont="1" applyFill="1" applyBorder="1" applyAlignment="1" applyProtection="1">
      <alignment horizontal="center" vertical="center" wrapText="1"/>
    </xf>
    <xf numFmtId="0" fontId="20" fillId="7" borderId="10" xfId="0" applyFont="1" applyFill="1" applyBorder="1" applyAlignment="1" applyProtection="1">
      <alignment horizontal="center" vertical="center" wrapText="1"/>
      <protection locked="0"/>
    </xf>
    <xf numFmtId="0" fontId="20" fillId="0" borderId="1" xfId="0" applyFont="1" applyBorder="1" applyAlignment="1" applyProtection="1">
      <alignment horizontal="center" vertical="center" wrapText="1"/>
      <protection locked="0"/>
    </xf>
    <xf numFmtId="186" fontId="20" fillId="0" borderId="1" xfId="0" applyNumberFormat="1" applyFont="1" applyFill="1" applyBorder="1" applyAlignment="1" applyProtection="1">
      <alignment horizontal="center" vertical="center" wrapText="1"/>
      <protection locked="0"/>
    </xf>
    <xf numFmtId="186" fontId="20" fillId="3" borderId="0" xfId="0" applyNumberFormat="1" applyFont="1" applyFill="1" applyAlignment="1" applyProtection="1">
      <alignment horizontal="center" vertical="center" wrapText="1"/>
    </xf>
    <xf numFmtId="0" fontId="20" fillId="3" borderId="4" xfId="0" applyFont="1" applyFill="1" applyBorder="1" applyAlignment="1" applyProtection="1">
      <alignment horizontal="center" vertical="center" wrapText="1"/>
    </xf>
    <xf numFmtId="186" fontId="20" fillId="3" borderId="5" xfId="0" applyNumberFormat="1" applyFont="1" applyFill="1" applyBorder="1" applyAlignment="1" applyProtection="1">
      <alignment horizontal="center" vertical="center" wrapText="1"/>
    </xf>
    <xf numFmtId="186" fontId="20" fillId="3" borderId="6" xfId="0" applyNumberFormat="1" applyFont="1" applyFill="1" applyBorder="1" applyAlignment="1" applyProtection="1">
      <alignment horizontal="center" vertical="center" wrapText="1"/>
    </xf>
    <xf numFmtId="181" fontId="20" fillId="3" borderId="34" xfId="0" applyNumberFormat="1" applyFont="1" applyFill="1" applyBorder="1" applyAlignment="1" applyProtection="1">
      <alignment horizontal="center" vertical="center"/>
    </xf>
    <xf numFmtId="0" fontId="22" fillId="3" borderId="89" xfId="0" applyFont="1" applyFill="1" applyBorder="1" applyAlignment="1" applyProtection="1">
      <alignment horizontal="center" vertical="center"/>
    </xf>
    <xf numFmtId="0" fontId="20" fillId="3" borderId="81" xfId="0" applyFont="1" applyFill="1" applyBorder="1" applyAlignment="1" applyProtection="1">
      <alignment horizontal="center" vertical="center"/>
    </xf>
    <xf numFmtId="0" fontId="20" fillId="3" borderId="74" xfId="0" applyFont="1" applyFill="1" applyBorder="1" applyAlignment="1" applyProtection="1">
      <alignment horizontal="center" vertical="center" wrapText="1"/>
    </xf>
    <xf numFmtId="181" fontId="20" fillId="3" borderId="1" xfId="0" applyNumberFormat="1" applyFont="1" applyFill="1" applyBorder="1" applyAlignment="1" applyProtection="1">
      <alignment horizontal="center" vertical="center"/>
    </xf>
    <xf numFmtId="0" fontId="32" fillId="3" borderId="11" xfId="0" applyFont="1" applyFill="1" applyBorder="1" applyAlignment="1" applyProtection="1">
      <alignment horizontal="center" vertical="center" wrapText="1"/>
    </xf>
    <xf numFmtId="181" fontId="20" fillId="3" borderId="81" xfId="0" applyNumberFormat="1" applyFont="1" applyFill="1" applyBorder="1" applyAlignment="1" applyProtection="1">
      <alignment horizontal="center" vertical="center"/>
    </xf>
    <xf numFmtId="186" fontId="20" fillId="3" borderId="13" xfId="0" applyNumberFormat="1" applyFont="1" applyFill="1" applyBorder="1" applyAlignment="1" applyProtection="1">
      <alignment horizontal="center" vertical="center" wrapText="1"/>
    </xf>
    <xf numFmtId="186" fontId="20" fillId="3" borderId="14" xfId="0" applyNumberFormat="1" applyFont="1" applyFill="1" applyBorder="1" applyAlignment="1" applyProtection="1">
      <alignment horizontal="center" vertical="center" wrapText="1"/>
    </xf>
    <xf numFmtId="0" fontId="20" fillId="3" borderId="47" xfId="0" applyFont="1" applyFill="1" applyBorder="1" applyAlignment="1" applyProtection="1">
      <alignment horizontal="center" vertical="center" wrapText="1"/>
    </xf>
    <xf numFmtId="186" fontId="32" fillId="3" borderId="14" xfId="0" applyNumberFormat="1" applyFont="1" applyFill="1" applyBorder="1" applyAlignment="1" applyProtection="1">
      <alignment horizontal="center" vertical="center" wrapText="1"/>
    </xf>
    <xf numFmtId="186" fontId="32" fillId="0" borderId="1" xfId="0" applyNumberFormat="1" applyFont="1" applyFill="1" applyBorder="1" applyAlignment="1" applyProtection="1">
      <alignment horizontal="center" vertical="center" wrapText="1"/>
      <protection locked="0"/>
    </xf>
    <xf numFmtId="0" fontId="32" fillId="0" borderId="1" xfId="0" applyFont="1" applyBorder="1" applyAlignment="1" applyProtection="1">
      <alignment vertical="center" wrapText="1"/>
      <protection locked="0"/>
    </xf>
    <xf numFmtId="0" fontId="32" fillId="0" borderId="10" xfId="0" applyFont="1" applyBorder="1" applyAlignment="1" applyProtection="1">
      <alignment horizontal="center" vertical="center" wrapText="1"/>
      <protection locked="0"/>
    </xf>
    <xf numFmtId="0" fontId="32" fillId="0" borderId="0" xfId="0" applyFont="1" applyFill="1" applyBorder="1" applyAlignment="1" applyProtection="1">
      <alignment horizontal="center" vertical="center" wrapText="1"/>
      <protection locked="0"/>
    </xf>
    <xf numFmtId="186" fontId="32" fillId="0" borderId="0" xfId="0" applyNumberFormat="1" applyFont="1" applyFill="1" applyBorder="1" applyAlignment="1" applyProtection="1">
      <alignment horizontal="center" vertical="center" wrapText="1"/>
      <protection locked="0"/>
    </xf>
    <xf numFmtId="0" fontId="34" fillId="0" borderId="0" xfId="0" applyFont="1" applyAlignment="1" applyProtection="1">
      <alignment horizontal="center" vertical="center"/>
      <protection locked="0"/>
    </xf>
    <xf numFmtId="0" fontId="186" fillId="0" borderId="163" xfId="0" applyFont="1" applyBorder="1" applyAlignment="1" applyProtection="1">
      <alignment vertical="center" wrapText="1"/>
    </xf>
    <xf numFmtId="0" fontId="186" fillId="0" borderId="0" xfId="0" applyFont="1" applyAlignment="1" applyProtection="1">
      <alignment vertical="center" wrapText="1"/>
    </xf>
    <xf numFmtId="0" fontId="186" fillId="0" borderId="0" xfId="0" applyFont="1" applyAlignment="1" applyProtection="1">
      <alignment horizontal="center" vertical="center" wrapText="1"/>
    </xf>
    <xf numFmtId="49" fontId="186" fillId="0" borderId="20" xfId="0" applyNumberFormat="1" applyFont="1" applyBorder="1" applyAlignment="1" applyProtection="1">
      <alignment horizontal="center" vertical="center" wrapText="1"/>
      <protection locked="0"/>
    </xf>
    <xf numFmtId="49" fontId="186" fillId="0" borderId="0" xfId="0" applyNumberFormat="1" applyFont="1" applyAlignment="1" applyProtection="1">
      <alignment horizontal="center" vertical="center" wrapText="1"/>
      <protection locked="0"/>
    </xf>
    <xf numFmtId="0" fontId="186" fillId="0" borderId="0" xfId="0" applyFont="1" applyAlignment="1" applyProtection="1">
      <alignment vertical="center" wrapText="1"/>
      <protection locked="0"/>
    </xf>
    <xf numFmtId="0" fontId="186" fillId="0" borderId="0" xfId="0" applyFont="1" applyAlignment="1" applyProtection="1">
      <alignment horizontal="center" vertical="center" wrapText="1"/>
      <protection locked="0"/>
    </xf>
    <xf numFmtId="0" fontId="186" fillId="3" borderId="60" xfId="0" applyFont="1" applyFill="1" applyBorder="1" applyAlignment="1" applyProtection="1">
      <alignment vertical="center" wrapText="1"/>
    </xf>
    <xf numFmtId="0" fontId="186" fillId="3" borderId="0" xfId="0" applyFont="1" applyFill="1" applyBorder="1" applyAlignment="1" applyProtection="1">
      <alignment vertical="center" wrapText="1"/>
    </xf>
    <xf numFmtId="0" fontId="186" fillId="0" borderId="0" xfId="0" applyFont="1" applyAlignment="1" applyProtection="1">
      <alignment vertical="center"/>
      <protection locked="0"/>
    </xf>
    <xf numFmtId="0" fontId="186" fillId="9" borderId="0" xfId="0" applyFont="1" applyFill="1" applyAlignment="1" applyProtection="1">
      <alignment vertical="center" wrapText="1"/>
      <protection locked="0"/>
    </xf>
    <xf numFmtId="0" fontId="186" fillId="9" borderId="0" xfId="0" applyFont="1" applyFill="1" applyBorder="1" applyAlignment="1" applyProtection="1">
      <alignment vertical="center" wrapText="1"/>
      <protection locked="0"/>
    </xf>
    <xf numFmtId="0" fontId="186" fillId="3" borderId="1" xfId="0" applyFont="1" applyFill="1" applyBorder="1" applyAlignment="1" applyProtection="1">
      <alignment horizontal="left" vertical="center"/>
    </xf>
    <xf numFmtId="14" fontId="186" fillId="0" borderId="9" xfId="0" applyNumberFormat="1" applyFont="1" applyFill="1" applyBorder="1" applyAlignment="1" applyProtection="1">
      <alignment horizontal="left" vertical="center"/>
      <protection locked="0"/>
    </xf>
    <xf numFmtId="0" fontId="186" fillId="19" borderId="9" xfId="0" applyFont="1" applyFill="1" applyBorder="1" applyAlignment="1" applyProtection="1">
      <alignment vertical="center" wrapText="1"/>
    </xf>
    <xf numFmtId="0" fontId="186" fillId="3" borderId="83" xfId="0" applyFont="1" applyFill="1" applyBorder="1" applyAlignment="1" applyProtection="1">
      <alignment horizontal="left" vertical="center"/>
    </xf>
    <xf numFmtId="0" fontId="186" fillId="2" borderId="83" xfId="0" applyFont="1" applyFill="1" applyBorder="1" applyAlignment="1" applyProtection="1">
      <alignment vertical="center" wrapText="1"/>
      <protection locked="0"/>
    </xf>
    <xf numFmtId="0" fontId="186" fillId="3" borderId="83" xfId="0" applyFont="1" applyFill="1" applyBorder="1" applyAlignment="1" applyProtection="1">
      <alignment vertical="center" wrapText="1"/>
    </xf>
    <xf numFmtId="0" fontId="186" fillId="3" borderId="34" xfId="0" applyFont="1" applyFill="1" applyBorder="1" applyAlignment="1" applyProtection="1">
      <alignment vertical="center" wrapText="1"/>
    </xf>
    <xf numFmtId="0" fontId="186" fillId="6" borderId="10" xfId="0" applyFont="1" applyFill="1" applyBorder="1" applyAlignment="1" applyProtection="1">
      <alignment vertical="center"/>
      <protection locked="0"/>
    </xf>
    <xf numFmtId="0" fontId="186" fillId="6" borderId="89" xfId="0" applyFont="1" applyFill="1" applyBorder="1" applyAlignment="1" applyProtection="1">
      <alignment vertical="center" wrapText="1"/>
    </xf>
    <xf numFmtId="0" fontId="186" fillId="6" borderId="81" xfId="0" applyFont="1" applyFill="1" applyBorder="1" applyAlignment="1" applyProtection="1">
      <alignment vertical="center" wrapText="1"/>
    </xf>
    <xf numFmtId="0" fontId="186" fillId="3" borderId="9" xfId="0" applyFont="1" applyFill="1" applyBorder="1" applyAlignment="1" applyProtection="1">
      <alignment vertical="center" wrapText="1"/>
    </xf>
    <xf numFmtId="0" fontId="186" fillId="6" borderId="12" xfId="0" applyFont="1" applyFill="1" applyBorder="1" applyAlignment="1" applyProtection="1">
      <alignment vertical="center" wrapText="1"/>
    </xf>
    <xf numFmtId="0" fontId="186" fillId="6" borderId="58" xfId="0" applyFont="1" applyFill="1" applyBorder="1" applyAlignment="1" applyProtection="1">
      <alignment vertical="center" wrapText="1"/>
    </xf>
    <xf numFmtId="0" fontId="186" fillId="3" borderId="18" xfId="0" applyFont="1" applyFill="1" applyBorder="1" applyAlignment="1" applyProtection="1">
      <alignment vertical="center" wrapText="1"/>
    </xf>
    <xf numFmtId="0" fontId="186" fillId="19" borderId="18" xfId="0" applyFont="1" applyFill="1" applyBorder="1" applyAlignment="1" applyProtection="1">
      <alignment vertical="center" wrapText="1"/>
    </xf>
    <xf numFmtId="0" fontId="186" fillId="2" borderId="10" xfId="0" applyFont="1" applyFill="1" applyBorder="1" applyAlignment="1" applyProtection="1">
      <alignment horizontal="left" vertical="center" wrapText="1"/>
      <protection locked="0"/>
    </xf>
    <xf numFmtId="0" fontId="186" fillId="2" borderId="12" xfId="0" applyFont="1" applyFill="1" applyBorder="1" applyAlignment="1" applyProtection="1">
      <alignment vertical="center" wrapText="1"/>
    </xf>
    <xf numFmtId="0" fontId="186" fillId="2" borderId="10" xfId="0" applyFont="1" applyFill="1" applyBorder="1" applyAlignment="1" applyProtection="1">
      <alignment vertical="center" wrapText="1"/>
      <protection locked="0"/>
    </xf>
    <xf numFmtId="0" fontId="186" fillId="2" borderId="11" xfId="0" applyFont="1" applyFill="1" applyBorder="1" applyAlignment="1" applyProtection="1">
      <alignment vertical="center" wrapText="1"/>
    </xf>
    <xf numFmtId="0" fontId="186" fillId="19" borderId="109" xfId="0" applyFont="1" applyFill="1" applyBorder="1" applyAlignment="1" applyProtection="1">
      <alignment vertical="center" wrapText="1"/>
    </xf>
    <xf numFmtId="0" fontId="186" fillId="2" borderId="109" xfId="0" applyFont="1" applyFill="1" applyBorder="1" applyAlignment="1" applyProtection="1">
      <alignment horizontal="left" vertical="center"/>
      <protection locked="0"/>
    </xf>
    <xf numFmtId="0" fontId="186" fillId="2" borderId="110" xfId="0" applyFont="1" applyFill="1" applyBorder="1" applyAlignment="1" applyProtection="1">
      <alignment vertical="center" wrapText="1"/>
    </xf>
    <xf numFmtId="0" fontId="186" fillId="2" borderId="105" xfId="0" applyFont="1" applyFill="1" applyBorder="1" applyAlignment="1" applyProtection="1">
      <alignment vertical="center" wrapText="1"/>
    </xf>
    <xf numFmtId="0" fontId="186" fillId="9" borderId="2" xfId="0" applyFont="1" applyFill="1" applyBorder="1" applyAlignment="1" applyProtection="1">
      <alignment vertical="center" wrapText="1"/>
      <protection locked="0"/>
    </xf>
    <xf numFmtId="0" fontId="186" fillId="19" borderId="34" xfId="0" applyFont="1" applyFill="1" applyBorder="1" applyAlignment="1" applyProtection="1">
      <alignment horizontal="left" vertical="center"/>
    </xf>
    <xf numFmtId="0" fontId="186" fillId="5" borderId="81" xfId="0" applyFont="1" applyFill="1" applyBorder="1" applyAlignment="1" applyProtection="1">
      <alignment horizontal="left" vertical="center" wrapText="1"/>
      <protection locked="0"/>
    </xf>
    <xf numFmtId="0" fontId="186" fillId="6" borderId="89" xfId="0" applyFont="1" applyFill="1" applyBorder="1" applyAlignment="1" applyProtection="1">
      <alignment vertical="center" wrapText="1"/>
      <protection locked="0"/>
    </xf>
    <xf numFmtId="49" fontId="186" fillId="3" borderId="3" xfId="0" applyNumberFormat="1" applyFont="1" applyFill="1" applyBorder="1" applyAlignment="1" applyProtection="1">
      <alignment horizontal="left" vertical="center" wrapText="1"/>
    </xf>
    <xf numFmtId="49" fontId="187" fillId="0" borderId="34" xfId="0" applyNumberFormat="1" applyFont="1" applyFill="1" applyBorder="1" applyAlignment="1" applyProtection="1">
      <alignment horizontal="left" vertical="center"/>
      <protection locked="0"/>
    </xf>
    <xf numFmtId="0" fontId="186" fillId="0" borderId="89" xfId="0" applyFont="1" applyFill="1" applyBorder="1" applyAlignment="1" applyProtection="1">
      <alignment vertical="center" wrapText="1"/>
    </xf>
    <xf numFmtId="0" fontId="186" fillId="6" borderId="89" xfId="0" applyFont="1" applyFill="1" applyBorder="1" applyAlignment="1" applyProtection="1">
      <alignment horizontal="center" vertical="center" wrapText="1"/>
    </xf>
    <xf numFmtId="0" fontId="186" fillId="19" borderId="10" xfId="0" applyFont="1" applyFill="1" applyBorder="1" applyAlignment="1" applyProtection="1">
      <alignment vertical="center"/>
    </xf>
    <xf numFmtId="0" fontId="186" fillId="5" borderId="58" xfId="0" applyFont="1" applyFill="1" applyBorder="1" applyAlignment="1" applyProtection="1">
      <alignment horizontal="left" vertical="center" wrapText="1"/>
      <protection locked="0"/>
    </xf>
    <xf numFmtId="0" fontId="186" fillId="6" borderId="12" xfId="0" applyFont="1" applyFill="1" applyBorder="1" applyAlignment="1" applyProtection="1">
      <alignment vertical="center" wrapText="1"/>
      <protection locked="0"/>
    </xf>
    <xf numFmtId="0" fontId="186" fillId="6" borderId="11" xfId="0" applyFont="1" applyFill="1" applyBorder="1" applyAlignment="1" applyProtection="1">
      <alignment vertical="center" wrapText="1"/>
    </xf>
    <xf numFmtId="0" fontId="186" fillId="3" borderId="0" xfId="0" applyFont="1" applyFill="1" applyBorder="1" applyAlignment="1" applyProtection="1">
      <alignment vertical="center" wrapText="1"/>
      <protection locked="0"/>
    </xf>
    <xf numFmtId="0" fontId="186" fillId="3" borderId="18" xfId="0" applyFont="1" applyFill="1" applyBorder="1" applyAlignment="1" applyProtection="1">
      <alignment vertical="center"/>
    </xf>
    <xf numFmtId="0" fontId="186" fillId="3" borderId="1" xfId="0" applyFont="1" applyFill="1" applyBorder="1" applyAlignment="1" applyProtection="1">
      <alignment vertical="center" wrapText="1"/>
    </xf>
    <xf numFmtId="0" fontId="186" fillId="3" borderId="1" xfId="0" applyFont="1" applyFill="1" applyBorder="1" applyAlignment="1" applyProtection="1">
      <alignment horizontal="left" vertical="center" wrapText="1"/>
    </xf>
    <xf numFmtId="0" fontId="186" fillId="2" borderId="12" xfId="0" applyFont="1" applyFill="1" applyBorder="1" applyAlignment="1" applyProtection="1">
      <alignment horizontal="center" vertical="center" wrapText="1"/>
      <protection locked="0"/>
    </xf>
    <xf numFmtId="0" fontId="186" fillId="3" borderId="1" xfId="0" applyFont="1" applyFill="1" applyBorder="1" applyAlignment="1" applyProtection="1">
      <alignment vertical="center"/>
    </xf>
    <xf numFmtId="0" fontId="186" fillId="2" borderId="1" xfId="0" applyFont="1" applyFill="1" applyBorder="1" applyAlignment="1" applyProtection="1">
      <alignment horizontal="center" vertical="center"/>
      <protection locked="0"/>
    </xf>
    <xf numFmtId="0" fontId="186" fillId="3" borderId="12" xfId="0" applyFont="1" applyFill="1" applyBorder="1" applyAlignment="1" applyProtection="1">
      <alignment vertical="center"/>
    </xf>
    <xf numFmtId="0" fontId="186" fillId="3" borderId="9" xfId="0" applyFont="1" applyFill="1" applyBorder="1" applyAlignment="1" applyProtection="1">
      <alignment horizontal="left" vertical="center"/>
    </xf>
    <xf numFmtId="49" fontId="186" fillId="3" borderId="1" xfId="0" applyNumberFormat="1" applyFont="1" applyFill="1" applyBorder="1" applyAlignment="1" applyProtection="1">
      <alignment horizontal="center" vertical="center" wrapText="1"/>
    </xf>
    <xf numFmtId="0" fontId="186" fillId="3" borderId="1" xfId="0" applyFont="1" applyFill="1" applyBorder="1" applyAlignment="1" applyProtection="1">
      <alignment horizontal="center" vertical="center" wrapText="1"/>
    </xf>
    <xf numFmtId="49" fontId="186" fillId="19" borderId="9" xfId="0" applyNumberFormat="1" applyFont="1" applyFill="1" applyBorder="1" applyAlignment="1" applyProtection="1">
      <alignment horizontal="left" vertical="center" wrapText="1"/>
    </xf>
    <xf numFmtId="0" fontId="186" fillId="2" borderId="1" xfId="0" applyFont="1" applyFill="1" applyBorder="1" applyAlignment="1" applyProtection="1">
      <alignment vertical="center" wrapText="1"/>
      <protection locked="0"/>
    </xf>
    <xf numFmtId="0" fontId="186" fillId="2" borderId="9" xfId="0" applyFont="1" applyFill="1" applyBorder="1" applyAlignment="1" applyProtection="1">
      <alignment horizontal="left" vertical="center" wrapText="1"/>
      <protection locked="0"/>
    </xf>
    <xf numFmtId="0" fontId="186" fillId="19" borderId="89" xfId="0" applyFont="1" applyFill="1" applyBorder="1" applyAlignment="1" applyProtection="1">
      <alignment vertical="center" wrapText="1"/>
    </xf>
    <xf numFmtId="185" fontId="77" fillId="0" borderId="1" xfId="0" applyNumberFormat="1" applyFont="1" applyFill="1" applyBorder="1" applyAlignment="1" applyProtection="1">
      <alignment horizontal="center" vertical="center"/>
      <protection locked="0"/>
    </xf>
    <xf numFmtId="0" fontId="186" fillId="3" borderId="35" xfId="0" applyFont="1" applyFill="1" applyBorder="1" applyAlignment="1" applyProtection="1">
      <alignment horizontal="left" vertical="center"/>
    </xf>
    <xf numFmtId="179" fontId="186" fillId="2" borderId="1" xfId="5" applyNumberFormat="1" applyFont="1" applyFill="1" applyBorder="1" applyAlignment="1" applyProtection="1">
      <alignment horizontal="center" vertical="center"/>
      <protection locked="0"/>
    </xf>
    <xf numFmtId="181" fontId="186" fillId="3" borderId="9" xfId="0" applyNumberFormat="1" applyFont="1" applyFill="1" applyBorder="1" applyAlignment="1" applyProtection="1">
      <alignment horizontal="center" vertical="center" wrapText="1"/>
    </xf>
    <xf numFmtId="181" fontId="186" fillId="3" borderId="1" xfId="0" applyNumberFormat="1" applyFont="1" applyFill="1" applyBorder="1" applyAlignment="1" applyProtection="1">
      <alignment horizontal="center" vertical="center" wrapText="1"/>
    </xf>
    <xf numFmtId="0" fontId="186" fillId="3" borderId="10" xfId="0" applyFont="1" applyFill="1" applyBorder="1" applyAlignment="1" applyProtection="1">
      <alignment horizontal="right" vertical="center" wrapText="1"/>
    </xf>
    <xf numFmtId="0" fontId="186" fillId="3" borderId="12" xfId="0" applyFont="1" applyFill="1" applyBorder="1" applyAlignment="1" applyProtection="1">
      <alignment horizontal="right" vertical="center" wrapText="1"/>
    </xf>
    <xf numFmtId="0" fontId="186" fillId="3" borderId="11" xfId="0" applyFont="1" applyFill="1" applyBorder="1" applyAlignment="1" applyProtection="1">
      <alignment horizontal="right" vertical="center"/>
    </xf>
    <xf numFmtId="0" fontId="186" fillId="3" borderId="3" xfId="0" applyFont="1" applyFill="1" applyBorder="1" applyAlignment="1" applyProtection="1">
      <alignment horizontal="left" vertical="center"/>
    </xf>
    <xf numFmtId="0" fontId="186" fillId="3" borderId="3" xfId="0" applyFont="1" applyFill="1" applyBorder="1" applyAlignment="1" applyProtection="1">
      <alignment horizontal="center" vertical="center" wrapText="1"/>
    </xf>
    <xf numFmtId="0" fontId="186" fillId="3" borderId="3" xfId="0" applyFont="1" applyFill="1" applyBorder="1" applyAlignment="1" applyProtection="1">
      <alignment horizontal="left" vertical="center" wrapText="1"/>
    </xf>
    <xf numFmtId="0" fontId="156" fillId="2" borderId="3" xfId="0" applyFont="1" applyFill="1" applyBorder="1" applyAlignment="1" applyProtection="1">
      <alignment horizontal="left" vertical="center" wrapText="1"/>
      <protection locked="0"/>
    </xf>
    <xf numFmtId="0" fontId="186" fillId="3" borderId="9" xfId="0" applyFont="1" applyFill="1" applyBorder="1" applyAlignment="1" applyProtection="1">
      <alignment horizontal="left" vertical="center" wrapText="1"/>
    </xf>
    <xf numFmtId="0" fontId="186" fillId="3" borderId="35" xfId="0" applyFont="1" applyFill="1" applyBorder="1" applyAlignment="1" applyProtection="1">
      <alignment vertical="center"/>
    </xf>
    <xf numFmtId="0" fontId="186" fillId="2" borderId="35" xfId="0" applyFont="1" applyFill="1" applyBorder="1" applyAlignment="1" applyProtection="1">
      <alignment horizontal="center" vertical="center" wrapText="1"/>
      <protection locked="0"/>
    </xf>
    <xf numFmtId="0" fontId="186" fillId="3" borderId="80" xfId="0" applyFont="1" applyFill="1" applyBorder="1" applyAlignment="1" applyProtection="1">
      <alignment horizontal="center" vertical="center" wrapText="1"/>
    </xf>
    <xf numFmtId="0" fontId="186" fillId="2" borderId="80" xfId="0" applyFont="1" applyFill="1" applyBorder="1" applyAlignment="1" applyProtection="1">
      <alignment horizontal="center" vertical="center" wrapText="1"/>
      <protection locked="0"/>
    </xf>
    <xf numFmtId="0" fontId="188" fillId="3" borderId="80" xfId="0" applyFont="1" applyFill="1" applyBorder="1" applyAlignment="1" applyProtection="1">
      <alignment vertical="center" wrapText="1"/>
    </xf>
    <xf numFmtId="0" fontId="186" fillId="2" borderId="86" xfId="0" applyFont="1" applyFill="1" applyBorder="1" applyAlignment="1" applyProtection="1">
      <alignment horizontal="center" vertical="center" wrapText="1"/>
      <protection locked="0"/>
    </xf>
    <xf numFmtId="0" fontId="186" fillId="3" borderId="9" xfId="0" applyFont="1" applyFill="1" applyBorder="1" applyAlignment="1" applyProtection="1">
      <alignment horizontal="right" vertical="center" wrapText="1"/>
    </xf>
    <xf numFmtId="0" fontId="186" fillId="3" borderId="103" xfId="0" applyFont="1" applyFill="1" applyBorder="1" applyAlignment="1" applyProtection="1">
      <alignment vertical="center"/>
    </xf>
    <xf numFmtId="0" fontId="186" fillId="3" borderId="35" xfId="0" applyFont="1" applyFill="1" applyBorder="1" applyAlignment="1" applyProtection="1">
      <alignment horizontal="right" vertical="center" wrapText="1"/>
    </xf>
    <xf numFmtId="0" fontId="186" fillId="2" borderId="11" xfId="0" applyFont="1" applyFill="1" applyBorder="1" applyAlignment="1" applyProtection="1">
      <alignment horizontal="center" vertical="center" wrapText="1"/>
      <protection locked="0"/>
    </xf>
    <xf numFmtId="0" fontId="186" fillId="2" borderId="14" xfId="0" applyFont="1" applyFill="1" applyBorder="1" applyAlignment="1" applyProtection="1">
      <alignment horizontal="center" vertical="center" wrapText="1"/>
      <protection locked="0"/>
    </xf>
    <xf numFmtId="0" fontId="187" fillId="0" borderId="6" xfId="0" applyFont="1" applyBorder="1" applyAlignment="1" applyProtection="1">
      <alignment vertical="center" wrapText="1"/>
      <protection locked="0"/>
    </xf>
    <xf numFmtId="0" fontId="186" fillId="2" borderId="10" xfId="0" applyFont="1" applyFill="1" applyBorder="1" applyAlignment="1" applyProtection="1">
      <alignment horizontal="center" vertical="center" wrapText="1"/>
      <protection locked="0"/>
    </xf>
    <xf numFmtId="0" fontId="186" fillId="0" borderId="165" xfId="0" applyFont="1" applyBorder="1" applyAlignment="1" applyProtection="1">
      <alignment vertical="center" wrapText="1"/>
      <protection locked="0"/>
    </xf>
    <xf numFmtId="0" fontId="186" fillId="3" borderId="3" xfId="0" applyFont="1" applyFill="1" applyBorder="1" applyAlignment="1" applyProtection="1">
      <alignment horizontal="right" vertical="center" wrapText="1"/>
    </xf>
    <xf numFmtId="0" fontId="186" fillId="2" borderId="11" xfId="0" applyFont="1" applyFill="1" applyBorder="1" applyAlignment="1" applyProtection="1">
      <alignment horizontal="center" vertical="center" wrapText="1" shrinkToFit="1"/>
      <protection locked="0"/>
    </xf>
    <xf numFmtId="0" fontId="186" fillId="9" borderId="48" xfId="0" applyFont="1" applyFill="1" applyBorder="1" applyAlignment="1" applyProtection="1">
      <alignment vertical="center" wrapText="1"/>
      <protection locked="0"/>
    </xf>
    <xf numFmtId="0" fontId="186" fillId="3" borderId="22" xfId="0" applyFont="1" applyFill="1" applyBorder="1" applyAlignment="1" applyProtection="1">
      <alignment horizontal="right" vertical="center" wrapText="1"/>
    </xf>
    <xf numFmtId="0" fontId="186" fillId="3" borderId="11" xfId="0" applyFont="1" applyFill="1" applyBorder="1" applyAlignment="1" applyProtection="1">
      <alignment horizontal="right" vertical="center" wrapText="1"/>
    </xf>
    <xf numFmtId="185" fontId="187" fillId="0" borderId="14" xfId="0" applyNumberFormat="1" applyFont="1" applyFill="1" applyBorder="1" applyAlignment="1" applyProtection="1">
      <alignment horizontal="left" vertical="center" shrinkToFit="1"/>
      <protection locked="0"/>
    </xf>
    <xf numFmtId="0" fontId="186" fillId="3" borderId="4" xfId="0" applyFont="1" applyFill="1" applyBorder="1" applyAlignment="1" applyProtection="1">
      <alignment horizontal="right" vertical="center" wrapText="1"/>
    </xf>
    <xf numFmtId="185" fontId="187" fillId="0" borderId="44" xfId="0" applyNumberFormat="1" applyFont="1" applyFill="1" applyBorder="1" applyAlignment="1" applyProtection="1">
      <alignment horizontal="left" vertical="center" shrinkToFit="1"/>
      <protection locked="0"/>
    </xf>
    <xf numFmtId="0" fontId="186" fillId="3" borderId="68" xfId="0" applyFont="1" applyFill="1" applyBorder="1" applyAlignment="1" applyProtection="1">
      <alignment horizontal="left" vertical="center" wrapText="1"/>
    </xf>
    <xf numFmtId="0" fontId="187" fillId="0" borderId="14" xfId="0" applyFont="1" applyFill="1" applyBorder="1" applyAlignment="1" applyProtection="1">
      <alignment horizontal="left" vertical="center" wrapText="1"/>
      <protection locked="0"/>
    </xf>
    <xf numFmtId="0" fontId="186" fillId="3" borderId="6" xfId="0" applyFont="1" applyFill="1" applyBorder="1" applyAlignment="1" applyProtection="1">
      <alignment horizontal="right" vertical="center" wrapText="1"/>
    </xf>
    <xf numFmtId="0" fontId="187" fillId="0" borderId="46" xfId="0" applyFont="1" applyFill="1" applyBorder="1" applyAlignment="1" applyProtection="1">
      <alignment horizontal="left" vertical="center" wrapText="1"/>
      <protection locked="0"/>
    </xf>
    <xf numFmtId="0" fontId="186" fillId="3" borderId="166" xfId="0" applyFont="1" applyFill="1" applyBorder="1" applyAlignment="1" applyProtection="1">
      <alignment horizontal="left" vertical="center" wrapText="1"/>
    </xf>
    <xf numFmtId="0" fontId="186" fillId="3" borderId="105" xfId="0" applyFont="1" applyFill="1" applyBorder="1" applyAlignment="1" applyProtection="1">
      <alignment horizontal="right" vertical="center" wrapText="1"/>
    </xf>
    <xf numFmtId="0" fontId="187" fillId="0" borderId="87" xfId="0" applyFont="1" applyFill="1" applyBorder="1" applyAlignment="1" applyProtection="1">
      <alignment horizontal="left" vertical="center" wrapText="1"/>
      <protection locked="0"/>
    </xf>
    <xf numFmtId="0" fontId="186" fillId="3" borderId="166" xfId="0" applyFont="1" applyFill="1" applyBorder="1" applyAlignment="1" applyProtection="1">
      <alignment horizontal="right" vertical="center" wrapText="1"/>
    </xf>
    <xf numFmtId="0" fontId="187" fillId="0" borderId="108" xfId="0" applyFont="1" applyFill="1" applyBorder="1" applyAlignment="1" applyProtection="1">
      <alignment horizontal="left" vertical="center" wrapText="1"/>
      <protection locked="0"/>
    </xf>
    <xf numFmtId="0" fontId="186" fillId="9" borderId="167" xfId="0" applyFont="1" applyFill="1" applyBorder="1" applyAlignment="1" applyProtection="1">
      <alignment vertical="center" wrapText="1"/>
      <protection locked="0"/>
    </xf>
    <xf numFmtId="0" fontId="186" fillId="0" borderId="3" xfId="0" applyFont="1" applyBorder="1" applyAlignment="1" applyProtection="1">
      <alignment horizontal="left" vertical="center" wrapText="1"/>
      <protection locked="0"/>
    </xf>
    <xf numFmtId="0" fontId="186" fillId="5" borderId="10" xfId="0" applyFont="1" applyFill="1" applyBorder="1" applyAlignment="1" applyProtection="1">
      <alignment vertical="center"/>
      <protection locked="0"/>
    </xf>
    <xf numFmtId="0" fontId="186" fillId="5" borderId="11" xfId="0" applyFont="1" applyFill="1" applyBorder="1" applyAlignment="1" applyProtection="1">
      <alignment vertical="center"/>
    </xf>
    <xf numFmtId="0" fontId="186" fillId="3" borderId="10" xfId="0" applyFont="1" applyFill="1" applyBorder="1" applyAlignment="1" applyProtection="1">
      <alignment horizontal="left" vertical="center" wrapText="1"/>
    </xf>
    <xf numFmtId="0" fontId="186" fillId="2" borderId="1" xfId="0" applyFont="1" applyFill="1" applyBorder="1" applyAlignment="1" applyProtection="1">
      <alignment horizontal="center" vertical="center" wrapText="1"/>
      <protection locked="0"/>
    </xf>
    <xf numFmtId="0" fontId="186" fillId="0" borderId="1" xfId="0" applyFont="1" applyBorder="1" applyAlignment="1" applyProtection="1">
      <alignment vertical="center" wrapText="1"/>
      <protection locked="0"/>
    </xf>
    <xf numFmtId="0" fontId="186" fillId="3" borderId="10" xfId="0" applyFont="1" applyFill="1" applyBorder="1" applyAlignment="1" applyProtection="1">
      <alignment vertical="center" wrapText="1"/>
    </xf>
    <xf numFmtId="14" fontId="186" fillId="0" borderId="34" xfId="0" applyNumberFormat="1" applyFont="1" applyBorder="1" applyAlignment="1" applyProtection="1">
      <alignment vertical="center" wrapText="1"/>
      <protection locked="0"/>
    </xf>
    <xf numFmtId="0" fontId="186" fillId="3" borderId="81" xfId="0" applyFont="1" applyFill="1" applyBorder="1" applyAlignment="1" applyProtection="1">
      <alignment vertical="center" wrapText="1"/>
    </xf>
    <xf numFmtId="190" fontId="186" fillId="3" borderId="0" xfId="0" applyNumberFormat="1" applyFont="1" applyFill="1" applyBorder="1" applyAlignment="1" applyProtection="1">
      <alignment vertical="center" wrapText="1"/>
    </xf>
    <xf numFmtId="0" fontId="186" fillId="3" borderId="74" xfId="0" applyFont="1" applyFill="1" applyBorder="1" applyAlignment="1" applyProtection="1">
      <alignment vertical="center"/>
    </xf>
    <xf numFmtId="0" fontId="186" fillId="3" borderId="10" xfId="0" applyFont="1" applyFill="1" applyBorder="1" applyAlignment="1" applyProtection="1">
      <alignment vertical="center"/>
    </xf>
    <xf numFmtId="0" fontId="186" fillId="3" borderId="11" xfId="0" applyFont="1" applyFill="1" applyBorder="1" applyAlignment="1" applyProtection="1">
      <alignment vertical="center" wrapText="1"/>
    </xf>
    <xf numFmtId="0" fontId="59" fillId="2" borderId="1" xfId="0" applyFont="1" applyFill="1" applyBorder="1" applyAlignment="1" applyProtection="1">
      <alignment horizontal="center" vertical="center" wrapText="1"/>
      <protection locked="0"/>
    </xf>
    <xf numFmtId="0" fontId="186" fillId="3" borderId="11" xfId="0" applyNumberFormat="1" applyFont="1" applyFill="1" applyBorder="1" applyAlignment="1" applyProtection="1">
      <alignment horizontal="center" vertical="center" wrapText="1"/>
    </xf>
    <xf numFmtId="0" fontId="186" fillId="3" borderId="35" xfId="0" applyFont="1" applyFill="1" applyBorder="1" applyAlignment="1" applyProtection="1">
      <alignment vertical="center" wrapText="1"/>
    </xf>
    <xf numFmtId="0" fontId="186" fillId="20" borderId="3" xfId="0" applyFont="1" applyFill="1" applyBorder="1" applyAlignment="1" applyProtection="1">
      <alignment vertical="center" wrapText="1"/>
    </xf>
    <xf numFmtId="49" fontId="186" fillId="2" borderId="1" xfId="0" applyNumberFormat="1" applyFont="1" applyFill="1" applyBorder="1" applyAlignment="1" applyProtection="1">
      <alignment horizontal="center" vertical="center" wrapText="1"/>
      <protection locked="0"/>
    </xf>
    <xf numFmtId="0" fontId="129" fillId="3" borderId="163" xfId="0" applyFont="1" applyFill="1" applyBorder="1" applyAlignment="1" applyProtection="1">
      <alignment vertical="center"/>
    </xf>
    <xf numFmtId="0" fontId="186" fillId="3" borderId="163" xfId="0" applyFont="1" applyFill="1" applyBorder="1" applyAlignment="1" applyProtection="1">
      <alignment vertical="center" wrapText="1"/>
    </xf>
    <xf numFmtId="0" fontId="186" fillId="3" borderId="163" xfId="0" applyFont="1" applyFill="1" applyBorder="1" applyAlignment="1" applyProtection="1">
      <alignment vertical="center" wrapText="1"/>
      <protection locked="0"/>
    </xf>
    <xf numFmtId="0" fontId="186" fillId="3" borderId="0" xfId="0" applyFont="1" applyFill="1" applyAlignment="1" applyProtection="1">
      <alignment vertical="center" wrapText="1"/>
    </xf>
    <xf numFmtId="0" fontId="189" fillId="3" borderId="10" xfId="0" applyFont="1" applyFill="1" applyBorder="1" applyAlignment="1" applyProtection="1">
      <alignment vertical="center"/>
    </xf>
    <xf numFmtId="0" fontId="186" fillId="3" borderId="12" xfId="0" applyFont="1" applyFill="1" applyBorder="1" applyAlignment="1" applyProtection="1">
      <alignment vertical="center" wrapText="1"/>
    </xf>
    <xf numFmtId="0" fontId="186" fillId="0" borderId="1" xfId="0" applyFont="1" applyBorder="1" applyAlignment="1" applyProtection="1">
      <alignment vertical="center" wrapText="1"/>
    </xf>
    <xf numFmtId="0" fontId="186" fillId="0" borderId="1" xfId="0" applyFont="1" applyBorder="1" applyAlignment="1" applyProtection="1">
      <alignment horizontal="center" vertical="center" wrapText="1"/>
    </xf>
    <xf numFmtId="0" fontId="186" fillId="3" borderId="20" xfId="0" applyNumberFormat="1" applyFont="1" applyFill="1" applyBorder="1" applyAlignment="1" applyProtection="1">
      <alignment horizontal="left" vertical="center"/>
    </xf>
    <xf numFmtId="49" fontId="186" fillId="3" borderId="0" xfId="0" applyNumberFormat="1" applyFont="1" applyFill="1" applyAlignment="1" applyProtection="1">
      <alignment horizontal="center" vertical="center" wrapText="1"/>
      <protection locked="0"/>
    </xf>
    <xf numFmtId="0" fontId="186" fillId="3" borderId="0" xfId="0" applyFont="1" applyFill="1" applyAlignment="1" applyProtection="1">
      <alignment vertical="center" wrapText="1"/>
      <protection locked="0"/>
    </xf>
    <xf numFmtId="0" fontId="186" fillId="3" borderId="0" xfId="0" applyFont="1" applyFill="1" applyAlignment="1" applyProtection="1">
      <alignment horizontal="center" vertical="center" wrapText="1"/>
      <protection locked="0"/>
    </xf>
    <xf numFmtId="0" fontId="186" fillId="9" borderId="0" xfId="0" applyFont="1" applyFill="1" applyAlignment="1" applyProtection="1">
      <alignment horizontal="center" vertical="center" wrapText="1"/>
      <protection locked="0"/>
    </xf>
    <xf numFmtId="49" fontId="186" fillId="3" borderId="20" xfId="0" applyNumberFormat="1" applyFont="1" applyFill="1" applyBorder="1" applyAlignment="1" applyProtection="1">
      <alignment horizontal="center" vertical="center" wrapText="1"/>
      <protection locked="0"/>
    </xf>
    <xf numFmtId="0" fontId="186" fillId="3" borderId="20" xfId="0" applyNumberFormat="1" applyFont="1" applyFill="1" applyBorder="1" applyAlignment="1" applyProtection="1">
      <alignment horizontal="center" vertical="center" wrapText="1"/>
      <protection locked="0"/>
    </xf>
    <xf numFmtId="0" fontId="186" fillId="9" borderId="0" xfId="0" applyFont="1" applyFill="1" applyBorder="1" applyAlignment="1" applyProtection="1">
      <alignment horizontal="center" vertical="center" wrapText="1"/>
      <protection locked="0"/>
    </xf>
    <xf numFmtId="0" fontId="186" fillId="9" borderId="2" xfId="0" applyFont="1" applyFill="1" applyBorder="1" applyAlignment="1" applyProtection="1">
      <alignment horizontal="center" vertical="center" wrapText="1"/>
      <protection locked="0"/>
    </xf>
    <xf numFmtId="0" fontId="186" fillId="3" borderId="11" xfId="0" applyFont="1" applyFill="1" applyBorder="1" applyAlignment="1" applyProtection="1">
      <alignment vertical="center"/>
    </xf>
    <xf numFmtId="0" fontId="186" fillId="3" borderId="1" xfId="0" applyNumberFormat="1" applyFont="1" applyFill="1" applyBorder="1" applyAlignment="1" applyProtection="1">
      <alignment horizontal="center" vertical="center" wrapText="1"/>
    </xf>
    <xf numFmtId="0" fontId="186" fillId="3" borderId="20" xfId="0" applyNumberFormat="1" applyFont="1" applyFill="1" applyBorder="1" applyAlignment="1" applyProtection="1">
      <alignment horizontal="left" vertical="center"/>
      <protection locked="0"/>
    </xf>
    <xf numFmtId="0" fontId="186" fillId="3" borderId="0" xfId="0" applyFont="1" applyFill="1" applyBorder="1" applyAlignment="1" applyProtection="1">
      <alignment vertical="center"/>
    </xf>
    <xf numFmtId="49" fontId="186" fillId="3" borderId="0" xfId="0" applyNumberFormat="1" applyFont="1" applyFill="1" applyAlignment="1" applyProtection="1">
      <alignment horizontal="center" vertical="center" wrapText="1"/>
    </xf>
    <xf numFmtId="0" fontId="186" fillId="3" borderId="20" xfId="0" applyFont="1" applyFill="1" applyBorder="1" applyAlignment="1" applyProtection="1">
      <alignment vertical="center" wrapText="1"/>
      <protection locked="0"/>
    </xf>
    <xf numFmtId="49" fontId="186" fillId="3" borderId="20" xfId="0" applyNumberFormat="1" applyFont="1" applyFill="1" applyBorder="1" applyAlignment="1" applyProtection="1">
      <alignment horizontal="left" vertical="center"/>
      <protection locked="0"/>
    </xf>
    <xf numFmtId="0" fontId="186" fillId="0" borderId="1" xfId="0" applyFont="1" applyBorder="1" applyAlignment="1" applyProtection="1">
      <alignment vertical="center"/>
    </xf>
    <xf numFmtId="0" fontId="186" fillId="3" borderId="163" xfId="0" applyFont="1" applyFill="1" applyBorder="1" applyAlignment="1" applyProtection="1">
      <alignment horizontal="center" vertical="center" wrapText="1"/>
      <protection locked="0"/>
    </xf>
    <xf numFmtId="0" fontId="186" fillId="9" borderId="163" xfId="0" applyFont="1" applyFill="1" applyBorder="1" applyAlignment="1" applyProtection="1">
      <alignment vertical="center" wrapText="1"/>
      <protection locked="0"/>
    </xf>
    <xf numFmtId="49" fontId="186" fillId="3" borderId="168" xfId="0" applyNumberFormat="1" applyFont="1" applyFill="1" applyBorder="1" applyAlignment="1" applyProtection="1">
      <alignment horizontal="center" vertical="center" wrapText="1"/>
      <protection locked="0"/>
    </xf>
    <xf numFmtId="49" fontId="186" fillId="3" borderId="163" xfId="0" applyNumberFormat="1" applyFont="1" applyFill="1" applyBorder="1" applyAlignment="1" applyProtection="1">
      <alignment horizontal="center" vertical="center" wrapText="1"/>
      <protection locked="0"/>
    </xf>
    <xf numFmtId="0" fontId="186" fillId="3" borderId="0" xfId="0" applyFont="1" applyFill="1" applyBorder="1" applyAlignment="1" applyProtection="1">
      <alignment horizontal="center" vertical="center" wrapText="1"/>
    </xf>
    <xf numFmtId="0" fontId="186" fillId="3" borderId="0" xfId="0" applyFont="1" applyFill="1" applyAlignment="1" applyProtection="1">
      <alignment horizontal="center" vertical="center" wrapText="1"/>
    </xf>
    <xf numFmtId="49" fontId="186" fillId="3" borderId="10" xfId="0" applyNumberFormat="1" applyFont="1" applyFill="1" applyBorder="1" applyAlignment="1" applyProtection="1">
      <alignment horizontal="center" vertical="center" wrapText="1"/>
    </xf>
    <xf numFmtId="49" fontId="186" fillId="3" borderId="1" xfId="0" applyNumberFormat="1" applyFont="1" applyFill="1" applyBorder="1" applyAlignment="1" applyProtection="1">
      <alignment horizontal="center" vertical="center" wrapText="1"/>
      <protection locked="0"/>
    </xf>
    <xf numFmtId="0" fontId="186" fillId="3" borderId="1" xfId="0" applyFont="1" applyFill="1" applyBorder="1" applyAlignment="1" applyProtection="1">
      <alignment horizontal="center" vertical="center" wrapText="1"/>
      <protection locked="0"/>
    </xf>
    <xf numFmtId="0" fontId="186" fillId="0" borderId="10" xfId="0" applyFont="1" applyBorder="1" applyAlignment="1" applyProtection="1">
      <alignment horizontal="center" vertical="center" wrapText="1"/>
    </xf>
    <xf numFmtId="49" fontId="186" fillId="0" borderId="1" xfId="0" applyNumberFormat="1" applyFont="1" applyBorder="1" applyAlignment="1" applyProtection="1">
      <alignment horizontal="center" vertical="center" wrapText="1"/>
      <protection locked="0"/>
    </xf>
    <xf numFmtId="0" fontId="186" fillId="0" borderId="1" xfId="0" applyFont="1" applyBorder="1" applyAlignment="1" applyProtection="1">
      <alignment horizontal="center" vertical="center" wrapText="1"/>
      <protection locked="0"/>
    </xf>
    <xf numFmtId="49" fontId="186" fillId="0" borderId="10" xfId="0" applyNumberFormat="1" applyFont="1" applyBorder="1" applyAlignment="1" applyProtection="1">
      <alignment vertical="center" wrapText="1"/>
    </xf>
    <xf numFmtId="0" fontId="186" fillId="0" borderId="163" xfId="0" applyFont="1" applyBorder="1" applyAlignment="1" applyProtection="1">
      <alignment vertical="center" wrapText="1"/>
      <protection locked="0"/>
    </xf>
    <xf numFmtId="0" fontId="186" fillId="3" borderId="1" xfId="0" applyFont="1" applyFill="1" applyBorder="1" applyAlignment="1" applyProtection="1">
      <alignment vertical="center" wrapText="1"/>
      <protection locked="0"/>
    </xf>
    <xf numFmtId="0" fontId="0" fillId="0" borderId="0" xfId="0" applyNumberFormat="1" applyAlignment="1" applyProtection="1">
      <alignment horizontal="left" vertical="center"/>
      <protection locked="0"/>
    </xf>
    <xf numFmtId="0" fontId="8" fillId="3" borderId="19" xfId="0" applyNumberFormat="1" applyFont="1" applyFill="1" applyBorder="1" applyAlignment="1" applyProtection="1">
      <alignment horizontal="left" vertical="center"/>
      <protection locked="0"/>
    </xf>
    <xf numFmtId="0" fontId="0" fillId="3" borderId="55" xfId="0" applyNumberFormat="1" applyFill="1" applyBorder="1" applyAlignment="1" applyProtection="1">
      <alignment horizontal="left" vertical="center"/>
      <protection locked="0"/>
    </xf>
    <xf numFmtId="0" fontId="0" fillId="3" borderId="45" xfId="0" applyNumberFormat="1" applyFill="1" applyBorder="1" applyAlignment="1" applyProtection="1">
      <alignment horizontal="left" vertical="center"/>
      <protection locked="0"/>
    </xf>
    <xf numFmtId="0" fontId="0" fillId="3" borderId="21" xfId="0" applyNumberFormat="1" applyFill="1" applyBorder="1" applyAlignment="1" applyProtection="1">
      <alignment horizontal="left" vertical="center"/>
      <protection locked="0"/>
    </xf>
    <xf numFmtId="0" fontId="0" fillId="3" borderId="0" xfId="0" applyNumberFormat="1" applyFill="1" applyBorder="1" applyAlignment="1" applyProtection="1">
      <alignment horizontal="left" vertical="center"/>
      <protection locked="0"/>
    </xf>
    <xf numFmtId="0" fontId="0" fillId="3" borderId="48" xfId="0" applyNumberFormat="1" applyFill="1" applyBorder="1" applyAlignment="1" applyProtection="1">
      <alignment horizontal="left" vertical="center"/>
      <protection locked="0"/>
    </xf>
    <xf numFmtId="0" fontId="0" fillId="3" borderId="6"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3" borderId="1" xfId="0" applyNumberFormat="1" applyFill="1" applyBorder="1" applyAlignment="1" applyProtection="1">
      <alignment horizontal="left" vertical="center"/>
      <protection locked="0"/>
    </xf>
    <xf numFmtId="0" fontId="0" fillId="3" borderId="1" xfId="0" applyNumberFormat="1" applyFill="1" applyBorder="1" applyAlignment="1" applyProtection="1">
      <alignment horizontal="left" vertical="center"/>
    </xf>
    <xf numFmtId="0" fontId="0" fillId="0" borderId="6" xfId="0" applyNumberFormat="1" applyBorder="1" applyAlignment="1" applyProtection="1">
      <alignment horizontal="left" vertical="center"/>
      <protection locked="0"/>
    </xf>
    <xf numFmtId="197" fontId="0" fillId="3" borderId="1" xfId="0" applyNumberFormat="1" applyFill="1" applyBorder="1" applyAlignment="1" applyProtection="1">
      <alignment horizontal="left" vertical="center"/>
    </xf>
    <xf numFmtId="10" fontId="0" fillId="0" borderId="1" xfId="1" applyNumberFormat="1" applyFont="1" applyBorder="1" applyAlignment="1" applyProtection="1">
      <alignment horizontal="left" vertical="center"/>
      <protection locked="0"/>
    </xf>
    <xf numFmtId="0" fontId="0" fillId="3" borderId="1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7" fontId="0" fillId="3" borderId="14" xfId="0" applyNumberFormat="1" applyFill="1" applyBorder="1" applyAlignment="1" applyProtection="1">
      <alignment horizontal="left" vertical="center"/>
    </xf>
    <xf numFmtId="0" fontId="0" fillId="3" borderId="7" xfId="0" applyNumberFormat="1" applyFill="1" applyBorder="1" applyAlignment="1" applyProtection="1">
      <alignment horizontal="left" vertical="center"/>
    </xf>
    <xf numFmtId="0" fontId="0" fillId="3" borderId="8" xfId="0" applyNumberFormat="1" applyFill="1" applyBorder="1" applyAlignment="1" applyProtection="1">
      <alignment horizontal="left" vertical="center"/>
    </xf>
    <xf numFmtId="0" fontId="0" fillId="3" borderId="17" xfId="0" applyNumberFormat="1" applyFill="1" applyBorder="1" applyAlignment="1" applyProtection="1">
      <alignment horizontal="left" vertical="center"/>
      <protection locked="0"/>
    </xf>
    <xf numFmtId="0" fontId="0" fillId="3" borderId="67" xfId="0" applyNumberFormat="1" applyFill="1" applyBorder="1" applyAlignment="1" applyProtection="1">
      <alignment horizontal="left" vertical="center"/>
      <protection locked="0"/>
    </xf>
    <xf numFmtId="0" fontId="8" fillId="3" borderId="19" xfId="0" applyNumberFormat="1" applyFont="1" applyFill="1" applyBorder="1" applyAlignment="1" applyProtection="1">
      <alignment horizontal="left" vertical="center"/>
    </xf>
    <xf numFmtId="0" fontId="0" fillId="3" borderId="55" xfId="0" applyNumberFormat="1" applyFill="1" applyBorder="1" applyAlignment="1" applyProtection="1">
      <alignment horizontal="left" vertical="center"/>
    </xf>
    <xf numFmtId="0" fontId="0" fillId="3" borderId="45" xfId="0" applyNumberFormat="1" applyFill="1" applyBorder="1" applyAlignment="1" applyProtection="1">
      <alignment horizontal="left" vertical="center"/>
    </xf>
    <xf numFmtId="0" fontId="190" fillId="3" borderId="6" xfId="0" applyFont="1" applyFill="1" applyBorder="1" applyAlignment="1" applyProtection="1">
      <alignment horizontal="left" vertical="center"/>
    </xf>
    <xf numFmtId="0" fontId="190" fillId="3" borderId="1" xfId="0" applyFont="1" applyFill="1" applyBorder="1" applyAlignment="1" applyProtection="1">
      <alignment horizontal="left" vertical="center"/>
    </xf>
    <xf numFmtId="0" fontId="190" fillId="3" borderId="14" xfId="0" applyFont="1" applyFill="1" applyBorder="1" applyAlignment="1" applyProtection="1">
      <alignment horizontal="left" vertical="center"/>
    </xf>
    <xf numFmtId="0" fontId="190" fillId="0" borderId="1" xfId="0" applyFont="1" applyBorder="1" applyAlignment="1" applyProtection="1">
      <alignment horizontal="left" vertical="center"/>
      <protection locked="0"/>
    </xf>
    <xf numFmtId="9" fontId="190" fillId="0" borderId="1" xfId="0" applyNumberFormat="1" applyFont="1" applyBorder="1" applyAlignment="1" applyProtection="1">
      <alignment horizontal="left" vertical="center"/>
      <protection locked="0"/>
    </xf>
    <xf numFmtId="0" fontId="190" fillId="3" borderId="6" xfId="0" applyFont="1" applyFill="1" applyBorder="1" applyAlignment="1" applyProtection="1">
      <alignment horizontal="left" vertical="center"/>
      <protection locked="0"/>
    </xf>
    <xf numFmtId="0" fontId="190" fillId="3" borderId="21" xfId="0" applyFont="1" applyFill="1" applyBorder="1" applyAlignment="1" applyProtection="1">
      <alignment horizontal="left" vertical="center"/>
      <protection locked="0"/>
    </xf>
    <xf numFmtId="0" fontId="190" fillId="3" borderId="0" xfId="0" applyFont="1" applyFill="1" applyBorder="1" applyAlignment="1" applyProtection="1">
      <alignment horizontal="left" vertical="center"/>
      <protection locked="0"/>
    </xf>
    <xf numFmtId="0" fontId="190" fillId="3" borderId="48" xfId="0" applyFont="1" applyFill="1" applyBorder="1" applyAlignment="1" applyProtection="1">
      <alignment horizontal="left" vertical="center"/>
      <protection locked="0"/>
    </xf>
    <xf numFmtId="0" fontId="190" fillId="3" borderId="21" xfId="0" applyFont="1" applyFill="1" applyBorder="1" applyAlignment="1" applyProtection="1">
      <alignment horizontal="left" vertical="center"/>
    </xf>
    <xf numFmtId="0" fontId="190" fillId="3" borderId="0" xfId="0" applyFont="1" applyFill="1" applyBorder="1" applyAlignment="1" applyProtection="1">
      <alignment horizontal="left" vertical="center"/>
    </xf>
    <xf numFmtId="0" fontId="190" fillId="3" borderId="48" xfId="0" applyFont="1" applyFill="1" applyBorder="1" applyAlignment="1" applyProtection="1">
      <alignment horizontal="left" vertical="center"/>
    </xf>
    <xf numFmtId="0" fontId="190" fillId="3" borderId="21" xfId="0" applyFont="1" applyFill="1" applyBorder="1" applyAlignment="1" applyProtection="1">
      <alignment horizontal="left"/>
    </xf>
    <xf numFmtId="0" fontId="190" fillId="3" borderId="0" xfId="0" applyFont="1" applyFill="1" applyBorder="1" applyAlignment="1" applyProtection="1">
      <alignment horizontal="left"/>
    </xf>
    <xf numFmtId="0" fontId="190" fillId="3" borderId="48" xfId="0" applyFont="1" applyFill="1" applyBorder="1" applyAlignment="1" applyProtection="1">
      <alignment horizontal="left"/>
    </xf>
    <xf numFmtId="0" fontId="190" fillId="3" borderId="6" xfId="0" applyFont="1" applyFill="1" applyBorder="1" applyAlignment="1" applyProtection="1">
      <alignment horizontal="left"/>
    </xf>
    <xf numFmtId="0" fontId="190" fillId="21" borderId="1" xfId="0" applyFont="1" applyFill="1" applyBorder="1" applyAlignment="1" applyProtection="1">
      <alignment horizontal="left"/>
    </xf>
    <xf numFmtId="0" fontId="190" fillId="3" borderId="1" xfId="0" applyFont="1" applyFill="1" applyBorder="1" applyAlignment="1" applyProtection="1">
      <alignment horizontal="left"/>
    </xf>
    <xf numFmtId="0" fontId="190" fillId="3" borderId="10" xfId="0" applyFont="1" applyFill="1" applyBorder="1" applyAlignment="1" applyProtection="1">
      <alignment horizontal="left"/>
    </xf>
    <xf numFmtId="0" fontId="190" fillId="3" borderId="12" xfId="0" applyFont="1" applyFill="1" applyBorder="1" applyAlignment="1" applyProtection="1">
      <alignment horizontal="left"/>
    </xf>
    <xf numFmtId="0" fontId="190" fillId="3" borderId="46" xfId="0" applyFont="1" applyFill="1" applyBorder="1" applyAlignment="1" applyProtection="1">
      <alignment horizontal="left"/>
    </xf>
    <xf numFmtId="9" fontId="190" fillId="3" borderId="1" xfId="0" applyNumberFormat="1" applyFont="1" applyFill="1" applyBorder="1" applyAlignment="1" applyProtection="1">
      <alignment horizontal="left"/>
    </xf>
    <xf numFmtId="0" fontId="190" fillId="3" borderId="7" xfId="0" applyFont="1" applyFill="1" applyBorder="1" applyAlignment="1" applyProtection="1">
      <alignment horizontal="left"/>
    </xf>
    <xf numFmtId="0" fontId="190" fillId="21" borderId="8" xfId="0" applyFont="1" applyFill="1" applyBorder="1" applyAlignment="1" applyProtection="1">
      <alignment horizontal="left"/>
    </xf>
    <xf numFmtId="0" fontId="190" fillId="3" borderId="8" xfId="0" applyFont="1" applyFill="1" applyBorder="1" applyAlignment="1" applyProtection="1">
      <alignment horizontal="left"/>
    </xf>
    <xf numFmtId="0" fontId="190" fillId="3" borderId="17" xfId="0" applyFont="1" applyFill="1" applyBorder="1" applyAlignment="1" applyProtection="1">
      <alignment horizontal="left"/>
    </xf>
    <xf numFmtId="0" fontId="190" fillId="3" borderId="67" xfId="0" applyFont="1" applyFill="1" applyBorder="1" applyAlignment="1" applyProtection="1">
      <alignment horizontal="left"/>
    </xf>
    <xf numFmtId="0" fontId="51" fillId="0" borderId="0" xfId="0" applyFont="1" applyAlignment="1" applyProtection="1">
      <alignment horizontal="center" vertical="center" wrapText="1"/>
    </xf>
    <xf numFmtId="0" fontId="51" fillId="0" borderId="0" xfId="0" applyFont="1" applyBorder="1" applyAlignment="1" applyProtection="1">
      <alignment horizontal="center" vertical="center"/>
    </xf>
    <xf numFmtId="0" fontId="51" fillId="0" borderId="0" xfId="0" applyFont="1" applyProtection="1">
      <alignment vertical="center"/>
    </xf>
    <xf numFmtId="0" fontId="51" fillId="3" borderId="0" xfId="0" applyFont="1" applyFill="1" applyAlignment="1" applyProtection="1">
      <alignment horizontal="center" vertical="center"/>
    </xf>
    <xf numFmtId="0" fontId="46" fillId="3" borderId="74" xfId="0" applyFont="1" applyFill="1" applyBorder="1" applyAlignment="1" applyProtection="1">
      <alignment horizontal="center" vertical="center" wrapText="1"/>
    </xf>
    <xf numFmtId="0" fontId="51" fillId="3" borderId="35" xfId="0" applyFont="1" applyFill="1" applyBorder="1" applyAlignment="1" applyProtection="1">
      <alignment horizontal="center" vertical="center" wrapText="1"/>
    </xf>
    <xf numFmtId="0" fontId="125" fillId="3" borderId="0" xfId="0" applyFont="1" applyFill="1" applyBorder="1" applyAlignment="1" applyProtection="1">
      <alignment horizontal="center" vertical="center" wrapText="1"/>
    </xf>
    <xf numFmtId="0" fontId="46" fillId="3" borderId="0" xfId="0" applyFont="1" applyFill="1" applyAlignment="1" applyProtection="1">
      <alignment horizontal="center" vertical="center" wrapText="1"/>
    </xf>
    <xf numFmtId="0" fontId="51" fillId="3" borderId="0" xfId="0" applyFont="1" applyFill="1" applyAlignment="1" applyProtection="1">
      <alignment horizontal="center" vertical="center" wrapText="1"/>
    </xf>
    <xf numFmtId="0" fontId="51" fillId="0" borderId="1" xfId="0" applyFont="1" applyBorder="1" applyAlignment="1" applyProtection="1">
      <alignment horizontal="center" vertical="center"/>
      <protection locked="0"/>
    </xf>
    <xf numFmtId="0" fontId="125" fillId="3" borderId="0" xfId="0" applyFont="1" applyFill="1" applyBorder="1" applyAlignment="1" applyProtection="1">
      <alignment horizontal="center" vertical="center"/>
      <protection locked="0"/>
    </xf>
    <xf numFmtId="0" fontId="51" fillId="0" borderId="0" xfId="0" applyFont="1" applyAlignment="1" applyProtection="1">
      <alignment horizontal="center" vertical="center"/>
      <protection locked="0"/>
    </xf>
    <xf numFmtId="0" fontId="125" fillId="3" borderId="0" xfId="0" applyFont="1" applyFill="1" applyAlignment="1" applyProtection="1">
      <alignment horizontal="center" vertical="center"/>
      <protection locked="0"/>
    </xf>
    <xf numFmtId="0" fontId="46" fillId="0" borderId="1" xfId="0" applyFont="1" applyBorder="1" applyAlignment="1" applyProtection="1">
      <alignment horizontal="center" vertical="center"/>
      <protection locked="0"/>
    </xf>
    <xf numFmtId="0" fontId="46" fillId="3" borderId="0" xfId="0" applyFont="1" applyFill="1" applyBorder="1" applyAlignment="1" applyProtection="1">
      <alignment horizontal="center" vertical="center"/>
      <protection locked="0"/>
    </xf>
    <xf numFmtId="0" fontId="125" fillId="3" borderId="0" xfId="0" applyFont="1" applyFill="1" applyAlignment="1" applyProtection="1">
      <alignment horizontal="center" vertical="center"/>
    </xf>
    <xf numFmtId="0" fontId="51" fillId="3" borderId="0" xfId="0" applyFont="1" applyFill="1" applyBorder="1" applyAlignment="1" applyProtection="1">
      <alignment horizontal="center" vertical="center"/>
      <protection locked="0"/>
    </xf>
    <xf numFmtId="0" fontId="125" fillId="0" borderId="1" xfId="0" applyFont="1" applyBorder="1" applyAlignment="1" applyProtection="1">
      <alignment horizontal="center" vertical="center"/>
      <protection locked="0"/>
    </xf>
    <xf numFmtId="0" fontId="110" fillId="3" borderId="0" xfId="0" applyFont="1" applyFill="1" applyBorder="1" applyAlignment="1" applyProtection="1">
      <alignment horizontal="left" vertical="center"/>
    </xf>
    <xf numFmtId="0" fontId="110" fillId="3" borderId="0" xfId="0" applyFont="1" applyFill="1" applyProtection="1">
      <alignment vertical="center"/>
    </xf>
    <xf numFmtId="0" fontId="110" fillId="3" borderId="0" xfId="0" applyFont="1" applyFill="1" applyAlignment="1" applyProtection="1">
      <alignment horizontal="center" vertical="center"/>
    </xf>
    <xf numFmtId="0" fontId="110" fillId="3" borderId="0" xfId="0" applyFont="1" applyFill="1" applyBorder="1" applyAlignment="1" applyProtection="1">
      <alignment horizontal="center" vertical="center"/>
    </xf>
    <xf numFmtId="0" fontId="125" fillId="0" borderId="0" xfId="0" applyFont="1" applyBorder="1" applyAlignment="1" applyProtection="1">
      <alignment horizontal="center" vertical="center"/>
    </xf>
    <xf numFmtId="0" fontId="58" fillId="3" borderId="0" xfId="0" applyFont="1" applyFill="1" applyAlignment="1" applyProtection="1">
      <alignment horizontal="center" vertical="center"/>
    </xf>
    <xf numFmtId="0" fontId="58" fillId="3" borderId="0" xfId="0" applyFont="1" applyFill="1" applyAlignment="1" applyProtection="1">
      <alignment horizontal="center" vertical="center" wrapText="1"/>
    </xf>
    <xf numFmtId="0" fontId="32" fillId="3" borderId="0" xfId="0" applyNumberFormat="1" applyFont="1" applyFill="1" applyBorder="1" applyAlignment="1" applyProtection="1">
      <alignment horizontal="center" vertical="center" wrapText="1"/>
    </xf>
    <xf numFmtId="0" fontId="91" fillId="3" borderId="0" xfId="0" applyFont="1" applyFill="1" applyAlignment="1" applyProtection="1">
      <alignment horizontal="center" vertical="center" wrapText="1"/>
    </xf>
    <xf numFmtId="0" fontId="127" fillId="0" borderId="0" xfId="11" applyFont="1" applyFill="1" applyAlignment="1">
      <alignment horizontal="left" vertical="center"/>
    </xf>
    <xf numFmtId="0" fontId="128" fillId="0" borderId="0" xfId="11" applyFont="1" applyAlignment="1">
      <alignment horizontal="left" vertical="center"/>
    </xf>
    <xf numFmtId="0" fontId="127" fillId="0" borderId="0" xfId="11" applyFont="1" applyAlignment="1">
      <alignment horizontal="left" vertical="center"/>
    </xf>
    <xf numFmtId="0" fontId="183" fillId="0" borderId="0" xfId="11" applyFont="1" applyAlignment="1">
      <alignment horizontal="left" vertical="center"/>
    </xf>
    <xf numFmtId="0" fontId="100" fillId="0" borderId="0" xfId="11" applyFont="1" applyAlignment="1">
      <alignment horizontal="left" vertical="center"/>
    </xf>
    <xf numFmtId="14" fontId="100" fillId="0" borderId="0" xfId="11" applyNumberFormat="1" applyFont="1" applyAlignment="1">
      <alignment horizontal="left" vertical="center"/>
    </xf>
    <xf numFmtId="0" fontId="191" fillId="0" borderId="0" xfId="11" applyFont="1" applyAlignment="1">
      <alignment horizontal="left" vertical="center"/>
    </xf>
    <xf numFmtId="0" fontId="192" fillId="2" borderId="9" xfId="11" applyFont="1" applyFill="1" applyBorder="1" applyAlignment="1">
      <alignment horizontal="left" vertical="center"/>
    </xf>
    <xf numFmtId="0" fontId="193" fillId="0" borderId="1" xfId="11" applyFont="1" applyFill="1" applyBorder="1" applyAlignment="1">
      <alignment horizontal="left" vertical="center"/>
    </xf>
    <xf numFmtId="0" fontId="193" fillId="0" borderId="10" xfId="11" applyFont="1" applyFill="1" applyBorder="1" applyAlignment="1">
      <alignment horizontal="left" vertical="center"/>
    </xf>
    <xf numFmtId="0" fontId="192" fillId="2" borderId="169" xfId="11" applyFont="1" applyFill="1" applyBorder="1" applyAlignment="1">
      <alignment horizontal="left" vertical="center"/>
    </xf>
    <xf numFmtId="196" fontId="193" fillId="0" borderId="10" xfId="11" applyNumberFormat="1" applyFont="1" applyFill="1" applyBorder="1" applyAlignment="1">
      <alignment horizontal="left" vertical="center"/>
    </xf>
    <xf numFmtId="0" fontId="193" fillId="0" borderId="170" xfId="11" applyFont="1" applyFill="1" applyBorder="1" applyAlignment="1">
      <alignment horizontal="left" vertical="center"/>
    </xf>
    <xf numFmtId="185" fontId="193" fillId="0" borderId="1" xfId="11" applyNumberFormat="1" applyFont="1" applyFill="1" applyBorder="1" applyAlignment="1">
      <alignment horizontal="left" vertical="center"/>
    </xf>
    <xf numFmtId="0" fontId="193" fillId="0" borderId="9" xfId="11" applyFont="1" applyFill="1" applyBorder="1" applyAlignment="1">
      <alignment horizontal="left" vertical="center"/>
    </xf>
    <xf numFmtId="196" fontId="193" fillId="0" borderId="170" xfId="11" applyNumberFormat="1" applyFont="1" applyFill="1" applyBorder="1" applyAlignment="1">
      <alignment horizontal="left" vertical="center"/>
    </xf>
    <xf numFmtId="0" fontId="183" fillId="0" borderId="0" xfId="11" applyFont="1" applyFill="1" applyAlignment="1">
      <alignment horizontal="left" vertical="center"/>
    </xf>
    <xf numFmtId="0" fontId="193" fillId="0" borderId="1" xfId="11" applyFont="1" applyBorder="1" applyAlignment="1">
      <alignment horizontal="left" vertical="center"/>
    </xf>
    <xf numFmtId="0" fontId="193" fillId="0" borderId="10" xfId="11" applyFont="1" applyBorder="1" applyAlignment="1">
      <alignment horizontal="left" vertical="center"/>
    </xf>
    <xf numFmtId="0" fontId="192" fillId="0" borderId="1" xfId="11" applyFont="1" applyFill="1" applyBorder="1" applyAlignment="1">
      <alignment horizontal="left" vertical="center"/>
    </xf>
    <xf numFmtId="0" fontId="100" fillId="0" borderId="1" xfId="11" applyFont="1" applyBorder="1" applyAlignment="1">
      <alignment horizontal="left" vertical="center"/>
    </xf>
    <xf numFmtId="185" fontId="193" fillId="0" borderId="10" xfId="11" applyNumberFormat="1" applyFont="1" applyFill="1" applyBorder="1" applyAlignment="1">
      <alignment horizontal="left" vertical="center"/>
    </xf>
    <xf numFmtId="0" fontId="100" fillId="0" borderId="170" xfId="11" applyFont="1" applyBorder="1" applyAlignment="1">
      <alignment horizontal="left" vertical="center"/>
    </xf>
    <xf numFmtId="185" fontId="193" fillId="0" borderId="1" xfId="0" applyNumberFormat="1" applyFont="1" applyFill="1" applyBorder="1" applyAlignment="1">
      <alignment horizontal="left" vertical="center"/>
    </xf>
    <xf numFmtId="14" fontId="100" fillId="0" borderId="10" xfId="11" applyNumberFormat="1" applyFont="1" applyBorder="1" applyAlignment="1">
      <alignment horizontal="left" vertical="center"/>
    </xf>
    <xf numFmtId="14" fontId="183" fillId="0" borderId="0" xfId="11" applyNumberFormat="1" applyFont="1" applyAlignment="1">
      <alignment horizontal="left" vertical="center"/>
    </xf>
    <xf numFmtId="14" fontId="183" fillId="0" borderId="171" xfId="11" applyNumberFormat="1" applyFont="1" applyBorder="1" applyAlignment="1">
      <alignment horizontal="left" vertical="center"/>
    </xf>
    <xf numFmtId="0" fontId="183" fillId="0" borderId="0" xfId="11" applyFont="1" applyBorder="1" applyAlignment="1">
      <alignment horizontal="left" vertical="center"/>
    </xf>
    <xf numFmtId="0" fontId="194" fillId="0" borderId="0" xfId="11" applyFont="1" applyBorder="1" applyAlignment="1">
      <alignment horizontal="left" vertical="center"/>
    </xf>
    <xf numFmtId="0" fontId="96" fillId="0" borderId="0" xfId="0" applyFont="1" applyProtection="1">
      <alignment vertical="center"/>
    </xf>
    <xf numFmtId="0" fontId="29" fillId="0" borderId="0" xfId="0" applyFont="1" applyProtection="1">
      <alignment vertical="center"/>
    </xf>
    <xf numFmtId="0" fontId="161" fillId="0" borderId="0" xfId="0" applyFont="1" applyProtection="1">
      <alignment vertical="center"/>
    </xf>
    <xf numFmtId="0" fontId="29" fillId="0" borderId="1" xfId="0" applyFont="1" applyBorder="1" applyAlignment="1" applyProtection="1">
      <alignment horizontal="center" vertical="center" wrapText="1"/>
    </xf>
    <xf numFmtId="0" fontId="51" fillId="0" borderId="0" xfId="0" applyFont="1" applyAlignment="1" applyProtection="1">
      <alignment horizontal="left" vertical="center"/>
    </xf>
    <xf numFmtId="0" fontId="29" fillId="5" borderId="1" xfId="0" applyFont="1" applyFill="1" applyBorder="1" applyAlignment="1" applyProtection="1">
      <alignment horizontal="center" vertical="center" wrapText="1"/>
    </xf>
    <xf numFmtId="0" fontId="29" fillId="3" borderId="1" xfId="0" applyFont="1" applyFill="1" applyBorder="1" applyAlignment="1" applyProtection="1">
      <alignment horizontal="center" vertical="center" wrapText="1"/>
    </xf>
    <xf numFmtId="0" fontId="195" fillId="22" borderId="1" xfId="0" applyFont="1" applyFill="1" applyBorder="1" applyAlignment="1" applyProtection="1">
      <alignment horizontal="center" vertical="center"/>
    </xf>
    <xf numFmtId="0" fontId="56" fillId="0" borderId="1" xfId="0" applyFont="1" applyFill="1" applyBorder="1" applyAlignment="1" applyProtection="1">
      <alignment horizontal="center" vertical="center"/>
    </xf>
    <xf numFmtId="0" fontId="46" fillId="0" borderId="0" xfId="0" applyFont="1" applyProtection="1">
      <alignment vertical="center"/>
    </xf>
    <xf numFmtId="0" fontId="61" fillId="0" borderId="1" xfId="0" applyFont="1" applyBorder="1" applyAlignment="1" applyProtection="1">
      <alignment horizontal="center" vertical="center"/>
    </xf>
    <xf numFmtId="0" fontId="51" fillId="0" borderId="1" xfId="0" applyFont="1" applyBorder="1" applyAlignment="1" applyProtection="1">
      <alignment horizontal="left" vertical="center"/>
    </xf>
    <xf numFmtId="0" fontId="51" fillId="23" borderId="10" xfId="0" applyFont="1" applyFill="1" applyBorder="1" applyAlignment="1" applyProtection="1">
      <alignment vertical="center"/>
    </xf>
    <xf numFmtId="0" fontId="51" fillId="0" borderId="12" xfId="0" applyFont="1" applyBorder="1" applyAlignment="1" applyProtection="1">
      <alignment vertical="center"/>
    </xf>
    <xf numFmtId="0" fontId="51" fillId="0" borderId="11" xfId="0" applyFont="1" applyBorder="1" applyAlignment="1" applyProtection="1">
      <alignment vertical="center"/>
    </xf>
    <xf numFmtId="0" fontId="46" fillId="0" borderId="1" xfId="0" applyFont="1" applyBorder="1" applyAlignment="1" applyProtection="1">
      <alignment horizontal="left" vertical="center"/>
    </xf>
    <xf numFmtId="0" fontId="51" fillId="0" borderId="35" xfId="0" applyFont="1" applyBorder="1" applyAlignment="1" applyProtection="1">
      <alignment vertical="center"/>
    </xf>
    <xf numFmtId="0" fontId="125" fillId="0" borderId="35" xfId="0" applyFont="1" applyBorder="1" applyAlignment="1" applyProtection="1">
      <alignment vertical="center"/>
    </xf>
    <xf numFmtId="0" fontId="125" fillId="0" borderId="3" xfId="0" applyFont="1" applyBorder="1" applyAlignment="1" applyProtection="1">
      <alignment vertical="center"/>
    </xf>
    <xf numFmtId="0" fontId="94" fillId="0" borderId="0" xfId="0" applyFont="1" applyProtection="1">
      <alignment vertical="center"/>
    </xf>
    <xf numFmtId="0" fontId="32" fillId="0" borderId="0" xfId="0" applyFont="1" applyAlignment="1" applyProtection="1">
      <alignment horizontal="left" vertical="center"/>
    </xf>
    <xf numFmtId="186" fontId="32" fillId="0" borderId="0" xfId="0" applyNumberFormat="1" applyFont="1" applyAlignment="1" applyProtection="1">
      <alignment horizontal="left" vertical="center"/>
    </xf>
    <xf numFmtId="0" fontId="196" fillId="0" borderId="0" xfId="0" applyFont="1" applyAlignment="1">
      <alignment vertical="center" wrapText="1"/>
    </xf>
    <xf numFmtId="0" fontId="196" fillId="0" borderId="0" xfId="0" applyFont="1" applyAlignment="1">
      <alignment horizontal="center" vertical="center" wrapText="1"/>
    </xf>
    <xf numFmtId="0" fontId="196" fillId="0" borderId="89" xfId="0" applyFont="1" applyBorder="1" applyAlignment="1">
      <alignment vertical="center" wrapText="1"/>
    </xf>
    <xf numFmtId="0" fontId="196" fillId="0" borderId="0" xfId="0" applyFont="1" applyAlignment="1">
      <alignment horizontal="right" vertical="center" wrapText="1"/>
    </xf>
    <xf numFmtId="0" fontId="187" fillId="0" borderId="0" xfId="0" applyFont="1" applyAlignment="1">
      <alignment horizontal="center" vertical="center" wrapText="1"/>
    </xf>
    <xf numFmtId="0" fontId="196" fillId="0" borderId="0" xfId="0" applyFont="1" applyAlignment="1">
      <alignment horizontal="right" vertical="center"/>
    </xf>
    <xf numFmtId="196" fontId="197" fillId="0" borderId="0" xfId="0" applyNumberFormat="1" applyFont="1" applyAlignment="1" applyProtection="1">
      <alignment horizontal="right" vertical="center" shrinkToFit="1"/>
      <protection locked="0"/>
    </xf>
    <xf numFmtId="0" fontId="199" fillId="0" borderId="0" xfId="0" applyFont="1">
      <alignment vertical="center"/>
    </xf>
    <xf numFmtId="0" fontId="199" fillId="0" borderId="1" xfId="0" applyFont="1" applyBorder="1" applyAlignment="1" applyProtection="1">
      <alignment horizontal="center" vertical="center" wrapText="1"/>
      <protection locked="0"/>
    </xf>
    <xf numFmtId="0" fontId="199" fillId="0" borderId="1" xfId="0" applyFont="1" applyBorder="1" applyAlignment="1" applyProtection="1">
      <alignment horizontal="center" vertical="center" wrapText="1"/>
    </xf>
    <xf numFmtId="0" fontId="199" fillId="0" borderId="1" xfId="0" applyFont="1" applyBorder="1" applyAlignment="1">
      <alignment horizontal="left" vertical="center" wrapText="1"/>
    </xf>
    <xf numFmtId="49" fontId="199" fillId="0" borderId="1" xfId="0" applyNumberFormat="1" applyFont="1" applyBorder="1" applyAlignment="1" applyProtection="1">
      <alignment horizontal="center" vertical="center" wrapText="1"/>
      <protection locked="0"/>
    </xf>
    <xf numFmtId="0" fontId="201" fillId="0" borderId="1" xfId="0" applyFont="1" applyBorder="1" applyAlignment="1" applyProtection="1">
      <alignment horizontal="center" vertical="center" wrapText="1"/>
      <protection locked="0"/>
    </xf>
    <xf numFmtId="0" fontId="199" fillId="0" borderId="1" xfId="0" applyFont="1" applyBorder="1" applyAlignment="1">
      <alignment horizontal="center" vertical="center" wrapText="1"/>
    </xf>
    <xf numFmtId="0" fontId="199" fillId="0" borderId="0" xfId="0" applyFont="1" applyAlignment="1">
      <alignment horizontal="left" vertical="center"/>
    </xf>
    <xf numFmtId="0" fontId="203" fillId="0" borderId="0" xfId="0" applyFont="1" applyAlignment="1">
      <alignment vertical="center"/>
    </xf>
    <xf numFmtId="0" fontId="203" fillId="0" borderId="0" xfId="0" applyFont="1" applyAlignment="1">
      <alignment vertical="center" wrapText="1"/>
    </xf>
    <xf numFmtId="0" fontId="0" fillId="0" borderId="0" xfId="0" applyAlignment="1">
      <alignment vertical="center" wrapText="1"/>
    </xf>
    <xf numFmtId="0" fontId="0" fillId="0" borderId="0" xfId="0" applyFont="1" applyAlignment="1">
      <alignment vertical="center" wrapText="1"/>
    </xf>
    <xf numFmtId="0" fontId="0" fillId="0" borderId="0" xfId="0" applyAlignment="1">
      <alignment horizontal="left" vertical="center" wrapText="1"/>
    </xf>
    <xf numFmtId="0" fontId="203" fillId="0" borderId="0" xfId="0" applyFont="1">
      <alignment vertical="center"/>
    </xf>
    <xf numFmtId="0" fontId="199" fillId="0" borderId="0" xfId="0" applyFont="1" applyAlignment="1">
      <alignment horizontal="right" vertical="center"/>
    </xf>
    <xf numFmtId="0" fontId="201" fillId="0" borderId="1" xfId="0" applyFont="1" applyBorder="1" applyAlignment="1">
      <alignment horizontal="center" vertical="center" wrapText="1"/>
    </xf>
    <xf numFmtId="0" fontId="204" fillId="0" borderId="1" xfId="0" applyFont="1" applyBorder="1" applyAlignment="1">
      <alignment horizontal="center" vertical="center" wrapText="1"/>
    </xf>
    <xf numFmtId="0" fontId="58" fillId="0" borderId="0" xfId="0" applyFont="1" applyProtection="1">
      <alignment vertical="center"/>
    </xf>
    <xf numFmtId="0" fontId="205" fillId="0" borderId="0" xfId="0" applyFont="1" applyBorder="1" applyAlignment="1" applyProtection="1">
      <alignment horizontal="center" vertical="center"/>
    </xf>
    <xf numFmtId="0" fontId="58" fillId="0" borderId="0" xfId="0" applyFont="1" applyBorder="1" applyProtection="1">
      <alignment vertical="center"/>
    </xf>
    <xf numFmtId="0" fontId="206" fillId="0" borderId="0" xfId="0" applyFont="1" applyAlignment="1" applyProtection="1">
      <alignment horizontal="left" vertical="center"/>
    </xf>
    <xf numFmtId="0" fontId="198" fillId="0" borderId="0" xfId="0" applyFont="1" applyAlignment="1" applyProtection="1">
      <alignment horizontal="left" vertical="center" wrapText="1"/>
    </xf>
    <xf numFmtId="0" fontId="207" fillId="0" borderId="0" xfId="0" applyFont="1" applyAlignment="1" applyProtection="1">
      <alignment horizontal="left" vertical="center"/>
    </xf>
    <xf numFmtId="0" fontId="208" fillId="0" borderId="0" xfId="0" applyFont="1" applyAlignment="1" applyProtection="1">
      <alignment horizontal="left" vertical="center" wrapText="1"/>
      <protection locked="0"/>
    </xf>
    <xf numFmtId="0" fontId="198" fillId="0" borderId="0" xfId="0" applyFont="1" applyFill="1" applyAlignment="1" applyProtection="1">
      <alignment horizontal="left" vertical="center" wrapText="1"/>
    </xf>
    <xf numFmtId="185" fontId="198" fillId="0" borderId="0" xfId="0" applyNumberFormat="1" applyFont="1" applyAlignment="1" applyProtection="1">
      <alignment horizontal="left" vertical="center"/>
    </xf>
    <xf numFmtId="0" fontId="58" fillId="0" borderId="0" xfId="0" applyFont="1" applyAlignment="1" applyProtection="1">
      <alignment vertical="center" wrapText="1"/>
    </xf>
    <xf numFmtId="0" fontId="58" fillId="0" borderId="0" xfId="0" applyFont="1" applyAlignment="1" applyProtection="1">
      <alignment vertical="center" wrapText="1" shrinkToFit="1"/>
    </xf>
    <xf numFmtId="0" fontId="198" fillId="0" borderId="0" xfId="0" applyFont="1" applyAlignment="1" applyProtection="1">
      <alignment horizontal="left" vertical="top" wrapText="1"/>
    </xf>
    <xf numFmtId="0" fontId="208" fillId="0" borderId="0" xfId="0" applyFont="1" applyAlignment="1" applyProtection="1">
      <alignment horizontal="left" vertical="top" wrapText="1"/>
    </xf>
    <xf numFmtId="0" fontId="198" fillId="0" borderId="0" xfId="0" applyFont="1">
      <alignment vertical="center"/>
    </xf>
    <xf numFmtId="0" fontId="58" fillId="0" borderId="0" xfId="0" applyFont="1" applyAlignment="1" applyProtection="1">
      <alignment horizontal="left" vertical="center"/>
    </xf>
    <xf numFmtId="0" fontId="198" fillId="0" borderId="0" xfId="0" applyFont="1" applyAlignment="1" applyProtection="1">
      <alignment horizontal="left" vertical="center"/>
      <protection locked="0"/>
    </xf>
    <xf numFmtId="0" fontId="209" fillId="0" borderId="0" xfId="0" applyFont="1" applyAlignment="1" applyProtection="1">
      <alignment horizontal="left" vertical="center" wrapText="1"/>
      <protection locked="0"/>
    </xf>
    <xf numFmtId="0" fontId="210" fillId="0" borderId="0" xfId="11" applyFont="1">
      <alignment vertical="center"/>
    </xf>
    <xf numFmtId="0" fontId="3" fillId="0" borderId="0" xfId="11">
      <alignment vertical="center"/>
    </xf>
    <xf numFmtId="0" fontId="210" fillId="0" borderId="0" xfId="11" applyFont="1" applyAlignment="1">
      <alignment vertical="top" wrapText="1"/>
    </xf>
    <xf numFmtId="0" fontId="183" fillId="0" borderId="2" xfId="0" applyFont="1" applyBorder="1">
      <alignment vertical="center"/>
    </xf>
    <xf numFmtId="0" fontId="183" fillId="0" borderId="90" xfId="0" applyFont="1" applyBorder="1" applyProtection="1">
      <alignment vertical="center"/>
      <protection locked="0"/>
    </xf>
    <xf numFmtId="0" fontId="183" fillId="0" borderId="0" xfId="0" applyFont="1" applyFill="1" applyBorder="1" applyProtection="1">
      <alignment vertical="center"/>
    </xf>
    <xf numFmtId="0" fontId="183" fillId="0" borderId="0" xfId="0" applyFont="1" applyBorder="1" applyProtection="1">
      <alignment vertical="center"/>
      <protection locked="0"/>
    </xf>
    <xf numFmtId="0" fontId="183" fillId="0" borderId="90" xfId="0" applyFont="1" applyBorder="1">
      <alignment vertical="center"/>
    </xf>
    <xf numFmtId="0" fontId="183" fillId="0" borderId="0" xfId="0" applyFont="1" applyBorder="1">
      <alignment vertical="center"/>
    </xf>
    <xf numFmtId="0" fontId="183" fillId="0" borderId="0" xfId="0" applyFont="1" applyBorder="1" applyAlignment="1">
      <alignment vertical="center" wrapText="1"/>
    </xf>
    <xf numFmtId="0" fontId="183" fillId="0" borderId="0" xfId="0" applyFont="1" applyBorder="1" applyAlignment="1">
      <alignment horizontal="left" vertical="center"/>
    </xf>
    <xf numFmtId="0" fontId="183" fillId="0" borderId="0" xfId="0" applyFont="1">
      <alignment vertical="center"/>
    </xf>
    <xf numFmtId="0" fontId="183" fillId="0" borderId="83" xfId="0" applyFont="1" applyBorder="1" applyAlignment="1">
      <alignment horizontal="left" vertical="center" wrapText="1"/>
    </xf>
    <xf numFmtId="0" fontId="61" fillId="0" borderId="83" xfId="0" applyFont="1" applyBorder="1" applyAlignment="1" applyProtection="1">
      <alignment horizontal="left" vertical="center"/>
      <protection locked="0"/>
    </xf>
    <xf numFmtId="0" fontId="183" fillId="0" borderId="85" xfId="0" applyFont="1" applyBorder="1" applyAlignment="1">
      <alignment vertical="center" wrapText="1"/>
    </xf>
    <xf numFmtId="0" fontId="183" fillId="0" borderId="85" xfId="0" applyFont="1" applyBorder="1" applyAlignment="1" applyProtection="1">
      <alignment horizontal="left" vertical="center"/>
    </xf>
    <xf numFmtId="0" fontId="183" fillId="0" borderId="1" xfId="0" applyFont="1" applyBorder="1" applyAlignment="1">
      <alignment vertical="center" wrapText="1"/>
    </xf>
    <xf numFmtId="0" fontId="183" fillId="0" borderId="1" xfId="0" applyFont="1" applyFill="1" applyBorder="1" applyAlignment="1" applyProtection="1">
      <alignment horizontal="left" vertical="center"/>
    </xf>
    <xf numFmtId="0" fontId="183" fillId="0" borderId="1" xfId="0" applyFont="1" applyBorder="1" applyAlignment="1" applyProtection="1">
      <alignment horizontal="left" vertical="center"/>
    </xf>
    <xf numFmtId="0" fontId="183" fillId="0" borderId="83" xfId="0" applyFont="1" applyBorder="1" applyAlignment="1">
      <alignment vertical="center" wrapText="1"/>
    </xf>
    <xf numFmtId="0" fontId="183" fillId="0" borderId="83" xfId="0" applyFont="1" applyBorder="1" applyAlignment="1" applyProtection="1">
      <alignment horizontal="left" vertical="center"/>
    </xf>
    <xf numFmtId="0" fontId="183" fillId="0" borderId="3" xfId="0" applyFont="1" applyBorder="1" applyAlignment="1">
      <alignment vertical="center" wrapText="1"/>
    </xf>
    <xf numFmtId="0" fontId="183" fillId="0" borderId="3" xfId="0" applyFont="1" applyBorder="1" applyAlignment="1" applyProtection="1">
      <alignment horizontal="left" vertical="center"/>
    </xf>
    <xf numFmtId="49" fontId="183" fillId="0" borderId="1" xfId="0" applyNumberFormat="1" applyFont="1" applyBorder="1" applyAlignment="1" applyProtection="1">
      <alignment horizontal="left" vertical="center"/>
    </xf>
    <xf numFmtId="0" fontId="183" fillId="0" borderId="85" xfId="0" applyFont="1" applyBorder="1">
      <alignment vertical="center"/>
    </xf>
    <xf numFmtId="0" fontId="183" fillId="0" borderId="1" xfId="0" applyFont="1" applyBorder="1">
      <alignment vertical="center"/>
    </xf>
    <xf numFmtId="49" fontId="183" fillId="0" borderId="90" xfId="0" applyNumberFormat="1" applyFont="1" applyBorder="1" applyProtection="1">
      <alignment vertical="center"/>
      <protection locked="0"/>
    </xf>
    <xf numFmtId="185" fontId="183" fillId="0" borderId="90" xfId="0" applyNumberFormat="1" applyFont="1" applyBorder="1" applyProtection="1">
      <alignment vertical="center"/>
      <protection locked="0"/>
    </xf>
    <xf numFmtId="0" fontId="183" fillId="0" borderId="1" xfId="0" applyNumberFormat="1" applyFont="1" applyBorder="1" applyAlignment="1" applyProtection="1">
      <alignment horizontal="left" vertical="center"/>
    </xf>
    <xf numFmtId="196" fontId="183" fillId="0" borderId="83" xfId="0" applyNumberFormat="1" applyFont="1" applyBorder="1" applyAlignment="1" applyProtection="1">
      <alignment horizontal="left" vertical="center"/>
    </xf>
    <xf numFmtId="0" fontId="183" fillId="0" borderId="83" xfId="0" applyNumberFormat="1" applyFont="1" applyBorder="1" applyAlignment="1" applyProtection="1">
      <alignment horizontal="left" vertical="center"/>
    </xf>
    <xf numFmtId="0" fontId="183" fillId="0" borderId="3" xfId="0" applyFont="1" applyBorder="1" applyAlignment="1">
      <alignment horizontal="left" vertical="center"/>
    </xf>
    <xf numFmtId="0" fontId="183" fillId="0" borderId="1" xfId="0" applyFont="1" applyBorder="1" applyAlignment="1">
      <alignment horizontal="left" vertical="center"/>
    </xf>
    <xf numFmtId="0" fontId="183" fillId="0" borderId="83" xfId="0" applyFont="1" applyBorder="1" applyAlignment="1">
      <alignment horizontal="left" vertical="center"/>
    </xf>
    <xf numFmtId="0" fontId="210" fillId="0" borderId="0" xfId="11" applyFont="1" applyAlignment="1" applyProtection="1">
      <alignment horizontal="left" vertical="top" wrapText="1"/>
    </xf>
    <xf numFmtId="0" fontId="198" fillId="0" borderId="0" xfId="0" applyFont="1" applyAlignment="1">
      <alignment horizontal="center" vertical="center"/>
    </xf>
    <xf numFmtId="0" fontId="199" fillId="0" borderId="1" xfId="0" applyFont="1" applyBorder="1" applyAlignment="1" applyProtection="1">
      <alignment horizontal="center" vertical="center" wrapText="1"/>
    </xf>
    <xf numFmtId="0" fontId="202" fillId="0" borderId="10" xfId="0" applyFont="1" applyBorder="1" applyAlignment="1">
      <alignment horizontal="center" vertical="center" wrapText="1"/>
    </xf>
    <xf numFmtId="0" fontId="202" fillId="0" borderId="12" xfId="0" applyFont="1" applyBorder="1" applyAlignment="1">
      <alignment horizontal="center" vertical="center" wrapText="1"/>
    </xf>
    <xf numFmtId="0" fontId="202" fillId="0" borderId="11" xfId="0" applyFont="1" applyBorder="1" applyAlignment="1">
      <alignment horizontal="center" vertical="center" wrapText="1"/>
    </xf>
    <xf numFmtId="0" fontId="200" fillId="0" borderId="1" xfId="0" applyFont="1" applyBorder="1" applyAlignment="1" applyProtection="1">
      <alignment horizontal="center" vertical="center" wrapText="1"/>
      <protection locked="0"/>
    </xf>
    <xf numFmtId="0" fontId="199" fillId="0" borderId="1" xfId="0" applyFont="1" applyBorder="1" applyAlignment="1" applyProtection="1">
      <alignment horizontal="center" vertical="center" wrapText="1"/>
      <protection locked="0"/>
    </xf>
    <xf numFmtId="0" fontId="200" fillId="0" borderId="1" xfId="0" applyFont="1" applyFill="1" applyBorder="1" applyAlignment="1" applyProtection="1">
      <alignment horizontal="center" vertical="center" wrapText="1"/>
      <protection locked="0"/>
    </xf>
    <xf numFmtId="0" fontId="196" fillId="0" borderId="0" xfId="0" applyFont="1" applyAlignment="1">
      <alignment vertical="center" wrapText="1"/>
    </xf>
    <xf numFmtId="0" fontId="196" fillId="0" borderId="0" xfId="0" applyFont="1" applyAlignment="1" applyProtection="1">
      <alignment vertical="center" wrapText="1"/>
      <protection locked="0"/>
    </xf>
    <xf numFmtId="0" fontId="187" fillId="0" borderId="0" xfId="0" applyFont="1" applyAlignment="1" applyProtection="1">
      <alignment vertical="center" wrapText="1"/>
      <protection locked="0"/>
    </xf>
    <xf numFmtId="0" fontId="196"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46" fillId="0" borderId="10" xfId="0" applyFont="1" applyBorder="1" applyAlignment="1" applyProtection="1">
      <alignment horizontal="left" vertical="center"/>
    </xf>
    <xf numFmtId="0" fontId="51" fillId="0" borderId="11" xfId="0" applyFont="1" applyBorder="1" applyAlignment="1" applyProtection="1">
      <alignment horizontal="left" vertical="center"/>
    </xf>
    <xf numFmtId="0" fontId="51" fillId="0" borderId="10" xfId="0" applyFont="1" applyBorder="1" applyAlignment="1" applyProtection="1">
      <alignment horizontal="left" vertical="center"/>
    </xf>
    <xf numFmtId="0" fontId="51" fillId="2" borderId="1" xfId="0" applyFont="1" applyFill="1" applyBorder="1" applyAlignment="1" applyProtection="1">
      <alignment horizontal="left" vertical="center"/>
    </xf>
    <xf numFmtId="0" fontId="51" fillId="24" borderId="1" xfId="0" applyFont="1" applyFill="1" applyBorder="1" applyAlignment="1" applyProtection="1">
      <alignment horizontal="left" vertical="center"/>
    </xf>
    <xf numFmtId="0" fontId="51" fillId="0" borderId="1" xfId="0" applyFont="1" applyBorder="1" applyAlignment="1" applyProtection="1">
      <alignment horizontal="left" vertical="center"/>
    </xf>
    <xf numFmtId="0" fontId="51" fillId="0" borderId="9" xfId="0" applyFont="1" applyBorder="1" applyAlignment="1" applyProtection="1">
      <alignment horizontal="left" vertical="center"/>
    </xf>
    <xf numFmtId="0" fontId="51" fillId="0" borderId="35" xfId="0" applyFont="1" applyBorder="1" applyAlignment="1" applyProtection="1">
      <alignment horizontal="left" vertical="center"/>
    </xf>
    <xf numFmtId="0" fontId="125" fillId="0" borderId="9" xfId="0" applyFont="1" applyBorder="1" applyAlignment="1" applyProtection="1">
      <alignment horizontal="left" vertical="center" wrapText="1"/>
    </xf>
    <xf numFmtId="0" fontId="125" fillId="0" borderId="35" xfId="0" applyFont="1" applyBorder="1" applyAlignment="1" applyProtection="1">
      <alignment horizontal="left" vertical="center" wrapText="1"/>
    </xf>
    <xf numFmtId="0" fontId="125" fillId="0" borderId="3" xfId="0" applyFont="1" applyBorder="1" applyAlignment="1" applyProtection="1">
      <alignment horizontal="left" vertical="center" wrapText="1"/>
    </xf>
    <xf numFmtId="0" fontId="192" fillId="2" borderId="10" xfId="11" applyFont="1" applyFill="1" applyBorder="1" applyAlignment="1">
      <alignment horizontal="left" vertical="center"/>
    </xf>
    <xf numFmtId="0" fontId="192" fillId="2" borderId="12" xfId="11" applyFont="1" applyFill="1" applyBorder="1" applyAlignment="1">
      <alignment horizontal="left" vertical="center"/>
    </xf>
    <xf numFmtId="0" fontId="193" fillId="0" borderId="1" xfId="11" applyFont="1" applyBorder="1" applyAlignment="1">
      <alignment horizontal="left" vertical="center"/>
    </xf>
    <xf numFmtId="0" fontId="193" fillId="0" borderId="10" xfId="11" applyFont="1" applyBorder="1" applyAlignment="1">
      <alignment horizontal="left" vertical="center"/>
    </xf>
    <xf numFmtId="0" fontId="193" fillId="0" borderId="170" xfId="11" applyFont="1" applyBorder="1" applyAlignment="1">
      <alignment horizontal="left" vertical="center"/>
    </xf>
    <xf numFmtId="0" fontId="110" fillId="3" borderId="0" xfId="0" applyFont="1" applyFill="1" applyBorder="1" applyAlignment="1" applyProtection="1">
      <alignment horizontal="center" vertical="center" wrapText="1"/>
    </xf>
    <xf numFmtId="0" fontId="186" fillId="3" borderId="63" xfId="0" applyFont="1" applyFill="1" applyBorder="1" applyAlignment="1" applyProtection="1">
      <alignment vertical="center" wrapText="1"/>
    </xf>
    <xf numFmtId="0" fontId="186" fillId="3" borderId="99" xfId="0" applyFont="1" applyFill="1" applyBorder="1" applyAlignment="1" applyProtection="1">
      <alignment vertical="center" wrapText="1"/>
    </xf>
    <xf numFmtId="0" fontId="186" fillId="3" borderId="100" xfId="0" applyFont="1" applyFill="1" applyBorder="1" applyAlignment="1" applyProtection="1">
      <alignment vertical="center" wrapText="1"/>
    </xf>
    <xf numFmtId="0" fontId="187" fillId="6" borderId="10" xfId="0" applyFont="1" applyFill="1" applyBorder="1" applyAlignment="1" applyProtection="1">
      <alignment vertical="center" wrapText="1"/>
      <protection locked="0"/>
    </xf>
    <xf numFmtId="0" fontId="187" fillId="6" borderId="12" xfId="0" applyFont="1" applyFill="1" applyBorder="1" applyAlignment="1" applyProtection="1">
      <alignment vertical="center" wrapText="1"/>
      <protection locked="0"/>
    </xf>
    <xf numFmtId="0" fontId="187" fillId="6" borderId="11" xfId="0" applyFont="1" applyFill="1" applyBorder="1" applyAlignment="1" applyProtection="1">
      <alignment vertical="center" wrapText="1"/>
      <protection locked="0"/>
    </xf>
    <xf numFmtId="0" fontId="187" fillId="6" borderId="10" xfId="0" applyFont="1" applyFill="1" applyBorder="1" applyAlignment="1" applyProtection="1">
      <alignment vertical="center"/>
      <protection locked="0"/>
    </xf>
    <xf numFmtId="0" fontId="187" fillId="6" borderId="12" xfId="0" applyFont="1" applyFill="1" applyBorder="1" applyAlignment="1" applyProtection="1">
      <alignment vertical="center"/>
      <protection locked="0"/>
    </xf>
    <xf numFmtId="0" fontId="187" fillId="6" borderId="11" xfId="0" applyFont="1" applyFill="1" applyBorder="1" applyAlignment="1" applyProtection="1">
      <alignment vertical="center"/>
      <protection locked="0"/>
    </xf>
    <xf numFmtId="181" fontId="186" fillId="6" borderId="10" xfId="0" applyNumberFormat="1" applyFont="1" applyFill="1" applyBorder="1" applyAlignment="1" applyProtection="1">
      <alignment horizontal="center" vertical="center" wrapText="1"/>
      <protection locked="0"/>
    </xf>
    <xf numFmtId="181" fontId="186" fillId="6" borderId="12" xfId="0" applyNumberFormat="1" applyFont="1" applyFill="1" applyBorder="1" applyAlignment="1" applyProtection="1">
      <alignment horizontal="center" vertical="center" wrapText="1"/>
      <protection locked="0"/>
    </xf>
    <xf numFmtId="181" fontId="186" fillId="6" borderId="11" xfId="0" applyNumberFormat="1" applyFont="1" applyFill="1" applyBorder="1" applyAlignment="1" applyProtection="1">
      <alignment horizontal="center" vertical="center" wrapText="1"/>
      <protection locked="0"/>
    </xf>
    <xf numFmtId="49" fontId="187" fillId="6" borderId="10" xfId="0" applyNumberFormat="1" applyFont="1" applyFill="1" applyBorder="1" applyAlignment="1" applyProtection="1">
      <alignment horizontal="left" vertical="center"/>
      <protection locked="0"/>
    </xf>
    <xf numFmtId="49" fontId="187" fillId="6" borderId="12" xfId="0" applyNumberFormat="1" applyFont="1" applyFill="1" applyBorder="1" applyAlignment="1" applyProtection="1">
      <alignment horizontal="left" vertical="center"/>
      <protection locked="0"/>
    </xf>
    <xf numFmtId="49" fontId="187" fillId="6" borderId="11" xfId="0" applyNumberFormat="1" applyFont="1" applyFill="1" applyBorder="1" applyAlignment="1" applyProtection="1">
      <alignment horizontal="left" vertical="center"/>
      <protection locked="0"/>
    </xf>
    <xf numFmtId="0" fontId="186" fillId="3" borderId="56" xfId="0" applyFont="1" applyFill="1" applyBorder="1" applyAlignment="1" applyProtection="1">
      <alignment horizontal="center" vertical="center"/>
    </xf>
    <xf numFmtId="0" fontId="186" fillId="3" borderId="13" xfId="0" applyFont="1" applyFill="1" applyBorder="1" applyAlignment="1" applyProtection="1">
      <alignment horizontal="center" vertical="center"/>
    </xf>
    <xf numFmtId="0" fontId="186" fillId="3" borderId="59" xfId="0" applyFont="1" applyFill="1" applyBorder="1" applyAlignment="1" applyProtection="1">
      <alignment horizontal="center" vertical="center"/>
    </xf>
    <xf numFmtId="0" fontId="186" fillId="3" borderId="78" xfId="0" applyFont="1" applyFill="1" applyBorder="1" applyAlignment="1" applyProtection="1">
      <alignment horizontal="center" vertical="center"/>
    </xf>
    <xf numFmtId="0" fontId="186" fillId="5" borderId="34" xfId="0" applyFont="1" applyFill="1" applyBorder="1" applyAlignment="1" applyProtection="1">
      <alignment horizontal="left" vertical="center" wrapText="1"/>
      <protection locked="0"/>
    </xf>
    <xf numFmtId="0" fontId="186" fillId="5" borderId="81" xfId="0" applyFont="1" applyFill="1" applyBorder="1" applyAlignment="1" applyProtection="1">
      <alignment horizontal="left" vertical="center" wrapText="1"/>
      <protection locked="0"/>
    </xf>
    <xf numFmtId="0" fontId="186" fillId="0" borderId="10" xfId="0" applyFont="1" applyBorder="1" applyAlignment="1" applyProtection="1">
      <alignment horizontal="left" vertical="center" wrapText="1"/>
      <protection locked="0"/>
    </xf>
    <xf numFmtId="0" fontId="186" fillId="0" borderId="58" xfId="0" applyFont="1" applyBorder="1" applyAlignment="1" applyProtection="1">
      <alignment horizontal="left" vertical="center" wrapText="1"/>
      <protection locked="0"/>
    </xf>
    <xf numFmtId="0" fontId="186" fillId="6" borderId="10" xfId="0" applyFont="1" applyFill="1" applyBorder="1" applyAlignment="1" applyProtection="1">
      <alignment horizontal="left" vertical="center" wrapText="1"/>
      <protection locked="0"/>
    </xf>
    <xf numFmtId="0" fontId="186" fillId="6" borderId="12" xfId="0" applyFont="1" applyFill="1" applyBorder="1" applyAlignment="1" applyProtection="1">
      <alignment horizontal="left" vertical="center" wrapText="1"/>
      <protection locked="0"/>
    </xf>
    <xf numFmtId="0" fontId="186" fillId="6" borderId="11" xfId="0" applyFont="1" applyFill="1" applyBorder="1" applyAlignment="1" applyProtection="1">
      <alignment horizontal="left" vertical="center" wrapText="1"/>
      <protection locked="0"/>
    </xf>
    <xf numFmtId="0" fontId="186" fillId="3" borderId="10" xfId="0" applyFont="1" applyFill="1" applyBorder="1" applyAlignment="1" applyProtection="1">
      <alignment horizontal="left" vertical="center" wrapText="1"/>
    </xf>
    <xf numFmtId="0" fontId="186" fillId="3" borderId="11" xfId="0" applyFont="1" applyFill="1" applyBorder="1" applyAlignment="1" applyProtection="1">
      <alignment horizontal="left" vertical="center" wrapText="1"/>
    </xf>
    <xf numFmtId="0" fontId="186" fillId="6" borderId="1" xfId="0" applyFont="1" applyFill="1" applyBorder="1" applyAlignment="1" applyProtection="1">
      <alignment vertical="center" wrapText="1"/>
      <protection locked="0"/>
    </xf>
    <xf numFmtId="0" fontId="186" fillId="0" borderId="1" xfId="0" applyFont="1" applyBorder="1" applyAlignment="1" applyProtection="1">
      <alignment vertical="center" wrapText="1"/>
      <protection locked="0"/>
    </xf>
    <xf numFmtId="49" fontId="186" fillId="3" borderId="1" xfId="0" applyNumberFormat="1" applyFont="1" applyFill="1" applyBorder="1" applyAlignment="1" applyProtection="1">
      <alignment horizontal="center" vertical="center" wrapText="1"/>
    </xf>
    <xf numFmtId="0" fontId="186" fillId="3" borderId="35" xfId="0" applyFont="1" applyFill="1" applyBorder="1" applyAlignment="1" applyProtection="1">
      <alignment horizontal="left" vertical="center"/>
    </xf>
    <xf numFmtId="0" fontId="186" fillId="3" borderId="3" xfId="0" applyFont="1" applyFill="1" applyBorder="1" applyAlignment="1" applyProtection="1">
      <alignment horizontal="left" vertical="center"/>
    </xf>
    <xf numFmtId="0" fontId="186" fillId="3" borderId="9" xfId="0" applyFont="1" applyFill="1" applyBorder="1" applyAlignment="1" applyProtection="1">
      <alignment horizontal="left" vertical="center"/>
    </xf>
    <xf numFmtId="0" fontId="186" fillId="3" borderId="9" xfId="0" applyFont="1" applyFill="1" applyBorder="1" applyAlignment="1" applyProtection="1">
      <alignment horizontal="left" vertical="center" wrapText="1"/>
    </xf>
    <xf numFmtId="0" fontId="186" fillId="3" borderId="35" xfId="0" applyFont="1" applyFill="1" applyBorder="1" applyAlignment="1" applyProtection="1">
      <alignment horizontal="left" vertical="center" wrapText="1"/>
    </xf>
    <xf numFmtId="0" fontId="186" fillId="3" borderId="34" xfId="0" applyFont="1" applyFill="1" applyBorder="1" applyAlignment="1" applyProtection="1">
      <alignment horizontal="left" vertical="center" wrapText="1"/>
    </xf>
    <xf numFmtId="0" fontId="186" fillId="19" borderId="9" xfId="0" applyFont="1" applyFill="1" applyBorder="1" applyAlignment="1" applyProtection="1">
      <alignment horizontal="center" vertical="center" wrapText="1"/>
    </xf>
    <xf numFmtId="0" fontId="186" fillId="19" borderId="164" xfId="0" applyFont="1" applyFill="1" applyBorder="1" applyAlignment="1" applyProtection="1">
      <alignment horizontal="center" vertical="center" wrapText="1"/>
    </xf>
    <xf numFmtId="0" fontId="186" fillId="3" borderId="20" xfId="0" applyFont="1" applyFill="1" applyBorder="1" applyAlignment="1" applyProtection="1">
      <alignment horizontal="center" vertical="center" wrapText="1"/>
    </xf>
    <xf numFmtId="0" fontId="186" fillId="0" borderId="1" xfId="0" applyFont="1" applyBorder="1" applyAlignment="1" applyProtection="1">
      <alignment horizontal="center" vertical="center" wrapText="1"/>
    </xf>
    <xf numFmtId="0" fontId="43" fillId="3" borderId="1" xfId="0" applyFont="1" applyFill="1" applyBorder="1" applyAlignment="1" applyProtection="1">
      <alignment horizontal="center" vertical="center"/>
    </xf>
    <xf numFmtId="0" fontId="43" fillId="3" borderId="9" xfId="0" applyFont="1" applyFill="1" applyBorder="1" applyAlignment="1" applyProtection="1">
      <alignment horizontal="center" vertical="center"/>
    </xf>
    <xf numFmtId="0" fontId="43" fillId="3" borderId="59" xfId="0" applyFont="1" applyFill="1" applyBorder="1" applyAlignment="1" applyProtection="1">
      <alignment horizontal="center" vertical="center"/>
    </xf>
    <xf numFmtId="0" fontId="43" fillId="3" borderId="78" xfId="0" applyFont="1" applyFill="1" applyBorder="1" applyAlignment="1" applyProtection="1">
      <alignment horizontal="center" vertical="center"/>
    </xf>
    <xf numFmtId="0" fontId="43" fillId="3" borderId="56" xfId="0" applyFont="1" applyFill="1" applyBorder="1" applyAlignment="1" applyProtection="1">
      <alignment horizontal="center" vertical="center"/>
    </xf>
    <xf numFmtId="0" fontId="32" fillId="3" borderId="1" xfId="0" applyFont="1" applyFill="1" applyBorder="1" applyAlignment="1" applyProtection="1">
      <alignment horizontal="center" vertical="center"/>
    </xf>
    <xf numFmtId="0" fontId="32" fillId="3" borderId="59" xfId="0" applyFont="1" applyFill="1" applyBorder="1" applyAlignment="1" applyProtection="1">
      <alignment horizontal="center" vertical="center"/>
    </xf>
    <xf numFmtId="0" fontId="32" fillId="3" borderId="78" xfId="0" applyFont="1" applyFill="1" applyBorder="1" applyAlignment="1" applyProtection="1">
      <alignment horizontal="center" vertical="center"/>
    </xf>
    <xf numFmtId="0" fontId="32" fillId="3" borderId="56" xfId="0" applyFont="1" applyFill="1" applyBorder="1" applyAlignment="1" applyProtection="1">
      <alignment horizontal="center" vertical="center"/>
    </xf>
    <xf numFmtId="0" fontId="153" fillId="3" borderId="69" xfId="0" applyFont="1" applyFill="1" applyBorder="1" applyAlignment="1" applyProtection="1">
      <alignment horizontal="center" vertical="center"/>
    </xf>
    <xf numFmtId="0" fontId="153" fillId="3" borderId="41" xfId="0" applyFont="1" applyFill="1" applyBorder="1" applyAlignment="1" applyProtection="1">
      <alignment horizontal="center" vertical="center"/>
    </xf>
    <xf numFmtId="0" fontId="153" fillId="3" borderId="70" xfId="0" applyFont="1" applyFill="1" applyBorder="1" applyAlignment="1" applyProtection="1">
      <alignment horizontal="center" vertical="center"/>
    </xf>
    <xf numFmtId="0" fontId="102" fillId="3" borderId="4" xfId="0" applyFont="1" applyFill="1" applyBorder="1" applyAlignment="1" applyProtection="1">
      <alignment horizontal="center" vertical="center"/>
    </xf>
    <xf numFmtId="0" fontId="102" fillId="3" borderId="5" xfId="0" applyFont="1" applyFill="1" applyBorder="1" applyAlignment="1" applyProtection="1">
      <alignment horizontal="center" vertical="center"/>
    </xf>
    <xf numFmtId="0" fontId="102" fillId="3" borderId="13" xfId="0" applyFont="1" applyFill="1" applyBorder="1" applyAlignment="1" applyProtection="1">
      <alignment horizontal="center" vertical="center"/>
    </xf>
    <xf numFmtId="0" fontId="180" fillId="3" borderId="159" xfId="0" applyFont="1" applyFill="1" applyBorder="1" applyAlignment="1" applyProtection="1">
      <alignment horizontal="left" vertical="center"/>
    </xf>
    <xf numFmtId="0" fontId="180" fillId="3" borderId="160" xfId="0" applyFont="1" applyFill="1" applyBorder="1" applyAlignment="1" applyProtection="1">
      <alignment horizontal="left" vertical="center"/>
    </xf>
    <xf numFmtId="0" fontId="157" fillId="0" borderId="98" xfId="0" applyFont="1" applyBorder="1" applyAlignment="1" applyProtection="1">
      <alignment horizontal="center" vertical="center"/>
      <protection locked="0"/>
    </xf>
    <xf numFmtId="0" fontId="157" fillId="0" borderId="99" xfId="0" applyFont="1" applyBorder="1" applyAlignment="1" applyProtection="1">
      <alignment horizontal="center" vertical="center"/>
      <protection locked="0"/>
    </xf>
    <xf numFmtId="0" fontId="157" fillId="0" borderId="17" xfId="0" applyFont="1" applyBorder="1" applyAlignment="1" applyProtection="1">
      <alignment horizontal="center" vertical="center"/>
      <protection locked="0"/>
    </xf>
    <xf numFmtId="0" fontId="157" fillId="0" borderId="100" xfId="0" applyFont="1" applyBorder="1" applyAlignment="1" applyProtection="1">
      <alignment horizontal="center" vertical="center"/>
      <protection locked="0"/>
    </xf>
    <xf numFmtId="0" fontId="20" fillId="3" borderId="65" xfId="0" applyFont="1" applyFill="1" applyBorder="1" applyAlignment="1" applyProtection="1">
      <alignment horizontal="center" vertical="center"/>
    </xf>
    <xf numFmtId="0" fontId="20" fillId="3" borderId="89" xfId="0" applyFont="1" applyFill="1" applyBorder="1" applyAlignment="1" applyProtection="1">
      <alignment horizontal="center" vertical="center"/>
    </xf>
    <xf numFmtId="0" fontId="20" fillId="3" borderId="10" xfId="0" applyFont="1" applyFill="1" applyBorder="1" applyAlignment="1" applyProtection="1">
      <alignment horizontal="center" vertical="center" wrapText="1"/>
    </xf>
    <xf numFmtId="0" fontId="20" fillId="3" borderId="12" xfId="0" applyFont="1" applyFill="1" applyBorder="1" applyAlignment="1" applyProtection="1">
      <alignment horizontal="center" vertical="center" wrapText="1"/>
    </xf>
    <xf numFmtId="0" fontId="20" fillId="3" borderId="11" xfId="0" applyFont="1" applyFill="1" applyBorder="1" applyAlignment="1" applyProtection="1">
      <alignment horizontal="center" vertical="center" wrapText="1"/>
    </xf>
    <xf numFmtId="0" fontId="17" fillId="3" borderId="20" xfId="0" applyFont="1" applyFill="1" applyBorder="1" applyAlignment="1" applyProtection="1">
      <alignment horizontal="left" vertical="center" wrapText="1"/>
    </xf>
    <xf numFmtId="0" fontId="17" fillId="3" borderId="0" xfId="0" applyFont="1" applyFill="1" applyAlignment="1" applyProtection="1">
      <alignment horizontal="left" vertical="center" wrapText="1"/>
    </xf>
    <xf numFmtId="0" fontId="15" fillId="3" borderId="158" xfId="0" applyFont="1" applyFill="1" applyBorder="1" applyAlignment="1" applyProtection="1">
      <alignment horizontal="center" vertical="center"/>
    </xf>
    <xf numFmtId="0" fontId="169" fillId="3" borderId="98" xfId="0" applyFont="1" applyFill="1" applyBorder="1" applyAlignment="1" applyProtection="1">
      <alignment horizontal="center" vertical="center" wrapText="1"/>
    </xf>
    <xf numFmtId="0" fontId="169" fillId="3" borderId="99" xfId="0" applyFont="1" applyFill="1" applyBorder="1" applyAlignment="1" applyProtection="1">
      <alignment horizontal="center" vertical="center" wrapText="1"/>
    </xf>
    <xf numFmtId="0" fontId="169" fillId="3" borderId="100" xfId="0" applyFont="1" applyFill="1" applyBorder="1" applyAlignment="1" applyProtection="1">
      <alignment horizontal="center" vertical="center" wrapText="1"/>
    </xf>
    <xf numFmtId="0" fontId="43" fillId="3" borderId="6" xfId="0" applyFont="1" applyFill="1" applyBorder="1" applyAlignment="1" applyProtection="1">
      <alignment horizontal="left" vertical="center"/>
    </xf>
    <xf numFmtId="0" fontId="43" fillId="3" borderId="1" xfId="0" applyFont="1" applyFill="1" applyBorder="1" applyAlignment="1" applyProtection="1">
      <alignment horizontal="left" vertical="center"/>
    </xf>
    <xf numFmtId="0" fontId="43" fillId="2" borderId="12" xfId="0" applyFont="1" applyFill="1" applyBorder="1" applyAlignment="1" applyProtection="1">
      <alignment vertical="center"/>
    </xf>
    <xf numFmtId="0" fontId="43" fillId="2" borderId="11" xfId="0" applyFont="1" applyFill="1" applyBorder="1" applyAlignment="1" applyProtection="1">
      <alignment vertical="center"/>
    </xf>
    <xf numFmtId="0" fontId="43" fillId="3" borderId="64" xfId="0" applyFont="1" applyFill="1" applyBorder="1" applyAlignment="1" applyProtection="1">
      <alignment horizontal="left" vertical="center"/>
    </xf>
    <xf numFmtId="0" fontId="43" fillId="3" borderId="11" xfId="0" applyFont="1" applyFill="1" applyBorder="1" applyAlignment="1" applyProtection="1">
      <alignment horizontal="left" vertical="center"/>
    </xf>
    <xf numFmtId="0" fontId="43" fillId="3" borderId="7" xfId="0" applyFont="1" applyFill="1" applyBorder="1" applyAlignment="1" applyProtection="1">
      <alignment horizontal="left" vertical="center" wrapText="1"/>
      <protection locked="0"/>
    </xf>
    <xf numFmtId="0" fontId="43" fillId="3" borderId="8" xfId="0" applyFont="1" applyFill="1" applyBorder="1" applyAlignment="1" applyProtection="1">
      <alignment horizontal="left" vertical="center" wrapText="1"/>
      <protection locked="0"/>
    </xf>
    <xf numFmtId="0" fontId="25" fillId="3" borderId="18" xfId="0" applyFont="1" applyFill="1" applyBorder="1" applyAlignment="1" applyProtection="1">
      <alignment horizontal="left" vertical="center" wrapText="1"/>
    </xf>
    <xf numFmtId="0" fontId="25" fillId="3" borderId="54" xfId="0" applyFont="1" applyFill="1" applyBorder="1" applyAlignment="1" applyProtection="1">
      <alignment horizontal="left" vertical="center" wrapText="1"/>
    </xf>
    <xf numFmtId="0" fontId="25" fillId="3" borderId="58" xfId="0" applyFont="1" applyFill="1" applyBorder="1" applyAlignment="1" applyProtection="1">
      <alignment horizontal="left" vertical="center" wrapText="1"/>
    </xf>
    <xf numFmtId="0" fontId="25" fillId="3" borderId="59" xfId="0" applyFont="1" applyFill="1" applyBorder="1" applyAlignment="1" applyProtection="1">
      <alignment horizontal="center" vertical="center" wrapText="1"/>
    </xf>
    <xf numFmtId="0" fontId="25" fillId="3" borderId="78" xfId="0" applyFont="1" applyFill="1" applyBorder="1" applyAlignment="1" applyProtection="1">
      <alignment horizontal="center" vertical="center" wrapText="1"/>
    </xf>
    <xf numFmtId="0" fontId="25" fillId="3" borderId="44" xfId="0" applyFont="1" applyFill="1" applyBorder="1" applyAlignment="1" applyProtection="1">
      <alignment horizontal="center" vertical="center" wrapText="1"/>
    </xf>
    <xf numFmtId="0" fontId="20" fillId="3" borderId="22" xfId="0" applyFont="1" applyFill="1" applyBorder="1" applyAlignment="1" applyProtection="1">
      <alignment horizontal="left" vertical="center" wrapText="1"/>
    </xf>
    <xf numFmtId="0" fontId="20" fillId="3" borderId="1" xfId="0" applyFont="1" applyFill="1" applyBorder="1" applyAlignment="1" applyProtection="1">
      <alignment horizontal="left" vertical="center" wrapText="1"/>
    </xf>
    <xf numFmtId="0" fontId="30" fillId="3" borderId="3" xfId="0" applyFont="1" applyFill="1" applyBorder="1" applyAlignment="1" applyProtection="1">
      <alignment horizontal="center" vertical="center" wrapText="1"/>
    </xf>
    <xf numFmtId="0" fontId="30" fillId="3" borderId="34" xfId="0" applyFont="1" applyFill="1" applyBorder="1" applyAlignment="1" applyProtection="1">
      <alignment horizontal="center" vertical="center" wrapText="1"/>
    </xf>
    <xf numFmtId="0" fontId="20" fillId="3" borderId="12" xfId="0" applyFont="1" applyFill="1" applyBorder="1" applyAlignment="1" applyProtection="1">
      <alignment horizontal="left" vertical="center" wrapText="1"/>
    </xf>
    <xf numFmtId="0" fontId="30" fillId="3" borderId="1" xfId="0" applyFont="1" applyFill="1" applyBorder="1" applyAlignment="1" applyProtection="1">
      <alignment horizontal="center" vertical="center" wrapText="1"/>
    </xf>
    <xf numFmtId="0" fontId="81" fillId="3" borderId="9" xfId="0" applyFont="1" applyFill="1" applyBorder="1" applyAlignment="1" applyProtection="1">
      <alignment horizontal="center" vertical="center" wrapText="1"/>
    </xf>
    <xf numFmtId="0" fontId="30" fillId="3" borderId="9" xfId="0" applyFont="1" applyFill="1" applyBorder="1" applyAlignment="1" applyProtection="1">
      <alignment horizontal="center" vertical="center" wrapText="1"/>
    </xf>
    <xf numFmtId="0" fontId="20" fillId="3" borderId="10" xfId="0" applyFont="1" applyFill="1" applyBorder="1" applyAlignment="1" applyProtection="1">
      <alignment horizontal="left" vertical="center" wrapText="1"/>
    </xf>
    <xf numFmtId="0" fontId="20" fillId="3" borderId="11" xfId="0" applyFont="1" applyFill="1" applyBorder="1" applyAlignment="1" applyProtection="1">
      <alignment horizontal="left" vertical="center" wrapText="1"/>
    </xf>
    <xf numFmtId="0" fontId="109" fillId="3" borderId="3" xfId="0" applyFont="1" applyFill="1" applyBorder="1" applyAlignment="1" applyProtection="1">
      <alignment horizontal="center" vertical="center" wrapText="1"/>
    </xf>
    <xf numFmtId="0" fontId="110" fillId="3" borderId="1" xfId="0" applyFont="1" applyFill="1" applyBorder="1" applyAlignment="1" applyProtection="1">
      <alignment horizontal="center" vertical="center" wrapText="1"/>
    </xf>
    <xf numFmtId="0" fontId="20" fillId="3" borderId="6" xfId="0" applyFont="1" applyFill="1" applyBorder="1" applyAlignment="1" applyProtection="1">
      <alignment horizontal="left" vertical="center" wrapText="1"/>
    </xf>
    <xf numFmtId="0" fontId="77" fillId="3" borderId="10" xfId="0" applyFont="1" applyFill="1" applyBorder="1" applyAlignment="1" applyProtection="1">
      <alignment horizontal="center" vertical="center"/>
    </xf>
    <xf numFmtId="0" fontId="77" fillId="3" borderId="12" xfId="0" applyFont="1" applyFill="1" applyBorder="1" applyAlignment="1" applyProtection="1">
      <alignment horizontal="center" vertical="center"/>
    </xf>
    <xf numFmtId="0" fontId="77" fillId="3" borderId="10" xfId="0" applyFont="1" applyFill="1" applyBorder="1" applyAlignment="1" applyProtection="1">
      <alignment horizontal="left" vertical="center"/>
    </xf>
    <xf numFmtId="0" fontId="77" fillId="3" borderId="11" xfId="0" applyFont="1" applyFill="1" applyBorder="1" applyAlignment="1" applyProtection="1">
      <alignment horizontal="left" vertical="center"/>
    </xf>
    <xf numFmtId="0" fontId="20" fillId="3" borderId="7" xfId="0" applyFont="1" applyFill="1" applyBorder="1" applyAlignment="1" applyProtection="1">
      <alignment horizontal="left" vertical="center" wrapText="1"/>
    </xf>
    <xf numFmtId="0" fontId="20" fillId="3" borderId="8" xfId="0" applyFont="1" applyFill="1" applyBorder="1" applyAlignment="1" applyProtection="1">
      <alignment horizontal="left" vertical="center" wrapText="1"/>
    </xf>
    <xf numFmtId="0" fontId="25" fillId="3" borderId="17" xfId="0" applyFont="1" applyFill="1" applyBorder="1" applyAlignment="1" applyProtection="1">
      <alignment horizontal="center" vertical="center"/>
    </xf>
    <xf numFmtId="0" fontId="24" fillId="3" borderId="4" xfId="0" applyFont="1" applyFill="1" applyBorder="1" applyAlignment="1" applyProtection="1">
      <alignment horizontal="center" vertical="center" wrapText="1"/>
    </xf>
    <xf numFmtId="0" fontId="24" fillId="3" borderId="5" xfId="0" applyFont="1" applyFill="1" applyBorder="1" applyAlignment="1" applyProtection="1">
      <alignment horizontal="center" vertical="center" wrapText="1"/>
    </xf>
    <xf numFmtId="0" fontId="110" fillId="3" borderId="83" xfId="0" applyFont="1" applyFill="1" applyBorder="1" applyAlignment="1" applyProtection="1">
      <alignment horizontal="center" vertical="center" wrapText="1"/>
    </xf>
    <xf numFmtId="0" fontId="110" fillId="3" borderId="109" xfId="0" applyFont="1" applyFill="1" applyBorder="1" applyAlignment="1" applyProtection="1">
      <alignment horizontal="center" vertical="center" wrapText="1"/>
    </xf>
    <xf numFmtId="0" fontId="24" fillId="3" borderId="21" xfId="0" applyFont="1" applyFill="1" applyBorder="1" applyAlignment="1" applyProtection="1">
      <alignment horizontal="center" vertical="center" wrapText="1"/>
    </xf>
    <xf numFmtId="0" fontId="24" fillId="3" borderId="0" xfId="0" applyFont="1" applyFill="1" applyBorder="1" applyAlignment="1" applyProtection="1">
      <alignment horizontal="center" vertical="center" wrapText="1"/>
    </xf>
    <xf numFmtId="0" fontId="20" fillId="3" borderId="46" xfId="0" applyFont="1" applyFill="1" applyBorder="1" applyAlignment="1" applyProtection="1">
      <alignment horizontal="left" vertical="center" wrapText="1"/>
    </xf>
    <xf numFmtId="10" fontId="77" fillId="3" borderId="10" xfId="0" applyNumberFormat="1" applyFont="1" applyFill="1" applyBorder="1" applyAlignment="1" applyProtection="1">
      <alignment horizontal="left" vertical="center" wrapText="1"/>
    </xf>
    <xf numFmtId="10" fontId="20" fillId="3" borderId="12" xfId="0" applyNumberFormat="1" applyFont="1" applyFill="1" applyBorder="1" applyAlignment="1" applyProtection="1">
      <alignment horizontal="left" vertical="center" wrapText="1"/>
    </xf>
    <xf numFmtId="10" fontId="20" fillId="3" borderId="46" xfId="0" applyNumberFormat="1" applyFont="1" applyFill="1" applyBorder="1" applyAlignment="1" applyProtection="1">
      <alignment horizontal="left" vertical="center" wrapText="1"/>
    </xf>
    <xf numFmtId="10" fontId="78" fillId="3" borderId="1" xfId="0" applyNumberFormat="1" applyFont="1" applyFill="1" applyBorder="1" applyAlignment="1" applyProtection="1">
      <alignment horizontal="left" vertical="center" wrapText="1"/>
    </xf>
    <xf numFmtId="10" fontId="20" fillId="3" borderId="1" xfId="0" applyNumberFormat="1" applyFont="1" applyFill="1" applyBorder="1" applyAlignment="1" applyProtection="1">
      <alignment horizontal="left" vertical="center" wrapText="1"/>
    </xf>
    <xf numFmtId="10" fontId="20" fillId="3" borderId="10" xfId="0" applyNumberFormat="1" applyFont="1" applyFill="1" applyBorder="1" applyAlignment="1" applyProtection="1">
      <alignment horizontal="left" vertical="center" wrapText="1"/>
    </xf>
    <xf numFmtId="0" fontId="32" fillId="3" borderId="1" xfId="0" applyFont="1" applyFill="1" applyBorder="1" applyAlignment="1" applyProtection="1">
      <alignment horizontal="left" vertical="center" wrapText="1"/>
    </xf>
    <xf numFmtId="0" fontId="43" fillId="3" borderId="69" xfId="0" applyFont="1" applyFill="1" applyBorder="1" applyAlignment="1" applyProtection="1">
      <alignment horizontal="left" vertical="center" wrapText="1"/>
    </xf>
    <xf numFmtId="0" fontId="43" fillId="3" borderId="29" xfId="0" applyFont="1" applyFill="1" applyBorder="1" applyAlignment="1" applyProtection="1">
      <alignment horizontal="left" vertical="center" wrapText="1"/>
    </xf>
    <xf numFmtId="0" fontId="32" fillId="3" borderId="1" xfId="0" applyFont="1" applyFill="1" applyBorder="1" applyAlignment="1" applyProtection="1">
      <alignment horizontal="center" vertical="center" wrapText="1"/>
    </xf>
    <xf numFmtId="0" fontId="32" fillId="0" borderId="9" xfId="0" applyFont="1" applyBorder="1" applyAlignment="1" applyProtection="1">
      <alignment horizontal="center" vertical="center"/>
      <protection locked="0"/>
    </xf>
    <xf numFmtId="0" fontId="32" fillId="0" borderId="35" xfId="0" applyFont="1" applyBorder="1" applyAlignment="1" applyProtection="1">
      <alignment horizontal="center" vertical="center"/>
      <protection locked="0"/>
    </xf>
    <xf numFmtId="0" fontId="32" fillId="0" borderId="3" xfId="0" applyFont="1" applyBorder="1" applyAlignment="1" applyProtection="1">
      <alignment horizontal="center" vertical="center"/>
      <protection locked="0"/>
    </xf>
    <xf numFmtId="0" fontId="32" fillId="0" borderId="1" xfId="0" applyFont="1" applyBorder="1" applyAlignment="1" applyProtection="1">
      <alignment horizontal="center" vertical="center"/>
      <protection locked="0"/>
    </xf>
    <xf numFmtId="0" fontId="43" fillId="3" borderId="68" xfId="0" applyFont="1" applyFill="1" applyBorder="1" applyAlignment="1" applyProtection="1">
      <alignment horizontal="left" vertical="center" wrapText="1"/>
    </xf>
    <xf numFmtId="0" fontId="43" fillId="3" borderId="76" xfId="0" applyFont="1" applyFill="1" applyBorder="1" applyAlignment="1" applyProtection="1">
      <alignment horizontal="left" vertical="center" wrapText="1"/>
    </xf>
    <xf numFmtId="0" fontId="20" fillId="3" borderId="57" xfId="0" applyFont="1" applyFill="1" applyBorder="1" applyAlignment="1" applyProtection="1">
      <alignment horizontal="center" vertical="center"/>
    </xf>
    <xf numFmtId="0" fontId="20" fillId="3" borderId="73" xfId="0" applyFont="1" applyFill="1" applyBorder="1" applyAlignment="1" applyProtection="1">
      <alignment horizontal="center" vertical="center"/>
    </xf>
    <xf numFmtId="0" fontId="20" fillId="3" borderId="72" xfId="0" applyFont="1" applyFill="1" applyBorder="1" applyAlignment="1" applyProtection="1">
      <alignment horizontal="center" vertical="center"/>
    </xf>
    <xf numFmtId="0" fontId="167" fillId="3" borderId="103" xfId="0" applyFont="1" applyFill="1" applyBorder="1" applyAlignment="1" applyProtection="1">
      <alignment horizontal="center" vertical="center" wrapText="1"/>
    </xf>
    <xf numFmtId="0" fontId="167" fillId="3" borderId="93" xfId="0" applyFont="1" applyFill="1" applyBorder="1" applyAlignment="1" applyProtection="1">
      <alignment horizontal="center" vertical="center" wrapText="1"/>
    </xf>
    <xf numFmtId="0" fontId="167" fillId="3" borderId="112" xfId="0" applyFont="1" applyFill="1" applyBorder="1" applyAlignment="1" applyProtection="1">
      <alignment horizontal="center" vertical="center" wrapText="1"/>
    </xf>
    <xf numFmtId="0" fontId="69" fillId="3" borderId="1" xfId="0" applyFont="1" applyFill="1" applyBorder="1" applyAlignment="1" applyProtection="1">
      <alignment horizontal="center" vertical="center" wrapText="1"/>
    </xf>
    <xf numFmtId="0" fontId="69" fillId="3" borderId="9" xfId="0" applyFont="1" applyFill="1" applyBorder="1" applyAlignment="1" applyProtection="1">
      <alignment horizontal="center" vertical="center" wrapText="1"/>
    </xf>
    <xf numFmtId="0" fontId="69" fillId="3" borderId="3" xfId="0" applyFont="1" applyFill="1" applyBorder="1" applyAlignment="1" applyProtection="1">
      <alignment horizontal="center" vertical="center" wrapText="1"/>
    </xf>
    <xf numFmtId="0" fontId="116" fillId="3" borderId="1" xfId="0" applyFont="1" applyFill="1" applyBorder="1" applyAlignment="1">
      <alignment horizontal="center" vertical="center" wrapText="1"/>
    </xf>
    <xf numFmtId="0" fontId="152" fillId="3" borderId="98" xfId="0" applyFont="1" applyFill="1" applyBorder="1" applyAlignment="1" applyProtection="1">
      <alignment vertical="center"/>
    </xf>
    <xf numFmtId="0" fontId="152" fillId="3" borderId="99" xfId="0" applyFont="1" applyFill="1" applyBorder="1" applyAlignment="1" applyProtection="1">
      <alignment vertical="center"/>
    </xf>
    <xf numFmtId="0" fontId="43" fillId="3" borderId="32" xfId="0" applyFont="1" applyFill="1" applyBorder="1" applyAlignment="1" applyProtection="1"/>
    <xf numFmtId="0" fontId="43" fillId="3" borderId="43" xfId="0" applyFont="1" applyFill="1" applyBorder="1" applyAlignment="1" applyProtection="1"/>
    <xf numFmtId="0" fontId="36" fillId="3" borderId="4" xfId="0" applyFont="1" applyFill="1" applyBorder="1" applyAlignment="1" applyProtection="1">
      <alignment horizontal="center" vertical="center" wrapText="1"/>
    </xf>
    <xf numFmtId="0" fontId="36" fillId="3" borderId="13" xfId="0" applyFont="1" applyFill="1" applyBorder="1" applyAlignment="1" applyProtection="1">
      <alignment horizontal="center" vertical="center" wrapText="1"/>
    </xf>
    <xf numFmtId="0" fontId="42" fillId="0" borderId="6" xfId="0" applyFont="1" applyFill="1" applyBorder="1" applyAlignment="1" applyProtection="1">
      <alignment horizontal="center" vertical="center" wrapText="1"/>
      <protection locked="0"/>
    </xf>
    <xf numFmtId="0" fontId="42" fillId="0" borderId="14" xfId="0" applyFont="1" applyFill="1" applyBorder="1" applyAlignment="1" applyProtection="1">
      <alignment horizontal="center" vertical="center" wrapText="1"/>
      <protection locked="0"/>
    </xf>
    <xf numFmtId="0" fontId="42" fillId="0" borderId="7" xfId="0" applyFont="1" applyFill="1" applyBorder="1" applyAlignment="1" applyProtection="1">
      <alignment horizontal="center" vertical="center" wrapText="1"/>
      <protection locked="0"/>
    </xf>
    <xf numFmtId="0" fontId="42" fillId="0" borderId="15" xfId="0" applyFont="1" applyFill="1" applyBorder="1" applyAlignment="1" applyProtection="1">
      <alignment horizontal="center" vertical="center" wrapText="1"/>
      <protection locked="0"/>
    </xf>
    <xf numFmtId="0" fontId="42" fillId="0" borderId="22" xfId="0" applyFont="1" applyFill="1" applyBorder="1" applyAlignment="1" applyProtection="1">
      <alignment horizontal="center" vertical="center" wrapText="1"/>
      <protection locked="0"/>
    </xf>
    <xf numFmtId="0" fontId="42" fillId="0" borderId="57" xfId="0" applyFont="1" applyFill="1" applyBorder="1" applyAlignment="1" applyProtection="1">
      <alignment horizontal="center" vertical="center" wrapText="1"/>
      <protection locked="0"/>
    </xf>
    <xf numFmtId="0" fontId="32" fillId="3" borderId="10" xfId="0" applyFont="1" applyFill="1" applyBorder="1" applyAlignment="1" applyProtection="1">
      <alignment horizontal="center" vertical="center"/>
    </xf>
    <xf numFmtId="0" fontId="32" fillId="3" borderId="12" xfId="0" applyFont="1" applyFill="1" applyBorder="1" applyAlignment="1" applyProtection="1">
      <alignment horizontal="center" vertical="center"/>
    </xf>
    <xf numFmtId="0" fontId="32" fillId="3" borderId="11" xfId="0" applyFont="1" applyFill="1" applyBorder="1" applyAlignment="1" applyProtection="1">
      <alignment horizontal="center" vertical="center"/>
    </xf>
    <xf numFmtId="0" fontId="36" fillId="3" borderId="1" xfId="0" applyFont="1" applyFill="1" applyBorder="1" applyAlignment="1" applyProtection="1">
      <alignment horizontal="center" vertical="center" wrapText="1"/>
    </xf>
    <xf numFmtId="0" fontId="36" fillId="3" borderId="1" xfId="0" applyFont="1" applyFill="1" applyBorder="1" applyAlignment="1" applyProtection="1">
      <alignment horizontal="center" vertical="center"/>
    </xf>
    <xf numFmtId="184" fontId="36" fillId="3" borderId="1" xfId="0" applyNumberFormat="1" applyFont="1" applyFill="1" applyBorder="1" applyAlignment="1" applyProtection="1">
      <alignment horizontal="center" vertical="center"/>
    </xf>
    <xf numFmtId="0" fontId="36" fillId="3" borderId="10" xfId="0" applyFont="1" applyFill="1" applyBorder="1" applyAlignment="1" applyProtection="1">
      <alignment horizontal="center" vertical="center" wrapText="1"/>
    </xf>
    <xf numFmtId="0" fontId="36" fillId="3" borderId="11" xfId="0" applyFont="1" applyFill="1" applyBorder="1" applyAlignment="1" applyProtection="1">
      <alignment horizontal="center" vertical="center" wrapText="1"/>
    </xf>
    <xf numFmtId="184" fontId="41" fillId="8" borderId="1" xfId="0" applyNumberFormat="1" applyFont="1" applyFill="1" applyBorder="1" applyAlignment="1" applyProtection="1">
      <alignment horizontal="center" vertical="center"/>
    </xf>
    <xf numFmtId="0" fontId="36" fillId="3" borderId="9" xfId="0" applyFont="1" applyFill="1" applyBorder="1" applyAlignment="1" applyProtection="1">
      <alignment horizontal="center" vertical="center" wrapText="1"/>
    </xf>
    <xf numFmtId="0" fontId="36" fillId="3" borderId="35" xfId="0" applyFont="1" applyFill="1" applyBorder="1" applyAlignment="1" applyProtection="1">
      <alignment horizontal="center" vertical="center" wrapText="1"/>
    </xf>
    <xf numFmtId="0" fontId="36" fillId="3" borderId="9" xfId="0" applyFont="1" applyFill="1" applyBorder="1" applyAlignment="1" applyProtection="1">
      <alignment horizontal="center" vertical="center" textRotation="255" wrapText="1"/>
    </xf>
    <xf numFmtId="0" fontId="36" fillId="3" borderId="35" xfId="0" applyFont="1" applyFill="1" applyBorder="1" applyAlignment="1" applyProtection="1">
      <alignment horizontal="center" vertical="center" textRotation="255" wrapText="1"/>
    </xf>
    <xf numFmtId="0" fontId="36" fillId="3" borderId="9" xfId="0" applyFont="1" applyFill="1" applyBorder="1" applyAlignment="1" applyProtection="1">
      <alignment horizontal="center" vertical="center"/>
    </xf>
    <xf numFmtId="0" fontId="36" fillId="3" borderId="35" xfId="0" applyFont="1" applyFill="1" applyBorder="1" applyAlignment="1" applyProtection="1">
      <alignment horizontal="center" vertical="center"/>
    </xf>
    <xf numFmtId="0" fontId="36" fillId="3" borderId="3" xfId="0" applyFont="1" applyFill="1" applyBorder="1" applyAlignment="1" applyProtection="1">
      <alignment horizontal="center" vertical="center"/>
    </xf>
    <xf numFmtId="0" fontId="36" fillId="3" borderId="18" xfId="0" applyFont="1" applyFill="1" applyBorder="1" applyAlignment="1" applyProtection="1">
      <alignment horizontal="center" vertical="center" wrapText="1"/>
    </xf>
    <xf numFmtId="0" fontId="36" fillId="3" borderId="58" xfId="0" applyFont="1" applyFill="1" applyBorder="1" applyAlignment="1" applyProtection="1">
      <alignment horizontal="center" vertical="center" wrapText="1"/>
    </xf>
    <xf numFmtId="0" fontId="36" fillId="3" borderId="20" xfId="0" applyFont="1" applyFill="1" applyBorder="1" applyAlignment="1" applyProtection="1">
      <alignment horizontal="center" vertical="center" wrapText="1"/>
    </xf>
    <xf numFmtId="0" fontId="36" fillId="3" borderId="74" xfId="0" applyFont="1" applyFill="1" applyBorder="1" applyAlignment="1" applyProtection="1">
      <alignment horizontal="center" vertical="center" wrapText="1"/>
    </xf>
    <xf numFmtId="0" fontId="36" fillId="3" borderId="34" xfId="0" applyFont="1" applyFill="1" applyBorder="1" applyAlignment="1" applyProtection="1">
      <alignment horizontal="center" vertical="center" wrapText="1"/>
    </xf>
    <xf numFmtId="0" fontId="36" fillId="3" borderId="81" xfId="0" applyFont="1" applyFill="1" applyBorder="1" applyAlignment="1" applyProtection="1">
      <alignment horizontal="center" vertical="center" wrapText="1"/>
    </xf>
    <xf numFmtId="0" fontId="36" fillId="3" borderId="18" xfId="0" applyFont="1" applyFill="1" applyBorder="1" applyAlignment="1" applyProtection="1">
      <alignment horizontal="center" vertical="center"/>
    </xf>
    <xf numFmtId="0" fontId="36" fillId="3" borderId="58" xfId="0" applyFont="1" applyFill="1" applyBorder="1" applyAlignment="1" applyProtection="1">
      <alignment horizontal="center" vertical="center"/>
    </xf>
    <xf numFmtId="0" fontId="36" fillId="3" borderId="20" xfId="0" applyFont="1" applyFill="1" applyBorder="1" applyAlignment="1" applyProtection="1">
      <alignment horizontal="center" vertical="center"/>
    </xf>
    <xf numFmtId="0" fontId="36" fillId="3" borderId="74" xfId="0" applyFont="1" applyFill="1" applyBorder="1" applyAlignment="1" applyProtection="1">
      <alignment horizontal="center" vertical="center"/>
    </xf>
    <xf numFmtId="0" fontId="36" fillId="3" borderId="34" xfId="0" applyFont="1" applyFill="1" applyBorder="1" applyAlignment="1" applyProtection="1">
      <alignment horizontal="center" vertical="center"/>
    </xf>
    <xf numFmtId="0" fontId="36" fillId="3" borderId="81" xfId="0" applyFont="1" applyFill="1" applyBorder="1" applyAlignment="1" applyProtection="1">
      <alignment horizontal="center" vertical="center"/>
    </xf>
    <xf numFmtId="0" fontId="140" fillId="3" borderId="4" xfId="0" applyFont="1" applyFill="1" applyBorder="1" applyAlignment="1" applyProtection="1">
      <alignment horizontal="center" vertical="center" wrapText="1"/>
    </xf>
    <xf numFmtId="0" fontId="140" fillId="3" borderId="5" xfId="0" applyFont="1" applyFill="1" applyBorder="1" applyAlignment="1" applyProtection="1">
      <alignment horizontal="center" vertical="center" wrapText="1"/>
    </xf>
    <xf numFmtId="0" fontId="140" fillId="3" borderId="6" xfId="0" applyFont="1" applyFill="1" applyBorder="1" applyAlignment="1" applyProtection="1">
      <alignment horizontal="center" vertical="center" wrapText="1"/>
    </xf>
    <xf numFmtId="0" fontId="140" fillId="3" borderId="1" xfId="0" applyFont="1" applyFill="1" applyBorder="1" applyAlignment="1" applyProtection="1">
      <alignment horizontal="center" vertical="center" wrapText="1"/>
    </xf>
    <xf numFmtId="0" fontId="36" fillId="3" borderId="56" xfId="0" applyFont="1" applyFill="1" applyBorder="1" applyAlignment="1" applyProtection="1">
      <alignment horizontal="center" vertical="center" wrapText="1"/>
    </xf>
    <xf numFmtId="0" fontId="36" fillId="3" borderId="39" xfId="0" applyFont="1" applyFill="1" applyBorder="1" applyAlignment="1" applyProtection="1">
      <alignment horizontal="center" vertical="center" wrapText="1"/>
    </xf>
    <xf numFmtId="0" fontId="42" fillId="0" borderId="11" xfId="0" applyFont="1" applyFill="1" applyBorder="1" applyAlignment="1" applyProtection="1">
      <alignment horizontal="center" vertical="center" wrapText="1"/>
      <protection locked="0"/>
    </xf>
    <xf numFmtId="0" fontId="42" fillId="0" borderId="10" xfId="0" applyFont="1" applyFill="1" applyBorder="1" applyAlignment="1" applyProtection="1">
      <alignment horizontal="center" vertical="center" wrapText="1"/>
      <protection locked="0"/>
    </xf>
    <xf numFmtId="0" fontId="42" fillId="0" borderId="58" xfId="0" applyFont="1" applyFill="1" applyBorder="1" applyAlignment="1" applyProtection="1">
      <alignment horizontal="center" vertical="center" wrapText="1"/>
      <protection locked="0"/>
    </xf>
    <xf numFmtId="0" fontId="42" fillId="0" borderId="18" xfId="0" applyFont="1" applyFill="1" applyBorder="1" applyAlignment="1" applyProtection="1">
      <alignment horizontal="center" vertical="center" wrapText="1"/>
      <protection locked="0"/>
    </xf>
    <xf numFmtId="184" fontId="41" fillId="3" borderId="1" xfId="0" applyNumberFormat="1" applyFont="1" applyFill="1" applyBorder="1" applyAlignment="1" applyProtection="1">
      <alignment horizontal="center" vertical="center"/>
    </xf>
    <xf numFmtId="0" fontId="51" fillId="3" borderId="19" xfId="0" applyFont="1" applyFill="1" applyBorder="1" applyAlignment="1" applyProtection="1">
      <alignment horizontal="center" vertical="center" wrapText="1"/>
    </xf>
    <xf numFmtId="0" fontId="51" fillId="3" borderId="45" xfId="0" applyFont="1" applyFill="1" applyBorder="1" applyAlignment="1" applyProtection="1">
      <alignment horizontal="center" vertical="center" wrapText="1"/>
    </xf>
    <xf numFmtId="0" fontId="51" fillId="3" borderId="65" xfId="0" applyFont="1" applyFill="1" applyBorder="1" applyAlignment="1" applyProtection="1">
      <alignment horizontal="center" vertical="center" wrapText="1"/>
    </xf>
    <xf numFmtId="0" fontId="51" fillId="3" borderId="66" xfId="0" applyFont="1" applyFill="1" applyBorder="1" applyAlignment="1" applyProtection="1">
      <alignment horizontal="center" vertical="center" wrapText="1"/>
    </xf>
    <xf numFmtId="0" fontId="115" fillId="3" borderId="12" xfId="6" applyFont="1" applyFill="1" applyBorder="1" applyAlignment="1" applyProtection="1">
      <alignment horizontal="right" vertical="center" wrapText="1"/>
      <protection locked="0"/>
    </xf>
    <xf numFmtId="0" fontId="21" fillId="3" borderId="11" xfId="6" applyFont="1" applyFill="1" applyBorder="1" applyAlignment="1" applyProtection="1">
      <alignment horizontal="right" vertical="center" wrapText="1"/>
      <protection locked="0"/>
    </xf>
    <xf numFmtId="0" fontId="115" fillId="3" borderId="40" xfId="6" applyFont="1" applyFill="1" applyBorder="1" applyAlignment="1" applyProtection="1">
      <alignment horizontal="center" vertical="center" wrapText="1"/>
    </xf>
    <xf numFmtId="0" fontId="115" fillId="3" borderId="71" xfId="6" applyFont="1" applyFill="1" applyBorder="1" applyAlignment="1" applyProtection="1">
      <alignment horizontal="center" vertical="center" wrapText="1"/>
    </xf>
    <xf numFmtId="0" fontId="128" fillId="3" borderId="0" xfId="6" applyFont="1" applyFill="1" applyAlignment="1" applyProtection="1">
      <alignment horizontal="center" vertical="center"/>
    </xf>
    <xf numFmtId="0" fontId="127" fillId="3" borderId="0" xfId="6" applyFont="1" applyFill="1" applyAlignment="1" applyProtection="1">
      <alignment horizontal="left" vertical="center"/>
    </xf>
    <xf numFmtId="49" fontId="5" fillId="3" borderId="69" xfId="0" applyNumberFormat="1" applyFont="1" applyFill="1" applyBorder="1" applyAlignment="1" applyProtection="1">
      <alignment horizontal="center" vertical="center" wrapText="1"/>
    </xf>
    <xf numFmtId="49" fontId="24" fillId="3" borderId="76" xfId="0" applyNumberFormat="1" applyFont="1" applyFill="1" applyBorder="1" applyAlignment="1" applyProtection="1">
      <alignment horizontal="center" vertical="center" wrapText="1"/>
    </xf>
    <xf numFmtId="0" fontId="135" fillId="3" borderId="9" xfId="0" applyFont="1" applyFill="1" applyBorder="1" applyAlignment="1" applyProtection="1">
      <alignment vertical="center" wrapText="1"/>
    </xf>
    <xf numFmtId="0" fontId="135" fillId="3" borderId="35" xfId="0" applyFont="1" applyFill="1" applyBorder="1" applyAlignment="1" applyProtection="1">
      <alignment vertical="center" wrapText="1"/>
    </xf>
    <xf numFmtId="0" fontId="127" fillId="3" borderId="1" xfId="6" applyFont="1" applyFill="1" applyBorder="1" applyAlignment="1" applyProtection="1">
      <alignment horizontal="center" vertical="center"/>
    </xf>
    <xf numFmtId="0" fontId="127" fillId="3" borderId="9" xfId="6" applyFont="1" applyFill="1" applyBorder="1" applyAlignment="1" applyProtection="1">
      <alignment horizontal="center" vertical="center"/>
    </xf>
    <xf numFmtId="0" fontId="127" fillId="3" borderId="35" xfId="6" applyFont="1" applyFill="1" applyBorder="1" applyAlignment="1" applyProtection="1">
      <alignment horizontal="center" vertical="center"/>
    </xf>
    <xf numFmtId="0" fontId="127" fillId="3" borderId="3" xfId="6" applyFont="1" applyFill="1" applyBorder="1" applyAlignment="1" applyProtection="1">
      <alignment horizontal="center" vertical="center"/>
    </xf>
    <xf numFmtId="0" fontId="21" fillId="3" borderId="11" xfId="6" applyFont="1" applyFill="1" applyBorder="1" applyAlignment="1" applyProtection="1">
      <alignment horizontal="center" vertical="center" wrapText="1"/>
      <protection locked="0"/>
    </xf>
    <xf numFmtId="0" fontId="127" fillId="3" borderId="4" xfId="0" applyFont="1" applyFill="1" applyBorder="1" applyAlignment="1" applyProtection="1">
      <alignment horizontal="left" vertical="center"/>
    </xf>
    <xf numFmtId="0" fontId="127" fillId="3" borderId="6" xfId="0" applyFont="1" applyFill="1" applyBorder="1" applyAlignment="1" applyProtection="1">
      <alignment horizontal="left" vertical="center"/>
    </xf>
    <xf numFmtId="0" fontId="127" fillId="3" borderId="7" xfId="0" applyFont="1" applyFill="1" applyBorder="1" applyAlignment="1" applyProtection="1">
      <alignment horizontal="left" vertical="center"/>
    </xf>
    <xf numFmtId="0" fontId="127" fillId="3" borderId="69" xfId="0" applyFont="1" applyFill="1" applyBorder="1" applyAlignment="1" applyProtection="1">
      <alignment horizontal="left" vertical="center"/>
    </xf>
    <xf numFmtId="0" fontId="127" fillId="3" borderId="68" xfId="0" applyFont="1" applyFill="1" applyBorder="1" applyAlignment="1" applyProtection="1">
      <alignment horizontal="left" vertical="center"/>
    </xf>
    <xf numFmtId="0" fontId="127" fillId="3" borderId="76" xfId="0" applyFont="1" applyFill="1" applyBorder="1" applyAlignment="1" applyProtection="1">
      <alignment horizontal="left" vertical="center"/>
    </xf>
    <xf numFmtId="0" fontId="127" fillId="3" borderId="41" xfId="0" applyFont="1" applyFill="1" applyBorder="1" applyAlignment="1" applyProtection="1">
      <alignment horizontal="left" vertical="center"/>
    </xf>
    <xf numFmtId="0" fontId="127" fillId="3" borderId="35" xfId="0" applyFont="1" applyFill="1" applyBorder="1" applyAlignment="1" applyProtection="1">
      <alignment horizontal="left" vertical="center"/>
    </xf>
    <xf numFmtId="0" fontId="127" fillId="3" borderId="80" xfId="0" applyFont="1" applyFill="1" applyBorder="1" applyAlignment="1" applyProtection="1">
      <alignment horizontal="left" vertical="center"/>
    </xf>
    <xf numFmtId="0" fontId="127" fillId="3" borderId="9" xfId="0" applyFont="1" applyFill="1" applyBorder="1" applyAlignment="1" applyProtection="1">
      <alignment horizontal="left" vertical="center"/>
    </xf>
    <xf numFmtId="0" fontId="127" fillId="3" borderId="3" xfId="0" applyFont="1" applyFill="1" applyBorder="1" applyAlignment="1" applyProtection="1">
      <alignment horizontal="left" vertical="center"/>
    </xf>
    <xf numFmtId="0" fontId="127" fillId="3" borderId="1" xfId="0" applyFont="1" applyFill="1" applyBorder="1" applyAlignment="1" applyProtection="1">
      <alignment horizontal="left" vertical="center"/>
    </xf>
    <xf numFmtId="0" fontId="121" fillId="3" borderId="0" xfId="0" applyNumberFormat="1" applyFont="1" applyFill="1" applyAlignment="1" applyProtection="1">
      <alignment horizontal="center" vertical="center"/>
    </xf>
    <xf numFmtId="0" fontId="121" fillId="3" borderId="48" xfId="0" applyNumberFormat="1" applyFont="1" applyFill="1" applyBorder="1" applyAlignment="1" applyProtection="1">
      <alignment horizontal="center" vertical="center"/>
    </xf>
    <xf numFmtId="0" fontId="121" fillId="3" borderId="4" xfId="0" applyNumberFormat="1" applyFont="1" applyFill="1" applyBorder="1" applyAlignment="1" applyProtection="1">
      <alignment horizontal="left" vertical="center" wrapText="1"/>
    </xf>
    <xf numFmtId="0" fontId="121" fillId="3" borderId="7" xfId="0" applyNumberFormat="1" applyFont="1" applyFill="1" applyBorder="1" applyAlignment="1" applyProtection="1">
      <alignment horizontal="left" vertical="center" wrapText="1"/>
    </xf>
    <xf numFmtId="0" fontId="117" fillId="0" borderId="0" xfId="0" applyNumberFormat="1" applyFont="1" applyFill="1" applyAlignment="1">
      <alignment horizontal="center" vertical="center"/>
    </xf>
    <xf numFmtId="0" fontId="117" fillId="0" borderId="74" xfId="0" applyNumberFormat="1" applyFont="1" applyFill="1" applyBorder="1" applyAlignment="1">
      <alignment horizontal="center" vertical="center"/>
    </xf>
    <xf numFmtId="0" fontId="108" fillId="3" borderId="0" xfId="0" applyFont="1" applyFill="1" applyAlignment="1" applyProtection="1">
      <alignment horizontal="left" vertical="center"/>
    </xf>
    <xf numFmtId="0" fontId="101" fillId="0" borderId="0" xfId="13" applyFont="1" applyAlignment="1">
      <alignment horizontal="left" vertical="center"/>
    </xf>
    <xf numFmtId="0" fontId="30" fillId="0" borderId="0" xfId="13" applyFont="1" applyAlignment="1">
      <alignment horizontal="left" vertical="center"/>
    </xf>
    <xf numFmtId="0" fontId="14" fillId="0" borderId="0" xfId="13" applyFont="1" applyAlignment="1">
      <alignment horizontal="left" vertical="center"/>
    </xf>
    <xf numFmtId="0" fontId="104" fillId="12" borderId="116" xfId="13" applyFont="1" applyFill="1" applyBorder="1" applyAlignment="1" applyProtection="1">
      <alignment horizontal="left" vertical="center" wrapText="1"/>
    </xf>
    <xf numFmtId="0" fontId="104" fillId="12" borderId="135" xfId="13" applyFont="1" applyFill="1" applyBorder="1" applyAlignment="1" applyProtection="1">
      <alignment horizontal="left" vertical="center" wrapText="1"/>
    </xf>
    <xf numFmtId="0" fontId="104" fillId="12" borderId="136" xfId="13" applyFont="1" applyFill="1" applyBorder="1" applyAlignment="1" applyProtection="1">
      <alignment horizontal="left" vertical="center" wrapText="1"/>
    </xf>
    <xf numFmtId="0" fontId="104" fillId="12" borderId="137" xfId="13" applyFont="1" applyFill="1" applyBorder="1" applyAlignment="1" applyProtection="1">
      <alignment horizontal="left" vertical="center" wrapText="1"/>
    </xf>
    <xf numFmtId="0" fontId="104" fillId="12" borderId="138" xfId="13" applyFont="1" applyFill="1" applyBorder="1" applyAlignment="1" applyProtection="1">
      <alignment horizontal="left" vertical="center" wrapText="1"/>
    </xf>
    <xf numFmtId="0" fontId="69" fillId="12" borderId="138" xfId="13" applyFont="1" applyFill="1" applyBorder="1" applyAlignment="1" applyProtection="1">
      <alignment horizontal="left" vertical="center" wrapText="1"/>
    </xf>
    <xf numFmtId="0" fontId="69" fillId="12" borderId="116" xfId="13" applyFont="1" applyFill="1" applyBorder="1" applyAlignment="1" applyProtection="1">
      <alignment horizontal="left" vertical="center" wrapText="1"/>
    </xf>
    <xf numFmtId="0" fontId="69" fillId="12" borderId="137" xfId="13" applyFont="1" applyFill="1" applyBorder="1" applyAlignment="1" applyProtection="1">
      <alignment horizontal="left" vertical="center" wrapText="1"/>
    </xf>
    <xf numFmtId="0" fontId="14" fillId="0" borderId="0" xfId="14" applyNumberFormat="1" applyFont="1" applyAlignment="1" applyProtection="1">
      <alignment horizontal="left" vertical="center"/>
    </xf>
    <xf numFmtId="0" fontId="30" fillId="0" borderId="0" xfId="14" applyNumberFormat="1" applyFont="1" applyAlignment="1" applyProtection="1">
      <alignment horizontal="left" vertical="center"/>
    </xf>
    <xf numFmtId="0" fontId="98" fillId="3" borderId="63" xfId="0" applyFont="1" applyFill="1" applyBorder="1" applyAlignment="1" applyProtection="1">
      <alignment horizontal="left" vertical="center" wrapText="1"/>
    </xf>
    <xf numFmtId="0" fontId="98" fillId="3" borderId="100" xfId="0" applyFont="1" applyFill="1" applyBorder="1" applyAlignment="1" applyProtection="1">
      <alignment horizontal="left" vertical="center" wrapText="1"/>
    </xf>
    <xf numFmtId="0" fontId="75" fillId="3" borderId="9" xfId="0" applyFont="1" applyFill="1" applyBorder="1" applyAlignment="1" applyProtection="1">
      <alignment vertical="top" wrapText="1"/>
    </xf>
    <xf numFmtId="0" fontId="75" fillId="3" borderId="74" xfId="0" applyFont="1" applyFill="1" applyBorder="1" applyAlignment="1" applyProtection="1">
      <alignment vertical="top" wrapText="1"/>
    </xf>
    <xf numFmtId="0" fontId="75" fillId="3" borderId="35" xfId="0" applyFont="1" applyFill="1" applyBorder="1" applyAlignment="1" applyProtection="1">
      <alignment vertical="top" wrapText="1"/>
    </xf>
    <xf numFmtId="0" fontId="75" fillId="3" borderId="3" xfId="0" applyFont="1" applyFill="1" applyBorder="1" applyAlignment="1" applyProtection="1">
      <alignment vertical="top" wrapText="1"/>
    </xf>
    <xf numFmtId="0" fontId="97" fillId="3" borderId="0" xfId="0" applyFont="1" applyFill="1" applyAlignment="1" applyProtection="1">
      <alignment horizontal="left" vertical="center"/>
      <protection locked="0"/>
    </xf>
    <xf numFmtId="0" fontId="92" fillId="3" borderId="63" xfId="0" applyFont="1" applyFill="1" applyBorder="1" applyAlignment="1" applyProtection="1">
      <alignment horizontal="left" vertical="center" wrapText="1"/>
    </xf>
    <xf numFmtId="0" fontId="92" fillId="3" borderId="100" xfId="0" applyFont="1" applyFill="1" applyBorder="1" applyAlignment="1" applyProtection="1">
      <alignment horizontal="left" vertical="center" wrapText="1"/>
    </xf>
    <xf numFmtId="0" fontId="24" fillId="10" borderId="65" xfId="10" applyFont="1" applyFill="1" applyBorder="1" applyAlignment="1" applyProtection="1">
      <alignment vertical="center"/>
      <protection locked="0"/>
    </xf>
    <xf numFmtId="0" fontId="24" fillId="10" borderId="81" xfId="10" applyFont="1" applyFill="1" applyBorder="1" applyAlignment="1" applyProtection="1">
      <alignment vertical="center"/>
      <protection locked="0"/>
    </xf>
    <xf numFmtId="0" fontId="24" fillId="3" borderId="64" xfId="10" applyFont="1" applyFill="1" applyBorder="1" applyAlignment="1" applyProtection="1">
      <alignment horizontal="left" vertical="center"/>
      <protection locked="0"/>
    </xf>
    <xf numFmtId="0" fontId="24" fillId="3" borderId="11" xfId="10" applyFont="1" applyFill="1" applyBorder="1" applyAlignment="1" applyProtection="1">
      <alignment horizontal="left" vertical="center"/>
      <protection locked="0"/>
    </xf>
    <xf numFmtId="0" fontId="30" fillId="3" borderId="98" xfId="10" applyFont="1" applyFill="1" applyBorder="1" applyAlignment="1">
      <alignment horizontal="left" vertical="center"/>
    </xf>
    <xf numFmtId="0" fontId="30" fillId="3" borderId="99" xfId="10" applyFont="1" applyFill="1" applyBorder="1" applyAlignment="1">
      <alignment horizontal="left" vertical="center"/>
    </xf>
    <xf numFmtId="0" fontId="30" fillId="3" borderId="62" xfId="10" applyFont="1" applyFill="1" applyBorder="1" applyAlignment="1">
      <alignment horizontal="left" vertical="center"/>
    </xf>
    <xf numFmtId="0" fontId="24" fillId="3" borderId="10" xfId="10" applyFont="1" applyFill="1" applyBorder="1" applyAlignment="1">
      <alignment horizontal="left" vertical="center"/>
    </xf>
    <xf numFmtId="0" fontId="24" fillId="3" borderId="11" xfId="10" applyFont="1" applyFill="1" applyBorder="1" applyAlignment="1">
      <alignment horizontal="left" vertical="center"/>
    </xf>
    <xf numFmtId="0" fontId="21" fillId="3" borderId="10" xfId="10" applyFont="1" applyFill="1" applyBorder="1" applyAlignment="1">
      <alignment horizontal="left" vertical="center"/>
    </xf>
    <xf numFmtId="0" fontId="21" fillId="3" borderId="11" xfId="10" applyFont="1" applyFill="1" applyBorder="1" applyAlignment="1">
      <alignment horizontal="left" vertical="center"/>
    </xf>
    <xf numFmtId="0" fontId="24" fillId="3" borderId="42" xfId="10" applyFont="1" applyFill="1" applyBorder="1" applyAlignment="1">
      <alignment horizontal="left" vertical="center"/>
    </xf>
    <xf numFmtId="0" fontId="24" fillId="3" borderId="97" xfId="10" applyFont="1" applyFill="1" applyBorder="1" applyAlignment="1">
      <alignment horizontal="left" vertical="center"/>
    </xf>
    <xf numFmtId="0" fontId="24" fillId="3" borderId="6" xfId="10" applyFont="1" applyFill="1" applyBorder="1" applyAlignment="1" applyProtection="1">
      <alignment horizontal="left" vertical="center" wrapText="1"/>
      <protection locked="0"/>
    </xf>
    <xf numFmtId="0" fontId="30" fillId="3" borderId="22" xfId="10" applyFont="1" applyFill="1" applyBorder="1" applyAlignment="1" applyProtection="1">
      <alignment horizontal="left" vertical="center"/>
      <protection locked="0"/>
    </xf>
    <xf numFmtId="0" fontId="30" fillId="3" borderId="29" xfId="10" applyFont="1" applyFill="1" applyBorder="1" applyAlignment="1" applyProtection="1">
      <alignment horizontal="left" vertical="center"/>
      <protection locked="0"/>
    </xf>
    <xf numFmtId="0" fontId="24" fillId="3" borderId="9" xfId="10" applyFont="1" applyFill="1" applyBorder="1" applyAlignment="1" applyProtection="1">
      <alignment horizontal="left" vertical="center" wrapText="1"/>
      <protection locked="0"/>
    </xf>
    <xf numFmtId="0" fontId="24" fillId="3" borderId="35" xfId="10" applyFont="1" applyFill="1" applyBorder="1" applyAlignment="1" applyProtection="1">
      <alignment horizontal="left" vertical="center" wrapText="1"/>
      <protection locked="0"/>
    </xf>
    <xf numFmtId="0" fontId="24" fillId="3" borderId="3" xfId="10" applyFont="1" applyFill="1" applyBorder="1" applyAlignment="1" applyProtection="1">
      <alignment horizontal="left" vertical="center" wrapText="1"/>
      <protection locked="0"/>
    </xf>
    <xf numFmtId="0" fontId="36" fillId="3" borderId="1" xfId="0" applyNumberFormat="1" applyFont="1" applyFill="1" applyBorder="1" applyAlignment="1" applyProtection="1">
      <alignment horizontal="center" vertical="center"/>
    </xf>
    <xf numFmtId="0" fontId="41" fillId="8" borderId="1" xfId="0" applyNumberFormat="1" applyFont="1" applyFill="1" applyBorder="1" applyAlignment="1" applyProtection="1">
      <alignment horizontal="center" vertical="center"/>
    </xf>
    <xf numFmtId="0" fontId="36" fillId="3" borderId="3" xfId="0" applyFont="1" applyFill="1" applyBorder="1" applyAlignment="1" applyProtection="1">
      <alignment horizontal="center" vertical="center" textRotation="255" wrapText="1"/>
    </xf>
    <xf numFmtId="0" fontId="36" fillId="3" borderId="12" xfId="0" applyFont="1" applyFill="1" applyBorder="1" applyAlignment="1" applyProtection="1">
      <alignment horizontal="center" vertical="center" wrapText="1"/>
    </xf>
    <xf numFmtId="0" fontId="36" fillId="3" borderId="54" xfId="0" applyFont="1" applyFill="1" applyBorder="1" applyAlignment="1" applyProtection="1">
      <alignment horizontal="center" vertical="center" wrapText="1"/>
    </xf>
    <xf numFmtId="0" fontId="36" fillId="3" borderId="0" xfId="0" applyFont="1" applyFill="1" applyBorder="1" applyAlignment="1" applyProtection="1">
      <alignment horizontal="center" vertical="center" wrapText="1"/>
    </xf>
    <xf numFmtId="0" fontId="36" fillId="3" borderId="89" xfId="0" applyFont="1" applyFill="1" applyBorder="1" applyAlignment="1" applyProtection="1">
      <alignment horizontal="center" vertical="center" wrapText="1"/>
    </xf>
    <xf numFmtId="0" fontId="20" fillId="3" borderId="16" xfId="0" applyFont="1" applyFill="1" applyBorder="1" applyAlignment="1" applyProtection="1">
      <alignment horizontal="center" vertical="center"/>
      <protection locked="0"/>
    </xf>
    <xf numFmtId="0" fontId="20" fillId="3" borderId="17" xfId="0" applyFont="1" applyFill="1" applyBorder="1" applyAlignment="1" applyProtection="1">
      <alignment horizontal="center" vertical="center"/>
      <protection locked="0"/>
    </xf>
    <xf numFmtId="0" fontId="20" fillId="3" borderId="43" xfId="0" applyFont="1" applyFill="1" applyBorder="1" applyAlignment="1" applyProtection="1">
      <alignment horizontal="center" vertical="center"/>
      <protection locked="0"/>
    </xf>
    <xf numFmtId="0" fontId="20" fillId="3" borderId="10" xfId="0" applyFont="1" applyFill="1" applyBorder="1" applyAlignment="1" applyProtection="1">
      <alignment horizontal="center" vertical="center"/>
    </xf>
    <xf numFmtId="0" fontId="20" fillId="3" borderId="12" xfId="0" applyFont="1" applyFill="1" applyBorder="1" applyAlignment="1" applyProtection="1">
      <alignment horizontal="center" vertical="center"/>
    </xf>
    <xf numFmtId="0" fontId="20" fillId="3" borderId="11" xfId="0" applyFont="1" applyFill="1" applyBorder="1" applyAlignment="1" applyProtection="1">
      <alignment horizontal="center" vertical="center"/>
    </xf>
  </cellXfs>
  <cellStyles count="18">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7" xfId="15"/>
    <cellStyle name="常规 8" xfId="16"/>
    <cellStyle name="常规 9" xfId="17"/>
  </cellStyles>
  <dxfs count="225">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ont>
        <color rgb="FFFF0000"/>
      </font>
    </dxf>
    <dxf>
      <font>
        <color rgb="FFFF0000"/>
      </font>
    </dxf>
    <dxf>
      <fill>
        <patternFill patternType="none"/>
      </fill>
    </dxf>
    <dxf>
      <fill>
        <patternFill patternType="none"/>
      </fill>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9C0006"/>
      </font>
    </dxf>
    <dxf>
      <font>
        <color rgb="FFFF0000"/>
      </font>
      <fill>
        <patternFill patternType="none"/>
      </fill>
    </dxf>
    <dxf>
      <font>
        <color rgb="FF9C0006"/>
      </font>
    </dxf>
    <dxf>
      <font>
        <color rgb="FFFF0000"/>
      </font>
      <fill>
        <patternFill patternType="none"/>
      </fill>
    </dxf>
    <dxf>
      <font>
        <color rgb="FF9C0006"/>
      </font>
    </dxf>
    <dxf>
      <font>
        <color rgb="FFFF0000"/>
      </font>
      <fill>
        <patternFill patternType="none"/>
      </fill>
    </dxf>
    <dxf>
      <fill>
        <patternFill patternType="solid">
          <bgColor theme="0" tint="-0.24994659260841701"/>
        </patternFill>
      </fill>
    </dxf>
    <dxf>
      <font>
        <color rgb="FF9C0006"/>
      </font>
    </dxf>
    <dxf>
      <font>
        <color rgb="FFFF0000"/>
      </font>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23-1-0860-P02&#20048;&#20141;&#21672;&#35810;&#20989;.xlsx"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土地案例"/>
      <sheetName val="估价对象中指截屏"/>
      <sheetName val="租赁信息"/>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9.vml"/></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1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3623" customWidth="1"/>
    <col min="2" max="2" width="78.25" style="3624" customWidth="1"/>
    <col min="3" max="18" width="9" style="3625"/>
    <col min="19" max="19" width="17.875" style="3625" customWidth="1"/>
    <col min="20" max="51" width="9" style="3625"/>
    <col min="52" max="52" width="13.25" style="3625" customWidth="1"/>
    <col min="53" max="53" width="13.5" style="3625" customWidth="1"/>
    <col min="54" max="54" width="11.625" style="3625" customWidth="1"/>
    <col min="55" max="55" width="13.5" style="3625" customWidth="1"/>
    <col min="56" max="16384" width="9" style="3625"/>
  </cols>
  <sheetData>
    <row r="1" spans="1:55" s="3617" customFormat="1" ht="15.75">
      <c r="A1" s="3626" t="s">
        <v>0</v>
      </c>
      <c r="B1" s="3627" t="s">
        <v>1</v>
      </c>
    </row>
    <row r="2" spans="1:55" s="3618" customFormat="1">
      <c r="A2" s="3628" t="s">
        <v>2</v>
      </c>
      <c r="B2" s="3629" t="str">
        <f>'预评函-封皮'!B37</f>
        <v>出让国有建设用地使用权抵押价格预评估</v>
      </c>
      <c r="AX2" s="3640"/>
      <c r="AZ2" s="3640"/>
      <c r="BA2" s="3641"/>
      <c r="BC2" s="3641"/>
    </row>
    <row r="3" spans="1:55" s="3619" customFormat="1">
      <c r="A3" s="3630" t="s">
        <v>3</v>
      </c>
      <c r="B3" s="3631">
        <f>'预评函-封皮'!B40</f>
        <v>0</v>
      </c>
    </row>
    <row r="4" spans="1:55" s="3620" customFormat="1">
      <c r="A4" s="3630" t="s">
        <v>4</v>
      </c>
      <c r="B4" s="3632" t="str">
        <f>'预评函-封皮'!B46</f>
        <v>土地估价师、土地估价师</v>
      </c>
      <c r="N4" s="3620" t="str">
        <f>'预评函-1'!A28</f>
        <v>本次估价的“抵押净值”是指估价对象“抵押价格”减去估价对象在估价期日以“土地销售收入”为基数计算的预计抵押权实现进行处置时需缴纳的各项费用、税金等相关费用后的价格。</v>
      </c>
    </row>
    <row r="5" spans="1:55" s="3617" customFormat="1">
      <c r="A5" s="3633" t="s">
        <v>5</v>
      </c>
      <c r="B5" s="3634" t="str">
        <f>'预评函-封皮'!B49</f>
        <v>康正预评字号</v>
      </c>
    </row>
    <row r="6" spans="1:55" s="3621" customFormat="1">
      <c r="A6" s="3628" t="s">
        <v>6</v>
      </c>
      <c r="B6" s="3629" t="str">
        <f>'预评函-1'!A4</f>
        <v>受贵公司委托，我公司对出让国有建设用地使用权抵押价格进行了预评估。</v>
      </c>
      <c r="AM6" s="3638"/>
    </row>
    <row r="7" spans="1:55" s="3622" customFormat="1">
      <c r="A7" s="3630" t="s">
        <v>7</v>
      </c>
      <c r="B7" s="3632" t="str">
        <f>'预评函-1'!A6</f>
        <v>估价对象为使用的、位于出让国有建设用地使用权。根据《国有土地使用证》[]，估价对象（分摊）出让国有建设用地使用权面积为200000平方米。根据《建设工程规划许可证》[]、《出让合同》[]，估价对象规划建筑面积为74800平方米。</v>
      </c>
    </row>
    <row r="8" spans="1:55" s="3622" customFormat="1">
      <c r="A8" s="3630" t="s">
        <v>8</v>
      </c>
      <c r="B8" s="3632" t="str">
        <f>'预评函-1'!A7</f>
        <v>简述项目推广名，项目类型（用途），估价对象分布，各用途面积明细情况：XX用途建筑面积XX平方米，XX用途建筑面积XX平方米，……。复杂面积清单需设‘附表’列示：抵押物清单详见附表。</v>
      </c>
    </row>
    <row r="9" spans="1:55" s="3622" customFormat="1">
      <c r="A9" s="3630" t="s">
        <v>9</v>
      </c>
      <c r="B9" s="3632"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3622" customFormat="1">
      <c r="A10" s="3630" t="s">
        <v>10</v>
      </c>
      <c r="B10" s="3632" t="str">
        <f>'预评函-1'!A11</f>
        <v>2023年11月30日</v>
      </c>
    </row>
    <row r="11" spans="1:55" s="3622" customFormat="1">
      <c r="A11" s="3630" t="s">
        <v>11</v>
      </c>
      <c r="B11" s="3632" t="str">
        <f>'预评函-1'!A14</f>
        <v>根据《国有土地使用证》[]，本次评估估价对象证载（地类）用途为。</v>
      </c>
    </row>
    <row r="12" spans="1:55" s="3622" customFormat="1">
      <c r="A12" s="3630" t="s">
        <v>12</v>
      </c>
      <c r="B12" s="3632" t="str">
        <f>'预评函-1'!A15</f>
        <v>本次评估设定用途即为证载用途。</v>
      </c>
    </row>
    <row r="13" spans="1:55" s="3622" customFormat="1">
      <c r="A13" s="3630" t="s">
        <v>13</v>
      </c>
      <c r="B13" s="3632" t="str">
        <f>'预评函-1'!A17</f>
        <v>根据委托估价方介绍及评估专业人员现场勘查，本次评估估价对象实际土地开发程度为红线外市政基础设施达“七通”（即、、、、、、）、宗地红线内场地平整。</v>
      </c>
    </row>
    <row r="14" spans="1:55" s="3622" customFormat="1">
      <c r="A14" s="3630" t="s">
        <v>14</v>
      </c>
      <c r="B14" s="3632" t="str">
        <f>'预评函-1'!A18</f>
        <v>。本次评估设定土地开发程度为红线外市政基础设施达“七通”、宗地红线内场地平整。</v>
      </c>
    </row>
    <row r="15" spans="1:55" s="3622" customFormat="1">
      <c r="A15" s="3630" t="s">
        <v>15</v>
      </c>
      <c r="B15" s="3632" t="str">
        <f>'预评函-1'!A20</f>
        <v>根据《国有土地使用证》[]，估价对象（分摊）出让国有建设用地使用权面积为200000平方米。根据《建设工程规划许可证》[]、《出让合同》[]，估价对象规划建筑面积为74800平方米。</v>
      </c>
    </row>
    <row r="16" spans="1:55" s="3622" customFormat="1">
      <c r="A16" s="3630" t="s">
        <v>16</v>
      </c>
      <c r="B16" s="3632" t="str">
        <f>'预评函-1'!A22</f>
        <v>本次估价对象为出让国有建设用地使用权，《国有土地使用证》[]证载土地终止日期为工业2066年8月29日。截至估价期日，出让国有建设用地使用权剩余土地使用年限为。</v>
      </c>
    </row>
    <row r="17" spans="1:48" s="3622" customFormat="1">
      <c r="A17" s="3630" t="s">
        <v>17</v>
      </c>
      <c r="B17" s="3632" t="str">
        <f>'预评函-1'!A23</f>
        <v>本次评估设定估价对象剩余土地使用年限为。</v>
      </c>
    </row>
    <row r="18" spans="1:48" s="3622" customFormat="1">
      <c r="A18" s="3630" t="s">
        <v>18</v>
      </c>
      <c r="B18" s="3632" t="str">
        <f>'预评函-1'!A25</f>
        <v>本次估价的“出让国有建设用地使用权价格”是指在估价对象土地所有权为国家所有，使用权性质为出让，在公开市场条件下、于估价期日2023年11月30日，在规划利用条件下、设定土地开发程度为红线外“七通”、宗地内场地，设定用途为，剩余土地使用年限为的出让国有建设用地使用权价格。</v>
      </c>
    </row>
    <row r="19" spans="1:48" s="3622" customFormat="1">
      <c r="A19" s="3630" t="s">
        <v>19</v>
      </c>
      <c r="B19" s="3632" t="str">
        <f>'预评函-1'!A26</f>
        <v>本次估价的“抵押价格”是指估价对象在估价期日的“出让国有建设用地使用权价格”扣减估价师于估价期日所知悉的法定优先受偿款后的余额。</v>
      </c>
    </row>
    <row r="20" spans="1:48" s="3622" customFormat="1">
      <c r="A20" s="3630" t="s">
        <v>20</v>
      </c>
      <c r="B20" s="3632"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3617" customFormat="1">
      <c r="A21" s="3633" t="s">
        <v>21</v>
      </c>
      <c r="B21" s="3634" t="str">
        <f>'预评函-1'!A28</f>
        <v>本次估价的“抵押净值”是指估价对象“抵押价格”减去估价对象在估价期日以“土地销售收入”为基数计算的预计抵押权实现进行处置时需缴纳的各项费用、税金等相关费用后的价格。</v>
      </c>
    </row>
    <row r="22" spans="1:48">
      <c r="A22" s="3635" t="s">
        <v>22</v>
      </c>
      <c r="B22" s="3636"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3630" t="s">
        <v>23</v>
      </c>
      <c r="B23" s="3632" t="str">
        <f>'预评函-2'!K2</f>
        <v>估价期日：2023年11月30日</v>
      </c>
    </row>
    <row r="24" spans="1:48">
      <c r="A24" s="3630" t="s">
        <v>24</v>
      </c>
      <c r="B24" s="3632" t="str">
        <f>'预评函-2'!R2</f>
        <v>估价期日的国有建设用地使用权性质：出让</v>
      </c>
    </row>
    <row r="25" spans="1:48">
      <c r="A25" s="3630" t="s">
        <v>25</v>
      </c>
      <c r="B25" s="3632" t="str">
        <f>'预评函-2'!A3</f>
        <v>估价期日土地使用者</v>
      </c>
    </row>
    <row r="26" spans="1:48">
      <c r="A26" s="3630" t="s">
        <v>26</v>
      </c>
      <c r="B26" s="3632" t="str">
        <f>'预评函-2'!A5</f>
        <v>中信开发</v>
      </c>
    </row>
    <row r="27" spans="1:48">
      <c r="A27" s="3630" t="s">
        <v>27</v>
      </c>
      <c r="B27" s="3632" t="str">
        <f>'预评函-2'!B3</f>
        <v>宗地编号/不动产单元号</v>
      </c>
    </row>
    <row r="28" spans="1:48">
      <c r="A28" s="3630" t="s">
        <v>28</v>
      </c>
      <c r="B28" s="3632" t="str">
        <f>'预评函-2'!B5</f>
        <v>11111111111</v>
      </c>
    </row>
    <row r="29" spans="1:48">
      <c r="A29" s="3630" t="s">
        <v>29</v>
      </c>
      <c r="B29" s="3632">
        <f>'预评函-2'!C5</f>
        <v>22</v>
      </c>
    </row>
    <row r="30" spans="1:48">
      <c r="A30" s="3630" t="s">
        <v>30</v>
      </c>
      <c r="B30" s="3632" t="str">
        <f>'预评函-2'!D3</f>
        <v>土地使用证编号/不动产权证书编号</v>
      </c>
    </row>
    <row r="31" spans="1:48">
      <c r="A31" s="3630" t="s">
        <v>31</v>
      </c>
      <c r="B31" s="3632" t="str">
        <f>'预评函-2'!D5</f>
        <v>京国土字第111号</v>
      </c>
    </row>
    <row r="32" spans="1:48">
      <c r="A32" s="3630" t="s">
        <v>32</v>
      </c>
      <c r="B32" s="3632">
        <f>'预评函-2'!E5</f>
        <v>0</v>
      </c>
      <c r="AV32" s="3639"/>
    </row>
    <row r="33" spans="1:2">
      <c r="A33" s="3630" t="s">
        <v>33</v>
      </c>
      <c r="B33" s="3632">
        <f>'预评函-2'!F5</f>
        <v>258</v>
      </c>
    </row>
    <row r="34" spans="1:2">
      <c r="A34" s="3630" t="s">
        <v>34</v>
      </c>
      <c r="B34" s="3632">
        <f>'预评函-2'!G5</f>
        <v>0</v>
      </c>
    </row>
    <row r="35" spans="1:2">
      <c r="A35" s="3630" t="s">
        <v>35</v>
      </c>
      <c r="B35" s="3632">
        <f>'预评函-2'!H5</f>
        <v>1.5</v>
      </c>
    </row>
    <row r="36" spans="1:2">
      <c r="A36" s="3630" t="s">
        <v>36</v>
      </c>
      <c r="B36" s="3632">
        <f>'预评函-2'!I5</f>
        <v>1.5</v>
      </c>
    </row>
    <row r="37" spans="1:2">
      <c r="A37" s="3630" t="s">
        <v>37</v>
      </c>
      <c r="B37" s="3632">
        <f>'预评函-2'!J5</f>
        <v>1.5</v>
      </c>
    </row>
    <row r="38" spans="1:2">
      <c r="A38" s="3630" t="s">
        <v>38</v>
      </c>
      <c r="B38" s="3632" t="str">
        <f>'预评函-2'!K5</f>
        <v>红线外七通、宗地红线内</v>
      </c>
    </row>
    <row r="39" spans="1:2">
      <c r="A39" s="3630" t="s">
        <v>39</v>
      </c>
      <c r="B39" s="3632" t="str">
        <f>'预评函-2'!L5</f>
        <v>红线外七通、宗地红线内场地</v>
      </c>
    </row>
    <row r="40" spans="1:2">
      <c r="A40" s="3630" t="s">
        <v>40</v>
      </c>
      <c r="B40" s="3632" t="str">
        <f>'预评函-2'!M3</f>
        <v>（剩余）土地使用年限/年</v>
      </c>
    </row>
    <row r="41" spans="1:2">
      <c r="A41" s="3630" t="s">
        <v>41</v>
      </c>
      <c r="B41" s="3632">
        <f>'预评函-2'!M5</f>
        <v>0</v>
      </c>
    </row>
    <row r="42" spans="1:2">
      <c r="A42" s="3630" t="s">
        <v>42</v>
      </c>
      <c r="B42" s="3632" t="str">
        <f>'预评函-2'!N3</f>
        <v>（分摊）出让国有建设用地使用权面积/㎡</v>
      </c>
    </row>
    <row r="43" spans="1:2">
      <c r="A43" s="3630" t="s">
        <v>43</v>
      </c>
      <c r="B43" s="3632">
        <f>'预评函-2'!N5</f>
        <v>200000</v>
      </c>
    </row>
    <row r="44" spans="1:2">
      <c r="A44" s="3630" t="s">
        <v>44</v>
      </c>
      <c r="B44" s="3632" t="str">
        <f>'预评函-2'!O3</f>
        <v>规划建筑面积/㎡</v>
      </c>
    </row>
    <row r="45" spans="1:2">
      <c r="A45" s="3630" t="s">
        <v>45</v>
      </c>
      <c r="B45" s="3632">
        <f>'预评函-2'!O5</f>
        <v>74800</v>
      </c>
    </row>
    <row r="46" spans="1:2">
      <c r="A46" s="3630" t="s">
        <v>46</v>
      </c>
      <c r="B46" s="3632">
        <f ca="1">'预评函-2'!P5</f>
        <v>104</v>
      </c>
    </row>
    <row r="47" spans="1:2">
      <c r="A47" s="3630" t="s">
        <v>47</v>
      </c>
      <c r="B47" s="3632">
        <f ca="1">'预评函-2'!Q5</f>
        <v>279</v>
      </c>
    </row>
    <row r="48" spans="1:2">
      <c r="A48" s="3630" t="s">
        <v>48</v>
      </c>
      <c r="B48" s="3632">
        <f ca="1">'预评函-2'!R5</f>
        <v>2086</v>
      </c>
    </row>
    <row r="49" spans="1:2">
      <c r="A49" s="3630" t="s">
        <v>49</v>
      </c>
      <c r="B49" s="3632" t="str">
        <f>'预评函-2'!A6</f>
        <v>抵押价格</v>
      </c>
    </row>
    <row r="50" spans="1:2">
      <c r="A50" s="3630" t="s">
        <v>50</v>
      </c>
      <c r="B50" s="3632">
        <f ca="1">'预评函-2'!R6</f>
        <v>2086</v>
      </c>
    </row>
    <row r="51" spans="1:2">
      <c r="A51" s="3630" t="s">
        <v>51</v>
      </c>
      <c r="B51" s="3632" t="str">
        <f>'预评函-2'!A7</f>
        <v>——</v>
      </c>
    </row>
    <row r="52" spans="1:2">
      <c r="A52" s="3630" t="s">
        <v>52</v>
      </c>
      <c r="B52" s="3632" t="str">
        <f>'预评函-2'!R7</f>
        <v>——</v>
      </c>
    </row>
    <row r="53" spans="1:2">
      <c r="A53" s="3630" t="s">
        <v>53</v>
      </c>
      <c r="B53" s="3632">
        <f>'预评函-2'!A8</f>
        <v>0</v>
      </c>
    </row>
    <row r="54" spans="1:2" s="3617" customFormat="1">
      <c r="A54" s="3633" t="s">
        <v>54</v>
      </c>
      <c r="B54" s="3634" t="str">
        <f>'预评函-2'!R8</f>
        <v>——</v>
      </c>
    </row>
    <row r="55" spans="1:2">
      <c r="A55" s="3635" t="s">
        <v>55</v>
      </c>
      <c r="B55" s="3636" t="str">
        <f>'预评函-3'!A2</f>
        <v>1.权利限制：根据估价对象《不动产权证书》原件、《国有土地使用权》复印件，截至估价期日，估价对象抵押权未见登记。未设定租赁等其他他项权利。</v>
      </c>
    </row>
    <row r="56" spans="1:2">
      <c r="A56" s="3630" t="s">
        <v>56</v>
      </c>
      <c r="B56" s="3632" t="str">
        <f>'预评函-3'!A3</f>
        <v>2.基础设施条件：估价对象实际开发程度为红线外七通、宗地红线内；本次评估设定开发程度为红线外七通、宗地红线内场地。</v>
      </c>
    </row>
    <row r="57" spans="1:2">
      <c r="A57" s="3630" t="s">
        <v>57</v>
      </c>
      <c r="B57" s="3632" t="str">
        <f>'预评函-3'!A4</f>
        <v>3.估价规划限制条件：详见《建设工程规划许可证》[]、《出让合同》[]。</v>
      </c>
    </row>
    <row r="58" spans="1:2" s="3617" customFormat="1">
      <c r="A58" s="3633" t="s">
        <v>58</v>
      </c>
      <c r="B58" s="3634" t="str">
        <f>'预评函-3'!A5</f>
        <v>4.影响价格的其他限定条件：无。</v>
      </c>
    </row>
    <row r="59" spans="1:2">
      <c r="A59" s="3635" t="s">
        <v>59</v>
      </c>
      <c r="B59" s="3636" t="str">
        <f>'预评函-3'!A8</f>
        <v>2.本《评估意见函》仅供金融机构进行内部审核使用，不做其他目的之用。</v>
      </c>
    </row>
    <row r="60" spans="1:2">
      <c r="A60" s="3630" t="s">
        <v>60</v>
      </c>
      <c r="B60" s="3632" t="str">
        <f>'预评函-3'!A9</f>
        <v>3.抵押双方在办理抵押登记手续时，应使用本公司出具的正式《土地估价报告》，特提请报告使用者注意。</v>
      </c>
    </row>
    <row r="61" spans="1:2">
      <c r="A61" s="3630" t="s">
        <v>61</v>
      </c>
      <c r="B61" s="3632" t="str">
        <f>'预评函-3'!A10</f>
        <v>4.估价师所知悉的法定优先受偿款情况为：</v>
      </c>
    </row>
    <row r="62" spans="1:2">
      <c r="A62" s="3630" t="s">
        <v>62</v>
      </c>
      <c r="B62" s="3632"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3630" t="s">
        <v>63</v>
      </c>
      <c r="B63" s="3632"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630" t="s">
        <v>64</v>
      </c>
      <c r="B64" s="3637" t="str">
        <f>'预评函-3'!A13</f>
        <v>（3）。</v>
      </c>
    </row>
    <row r="65" spans="1:2">
      <c r="A65" s="3630" t="s">
        <v>65</v>
      </c>
      <c r="B65" s="3642" t="str">
        <f>'预评函-3'!A14</f>
        <v>综上，本次评估不存在估价师知悉的法定优先受偿款</v>
      </c>
    </row>
    <row r="66" spans="1:2">
      <c r="A66" s="3630" t="s">
        <v>66</v>
      </c>
      <c r="B66" s="3642"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630" t="s">
        <v>67</v>
      </c>
      <c r="B67" s="3642"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3617" customFormat="1">
      <c r="A68" s="3633" t="s">
        <v>68</v>
      </c>
      <c r="B68" s="3643">
        <f>'预评函-3'!D30</f>
        <v>42558</v>
      </c>
    </row>
    <row r="69" spans="1:2">
      <c r="A69" s="3635" t="s">
        <v>69</v>
      </c>
      <c r="B69" s="3636" t="str">
        <f>'预评函-3'!A20</f>
        <v>土地估价师</v>
      </c>
    </row>
    <row r="70" spans="1:2">
      <c r="A70" s="3630" t="s">
        <v>69</v>
      </c>
      <c r="B70" s="3642">
        <f>'预评函-3'!B20</f>
        <v>0</v>
      </c>
    </row>
    <row r="71" spans="1:2">
      <c r="A71" s="3630" t="s">
        <v>70</v>
      </c>
      <c r="B71" s="3632" t="str">
        <f>'预评函-3'!A21</f>
        <v>土地估价师</v>
      </c>
    </row>
    <row r="72" spans="1:2" s="3617" customFormat="1">
      <c r="A72" s="3633" t="s">
        <v>70</v>
      </c>
      <c r="B72" s="3644">
        <f>'预评函-3'!B21</f>
        <v>0</v>
      </c>
    </row>
    <row r="73" spans="1:2">
      <c r="A73" s="3635" t="s">
        <v>71</v>
      </c>
      <c r="B73" s="3645"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630" t="s">
        <v>72</v>
      </c>
      <c r="B74" s="3646" t="str">
        <f>'预评函-1 (储备)'!A18</f>
        <v>由于本次评估估价目的是评估储备国有建设用地使用权的“抵押价格”，因此本次评估设定土地开发程度为红线外市政基础设施达“七通”、宗地红线内场地平整。</v>
      </c>
    </row>
    <row r="75" spans="1:2" s="3617" customFormat="1">
      <c r="A75" s="3633" t="s">
        <v>73</v>
      </c>
      <c r="B75" s="3647"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c r="A76" s="3623" t="s">
        <v>74</v>
      </c>
      <c r="B76" s="3624" t="str">
        <f>'预评函-3'!A25</f>
        <v>XX</v>
      </c>
    </row>
  </sheetData>
  <phoneticPr fontId="254"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45"/>
  <sheetViews>
    <sheetView workbookViewId="0">
      <selection activeCell="C22" sqref="C22"/>
    </sheetView>
  </sheetViews>
  <sheetFormatPr defaultColWidth="15.25" defaultRowHeight="13.5"/>
  <cols>
    <col min="1" max="16384" width="15.25" style="3443"/>
  </cols>
  <sheetData>
    <row r="1" spans="1:6">
      <c r="A1" s="3444" t="s">
        <v>355</v>
      </c>
      <c r="B1" s="3445"/>
      <c r="C1" s="3445"/>
      <c r="D1" s="3445"/>
      <c r="E1" s="3445"/>
      <c r="F1" s="3446"/>
    </row>
    <row r="2" spans="1:6">
      <c r="A2" s="3447"/>
      <c r="B2" s="3448"/>
      <c r="C2" s="3448"/>
      <c r="D2" s="3448"/>
      <c r="E2" s="3448"/>
      <c r="F2" s="3449"/>
    </row>
    <row r="3" spans="1:6">
      <c r="A3" s="3450" t="s">
        <v>356</v>
      </c>
      <c r="B3" s="3451">
        <f>项目基本情况!D3</f>
        <v>45260</v>
      </c>
      <c r="C3" s="3452"/>
      <c r="D3" s="3452"/>
      <c r="E3" s="3452"/>
      <c r="F3" s="3449"/>
    </row>
    <row r="4" spans="1:6">
      <c r="A4" s="3450" t="s">
        <v>357</v>
      </c>
      <c r="B4" s="3453" t="s">
        <v>358</v>
      </c>
      <c r="C4" s="3453" t="s">
        <v>359</v>
      </c>
      <c r="D4" s="3453" t="s">
        <v>360</v>
      </c>
      <c r="E4" s="3453" t="s">
        <v>361</v>
      </c>
      <c r="F4" s="3449"/>
    </row>
    <row r="5" spans="1:6">
      <c r="A5" s="3454"/>
      <c r="B5" s="3451"/>
      <c r="C5" s="3453">
        <f>ROUNDDOWN(MIN((B5-B3)/365,A5),2)</f>
        <v>-124</v>
      </c>
      <c r="D5" s="3455">
        <f>IF(ISERROR(ROUND(POWER(1+E5,A5-C5)*(POWER(1+E5,C5)-1)/(POWER(1+E5,A5)-1),3)),0,ROUND(POWER(1+E5,A5-C5)*(POWER(1+E5,C5)-1)/(POWER(1+E5,A5)-1),4))</f>
        <v>0</v>
      </c>
      <c r="E5" s="3456"/>
      <c r="F5" s="3449"/>
    </row>
    <row r="6" spans="1:6">
      <c r="A6" s="3454"/>
      <c r="B6" s="3451"/>
      <c r="C6" s="3453">
        <f>ROUNDDOWN(MIN((B6-B3)/365,A6),2)</f>
        <v>-124</v>
      </c>
      <c r="D6" s="3455">
        <f>IF(ISERROR(ROUND(POWER(1+E6,A6-C6)*(POWER(1+E6,C6)-1)/(POWER(1+E6,A6)-1),3)),0,ROUND(POWER(1+E6,A6-C6)*(POWER(1+E6,C6)-1)/(POWER(1+E6,A6)-1),4))</f>
        <v>0</v>
      </c>
      <c r="E6" s="3456"/>
      <c r="F6" s="3449"/>
    </row>
    <row r="7" spans="1:6">
      <c r="A7" s="3454"/>
      <c r="B7" s="3451"/>
      <c r="C7" s="3453">
        <f>ROUNDDOWN(MIN((B7-B3)/365,A7),2)</f>
        <v>-124</v>
      </c>
      <c r="D7" s="3455">
        <f>IF(ISERROR(ROUND(POWER(1+E7,A7-C7)*(POWER(1+E7,C7)-1)/(POWER(1+E7,A7)-1),3)),0,ROUND(POWER(1+E7,A7-C7)*(POWER(1+E7,C7)-1)/(POWER(1+E7,A7)-1),4))</f>
        <v>0</v>
      </c>
      <c r="E7" s="3456"/>
      <c r="F7" s="3449"/>
    </row>
    <row r="8" spans="1:6">
      <c r="A8" s="3447"/>
      <c r="B8" s="3448"/>
      <c r="C8" s="3448"/>
      <c r="D8" s="3448"/>
      <c r="E8" s="3448"/>
      <c r="F8" s="3449"/>
    </row>
    <row r="9" spans="1:6">
      <c r="A9" s="3450" t="s">
        <v>362</v>
      </c>
      <c r="B9" s="3453"/>
      <c r="C9" s="3453"/>
      <c r="D9" s="3453"/>
      <c r="E9" s="3453"/>
      <c r="F9" s="3457"/>
    </row>
    <row r="10" spans="1:6">
      <c r="A10" s="3450" t="s">
        <v>363</v>
      </c>
      <c r="B10" s="3453"/>
      <c r="C10" s="3453"/>
      <c r="D10" s="3453" t="s">
        <v>361</v>
      </c>
      <c r="E10" s="3453"/>
      <c r="F10" s="3457" t="s">
        <v>360</v>
      </c>
    </row>
    <row r="11" spans="1:6">
      <c r="A11" s="3450" t="s">
        <v>364</v>
      </c>
      <c r="B11" s="3458"/>
      <c r="C11" s="3453" t="s">
        <v>365</v>
      </c>
      <c r="D11" s="3459"/>
      <c r="E11" s="3453" t="s">
        <v>366</v>
      </c>
      <c r="F11" s="3460">
        <f>ROUND(1-(1/(POWER(1+D11,B11))),4)</f>
        <v>0</v>
      </c>
    </row>
    <row r="12" spans="1:6">
      <c r="A12" s="3450" t="s">
        <v>367</v>
      </c>
      <c r="B12" s="3458"/>
      <c r="C12" s="3453" t="s">
        <v>368</v>
      </c>
      <c r="D12" s="3459"/>
      <c r="E12" s="3453" t="s">
        <v>369</v>
      </c>
      <c r="F12" s="3460">
        <f>ROUND(1-(1/(POWER(1+D12,B12))),4)</f>
        <v>0</v>
      </c>
    </row>
    <row r="13" spans="1:6">
      <c r="A13" s="3450" t="s">
        <v>370</v>
      </c>
      <c r="B13" s="3453"/>
      <c r="C13" s="3452"/>
      <c r="D13" s="3448"/>
      <c r="E13" s="3448"/>
      <c r="F13" s="3449"/>
    </row>
    <row r="14" spans="1:6">
      <c r="A14" s="3450" t="s">
        <v>371</v>
      </c>
      <c r="B14" s="3458"/>
      <c r="C14" s="3452"/>
      <c r="D14" s="3448"/>
      <c r="E14" s="3448"/>
      <c r="F14" s="3449"/>
    </row>
    <row r="15" spans="1:6">
      <c r="A15" s="3450" t="s">
        <v>372</v>
      </c>
      <c r="B15" s="3453" t="e">
        <f>ROUND(B14*F12/F11,2)</f>
        <v>#DIV/0!</v>
      </c>
      <c r="C15" s="3453" t="e">
        <f>ROUND(F12/F11,4)</f>
        <v>#DIV/0!</v>
      </c>
      <c r="D15" s="3448"/>
      <c r="E15" s="3448"/>
      <c r="F15" s="3449"/>
    </row>
    <row r="16" spans="1:6">
      <c r="A16" s="3450" t="s">
        <v>373</v>
      </c>
      <c r="B16" s="3453"/>
      <c r="C16" s="3452"/>
      <c r="D16" s="3448"/>
      <c r="E16" s="3448"/>
      <c r="F16" s="3449"/>
    </row>
    <row r="17" spans="1:7">
      <c r="A17" s="3450" t="s">
        <v>372</v>
      </c>
      <c r="B17" s="3459"/>
      <c r="C17" s="3452"/>
      <c r="D17" s="3448"/>
      <c r="E17" s="3448"/>
      <c r="F17" s="3449"/>
    </row>
    <row r="18" spans="1:7">
      <c r="A18" s="3461" t="s">
        <v>371</v>
      </c>
      <c r="B18" s="3462" t="e">
        <f>ROUND(B17*F11/F12,2)</f>
        <v>#DIV/0!</v>
      </c>
      <c r="C18" s="3462" t="e">
        <f>ROUND(F11/F12,4)</f>
        <v>#DIV/0!</v>
      </c>
      <c r="D18" s="3463"/>
      <c r="E18" s="3463"/>
      <c r="F18" s="3464"/>
    </row>
    <row r="20" spans="1:7">
      <c r="A20" s="3465" t="s">
        <v>374</v>
      </c>
      <c r="B20" s="3466"/>
      <c r="C20" s="3466"/>
      <c r="D20" s="3466"/>
      <c r="E20" s="3466"/>
      <c r="F20" s="3466"/>
      <c r="G20" s="3467"/>
    </row>
    <row r="21" spans="1:7">
      <c r="A21" s="3468"/>
      <c r="B21" s="3469" t="s">
        <v>375</v>
      </c>
      <c r="C21" s="3469" t="s">
        <v>359</v>
      </c>
      <c r="D21" s="3469" t="s">
        <v>376</v>
      </c>
      <c r="E21" s="3469" t="s">
        <v>360</v>
      </c>
      <c r="F21" s="3469" t="s">
        <v>377</v>
      </c>
      <c r="G21" s="3470" t="s">
        <v>378</v>
      </c>
    </row>
    <row r="22" spans="1:7">
      <c r="A22" s="3468" t="s">
        <v>379</v>
      </c>
      <c r="B22" s="3471">
        <v>50</v>
      </c>
      <c r="C22" s="3471">
        <v>32</v>
      </c>
      <c r="D22" s="3472">
        <v>0.05</v>
      </c>
      <c r="E22" s="3469">
        <f>ROUND(POWER(1+D22,B22-C22)*(POWER(1+D22,C22)-1)/(POWER(1+D22,B22)-1),3)</f>
        <v>0.86599999999999999</v>
      </c>
      <c r="F22" s="3472">
        <v>0.6</v>
      </c>
      <c r="G22" s="3470">
        <f>ROUND(100*(1-(1-E22)*F22),1)</f>
        <v>92</v>
      </c>
    </row>
    <row r="23" spans="1:7">
      <c r="A23" s="3473" t="s">
        <v>380</v>
      </c>
      <c r="B23" s="3471">
        <v>50</v>
      </c>
      <c r="C23" s="3471">
        <v>35</v>
      </c>
      <c r="D23" s="3472">
        <v>0.05</v>
      </c>
      <c r="E23" s="3469">
        <f>ROUND(POWER(1+D23,B23-C23)*(POWER(1+D23,C23)-1)/(POWER(1+D23,B23)-1),3)</f>
        <v>0.89700000000000002</v>
      </c>
      <c r="F23" s="3472">
        <f>F22</f>
        <v>0.6</v>
      </c>
      <c r="G23" s="3470">
        <f>ROUND(100*(1-(1-E23)*F23),1)</f>
        <v>93.8</v>
      </c>
    </row>
    <row r="24" spans="1:7">
      <c r="A24" s="3473" t="s">
        <v>381</v>
      </c>
      <c r="B24" s="3471">
        <v>50</v>
      </c>
      <c r="C24" s="3471">
        <v>25</v>
      </c>
      <c r="D24" s="3472">
        <v>0.05</v>
      </c>
      <c r="E24" s="3469">
        <f>ROUND(POWER(1+D24,B24-C24)*(POWER(1+D24,C24)-1)/(POWER(1+D24,B24)-1),3)</f>
        <v>0.77200000000000002</v>
      </c>
      <c r="F24" s="3472">
        <f>F23</f>
        <v>0.6</v>
      </c>
      <c r="G24" s="3470">
        <f>ROUND(100*(1-(1-E24)*F24),1)</f>
        <v>86.3</v>
      </c>
    </row>
    <row r="25" spans="1:7">
      <c r="A25" s="3473" t="s">
        <v>382</v>
      </c>
      <c r="B25" s="3471">
        <v>50</v>
      </c>
      <c r="C25" s="3471">
        <v>40</v>
      </c>
      <c r="D25" s="3472">
        <v>0.05</v>
      </c>
      <c r="E25" s="3469">
        <f>ROUND(POWER(1+D25,B25-C25)*(POWER(1+D25,C25)-1)/(POWER(1+D25,B25)-1),3)</f>
        <v>0.94</v>
      </c>
      <c r="F25" s="3472">
        <f>F24</f>
        <v>0.6</v>
      </c>
      <c r="G25" s="3470">
        <f>ROUND(100*(1-(1-E25)*F25),1)</f>
        <v>96.4</v>
      </c>
    </row>
    <row r="26" spans="1:7">
      <c r="A26" s="3474"/>
      <c r="B26" s="3475"/>
      <c r="C26" s="3475"/>
      <c r="D26" s="3475"/>
      <c r="E26" s="3475"/>
      <c r="F26" s="3475"/>
      <c r="G26" s="3476"/>
    </row>
    <row r="27" spans="1:7">
      <c r="A27" s="3477" t="s">
        <v>383</v>
      </c>
      <c r="B27" s="3478"/>
      <c r="C27" s="3478"/>
      <c r="D27" s="3478"/>
      <c r="E27" s="3478"/>
      <c r="F27" s="3478"/>
      <c r="G27" s="3479"/>
    </row>
    <row r="28" spans="1:7">
      <c r="A28" s="3477" t="s">
        <v>384</v>
      </c>
      <c r="B28" s="3478"/>
      <c r="C28" s="3478"/>
      <c r="D28" s="3478"/>
      <c r="E28" s="3478"/>
      <c r="F28" s="3478"/>
      <c r="G28" s="3479"/>
    </row>
    <row r="29" spans="1:7">
      <c r="A29" s="3477" t="s">
        <v>385</v>
      </c>
      <c r="B29" s="3478"/>
      <c r="C29" s="3478"/>
      <c r="D29" s="3478"/>
      <c r="E29" s="3478"/>
      <c r="F29" s="3478"/>
      <c r="G29" s="3479"/>
    </row>
    <row r="30" spans="1:7">
      <c r="A30" s="3477" t="s">
        <v>386</v>
      </c>
      <c r="B30" s="3478"/>
      <c r="C30" s="3478"/>
      <c r="D30" s="3478"/>
      <c r="E30" s="3478"/>
      <c r="F30" s="3478"/>
      <c r="G30" s="3479"/>
    </row>
    <row r="31" spans="1:7">
      <c r="A31" s="3477" t="s">
        <v>387</v>
      </c>
      <c r="B31" s="3478"/>
      <c r="C31" s="3478"/>
      <c r="D31" s="3478"/>
      <c r="E31" s="3478"/>
      <c r="F31" s="3478"/>
      <c r="G31" s="3479"/>
    </row>
    <row r="32" spans="1:7">
      <c r="A32" s="3477" t="s">
        <v>388</v>
      </c>
      <c r="B32" s="3478"/>
      <c r="C32" s="3478"/>
      <c r="D32" s="3478"/>
      <c r="E32" s="3478"/>
      <c r="F32" s="3478"/>
      <c r="G32" s="3479"/>
    </row>
    <row r="33" spans="1:7">
      <c r="A33" s="3477" t="s">
        <v>389</v>
      </c>
      <c r="B33" s="3478"/>
      <c r="C33" s="3478"/>
      <c r="D33" s="3478"/>
      <c r="E33" s="3478"/>
      <c r="F33" s="3478"/>
      <c r="G33" s="3479"/>
    </row>
    <row r="34" spans="1:7">
      <c r="A34" s="3477" t="s">
        <v>390</v>
      </c>
      <c r="B34" s="3478"/>
      <c r="C34" s="3478"/>
      <c r="D34" s="3478"/>
      <c r="E34" s="3478"/>
      <c r="F34" s="3478"/>
      <c r="G34" s="3479"/>
    </row>
    <row r="35" spans="1:7">
      <c r="A35" s="3477" t="s">
        <v>391</v>
      </c>
      <c r="B35" s="3478"/>
      <c r="C35" s="3478"/>
      <c r="D35" s="3478"/>
      <c r="E35" s="3478"/>
      <c r="F35" s="3478"/>
      <c r="G35" s="3479"/>
    </row>
    <row r="36" spans="1:7">
      <c r="A36" s="3477" t="s">
        <v>392</v>
      </c>
      <c r="B36" s="3478"/>
      <c r="C36" s="3478"/>
      <c r="D36" s="3478"/>
      <c r="E36" s="3478"/>
      <c r="F36" s="3478"/>
      <c r="G36" s="3479"/>
    </row>
    <row r="37" spans="1:7">
      <c r="A37" s="3477" t="s">
        <v>393</v>
      </c>
      <c r="B37" s="3478"/>
      <c r="C37" s="3478"/>
      <c r="D37" s="3478"/>
      <c r="E37" s="3478"/>
      <c r="F37" s="3478"/>
      <c r="G37" s="3479"/>
    </row>
    <row r="38" spans="1:7">
      <c r="A38" s="3477" t="s">
        <v>394</v>
      </c>
      <c r="B38" s="3478"/>
      <c r="C38" s="3478"/>
      <c r="D38" s="3478"/>
      <c r="E38" s="3478"/>
      <c r="F38" s="3478"/>
      <c r="G38" s="3479"/>
    </row>
    <row r="39" spans="1:7">
      <c r="A39" s="3477"/>
      <c r="B39" s="3478"/>
      <c r="C39" s="3478"/>
      <c r="D39" s="3478"/>
      <c r="E39" s="3478"/>
      <c r="F39" s="3478"/>
      <c r="G39" s="3479"/>
    </row>
    <row r="40" spans="1:7">
      <c r="A40" s="3480" t="s">
        <v>395</v>
      </c>
      <c r="B40" s="3481"/>
      <c r="C40" s="3481"/>
      <c r="D40" s="3481"/>
      <c r="E40" s="3481"/>
      <c r="F40" s="3481"/>
      <c r="G40" s="3482"/>
    </row>
    <row r="41" spans="1:7">
      <c r="A41" s="3483" t="s">
        <v>352</v>
      </c>
      <c r="B41" s="3484" t="s">
        <v>396</v>
      </c>
      <c r="C41" s="3485" t="s">
        <v>397</v>
      </c>
      <c r="D41" s="3485" t="s">
        <v>398</v>
      </c>
      <c r="E41" s="3486"/>
      <c r="F41" s="3487"/>
      <c r="G41" s="3488"/>
    </row>
    <row r="42" spans="1:7">
      <c r="A42" s="3483" t="s">
        <v>164</v>
      </c>
      <c r="B42" s="3484" t="s">
        <v>399</v>
      </c>
      <c r="C42" s="3485" t="s">
        <v>399</v>
      </c>
      <c r="D42" s="3489" t="s">
        <v>400</v>
      </c>
      <c r="E42" s="3481" t="s">
        <v>401</v>
      </c>
      <c r="F42" s="3481"/>
      <c r="G42" s="3482"/>
    </row>
    <row r="43" spans="1:7">
      <c r="A43" s="3483" t="s">
        <v>402</v>
      </c>
      <c r="B43" s="3484" t="s">
        <v>403</v>
      </c>
      <c r="C43" s="3485" t="s">
        <v>404</v>
      </c>
      <c r="D43" s="3485" t="s">
        <v>405</v>
      </c>
      <c r="E43" s="3486" t="s">
        <v>406</v>
      </c>
      <c r="F43" s="3487"/>
      <c r="G43" s="3488"/>
    </row>
    <row r="44" spans="1:7">
      <c r="A44" s="3483" t="s">
        <v>407</v>
      </c>
      <c r="B44" s="3484" t="s">
        <v>408</v>
      </c>
      <c r="C44" s="3485" t="s">
        <v>409</v>
      </c>
      <c r="D44" s="3489">
        <v>0.5</v>
      </c>
      <c r="E44" s="3486" t="s">
        <v>410</v>
      </c>
      <c r="F44" s="3487"/>
      <c r="G44" s="3488"/>
    </row>
    <row r="45" spans="1:7">
      <c r="A45" s="3490" t="s">
        <v>411</v>
      </c>
      <c r="B45" s="3491" t="s">
        <v>399</v>
      </c>
      <c r="C45" s="3492" t="s">
        <v>399</v>
      </c>
      <c r="D45" s="3492" t="s">
        <v>412</v>
      </c>
      <c r="E45" s="3493" t="s">
        <v>413</v>
      </c>
      <c r="F45" s="3493"/>
      <c r="G45" s="3494"/>
    </row>
  </sheetData>
  <sheetProtection password="CEE9" sheet="1" objects="1" scenarios="1"/>
  <phoneticPr fontId="254"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topLeftCell="A23" zoomScale="70" zoomScaleNormal="100" workbookViewId="0">
      <selection activeCell="G25" sqref="G25"/>
    </sheetView>
  </sheetViews>
  <sheetFormatPr defaultColWidth="10" defaultRowHeight="14.25"/>
  <cols>
    <col min="1" max="1" width="15.375" style="3279" customWidth="1"/>
    <col min="2" max="2" width="11.375" style="3279" customWidth="1"/>
    <col min="3" max="8" width="13.125" style="3279" customWidth="1"/>
    <col min="9" max="9" width="13.125" style="3280" customWidth="1"/>
    <col min="10" max="10" width="10" style="3279" customWidth="1"/>
    <col min="11" max="11" width="10" style="3281" customWidth="1"/>
    <col min="12" max="13" width="10" style="3282" customWidth="1"/>
    <col min="14" max="14" width="10" style="3283" customWidth="1"/>
    <col min="15" max="15" width="10" style="3284" customWidth="1"/>
    <col min="16" max="17" width="10" style="3283"/>
    <col min="18" max="18" width="10" style="3283" customWidth="1"/>
    <col min="19" max="28" width="10" style="3283"/>
    <col min="29" max="16384" width="10" style="3279"/>
  </cols>
  <sheetData>
    <row r="1" spans="1:21">
      <c r="A1" s="3285" t="s">
        <v>414</v>
      </c>
      <c r="B1" s="3679" t="str">
        <f>IF(B10="北京市","北京市",C10)&amp;F10&amp;A17&amp;"国有建设用地使用权"&amp;B9&amp;"预评估"</f>
        <v>出让国有建设用地使用权抵押价格预评估</v>
      </c>
      <c r="C1" s="3680"/>
      <c r="D1" s="3680"/>
      <c r="E1" s="3680"/>
      <c r="F1" s="3680"/>
      <c r="G1" s="3680"/>
      <c r="H1" s="3680"/>
      <c r="I1" s="3681"/>
      <c r="J1" s="3288"/>
      <c r="K1" s="3411" t="str">
        <f>IF(B10="北京市","北京市",C10)&amp;F10&amp;A17&amp;"国有建设用地使用权"&amp;B9</f>
        <v>出让国有建设用地使用权抵押价格</v>
      </c>
      <c r="L1" s="3412"/>
      <c r="M1" s="3412"/>
      <c r="N1" s="3413"/>
      <c r="O1" s="3414"/>
      <c r="P1" s="3413"/>
      <c r="Q1" s="3413"/>
      <c r="R1" s="3413"/>
      <c r="S1" s="3413"/>
      <c r="T1" s="3413"/>
      <c r="U1" s="3413"/>
    </row>
    <row r="2" spans="1:21">
      <c r="A2" s="3286" t="s">
        <v>415</v>
      </c>
      <c r="B2" s="3287"/>
      <c r="D2" s="3288"/>
      <c r="E2" s="3288"/>
      <c r="F2" s="3288"/>
      <c r="G2" s="3288"/>
      <c r="H2" s="3289"/>
      <c r="I2" s="3415"/>
      <c r="J2" s="3288"/>
      <c r="K2" s="3411" t="str">
        <f>IF(B10="北京市","北京市",C10)&amp;F10&amp;A17&amp;"国有建设用地使用权"</f>
        <v>出让国有建设用地使用权</v>
      </c>
      <c r="L2" s="3412"/>
      <c r="M2" s="3412"/>
      <c r="N2" s="3413"/>
      <c r="O2" s="3414"/>
      <c r="P2" s="3413"/>
      <c r="Q2" s="3413"/>
      <c r="R2" s="3413"/>
      <c r="S2" s="3413"/>
      <c r="T2" s="3413"/>
      <c r="U2" s="3413"/>
    </row>
    <row r="3" spans="1:21">
      <c r="A3" s="3290" t="s">
        <v>416</v>
      </c>
      <c r="B3" s="3291"/>
      <c r="C3" s="3292" t="s">
        <v>417</v>
      </c>
      <c r="D3" s="3291">
        <v>45260</v>
      </c>
      <c r="E3" s="3288"/>
      <c r="F3" s="3288"/>
      <c r="G3" s="3288"/>
      <c r="H3" s="3289"/>
      <c r="I3" s="3415"/>
      <c r="J3" s="3288"/>
      <c r="K3" s="3416"/>
      <c r="L3" s="3412"/>
      <c r="M3" s="3412"/>
      <c r="N3" s="3413"/>
      <c r="O3" s="3414"/>
      <c r="P3" s="3413"/>
      <c r="Q3" s="3413"/>
      <c r="R3" s="3413"/>
      <c r="S3" s="3413"/>
      <c r="T3" s="3413"/>
      <c r="U3" s="3413"/>
    </row>
    <row r="4" spans="1:21">
      <c r="A4" s="3293" t="s">
        <v>418</v>
      </c>
      <c r="B4" s="3294" t="s">
        <v>189</v>
      </c>
      <c r="C4" s="3295">
        <f>SUMIF(土地估价师,B4,估价师及机构信息!E3:E17)</f>
        <v>0</v>
      </c>
      <c r="D4" s="3294" t="s">
        <v>189</v>
      </c>
      <c r="E4" s="3295">
        <f>SUMIF(土地估价师,D4,估价师及机构信息!E3:E17)</f>
        <v>0</v>
      </c>
      <c r="F4" s="3294" t="s">
        <v>138</v>
      </c>
      <c r="G4" s="3295">
        <f>SUMIF(土地估价师,F4,估价师及机构信息!E3:E17)</f>
        <v>0</v>
      </c>
      <c r="H4" s="3294" t="s">
        <v>138</v>
      </c>
      <c r="I4" s="3295">
        <f>SUMIF(土地估价师,H4,估价师及机构信息!E3:E17)</f>
        <v>0</v>
      </c>
      <c r="J4" s="3288"/>
      <c r="K4" s="3411" t="str">
        <f>IF(AND(F4="——",H4="——"),B4&amp;"、"&amp;D4,IF(AND(F4&lt;&gt;"——",H4="——"),B4&amp;"、"&amp;D4&amp;"、"&amp;F4,B4&amp;"、"&amp;D4&amp;"、"&amp;F4&amp;"、"&amp;H4))</f>
        <v>土地估价师、土地估价师</v>
      </c>
      <c r="L4" s="3412"/>
      <c r="M4" s="3412"/>
      <c r="N4" s="3413"/>
      <c r="O4" s="3414"/>
      <c r="P4" s="3413"/>
      <c r="Q4" s="3413"/>
      <c r="R4" s="3413"/>
      <c r="S4" s="3413"/>
      <c r="T4" s="3413"/>
      <c r="U4" s="3413"/>
    </row>
    <row r="5" spans="1:21">
      <c r="A5" s="3296" t="s">
        <v>419</v>
      </c>
      <c r="B5" s="3297"/>
      <c r="C5" s="3298"/>
      <c r="D5" s="3299"/>
      <c r="E5" s="3288"/>
      <c r="F5" s="3288"/>
      <c r="G5" s="3288"/>
      <c r="H5" s="3289"/>
      <c r="I5" s="3415"/>
      <c r="J5" s="3288"/>
      <c r="K5" s="3416"/>
      <c r="L5" s="3412"/>
      <c r="M5" s="3412"/>
      <c r="N5" s="3413"/>
      <c r="O5" s="3414"/>
      <c r="P5" s="3413"/>
      <c r="Q5" s="3413"/>
      <c r="R5" s="3413"/>
      <c r="S5" s="3413"/>
      <c r="T5" s="3413"/>
      <c r="U5" s="3413"/>
    </row>
    <row r="6" spans="1:21">
      <c r="A6" s="3300" t="s">
        <v>420</v>
      </c>
      <c r="B6" s="3297"/>
      <c r="C6" s="3301"/>
      <c r="D6" s="3302"/>
      <c r="E6" s="3288"/>
      <c r="F6" s="3288"/>
      <c r="G6" s="3288"/>
      <c r="H6" s="3289"/>
      <c r="I6" s="3415"/>
      <c r="J6" s="3288"/>
      <c r="K6" s="3417" t="str">
        <f>IF(COUNTIF(B6,"*上海银行*"),"上海银行","")</f>
        <v/>
      </c>
      <c r="L6" s="3412"/>
      <c r="M6" s="3412"/>
      <c r="N6" s="3413"/>
      <c r="O6" s="3414"/>
      <c r="P6" s="3413"/>
      <c r="Q6" s="3413"/>
      <c r="R6" s="3413"/>
      <c r="S6" s="3413"/>
      <c r="T6" s="3413"/>
      <c r="U6" s="3413"/>
    </row>
    <row r="7" spans="1:21">
      <c r="A7" s="3303" t="s">
        <v>421</v>
      </c>
      <c r="B7" s="3297"/>
      <c r="C7" s="3301"/>
      <c r="D7" s="3302"/>
      <c r="E7" s="3288"/>
      <c r="F7" s="3288"/>
      <c r="G7" s="3288"/>
      <c r="H7" s="3289"/>
      <c r="I7" s="3415"/>
      <c r="J7" s="3288"/>
      <c r="K7" s="3416"/>
      <c r="L7" s="3412"/>
      <c r="M7" s="3412"/>
      <c r="N7" s="3413"/>
      <c r="O7" s="3414"/>
      <c r="P7" s="3413"/>
      <c r="Q7" s="3413"/>
      <c r="R7" s="3413"/>
      <c r="S7" s="3413"/>
      <c r="T7" s="3413"/>
      <c r="U7" s="3413"/>
    </row>
    <row r="8" spans="1:21">
      <c r="A8" s="3304" t="s">
        <v>340</v>
      </c>
      <c r="B8" s="3305" t="s">
        <v>342</v>
      </c>
      <c r="C8" s="3306"/>
      <c r="D8" s="3716" t="s">
        <v>422</v>
      </c>
      <c r="E8" s="3307" t="s">
        <v>347</v>
      </c>
      <c r="F8" s="3308"/>
      <c r="G8" s="3289"/>
      <c r="H8" s="3289"/>
      <c r="I8" s="3418"/>
      <c r="J8" s="3288"/>
      <c r="K8" s="3416"/>
      <c r="L8" s="3412"/>
      <c r="M8" s="3412"/>
      <c r="N8" s="3413"/>
      <c r="O8" s="3414"/>
      <c r="P8" s="3413"/>
      <c r="Q8" s="3413"/>
      <c r="R8" s="3413"/>
      <c r="S8" s="3413"/>
      <c r="T8" s="3413"/>
      <c r="U8" s="3413"/>
    </row>
    <row r="9" spans="1:21">
      <c r="A9" s="3309" t="s">
        <v>423</v>
      </c>
      <c r="B9" s="3310" t="s">
        <v>347</v>
      </c>
      <c r="C9" s="3311"/>
      <c r="D9" s="3717"/>
      <c r="E9" s="3310"/>
      <c r="F9" s="3312"/>
      <c r="G9" s="3313"/>
      <c r="H9" s="3313"/>
      <c r="I9" s="3419"/>
      <c r="J9" s="3288"/>
      <c r="K9" s="3416"/>
      <c r="L9" s="3412"/>
      <c r="M9" s="3412"/>
      <c r="N9" s="3413"/>
      <c r="O9" s="3414"/>
      <c r="P9" s="3413"/>
      <c r="Q9" s="3413"/>
      <c r="R9" s="3413"/>
      <c r="S9" s="3413"/>
      <c r="T9" s="3413"/>
      <c r="U9" s="3413"/>
    </row>
    <row r="10" spans="1:21">
      <c r="A10" s="3314" t="s">
        <v>424</v>
      </c>
      <c r="B10" s="3315" t="s">
        <v>425</v>
      </c>
      <c r="C10" s="3316"/>
      <c r="D10" s="3299"/>
      <c r="E10" s="3317" t="s">
        <v>426</v>
      </c>
      <c r="F10" s="3318"/>
      <c r="G10" s="3319"/>
      <c r="H10" s="3320"/>
      <c r="I10" s="3299"/>
      <c r="J10" s="3288"/>
      <c r="K10" s="3416"/>
      <c r="L10" s="3412"/>
      <c r="M10" s="3412"/>
      <c r="N10" s="3413"/>
      <c r="O10" s="3414"/>
      <c r="P10" s="3413"/>
      <c r="Q10" s="3413"/>
      <c r="R10" s="3413"/>
      <c r="S10" s="3413"/>
      <c r="T10" s="3413"/>
      <c r="U10" s="3413"/>
    </row>
    <row r="11" spans="1:21">
      <c r="A11" s="3321" t="s">
        <v>427</v>
      </c>
      <c r="B11" s="3322" t="s">
        <v>428</v>
      </c>
      <c r="C11" s="3323"/>
      <c r="D11" s="3324"/>
      <c r="E11" s="3325"/>
      <c r="F11" s="3325"/>
      <c r="G11" s="3325"/>
      <c r="H11" s="3325"/>
      <c r="I11" s="3325"/>
      <c r="J11" s="3288"/>
      <c r="K11" s="3416"/>
      <c r="L11" s="3412"/>
      <c r="M11" s="3412"/>
      <c r="N11" s="3413"/>
      <c r="O11" s="3414"/>
      <c r="P11" s="3413"/>
      <c r="Q11" s="3413"/>
      <c r="R11" s="3413"/>
      <c r="S11" s="3413"/>
      <c r="T11" s="3413"/>
      <c r="U11" s="3413"/>
    </row>
    <row r="12" spans="1:21">
      <c r="A12" s="3326" t="s">
        <v>429</v>
      </c>
      <c r="B12" s="3682"/>
      <c r="C12" s="3683"/>
      <c r="D12" s="3684"/>
      <c r="E12" s="3327" t="s">
        <v>430</v>
      </c>
      <c r="F12" s="3685" t="s">
        <v>431</v>
      </c>
      <c r="G12" s="3686"/>
      <c r="H12" s="3686"/>
      <c r="I12" s="3687"/>
      <c r="J12" s="3288"/>
      <c r="K12" s="3416"/>
      <c r="L12" s="3412"/>
      <c r="M12" s="3412"/>
      <c r="N12" s="3413"/>
      <c r="O12" s="3414"/>
      <c r="P12" s="3413"/>
      <c r="Q12" s="3413"/>
      <c r="R12" s="3413"/>
      <c r="S12" s="3413"/>
      <c r="T12" s="3413"/>
      <c r="U12" s="3413"/>
    </row>
    <row r="13" spans="1:21">
      <c r="A13" s="3328" t="s">
        <v>432</v>
      </c>
      <c r="B13" s="3682"/>
      <c r="C13" s="3683"/>
      <c r="D13" s="3684"/>
      <c r="E13" s="3327" t="s">
        <v>430</v>
      </c>
      <c r="F13" s="3685" t="s">
        <v>433</v>
      </c>
      <c r="G13" s="3686"/>
      <c r="H13" s="3686"/>
      <c r="I13" s="3687"/>
      <c r="J13" s="3288"/>
      <c r="K13" s="3416"/>
      <c r="L13" s="3412"/>
      <c r="M13" s="3412"/>
      <c r="N13" s="3413"/>
      <c r="O13" s="3414"/>
      <c r="P13" s="3413"/>
      <c r="Q13" s="3413"/>
      <c r="R13" s="3413"/>
      <c r="S13" s="3413"/>
      <c r="T13" s="3413"/>
      <c r="U13" s="3413"/>
    </row>
    <row r="14" spans="1:21">
      <c r="A14" s="3290" t="s">
        <v>434</v>
      </c>
      <c r="B14" s="3327"/>
      <c r="C14" s="3329" t="s">
        <v>435</v>
      </c>
      <c r="D14" s="3330" t="str">
        <f>IF(C14="不一致","是否符合证载地类范围","")</f>
        <v/>
      </c>
      <c r="E14" s="3327"/>
      <c r="F14" s="3331" t="s">
        <v>436</v>
      </c>
      <c r="G14" s="3332"/>
      <c r="H14" s="3332"/>
      <c r="I14" s="3420"/>
      <c r="J14" s="3288"/>
      <c r="K14" s="3416"/>
      <c r="L14" s="3412"/>
      <c r="M14" s="3412"/>
      <c r="N14" s="3413"/>
      <c r="O14" s="3414"/>
      <c r="P14" s="3413"/>
      <c r="Q14" s="3413"/>
      <c r="R14" s="3413"/>
      <c r="S14" s="3413"/>
      <c r="T14" s="3413"/>
      <c r="U14" s="3413"/>
    </row>
    <row r="15" spans="1:21">
      <c r="A15" s="3333"/>
      <c r="B15" s="3300"/>
      <c r="C15" s="3334" t="s">
        <v>402</v>
      </c>
      <c r="D15" s="3334" t="s">
        <v>437</v>
      </c>
      <c r="E15" s="3334" t="s">
        <v>438</v>
      </c>
      <c r="F15" s="3335" t="s">
        <v>439</v>
      </c>
      <c r="G15" s="3335" t="s">
        <v>440</v>
      </c>
      <c r="H15" s="3335" t="s">
        <v>164</v>
      </c>
      <c r="I15" s="3335" t="s">
        <v>297</v>
      </c>
      <c r="J15" s="3288"/>
      <c r="K15" s="3416"/>
      <c r="L15" s="3412"/>
      <c r="M15" s="3412"/>
      <c r="N15" s="3413"/>
      <c r="O15" s="3414"/>
      <c r="P15" s="3413"/>
      <c r="Q15" s="3413"/>
      <c r="R15" s="3413"/>
      <c r="S15" s="3413"/>
      <c r="T15" s="3413"/>
      <c r="U15" s="3413"/>
    </row>
    <row r="16" spans="1:21" ht="28.5">
      <c r="A16" s="3336" t="s">
        <v>441</v>
      </c>
      <c r="B16" s="3327" t="s">
        <v>352</v>
      </c>
      <c r="C16" s="3334" t="s">
        <v>402</v>
      </c>
      <c r="D16" s="3337" t="s">
        <v>437</v>
      </c>
      <c r="E16" s="3337" t="s">
        <v>438</v>
      </c>
      <c r="F16" s="3337" t="s">
        <v>439</v>
      </c>
      <c r="G16" s="3337" t="s">
        <v>440</v>
      </c>
      <c r="H16" s="3335" t="s">
        <v>164</v>
      </c>
      <c r="I16" s="3335" t="s">
        <v>297</v>
      </c>
      <c r="J16" s="3288"/>
      <c r="K16" s="3421" t="str">
        <f>IF(D17="","",D16&amp;TEXT(D17,"yyyy年m月d日;;"))</f>
        <v/>
      </c>
      <c r="L16" s="3327" t="str">
        <f>IF(OR(K16="",M16=""),"","、")</f>
        <v/>
      </c>
      <c r="M16" s="3421" t="str">
        <f>IF(E17="","",E16&amp;TEXT(E17,"yyyy年m月d日;;"))</f>
        <v/>
      </c>
      <c r="N16" s="3327" t="str">
        <f>IF(OR(M16="",O16=""),"","、")</f>
        <v/>
      </c>
      <c r="O16" s="3421" t="str">
        <f>IF(F17="","",F16&amp;TEXT(F17,"yyyy年m月d日;;"))</f>
        <v/>
      </c>
      <c r="P16" s="3327" t="str">
        <f>IF(OR(O16="",Q16=""),"","、")</f>
        <v/>
      </c>
      <c r="Q16" s="3421" t="str">
        <f>IF(G17="","",G16&amp;TEXT(G17,"yyyy年m月d日;;"))</f>
        <v/>
      </c>
      <c r="R16" s="3327" t="str">
        <f>IF(OR(Q16="",S16=""),"","、")</f>
        <v/>
      </c>
      <c r="S16" s="3421" t="str">
        <f>IF(H17="","",H16&amp;TEXT(H17,"yyyy年m月d日;;"))</f>
        <v>工业2066年8月29日</v>
      </c>
      <c r="T16" s="3327" t="str">
        <f>IF(OR(S16="",U16=""),"","、")</f>
        <v/>
      </c>
      <c r="U16" s="3421" t="str">
        <f>IF(I17="","",I16&amp;TEXT(I17,"yyyy年m月d日;;"))</f>
        <v/>
      </c>
    </row>
    <row r="17" spans="1:21">
      <c r="A17" s="3338" t="s">
        <v>442</v>
      </c>
      <c r="B17" s="3339" t="s">
        <v>358</v>
      </c>
      <c r="C17" s="3340"/>
      <c r="D17" s="3340"/>
      <c r="E17" s="3340"/>
      <c r="F17" s="3340"/>
      <c r="G17" s="3340"/>
      <c r="H17" s="3340">
        <v>60873</v>
      </c>
      <c r="I17" s="3340"/>
      <c r="J17" s="3288"/>
      <c r="K17" s="3422" t="str">
        <f>CONCATENATE(K16,L16,M16,N16,O16,P16,Q16,R16,S16,T16,,U16)</f>
        <v>工业2066年8月29日</v>
      </c>
      <c r="L17" s="3412"/>
      <c r="M17" s="3412"/>
      <c r="N17" s="3413"/>
      <c r="O17" s="3414"/>
      <c r="P17" s="3413"/>
      <c r="Q17" s="3413"/>
      <c r="R17" s="3413"/>
      <c r="S17" s="3413"/>
      <c r="T17" s="3413"/>
      <c r="U17" s="3413"/>
    </row>
    <row r="18" spans="1:21">
      <c r="A18" s="3341"/>
      <c r="B18" s="3339" t="s">
        <v>375</v>
      </c>
      <c r="C18" s="3342"/>
      <c r="D18" s="3342"/>
      <c r="E18" s="3342"/>
      <c r="F18" s="3342"/>
      <c r="G18" s="3342"/>
      <c r="H18" s="3342">
        <v>50</v>
      </c>
      <c r="I18" s="3342"/>
      <c r="J18" s="3288"/>
      <c r="K18" s="3416"/>
      <c r="L18" s="3412"/>
      <c r="M18" s="3412"/>
      <c r="N18" s="3413"/>
      <c r="O18" s="3414"/>
      <c r="P18" s="3413"/>
      <c r="Q18" s="3413"/>
      <c r="R18" s="3413"/>
      <c r="S18" s="3413"/>
      <c r="T18" s="3413"/>
      <c r="U18" s="3413"/>
    </row>
    <row r="19" spans="1:21">
      <c r="A19" s="3341"/>
      <c r="B19" s="3286" t="s">
        <v>443</v>
      </c>
      <c r="C19" s="3343" t="str">
        <f>IF(A17="出让",IF(C17="","",ROUNDDOWN(MIN((C17-$D$3)/365,C18),2)),C18)</f>
        <v/>
      </c>
      <c r="D19" s="3343" t="str">
        <f>IF(A17="出让",IF(D17="","",ROUNDDOWN(MIN((D17-$D$3)/365,D18),2)),D18)</f>
        <v/>
      </c>
      <c r="E19" s="3344" t="str">
        <f>IF(A17="出让",IF(E17="","",ROUNDDOWN(MIN((E17-$D$3)/365,E18),2)),E18)</f>
        <v/>
      </c>
      <c r="F19" s="3344" t="str">
        <f>IF(A17="出让",IF(F17="","",ROUNDDOWN(MIN((F17-$D$3)/365,F18),2)),F18)</f>
        <v/>
      </c>
      <c r="G19" s="3344" t="str">
        <f>IF(A17="出让",IF(G17="","",ROUNDDOWN(MIN((G17-$D$3)/365,G18),2)),G18)</f>
        <v/>
      </c>
      <c r="H19" s="3344">
        <f>IF(A17="出让",IF(H17="","",ROUNDDOWN(MIN((H17-$D$3)/365,H18),2)),H18)</f>
        <v>42.77</v>
      </c>
      <c r="I19" s="3344" t="str">
        <f>IF(A17="出让",IF(I17="","",ROUNDDOWN(MIN((I17-$D$3)/365,I18),2)),I18)</f>
        <v/>
      </c>
      <c r="J19" s="3288"/>
      <c r="K19" s="3416"/>
      <c r="L19" s="3412"/>
      <c r="M19" s="3412"/>
      <c r="N19" s="3413"/>
      <c r="O19" s="3414"/>
      <c r="P19" s="3413"/>
      <c r="Q19" s="3413"/>
      <c r="R19" s="3413"/>
      <c r="S19" s="3413"/>
      <c r="T19" s="3413"/>
      <c r="U19" s="3413"/>
    </row>
    <row r="20" spans="1:21">
      <c r="A20" s="3345"/>
      <c r="B20" s="3346"/>
      <c r="C20" s="3347" t="s">
        <v>444</v>
      </c>
      <c r="D20" s="3688"/>
      <c r="E20" s="3689"/>
      <c r="F20" s="3689"/>
      <c r="G20" s="3689"/>
      <c r="H20" s="3689"/>
      <c r="I20" s="3690"/>
      <c r="J20" s="3288"/>
      <c r="K20" s="3416"/>
      <c r="L20" s="3412"/>
      <c r="M20" s="3412"/>
      <c r="N20" s="3413"/>
      <c r="O20" s="3414"/>
      <c r="P20" s="3413"/>
      <c r="Q20" s="3413"/>
      <c r="R20" s="3413"/>
      <c r="S20" s="3413"/>
      <c r="T20" s="3413"/>
      <c r="U20" s="3413"/>
    </row>
    <row r="21" spans="1:21">
      <c r="A21" s="3341" t="s">
        <v>445</v>
      </c>
      <c r="B21" s="3348" t="s">
        <v>446</v>
      </c>
      <c r="C21" s="3349">
        <f>'数据-汇总表'!E3</f>
        <v>74800</v>
      </c>
      <c r="D21" s="3350" t="s">
        <v>447</v>
      </c>
      <c r="E21" s="3691" t="s">
        <v>448</v>
      </c>
      <c r="F21" s="3692"/>
      <c r="G21" s="3692"/>
      <c r="H21" s="3692"/>
      <c r="I21" s="3693"/>
      <c r="J21" s="3288"/>
      <c r="K21" s="3416"/>
      <c r="L21" s="3412"/>
      <c r="M21" s="3412"/>
      <c r="N21" s="3413"/>
      <c r="O21" s="3414"/>
      <c r="P21" s="3413"/>
      <c r="Q21" s="3413"/>
      <c r="R21" s="3413"/>
      <c r="S21" s="3413"/>
      <c r="T21" s="3413"/>
      <c r="U21" s="3413"/>
    </row>
    <row r="22" spans="1:21">
      <c r="A22" s="3351" t="s">
        <v>138</v>
      </c>
      <c r="B22" s="3290" t="s">
        <v>449</v>
      </c>
      <c r="C22" s="3335">
        <f>'数据-汇总表'!D3</f>
        <v>200000</v>
      </c>
      <c r="D22" s="3328" t="s">
        <v>447</v>
      </c>
      <c r="E22" s="3691" t="s">
        <v>431</v>
      </c>
      <c r="F22" s="3692"/>
      <c r="G22" s="3692"/>
      <c r="H22" s="3692"/>
      <c r="I22" s="3693"/>
      <c r="J22" s="3288"/>
      <c r="K22" s="3416"/>
      <c r="L22" s="3412"/>
      <c r="M22" s="3412"/>
      <c r="N22" s="3413"/>
      <c r="O22" s="3414"/>
      <c r="P22" s="3413"/>
      <c r="Q22" s="3413"/>
      <c r="R22" s="3413"/>
      <c r="S22" s="3413"/>
      <c r="T22" s="3413"/>
      <c r="U22" s="3413"/>
    </row>
    <row r="23" spans="1:21" ht="28.5">
      <c r="A23" s="3352" t="s">
        <v>450</v>
      </c>
      <c r="B23" s="3353" t="s">
        <v>451</v>
      </c>
      <c r="C23" s="3354"/>
      <c r="D23" s="3355" t="s">
        <v>452</v>
      </c>
      <c r="E23" s="3356"/>
      <c r="F23" s="3357" t="str">
        <f>IF(AND(C23="是",E23="否"),"是否提供他项权证或相关说明","")</f>
        <v/>
      </c>
      <c r="G23" s="3358"/>
      <c r="H23" s="3288"/>
      <c r="I23" s="3418"/>
      <c r="J23" s="3288"/>
      <c r="K23" s="3416"/>
      <c r="L23" s="3412"/>
      <c r="M23" s="3412"/>
      <c r="N23" s="3413"/>
      <c r="O23" s="3414"/>
      <c r="P23" s="3413"/>
      <c r="Q23" s="3413"/>
      <c r="R23" s="3413"/>
      <c r="S23" s="3413"/>
      <c r="T23" s="3413"/>
      <c r="U23" s="3413"/>
    </row>
    <row r="24" spans="1:21">
      <c r="A24" s="3359" t="s">
        <v>430</v>
      </c>
      <c r="B24" s="3694" t="s">
        <v>453</v>
      </c>
      <c r="C24" s="3695"/>
      <c r="D24" s="3696" t="s">
        <v>454</v>
      </c>
      <c r="E24" s="3697"/>
      <c r="F24" s="3360" t="s">
        <v>455</v>
      </c>
      <c r="G24" s="3288"/>
      <c r="H24" s="3288"/>
      <c r="I24" s="3418"/>
      <c r="J24" s="3288"/>
      <c r="K24" s="3718" t="s">
        <v>456</v>
      </c>
      <c r="L24" s="3423"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424"/>
      <c r="N24" s="3413"/>
      <c r="O24" s="3414"/>
      <c r="P24" s="3413"/>
      <c r="Q24" s="3413"/>
      <c r="R24" s="3413"/>
      <c r="S24" s="3413"/>
      <c r="T24" s="3413"/>
      <c r="U24" s="3413"/>
    </row>
    <row r="25" spans="1:21" ht="28.5">
      <c r="A25" s="3361"/>
      <c r="B25" s="3362" t="s">
        <v>457</v>
      </c>
      <c r="C25" s="3363" t="s">
        <v>458</v>
      </c>
      <c r="D25" s="3364"/>
      <c r="E25" s="3365" t="s">
        <v>138</v>
      </c>
      <c r="F25" s="3366"/>
      <c r="G25" s="3288"/>
      <c r="H25" s="3288"/>
      <c r="I25" s="3418"/>
      <c r="J25" s="3288"/>
      <c r="K25" s="3718"/>
      <c r="L25" s="3423"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3424"/>
      <c r="N25" s="3413"/>
      <c r="O25" s="3414"/>
      <c r="P25" s="3413"/>
      <c r="Q25" s="3413"/>
      <c r="R25" s="3413"/>
      <c r="S25" s="3413"/>
      <c r="T25" s="3413"/>
      <c r="U25" s="3413"/>
    </row>
    <row r="26" spans="1:21" ht="28.5">
      <c r="A26" s="3367"/>
      <c r="B26" s="3368" t="s">
        <v>459</v>
      </c>
      <c r="C26" s="3363" t="s">
        <v>460</v>
      </c>
      <c r="D26" s="3289"/>
      <c r="E26" s="3289"/>
      <c r="F26" s="3369"/>
      <c r="G26" s="3288"/>
      <c r="H26" s="3288"/>
      <c r="I26" s="3418"/>
      <c r="J26" s="3288"/>
      <c r="K26" s="3718"/>
      <c r="L26" s="3423"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424"/>
      <c r="N26" s="3413"/>
      <c r="O26" s="3414"/>
      <c r="P26" s="3413"/>
      <c r="Q26" s="3413"/>
      <c r="R26" s="3413"/>
      <c r="S26" s="3413"/>
      <c r="T26" s="3413"/>
      <c r="U26" s="3413"/>
    </row>
    <row r="27" spans="1:21">
      <c r="A27" s="3370" t="s">
        <v>461</v>
      </c>
      <c r="B27" s="3371" t="s">
        <v>462</v>
      </c>
      <c r="C27" s="3372"/>
      <c r="D27" s="3373" t="s">
        <v>462</v>
      </c>
      <c r="E27" s="3374"/>
      <c r="F27" s="3369"/>
      <c r="G27" s="3288"/>
      <c r="H27" s="3288"/>
      <c r="I27" s="3418"/>
      <c r="J27" s="3288"/>
      <c r="K27" s="3416"/>
      <c r="L27" s="3412"/>
      <c r="M27" s="3412"/>
      <c r="N27" s="3413"/>
      <c r="O27" s="3414"/>
      <c r="P27" s="3413"/>
      <c r="Q27" s="3413"/>
      <c r="R27" s="3413"/>
      <c r="S27" s="3413"/>
      <c r="T27" s="3413"/>
      <c r="U27" s="3413"/>
    </row>
    <row r="28" spans="1:21">
      <c r="A28" s="3375"/>
      <c r="B28" s="3371" t="s">
        <v>463</v>
      </c>
      <c r="C28" s="3376"/>
      <c r="D28" s="3377" t="s">
        <v>463</v>
      </c>
      <c r="E28" s="3378"/>
      <c r="F28" s="3369"/>
      <c r="G28" s="3288"/>
      <c r="H28" s="3288"/>
      <c r="I28" s="3418"/>
      <c r="J28" s="3288"/>
      <c r="K28" s="3416"/>
      <c r="L28" s="3412"/>
      <c r="M28" s="3412"/>
      <c r="N28" s="3413"/>
      <c r="O28" s="3414"/>
      <c r="P28" s="3413"/>
      <c r="Q28" s="3413"/>
      <c r="R28" s="3413"/>
      <c r="S28" s="3413"/>
      <c r="T28" s="3413"/>
      <c r="U28" s="3413"/>
    </row>
    <row r="29" spans="1:21">
      <c r="A29" s="3375"/>
      <c r="B29" s="3371" t="s">
        <v>464</v>
      </c>
      <c r="C29" s="3376"/>
      <c r="D29" s="3377" t="s">
        <v>464</v>
      </c>
      <c r="E29" s="3378"/>
      <c r="F29" s="3369"/>
      <c r="G29" s="3288"/>
      <c r="H29" s="3288"/>
      <c r="I29" s="3418"/>
      <c r="J29" s="3288"/>
      <c r="K29" s="3416"/>
      <c r="L29" s="3412"/>
      <c r="M29" s="3412"/>
      <c r="N29" s="3413"/>
      <c r="O29" s="3414"/>
      <c r="P29" s="3413"/>
      <c r="Q29" s="3413"/>
      <c r="R29" s="3413"/>
      <c r="S29" s="3413"/>
      <c r="T29" s="3413"/>
      <c r="U29" s="3413"/>
    </row>
    <row r="30" spans="1:21">
      <c r="A30" s="3379"/>
      <c r="B30" s="3380" t="s">
        <v>465</v>
      </c>
      <c r="C30" s="3381"/>
      <c r="D30" s="3382" t="s">
        <v>465</v>
      </c>
      <c r="E30" s="3383"/>
      <c r="F30" s="3384"/>
      <c r="G30" s="3313"/>
      <c r="H30" s="3313"/>
      <c r="I30" s="3419"/>
      <c r="J30" s="3288"/>
      <c r="K30" s="3416"/>
      <c r="L30" s="3412"/>
      <c r="M30" s="3412"/>
      <c r="N30" s="3413"/>
      <c r="O30" s="3414"/>
      <c r="P30" s="3413"/>
      <c r="Q30" s="3413"/>
      <c r="R30" s="3413"/>
      <c r="S30" s="3413"/>
      <c r="T30" s="3413"/>
      <c r="U30" s="3413"/>
    </row>
    <row r="31" spans="1:21">
      <c r="A31" s="3710" t="s">
        <v>466</v>
      </c>
      <c r="B31" s="3348" t="s">
        <v>467</v>
      </c>
      <c r="C31" s="3698"/>
      <c r="D31" s="3699"/>
      <c r="E31" s="3288"/>
      <c r="F31" s="3288"/>
      <c r="G31" s="3288"/>
      <c r="H31" s="3288"/>
      <c r="I31" s="3418"/>
      <c r="J31" s="3288"/>
      <c r="K31" s="3425"/>
      <c r="L31" s="3413"/>
      <c r="M31" s="3413"/>
      <c r="N31" s="3413"/>
      <c r="O31" s="3413"/>
      <c r="P31" s="3413"/>
      <c r="Q31" s="3413"/>
      <c r="R31" s="3413"/>
      <c r="S31" s="3413"/>
      <c r="T31" s="3413"/>
      <c r="U31" s="3413"/>
    </row>
    <row r="32" spans="1:21">
      <c r="A32" s="3710"/>
      <c r="B32" s="3290" t="s">
        <v>468</v>
      </c>
      <c r="C32" s="3315"/>
      <c r="D32" s="3385"/>
      <c r="E32" s="3288"/>
      <c r="F32" s="3288"/>
      <c r="G32" s="3288"/>
      <c r="H32" s="3288"/>
      <c r="I32" s="3418"/>
      <c r="J32" s="3288"/>
      <c r="K32" s="3425"/>
      <c r="L32" s="3413"/>
      <c r="M32" s="3413"/>
      <c r="N32" s="3413"/>
      <c r="O32" s="3413"/>
      <c r="P32" s="3413"/>
      <c r="Q32" s="3413"/>
      <c r="R32" s="3413"/>
      <c r="S32" s="3413"/>
      <c r="T32" s="3413"/>
      <c r="U32" s="3413"/>
    </row>
    <row r="33" spans="1:28">
      <c r="A33" s="3710"/>
      <c r="B33" s="3290" t="s">
        <v>469</v>
      </c>
      <c r="C33" s="3386"/>
      <c r="D33" s="3387"/>
      <c r="E33" s="3288"/>
      <c r="F33" s="3288"/>
      <c r="G33" s="3288"/>
      <c r="H33" s="3288"/>
      <c r="I33" s="3418"/>
      <c r="J33" s="3288"/>
      <c r="K33" s="3425"/>
      <c r="L33" s="3413"/>
      <c r="M33" s="3413"/>
      <c r="N33" s="3413"/>
      <c r="O33" s="3413"/>
      <c r="P33" s="3413"/>
      <c r="Q33" s="3413"/>
      <c r="R33" s="3413"/>
      <c r="S33" s="3413"/>
      <c r="T33" s="3413"/>
      <c r="U33" s="3413"/>
    </row>
    <row r="34" spans="1:28">
      <c r="A34" s="3711"/>
      <c r="B34" s="3290" t="s">
        <v>470</v>
      </c>
      <c r="C34" s="3700"/>
      <c r="D34" s="3701"/>
      <c r="E34" s="3288"/>
      <c r="F34" s="3288"/>
      <c r="G34" s="3288"/>
      <c r="H34" s="3288"/>
      <c r="I34" s="3418"/>
      <c r="J34" s="3288"/>
      <c r="K34" s="3425"/>
      <c r="L34" s="3413"/>
      <c r="M34" s="3413"/>
      <c r="N34" s="3413"/>
      <c r="O34" s="3413"/>
      <c r="P34" s="3413"/>
      <c r="Q34" s="3413"/>
      <c r="R34" s="3413"/>
      <c r="S34" s="3413"/>
      <c r="T34" s="3413"/>
      <c r="U34" s="3413"/>
    </row>
    <row r="35" spans="1:28">
      <c r="A35" s="3712" t="s">
        <v>471</v>
      </c>
      <c r="B35" s="3337"/>
      <c r="C35" s="3388" t="str">
        <f>IF(B35="场地平整","——","具体情况：")</f>
        <v>具体情况：</v>
      </c>
      <c r="D35" s="3702"/>
      <c r="E35" s="3703"/>
      <c r="F35" s="3703"/>
      <c r="G35" s="3703"/>
      <c r="H35" s="3703"/>
      <c r="I35" s="3704"/>
      <c r="J35" s="3288"/>
      <c r="K35" s="3426"/>
      <c r="L35" s="3412"/>
      <c r="M35" s="3412"/>
      <c r="N35" s="3413"/>
      <c r="O35" s="3414"/>
      <c r="P35" s="3413"/>
      <c r="Q35" s="3413"/>
      <c r="R35" s="3413"/>
      <c r="S35" s="3413"/>
      <c r="T35" s="3413"/>
      <c r="U35" s="3413"/>
    </row>
    <row r="36" spans="1:28">
      <c r="A36" s="3710"/>
      <c r="B36" s="3705" t="s">
        <v>472</v>
      </c>
      <c r="C36" s="3706"/>
      <c r="D36" s="3389"/>
      <c r="E36" s="3707"/>
      <c r="F36" s="3707"/>
      <c r="G36" s="3328" t="str">
        <f>IF(B35="场地未平整","估价结果处理","")</f>
        <v/>
      </c>
      <c r="H36" s="3708"/>
      <c r="I36" s="3708"/>
      <c r="J36" s="3288"/>
      <c r="K36" s="3426"/>
      <c r="L36" s="3412"/>
      <c r="M36" s="3412"/>
      <c r="N36" s="3413"/>
      <c r="O36" s="3414"/>
      <c r="P36" s="3413"/>
      <c r="Q36" s="3413"/>
      <c r="R36" s="3413"/>
      <c r="S36" s="3413"/>
      <c r="T36" s="3413"/>
      <c r="U36" s="3413"/>
    </row>
    <row r="37" spans="1:28" ht="28.5">
      <c r="A37" s="3710"/>
      <c r="B37" s="3713" t="s">
        <v>473</v>
      </c>
      <c r="C37" s="3391" t="s">
        <v>474</v>
      </c>
      <c r="D37" s="3392"/>
      <c r="E37" s="3393"/>
      <c r="F37" s="3288"/>
      <c r="G37" s="3288"/>
      <c r="H37" s="3288"/>
      <c r="I37" s="3418"/>
      <c r="J37" s="3288"/>
      <c r="K37" s="3426"/>
      <c r="L37" s="3413"/>
      <c r="M37" s="3413"/>
      <c r="N37" s="3413"/>
      <c r="O37" s="3413"/>
      <c r="P37" s="3413"/>
      <c r="Q37" s="3413"/>
      <c r="R37" s="3413"/>
      <c r="S37" s="3413"/>
      <c r="T37" s="3413"/>
      <c r="U37" s="3413"/>
    </row>
    <row r="38" spans="1:28">
      <c r="A38" s="3710"/>
      <c r="B38" s="3714"/>
      <c r="C38" s="3303" t="s">
        <v>475</v>
      </c>
      <c r="D38" s="3394">
        <f>ROUNDDOWN(MIN(('数据-取费表'!$B$2-D37)/365,D34),1)</f>
        <v>124</v>
      </c>
      <c r="E38" s="3395" t="s">
        <v>476</v>
      </c>
      <c r="F38" s="3288"/>
      <c r="G38" s="3288"/>
      <c r="H38" s="3288"/>
      <c r="I38" s="3418"/>
      <c r="J38" s="3288"/>
      <c r="K38" s="3426"/>
      <c r="L38" s="3413"/>
      <c r="M38" s="3413"/>
      <c r="N38" s="3413"/>
      <c r="O38" s="3413"/>
      <c r="P38" s="3413"/>
      <c r="Q38" s="3413"/>
      <c r="R38" s="3413"/>
      <c r="S38" s="3413"/>
      <c r="T38" s="3413"/>
      <c r="U38" s="3413"/>
    </row>
    <row r="39" spans="1:28">
      <c r="A39" s="3711"/>
      <c r="B39" s="3715"/>
      <c r="C39" s="3396" t="str">
        <f>IF(D38&lt;1,"不存在土地闲置",IF(B35="宗地内已开工建设","已开工，不存在土地闲置","估价对象已涉嫌土地闲置"))</f>
        <v>估价对象已涉嫌土地闲置</v>
      </c>
      <c r="D39" s="3332"/>
      <c r="E39" s="3397"/>
      <c r="F39" s="3288"/>
      <c r="G39" s="3288"/>
      <c r="H39" s="3288"/>
      <c r="I39" s="3418"/>
      <c r="J39" s="3288"/>
      <c r="K39" s="3416"/>
      <c r="L39" s="3412"/>
      <c r="M39" s="3412"/>
      <c r="N39" s="3413"/>
      <c r="O39" s="3414"/>
      <c r="P39" s="3413"/>
      <c r="Q39" s="3413"/>
      <c r="R39" s="3413"/>
      <c r="S39" s="3413"/>
      <c r="T39" s="3413"/>
      <c r="U39" s="3413"/>
    </row>
    <row r="40" spans="1:28">
      <c r="A40" s="3328" t="s">
        <v>477</v>
      </c>
      <c r="B40" s="3398"/>
      <c r="C40" s="3398"/>
      <c r="D40" s="3398"/>
      <c r="E40" s="3398"/>
      <c r="F40" s="3398"/>
      <c r="G40" s="3398"/>
      <c r="H40" s="3398"/>
      <c r="I40" s="3418"/>
      <c r="J40" s="3288"/>
      <c r="K40" s="3410">
        <f>COUNTIF(B40:H40,"——")</f>
        <v>0</v>
      </c>
      <c r="L40" s="3327" t="s">
        <v>478</v>
      </c>
      <c r="M40" s="3409" t="s">
        <v>479</v>
      </c>
      <c r="N40" s="3409" t="s">
        <v>286</v>
      </c>
      <c r="O40" s="3409" t="s">
        <v>278</v>
      </c>
      <c r="P40" s="3409" t="s">
        <v>268</v>
      </c>
      <c r="Q40" s="3409" t="s">
        <v>257</v>
      </c>
      <c r="R40" s="3409" t="s">
        <v>245</v>
      </c>
      <c r="S40" s="3719" t="s">
        <v>379</v>
      </c>
      <c r="T40" s="3327" t="str">
        <f>NUMBERSTRING(7-K40,1)&amp;"通"</f>
        <v>七通</v>
      </c>
      <c r="U40" s="3413"/>
    </row>
    <row r="41" spans="1:28">
      <c r="A41" s="3300"/>
      <c r="B41" s="3709" t="s">
        <v>480</v>
      </c>
      <c r="C41" s="3709"/>
      <c r="D41" s="3709"/>
      <c r="E41" s="3709"/>
      <c r="F41" s="3399">
        <f>C10</f>
        <v>0</v>
      </c>
      <c r="G41" s="3288"/>
      <c r="H41" s="3288"/>
      <c r="I41" s="3418"/>
      <c r="J41" s="3288"/>
      <c r="K41" s="3327"/>
      <c r="L41" s="3409">
        <f>B40</f>
        <v>0</v>
      </c>
      <c r="M41" s="3330" t="str">
        <f>B40&amp;"、"&amp;C40</f>
        <v>、</v>
      </c>
      <c r="N41" s="3427" t="str">
        <f>B40&amp;"、"&amp;C40&amp;"、"&amp;D40</f>
        <v>、、</v>
      </c>
      <c r="O41" s="3427" t="str">
        <f>B40&amp;"、"&amp;C40&amp;"、"&amp;D40&amp;"、"&amp;E40</f>
        <v>、、、</v>
      </c>
      <c r="P41" s="3427" t="str">
        <f>B40&amp;"、"&amp;C40&amp;"、"&amp;D40&amp;"、"&amp;E40&amp;"、"&amp;F40</f>
        <v>、、、、</v>
      </c>
      <c r="Q41" s="3427" t="str">
        <f>B40&amp;"、"&amp;C40&amp;"、"&amp;D40&amp;"、"&amp;E40&amp;"、"&amp;F40&amp;"、"&amp;G40</f>
        <v>、、、、、</v>
      </c>
      <c r="R41" s="3427" t="str">
        <f>B40&amp;"、"&amp;C40&amp;"、"&amp;D40&amp;"、"&amp;E40&amp;"、"&amp;F40&amp;"、"&amp;G40&amp;"、"&amp;H40</f>
        <v>、、、、、、</v>
      </c>
      <c r="S41" s="3719"/>
      <c r="T41" s="3330" t="str">
        <f>IF(T40="一通",L41,IF(T40="二通",M41,IF(T40="三通",N41,IF(T40="四通",O41,IF(T40="五通",P41,IF(T40="六通",Q41,R41))))))</f>
        <v>、、、、、、</v>
      </c>
      <c r="U41" s="3413"/>
    </row>
    <row r="42" spans="1:28">
      <c r="A42" s="3400"/>
      <c r="B42" s="3334" t="s">
        <v>437</v>
      </c>
      <c r="C42" s="3334" t="s">
        <v>438</v>
      </c>
      <c r="D42" s="3334" t="s">
        <v>402</v>
      </c>
      <c r="E42" s="3334" t="s">
        <v>164</v>
      </c>
      <c r="F42" s="3334" t="s">
        <v>297</v>
      </c>
      <c r="G42" s="3288"/>
      <c r="H42" s="3288"/>
      <c r="I42" s="3418"/>
      <c r="J42" s="3288"/>
      <c r="K42" s="3416"/>
      <c r="L42" s="3412"/>
      <c r="M42" s="3412"/>
      <c r="N42" s="3413"/>
      <c r="O42" s="3414"/>
      <c r="P42" s="3413"/>
      <c r="Q42" s="3413"/>
      <c r="R42" s="3413"/>
      <c r="S42" s="3413"/>
      <c r="T42" s="3413"/>
      <c r="U42" s="3413"/>
    </row>
    <row r="43" spans="1:28">
      <c r="A43" s="3401" t="s">
        <v>215</v>
      </c>
      <c r="B43" s="3402"/>
      <c r="C43" s="3402"/>
      <c r="D43" s="3402"/>
      <c r="E43" s="3402"/>
      <c r="F43" s="3402"/>
      <c r="G43" s="3288"/>
      <c r="H43" s="3288"/>
      <c r="I43" s="3418"/>
      <c r="J43" s="3288"/>
      <c r="K43" s="3416"/>
      <c r="L43" s="3412"/>
      <c r="M43" s="3412"/>
      <c r="N43" s="3413"/>
      <c r="O43" s="3414"/>
      <c r="P43" s="3413"/>
      <c r="Q43" s="3413"/>
      <c r="R43" s="3413"/>
      <c r="S43" s="3413"/>
      <c r="T43" s="3413"/>
      <c r="U43" s="3413"/>
    </row>
    <row r="44" spans="1:28">
      <c r="A44" s="3401" t="s">
        <v>481</v>
      </c>
      <c r="B44" s="3402"/>
      <c r="C44" s="3402"/>
      <c r="D44" s="3402"/>
      <c r="E44" s="3389"/>
      <c r="F44" s="3389"/>
      <c r="G44" s="3288"/>
      <c r="H44" s="3288"/>
      <c r="I44" s="3418"/>
      <c r="J44" s="3288"/>
      <c r="K44" s="3416"/>
      <c r="L44" s="3412"/>
      <c r="M44" s="3412"/>
      <c r="N44" s="3413"/>
      <c r="O44" s="3414"/>
      <c r="P44" s="3413"/>
      <c r="Q44" s="3413"/>
      <c r="R44" s="3413"/>
      <c r="S44" s="3413"/>
      <c r="T44" s="3413"/>
      <c r="U44" s="3413"/>
    </row>
    <row r="45" spans="1:28" s="3278" customFormat="1" ht="20.25">
      <c r="A45" s="3403" t="s">
        <v>482</v>
      </c>
      <c r="B45" s="3404"/>
      <c r="C45" s="3404"/>
      <c r="D45" s="3404"/>
      <c r="E45" s="3404"/>
      <c r="F45" s="3404"/>
      <c r="G45" s="3405"/>
      <c r="H45" s="3405"/>
      <c r="I45" s="3428"/>
      <c r="J45" s="3429"/>
      <c r="K45" s="3430"/>
      <c r="L45" s="3431"/>
      <c r="M45" s="3431"/>
      <c r="N45" s="3405"/>
      <c r="O45" s="3428"/>
      <c r="P45" s="3405"/>
      <c r="Q45" s="3405"/>
      <c r="R45" s="3405"/>
      <c r="S45" s="3405"/>
      <c r="T45" s="3405"/>
      <c r="U45" s="3405"/>
      <c r="V45" s="3441"/>
      <c r="W45" s="3441"/>
      <c r="X45" s="3441"/>
      <c r="Y45" s="3441"/>
      <c r="Z45" s="3441"/>
      <c r="AA45" s="3441"/>
      <c r="AB45" s="3441"/>
    </row>
    <row r="46" spans="1:28">
      <c r="A46" s="3406"/>
      <c r="B46" s="3406"/>
      <c r="C46" s="3406"/>
      <c r="D46" s="3406"/>
      <c r="E46" s="3406"/>
      <c r="F46" s="3406"/>
      <c r="G46" s="3406"/>
      <c r="H46" s="3406"/>
      <c r="I46" s="3432"/>
      <c r="J46" s="3406"/>
      <c r="K46" s="3416"/>
      <c r="L46" s="3412"/>
      <c r="M46" s="3412"/>
      <c r="N46" s="3413"/>
      <c r="O46" s="3414"/>
      <c r="P46" s="3413"/>
      <c r="Q46" s="3413"/>
      <c r="R46" s="3413"/>
      <c r="S46" s="3413"/>
      <c r="T46" s="3413"/>
      <c r="U46" s="3413"/>
    </row>
    <row r="47" spans="1:28">
      <c r="A47" s="3407" t="s">
        <v>483</v>
      </c>
      <c r="B47" s="3408"/>
      <c r="C47" s="3397"/>
      <c r="D47" s="3406"/>
      <c r="E47" s="3406"/>
      <c r="F47" s="3406"/>
      <c r="G47" s="3406"/>
      <c r="H47" s="3406"/>
      <c r="I47" s="3433"/>
      <c r="J47" s="3406"/>
      <c r="K47" s="3416"/>
      <c r="L47" s="3412"/>
      <c r="M47" s="3412"/>
      <c r="N47" s="3413"/>
      <c r="O47" s="3414"/>
      <c r="P47" s="3413"/>
      <c r="Q47" s="3413"/>
      <c r="R47" s="3413"/>
      <c r="S47" s="3413"/>
      <c r="T47" s="3413"/>
      <c r="U47" s="3413"/>
    </row>
    <row r="48" spans="1:28" ht="28.5">
      <c r="A48" s="3327" t="s">
        <v>484</v>
      </c>
      <c r="B48" s="3335" t="s">
        <v>485</v>
      </c>
      <c r="C48" s="3335" t="s">
        <v>486</v>
      </c>
      <c r="D48" s="3335" t="s">
        <v>487</v>
      </c>
      <c r="E48" s="3335" t="s">
        <v>488</v>
      </c>
      <c r="F48" s="3335" t="s">
        <v>489</v>
      </c>
      <c r="G48" s="3335" t="s">
        <v>490</v>
      </c>
      <c r="H48" s="3335" t="s">
        <v>491</v>
      </c>
      <c r="I48" s="3335" t="s">
        <v>492</v>
      </c>
      <c r="J48" s="3434" t="s">
        <v>493</v>
      </c>
      <c r="K48" s="3435" t="s">
        <v>494</v>
      </c>
      <c r="L48" s="3435" t="s">
        <v>495</v>
      </c>
      <c r="M48" s="3435" t="s">
        <v>496</v>
      </c>
      <c r="N48" s="3436" t="s">
        <v>497</v>
      </c>
      <c r="O48" s="3436" t="s">
        <v>498</v>
      </c>
      <c r="P48" s="3436" t="s">
        <v>499</v>
      </c>
      <c r="Q48" s="3442" t="s">
        <v>500</v>
      </c>
      <c r="R48" s="3442" t="s">
        <v>501</v>
      </c>
      <c r="S48" s="3413"/>
      <c r="T48" s="3413"/>
      <c r="U48" s="3413"/>
    </row>
    <row r="49" spans="1:21">
      <c r="A49" s="3409"/>
      <c r="B49" s="3410"/>
      <c r="C49" s="3410"/>
      <c r="D49" s="3410"/>
      <c r="E49" s="3410"/>
      <c r="F49" s="3410"/>
      <c r="G49" s="3410"/>
      <c r="H49" s="3410"/>
      <c r="I49" s="3410"/>
      <c r="J49" s="3437"/>
      <c r="K49" s="3438"/>
      <c r="L49" s="3438"/>
      <c r="M49" s="3439"/>
      <c r="N49" s="3439"/>
      <c r="O49" s="3439"/>
      <c r="P49" s="3439"/>
      <c r="Q49" s="3439"/>
      <c r="R49" s="3439"/>
      <c r="S49" s="3413"/>
      <c r="T49" s="3413"/>
      <c r="U49" s="3413"/>
    </row>
    <row r="50" spans="1:21">
      <c r="A50" s="3409"/>
      <c r="B50" s="3409"/>
      <c r="C50" s="3410"/>
      <c r="D50" s="3410"/>
      <c r="E50" s="3410"/>
      <c r="F50" s="3410"/>
      <c r="G50" s="3410"/>
      <c r="H50" s="3410"/>
      <c r="I50" s="3410"/>
      <c r="J50" s="3437"/>
      <c r="K50" s="3438"/>
      <c r="L50" s="3438"/>
      <c r="M50" s="3439"/>
      <c r="N50" s="3439"/>
      <c r="O50" s="3439"/>
      <c r="P50" s="3439"/>
      <c r="Q50" s="3439"/>
      <c r="R50" s="3439"/>
      <c r="S50" s="3413"/>
      <c r="T50" s="3413"/>
      <c r="U50" s="3413"/>
    </row>
    <row r="51" spans="1:21">
      <c r="A51" s="3409"/>
      <c r="B51" s="3409"/>
      <c r="C51" s="3410"/>
      <c r="D51" s="3410"/>
      <c r="E51" s="3410"/>
      <c r="F51" s="3410"/>
      <c r="G51" s="3410"/>
      <c r="H51" s="3410"/>
      <c r="I51" s="3410"/>
      <c r="J51" s="3437"/>
      <c r="K51" s="3438"/>
      <c r="L51" s="3438"/>
      <c r="M51" s="3439"/>
      <c r="N51" s="3439"/>
      <c r="O51" s="3439"/>
      <c r="P51" s="3439"/>
      <c r="Q51" s="3439"/>
      <c r="R51" s="3439"/>
      <c r="S51" s="3413"/>
      <c r="T51" s="3413"/>
      <c r="U51" s="3413"/>
    </row>
    <row r="52" spans="1:21">
      <c r="A52" s="3409"/>
      <c r="B52" s="3409"/>
      <c r="C52" s="3410"/>
      <c r="D52" s="3410"/>
      <c r="E52" s="3410"/>
      <c r="F52" s="3410"/>
      <c r="G52" s="3410"/>
      <c r="H52" s="3410"/>
      <c r="I52" s="3410"/>
      <c r="J52" s="3437"/>
      <c r="K52" s="3438"/>
      <c r="L52" s="3438"/>
      <c r="M52" s="3439"/>
      <c r="N52" s="3439"/>
      <c r="O52" s="3439"/>
      <c r="P52" s="3439"/>
      <c r="Q52" s="3439"/>
      <c r="R52" s="3439"/>
      <c r="S52" s="3413"/>
      <c r="T52" s="3413"/>
      <c r="U52" s="3413"/>
    </row>
    <row r="53" spans="1:21">
      <c r="A53" s="3409"/>
      <c r="B53" s="3409"/>
      <c r="C53" s="3410"/>
      <c r="D53" s="3410"/>
      <c r="E53" s="3410"/>
      <c r="F53" s="3410"/>
      <c r="G53" s="3410"/>
      <c r="H53" s="3410"/>
      <c r="I53" s="3410"/>
      <c r="J53" s="3437"/>
      <c r="K53" s="3438"/>
      <c r="L53" s="3438"/>
      <c r="M53" s="3439"/>
      <c r="N53" s="3439"/>
      <c r="O53" s="3439"/>
      <c r="P53" s="3439"/>
      <c r="Q53" s="3439"/>
      <c r="R53" s="3439"/>
      <c r="S53" s="3413"/>
      <c r="T53" s="3413"/>
      <c r="U53" s="3413"/>
    </row>
    <row r="54" spans="1:21">
      <c r="A54" s="3409"/>
      <c r="B54" s="3409"/>
      <c r="C54" s="3409"/>
      <c r="D54" s="3409"/>
      <c r="E54" s="3409"/>
      <c r="F54" s="3410"/>
      <c r="G54" s="3409"/>
      <c r="H54" s="3409"/>
      <c r="I54" s="3409"/>
      <c r="J54" s="3440"/>
      <c r="K54" s="3438"/>
      <c r="L54" s="3438"/>
      <c r="M54" s="3438"/>
      <c r="N54" s="3390"/>
      <c r="O54" s="3390"/>
      <c r="P54" s="3390"/>
      <c r="Q54" s="3390"/>
      <c r="R54" s="3390"/>
      <c r="S54" s="3413"/>
      <c r="T54" s="3413"/>
      <c r="U54" s="3413"/>
    </row>
    <row r="55" spans="1:21">
      <c r="A55" s="3409"/>
      <c r="B55" s="3409"/>
      <c r="C55" s="3409"/>
      <c r="D55" s="3409"/>
      <c r="E55" s="3409"/>
      <c r="F55" s="3410"/>
      <c r="G55" s="3409"/>
      <c r="H55" s="3409"/>
      <c r="I55" s="3409"/>
      <c r="J55" s="3440"/>
      <c r="K55" s="3438"/>
      <c r="L55" s="3438"/>
      <c r="M55" s="3438"/>
      <c r="N55" s="3390"/>
      <c r="O55" s="3390"/>
      <c r="P55" s="3390"/>
      <c r="Q55" s="3390"/>
      <c r="R55" s="3390"/>
      <c r="S55" s="3413"/>
      <c r="T55" s="3413"/>
      <c r="U55" s="3413"/>
    </row>
    <row r="56" spans="1:21">
      <c r="A56" s="3409"/>
      <c r="B56" s="3409"/>
      <c r="C56" s="3409"/>
      <c r="D56" s="3409"/>
      <c r="E56" s="3409"/>
      <c r="F56" s="3410"/>
      <c r="G56" s="3409"/>
      <c r="H56" s="3409"/>
      <c r="I56" s="3409"/>
      <c r="J56" s="3440"/>
      <c r="K56" s="3438"/>
      <c r="L56" s="3438"/>
      <c r="M56" s="3438"/>
      <c r="N56" s="3390"/>
      <c r="O56" s="3390"/>
      <c r="P56" s="3390"/>
      <c r="Q56" s="3390"/>
      <c r="R56" s="3390"/>
      <c r="S56" s="3413"/>
      <c r="T56" s="3413"/>
      <c r="U56" s="3413"/>
    </row>
    <row r="57" spans="1:21">
      <c r="A57" s="3409"/>
      <c r="B57" s="3409"/>
      <c r="C57" s="3409"/>
      <c r="D57" s="3409"/>
      <c r="E57" s="3409"/>
      <c r="F57" s="3410"/>
      <c r="G57" s="3409"/>
      <c r="H57" s="3409"/>
      <c r="I57" s="3409"/>
      <c r="J57" s="3440"/>
      <c r="K57" s="3438"/>
      <c r="L57" s="3438"/>
      <c r="M57" s="3438"/>
      <c r="N57" s="3390"/>
      <c r="O57" s="3390"/>
      <c r="P57" s="3390"/>
      <c r="Q57" s="3390"/>
      <c r="R57" s="3390"/>
      <c r="S57" s="3413"/>
      <c r="T57" s="3413"/>
      <c r="U57" s="3413"/>
    </row>
    <row r="58" spans="1:21">
      <c r="A58" s="3409"/>
      <c r="B58" s="3409"/>
      <c r="C58" s="3409"/>
      <c r="D58" s="3409"/>
      <c r="E58" s="3409"/>
      <c r="F58" s="3410"/>
      <c r="G58" s="3409"/>
      <c r="H58" s="3409"/>
      <c r="I58" s="3409"/>
      <c r="J58" s="3440"/>
      <c r="K58" s="3438"/>
      <c r="L58" s="3438"/>
      <c r="M58" s="3438"/>
      <c r="N58" s="3390"/>
      <c r="O58" s="3390"/>
      <c r="P58" s="3390"/>
      <c r="Q58" s="3390"/>
      <c r="R58" s="3390"/>
      <c r="S58" s="3413"/>
      <c r="T58" s="3413"/>
      <c r="U58" s="3413"/>
    </row>
  </sheetData>
  <sheetProtection password="CEE9" sheet="1" objects="1" scenarios="1" formatCells="0" formatColumns="0" formatRows="0"/>
  <mergeCells count="23">
    <mergeCell ref="K24:K26"/>
    <mergeCell ref="S40:S41"/>
    <mergeCell ref="B41:E41"/>
    <mergeCell ref="A31:A34"/>
    <mergeCell ref="A35:A39"/>
    <mergeCell ref="B37:B39"/>
    <mergeCell ref="D8:D9"/>
    <mergeCell ref="C31:D31"/>
    <mergeCell ref="C34:D34"/>
    <mergeCell ref="D35:I35"/>
    <mergeCell ref="B36:C36"/>
    <mergeCell ref="E36:F36"/>
    <mergeCell ref="H36:I36"/>
    <mergeCell ref="D20:I20"/>
    <mergeCell ref="E21:I21"/>
    <mergeCell ref="E22:I22"/>
    <mergeCell ref="B24:C24"/>
    <mergeCell ref="D24:E24"/>
    <mergeCell ref="B1:I1"/>
    <mergeCell ref="B12:D12"/>
    <mergeCell ref="F12:I12"/>
    <mergeCell ref="B13:D13"/>
    <mergeCell ref="F13:I13"/>
  </mergeCells>
  <phoneticPr fontId="254" type="noConversion"/>
  <dataValidations count="31">
    <dataValidation type="list" allowBlank="1" showInputMessage="1" showErrorMessage="1" sqref="B4 D4 F4 H4">
      <formula1>土地估价师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"抵押价格,市场价格"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A22">
      <formula1>"建筑与土地面积依据相同,——"</formula1>
    </dataValidation>
    <dataValidation type="list" allowBlank="1" showInputMessage="1" showErrorMessage="1" sqref="C23 E23 G23">
      <formula1>估价范围判定</formula1>
    </dataValidation>
    <dataValidation type="list" allowBlank="1" showInputMessage="1" showErrorMessage="1" sqref="E25 C25:C26">
      <formula1>"原件,复印件,——"</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C33">
      <formula1>"否,全部为保障性住房,含保障性住房"</formula1>
    </dataValidation>
    <dataValidation type="list" allowBlank="1" showInputMessage="1" showErrorMessage="1" sqref="B35">
      <formula1>"场地平整,宗地内已开工建设,场地未平整"</formula1>
    </dataValidation>
    <dataValidation type="list" allowBlank="1" showInputMessage="1" showErrorMessage="1" sqref="D36">
      <formula1>"平整,未平整,——"</formula1>
    </dataValidation>
    <dataValidation type="list" allowBlank="1" showInputMessage="1" showErrorMessage="1" sqref="B40:H40">
      <formula1>七通一平</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F44">
      <formula1>INDIRECT($F$43)</formula1>
    </dataValidation>
    <dataValidation type="list" allowBlank="1" showInputMessage="1" showErrorMessage="1" sqref="B25:B26">
      <formula1>"《房屋所有权证》,《国有土地使用证》,《不动产权证书》,——"</formula1>
    </dataValidation>
  </dataValidations>
  <pageMargins left="0.25" right="0.25" top="0.75" bottom="0.75" header="0.3" footer="0.3"/>
  <pageSetup paperSize="9" scale="78"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workbookViewId="0">
      <pane xSplit="4" ySplit="12" topLeftCell="E13" activePane="bottomRight" state="frozen"/>
      <selection pane="topRight"/>
      <selection pane="bottomLeft"/>
      <selection pane="bottomRight" activeCell="K22" sqref="K22"/>
    </sheetView>
  </sheetViews>
  <sheetFormatPr defaultColWidth="8.875" defaultRowHeight="14.25"/>
  <cols>
    <col min="1" max="1" width="10.625" style="3168" customWidth="1"/>
    <col min="2" max="2" width="11" style="3168" customWidth="1"/>
    <col min="3" max="3" width="10.375" style="3168" customWidth="1"/>
    <col min="4" max="4" width="9.125" style="3168" customWidth="1"/>
    <col min="5" max="6" width="10" style="3166" customWidth="1"/>
    <col min="7" max="8" width="10" style="3168" customWidth="1"/>
    <col min="9" max="9" width="10.625" style="3168" customWidth="1"/>
    <col min="10" max="10" width="9.5" style="3168" customWidth="1"/>
    <col min="11" max="11" width="11" style="3168" customWidth="1"/>
    <col min="12" max="14" width="9.5" style="3168" customWidth="1"/>
    <col min="15" max="15" width="9.875" style="3168" customWidth="1"/>
    <col min="16" max="16" width="9.75" style="3168" customWidth="1"/>
    <col min="17" max="17" width="9.375" style="3168" customWidth="1"/>
    <col min="18" max="18" width="9.25" style="3168" customWidth="1"/>
    <col min="19" max="19" width="10.875" style="3168" customWidth="1"/>
    <col min="20" max="21" width="10.75" style="3168" customWidth="1"/>
    <col min="22" max="22" width="10.875" style="3168" customWidth="1"/>
    <col min="23" max="27" width="10.75" style="3168" customWidth="1"/>
    <col min="28" max="28" width="10.875" style="3168" customWidth="1"/>
    <col min="29" max="29" width="11" style="3168" customWidth="1"/>
    <col min="30" max="30" width="10" style="3168" customWidth="1"/>
    <col min="31" max="31" width="9.75" style="3168" customWidth="1"/>
    <col min="32" max="46" width="9.5" style="3168" customWidth="1"/>
    <col min="47" max="47" width="18.125" style="3168" customWidth="1"/>
    <col min="48" max="50" width="9.75" style="3168" customWidth="1"/>
    <col min="51" max="55" width="10.5" style="3168" customWidth="1"/>
    <col min="56" max="56" width="9.5" style="3168" customWidth="1"/>
    <col min="57" max="63" width="9.125" style="3168" customWidth="1"/>
    <col min="64" max="64" width="9.5" style="3168" customWidth="1"/>
    <col min="65" max="65" width="9.125" style="3168" customWidth="1"/>
    <col min="66" max="66" width="9.5" style="3168" customWidth="1"/>
    <col min="67" max="69" width="9.125" style="3168" customWidth="1"/>
    <col min="70" max="70" width="9.5" style="3168" customWidth="1"/>
    <col min="71" max="71" width="9" style="3168" customWidth="1"/>
    <col min="72" max="72" width="9.125" style="3168" customWidth="1"/>
    <col min="73" max="16384" width="8.875" style="3168"/>
  </cols>
  <sheetData>
    <row r="1" spans="1:72" ht="20.25">
      <c r="A1" s="3169" t="s">
        <v>502</v>
      </c>
      <c r="B1" s="3170"/>
      <c r="C1" s="3170"/>
      <c r="D1" s="3170"/>
      <c r="E1" s="3170"/>
      <c r="F1" s="3170"/>
      <c r="G1" s="3170"/>
      <c r="H1" s="3170"/>
      <c r="I1" s="3170"/>
      <c r="J1" s="3170"/>
      <c r="K1" s="3170"/>
      <c r="L1" s="3170"/>
      <c r="M1" s="3170"/>
      <c r="N1" s="3170"/>
      <c r="O1" s="3170"/>
      <c r="P1" s="3170"/>
      <c r="Q1" s="3170"/>
      <c r="R1" s="3170"/>
      <c r="S1" s="3170"/>
      <c r="T1" s="3170"/>
      <c r="U1" s="3170"/>
      <c r="V1" s="3170"/>
      <c r="W1" s="3170"/>
      <c r="X1" s="3170"/>
      <c r="Y1" s="3170"/>
      <c r="Z1" s="3170"/>
      <c r="AA1" s="3170"/>
      <c r="AB1" s="3170"/>
      <c r="AC1" s="3170"/>
      <c r="AD1" s="3170"/>
      <c r="AE1" s="3170"/>
      <c r="AF1" s="3170"/>
      <c r="AG1" s="3170"/>
      <c r="AH1" s="3170"/>
      <c r="AI1" s="3170"/>
      <c r="AJ1" s="3170"/>
      <c r="AK1" s="3170"/>
      <c r="AL1" s="3170"/>
      <c r="AM1" s="3170"/>
      <c r="AN1" s="3170"/>
      <c r="AO1" s="3170"/>
      <c r="AP1" s="3170"/>
      <c r="AQ1" s="3170"/>
      <c r="AR1" s="3170"/>
      <c r="AS1" s="3170"/>
      <c r="AT1" s="3170"/>
      <c r="AU1" s="3170"/>
      <c r="AV1" s="3234" t="s">
        <v>503</v>
      </c>
      <c r="AW1" s="3170"/>
      <c r="AX1" s="3170"/>
      <c r="AY1" s="3170"/>
      <c r="AZ1" s="3170"/>
      <c r="BA1" s="3170"/>
      <c r="BB1" s="3170"/>
      <c r="BC1" s="3170"/>
      <c r="BD1" s="3170"/>
      <c r="BE1" s="3170"/>
      <c r="BF1" s="3170"/>
      <c r="BG1" s="3170"/>
      <c r="BH1" s="3170"/>
      <c r="BI1" s="3170"/>
      <c r="BJ1" s="3170"/>
      <c r="BK1" s="3170"/>
      <c r="BL1" s="3170"/>
      <c r="BM1" s="3170"/>
      <c r="BN1" s="3170"/>
      <c r="BO1" s="3170"/>
      <c r="BP1" s="3170"/>
      <c r="BQ1" s="3170"/>
      <c r="BR1" s="3170"/>
      <c r="BS1" s="3170"/>
      <c r="BT1" s="3170"/>
    </row>
    <row r="2" spans="1:72" s="203" customFormat="1" ht="24">
      <c r="A2" s="141" t="s">
        <v>504</v>
      </c>
      <c r="B2" s="141" t="s">
        <v>505</v>
      </c>
      <c r="C2" s="141" t="s">
        <v>506</v>
      </c>
      <c r="D2" s="3171"/>
      <c r="E2" s="2658"/>
      <c r="F2" s="2651"/>
      <c r="G2" s="3171"/>
      <c r="H2" s="3171"/>
      <c r="I2" s="3171"/>
      <c r="J2" s="3171"/>
      <c r="K2" s="3171"/>
      <c r="L2" s="3171"/>
      <c r="M2" s="3171"/>
      <c r="N2" s="3171"/>
      <c r="O2" s="3171"/>
      <c r="P2" s="3171"/>
      <c r="Q2" s="3171"/>
      <c r="R2" s="3171"/>
      <c r="S2" s="3171"/>
      <c r="T2" s="3171"/>
      <c r="U2" s="3171"/>
      <c r="V2" s="3171"/>
      <c r="W2" s="3171"/>
      <c r="X2" s="3171"/>
      <c r="Y2" s="3171"/>
      <c r="Z2" s="3171"/>
      <c r="AA2" s="3171"/>
      <c r="AB2" s="3171"/>
      <c r="AC2" s="3171"/>
      <c r="AD2" s="3171"/>
      <c r="AE2" s="3171"/>
      <c r="AF2" s="3171"/>
      <c r="AG2" s="3171"/>
      <c r="AH2" s="3171"/>
      <c r="AI2" s="3171"/>
      <c r="AJ2" s="3171"/>
      <c r="AK2" s="3171"/>
      <c r="AL2" s="3171"/>
      <c r="AM2" s="3171"/>
      <c r="AN2" s="3171"/>
      <c r="AO2" s="3171"/>
      <c r="AP2" s="3171"/>
      <c r="AQ2" s="3171"/>
      <c r="AR2" s="3171"/>
      <c r="AS2" s="3171"/>
      <c r="AT2" s="3171"/>
      <c r="AU2" s="3171"/>
      <c r="AV2" s="3171"/>
      <c r="AW2" s="3171"/>
      <c r="AX2" s="3171"/>
      <c r="AY2" s="3251" t="s">
        <v>507</v>
      </c>
      <c r="AZ2" s="3252" t="s">
        <v>508</v>
      </c>
      <c r="BA2" s="3253" t="s">
        <v>509</v>
      </c>
      <c r="BB2" s="3171"/>
      <c r="BC2" s="3171"/>
      <c r="BD2" s="3171"/>
      <c r="BE2" s="3171"/>
      <c r="BF2" s="3171"/>
      <c r="BG2" s="3171"/>
      <c r="BH2" s="3171"/>
      <c r="BI2" s="3171"/>
      <c r="BJ2" s="3171"/>
      <c r="BK2" s="3171"/>
      <c r="BL2" s="3171"/>
      <c r="BM2" s="3171"/>
      <c r="BN2" s="3171"/>
      <c r="BO2" s="3171"/>
      <c r="BP2" s="3171"/>
      <c r="BQ2" s="3171"/>
      <c r="BR2" s="3171"/>
      <c r="BS2" s="3171"/>
      <c r="BT2" s="3171"/>
    </row>
    <row r="3" spans="1:72" s="203" customFormat="1" ht="12.75">
      <c r="A3" s="3172">
        <f>66666.67+133333.33</f>
        <v>200000</v>
      </c>
      <c r="B3" s="3173">
        <f>IF(C3="否",G5-AT5,G5)</f>
        <v>74800</v>
      </c>
      <c r="C3" s="3174"/>
      <c r="D3" s="3171"/>
      <c r="E3" s="3171"/>
      <c r="F3" s="3171"/>
      <c r="G3" s="3171"/>
      <c r="H3" s="3171"/>
      <c r="I3" s="3171"/>
      <c r="J3" s="3171"/>
      <c r="K3" s="3171"/>
      <c r="L3" s="3171"/>
      <c r="M3" s="3171"/>
      <c r="N3" s="3171"/>
      <c r="O3" s="3171"/>
      <c r="P3" s="3171"/>
      <c r="Q3" s="3171"/>
      <c r="R3" s="3171"/>
      <c r="S3" s="3171"/>
      <c r="T3" s="3171"/>
      <c r="U3" s="3171"/>
      <c r="V3" s="3171"/>
      <c r="W3" s="3171"/>
      <c r="X3" s="3171"/>
      <c r="Y3" s="3171"/>
      <c r="Z3" s="3171"/>
      <c r="AA3" s="3171"/>
      <c r="AB3" s="3171"/>
      <c r="AC3" s="3171"/>
      <c r="AD3" s="3171"/>
      <c r="AE3" s="3171"/>
      <c r="AF3" s="3171"/>
      <c r="AG3" s="3171"/>
      <c r="AH3" s="3171"/>
      <c r="AI3" s="3171"/>
      <c r="AJ3" s="3171"/>
      <c r="AK3" s="3171"/>
      <c r="AL3" s="3171"/>
      <c r="AM3" s="3171"/>
      <c r="AN3" s="3171"/>
      <c r="AO3" s="3171"/>
      <c r="AP3" s="3171"/>
      <c r="AQ3" s="3171"/>
      <c r="AR3" s="3171"/>
      <c r="AS3" s="3171"/>
      <c r="AT3" s="3171"/>
      <c r="AU3" s="3171"/>
      <c r="AV3" s="3171"/>
      <c r="AW3" s="3171"/>
      <c r="AX3" s="3171"/>
      <c r="AY3" s="3254"/>
      <c r="AZ3" s="3255"/>
      <c r="BA3" s="3256"/>
      <c r="BB3" s="3171"/>
      <c r="BC3" s="3171"/>
      <c r="BD3" s="3171"/>
      <c r="BE3" s="3171"/>
      <c r="BF3" s="3171"/>
      <c r="BG3" s="3171"/>
      <c r="BH3" s="3171"/>
      <c r="BI3" s="3171"/>
      <c r="BJ3" s="3171"/>
      <c r="BK3" s="3171"/>
      <c r="BL3" s="3171"/>
      <c r="BM3" s="3171"/>
      <c r="BN3" s="3171"/>
      <c r="BO3" s="3171"/>
      <c r="BP3" s="3171"/>
      <c r="BQ3" s="3171"/>
      <c r="BR3" s="3171"/>
      <c r="BS3" s="3171"/>
      <c r="BT3" s="3171"/>
    </row>
    <row r="4" spans="1:72" s="3164" customFormat="1" ht="12.75">
      <c r="A4" s="3175"/>
      <c r="B4" s="3176"/>
      <c r="C4" s="3177"/>
      <c r="D4" s="3171"/>
      <c r="E4" s="3171"/>
      <c r="F4" s="3171"/>
      <c r="G4" s="3171"/>
      <c r="H4" s="3171"/>
      <c r="I4" s="3171"/>
      <c r="J4" s="3171"/>
      <c r="K4" s="3171"/>
      <c r="L4" s="3171"/>
      <c r="M4" s="3171"/>
      <c r="N4" s="3171"/>
      <c r="O4" s="3171"/>
      <c r="P4" s="3171"/>
      <c r="Q4" s="3171"/>
      <c r="R4" s="3171"/>
      <c r="S4" s="3171"/>
      <c r="T4" s="3171"/>
      <c r="U4" s="3171"/>
      <c r="V4" s="3171"/>
      <c r="W4" s="3171"/>
      <c r="X4" s="3171"/>
      <c r="Y4" s="3171"/>
      <c r="Z4" s="3171"/>
      <c r="AA4" s="3171"/>
      <c r="AB4" s="3171"/>
      <c r="AC4" s="3171"/>
      <c r="AD4" s="3171"/>
      <c r="AE4" s="3171"/>
      <c r="AF4" s="3171"/>
      <c r="AG4" s="3171"/>
      <c r="AH4" s="3171"/>
      <c r="AI4" s="3171"/>
      <c r="AJ4" s="3171"/>
      <c r="AK4" s="3171"/>
      <c r="AL4" s="3171"/>
      <c r="AM4" s="3171"/>
      <c r="AN4" s="3171"/>
      <c r="AO4" s="3171"/>
      <c r="AP4" s="3171"/>
      <c r="AQ4" s="3171"/>
      <c r="AR4" s="3171"/>
      <c r="AS4" s="3171"/>
      <c r="AT4" s="3171"/>
      <c r="AU4" s="3171"/>
      <c r="AV4" s="3171"/>
      <c r="AW4" s="3171"/>
      <c r="AX4" s="3171"/>
      <c r="AY4" s="3171"/>
      <c r="AZ4" s="3171"/>
      <c r="BA4" s="3257"/>
      <c r="BB4" s="3171"/>
      <c r="BC4" s="3171"/>
      <c r="BD4" s="3171"/>
      <c r="BE4" s="3171"/>
      <c r="BF4" s="3171"/>
      <c r="BG4" s="3171"/>
      <c r="BH4" s="3171"/>
      <c r="BI4" s="3171"/>
      <c r="BJ4" s="3171"/>
      <c r="BK4" s="3171"/>
      <c r="BL4" s="3171"/>
      <c r="BM4" s="3171"/>
      <c r="BN4" s="3171"/>
      <c r="BO4" s="3171"/>
      <c r="BP4" s="3171"/>
      <c r="BQ4" s="3171"/>
      <c r="BR4" s="3171"/>
      <c r="BS4" s="3171"/>
      <c r="BT4" s="3171"/>
    </row>
    <row r="5" spans="1:72" s="203" customFormat="1" ht="12.75">
      <c r="A5" s="1116" t="s">
        <v>510</v>
      </c>
      <c r="B5" s="1222"/>
      <c r="C5" s="1222"/>
      <c r="D5" s="2570"/>
      <c r="E5" s="3178" t="s">
        <v>138</v>
      </c>
      <c r="F5" s="3178">
        <f>SUM(F13:F572)</f>
        <v>0</v>
      </c>
      <c r="G5" s="3178">
        <f>SUM(G13:G572)</f>
        <v>74800</v>
      </c>
      <c r="H5" s="3178">
        <f t="shared" ref="H5:AT5" si="0">SUM(H13:H641)</f>
        <v>74800</v>
      </c>
      <c r="I5" s="3178">
        <f t="shared" si="0"/>
        <v>74800</v>
      </c>
      <c r="J5" s="3178">
        <f t="shared" si="0"/>
        <v>0</v>
      </c>
      <c r="K5" s="3178">
        <f t="shared" si="0"/>
        <v>0</v>
      </c>
      <c r="L5" s="3178">
        <f t="shared" si="0"/>
        <v>0</v>
      </c>
      <c r="M5" s="3178">
        <f t="shared" si="0"/>
        <v>0</v>
      </c>
      <c r="N5" s="3178">
        <f t="shared" si="0"/>
        <v>0</v>
      </c>
      <c r="O5" s="3178">
        <f t="shared" si="0"/>
        <v>0</v>
      </c>
      <c r="P5" s="3178">
        <f t="shared" si="0"/>
        <v>0</v>
      </c>
      <c r="Q5" s="3178">
        <f t="shared" si="0"/>
        <v>0</v>
      </c>
      <c r="R5" s="3178">
        <f t="shared" si="0"/>
        <v>0</v>
      </c>
      <c r="S5" s="3178">
        <f t="shared" si="0"/>
        <v>0</v>
      </c>
      <c r="T5" s="3178">
        <f t="shared" si="0"/>
        <v>0</v>
      </c>
      <c r="U5" s="3178">
        <f t="shared" si="0"/>
        <v>0</v>
      </c>
      <c r="V5" s="3178">
        <f t="shared" si="0"/>
        <v>0</v>
      </c>
      <c r="W5" s="3178">
        <f t="shared" si="0"/>
        <v>0</v>
      </c>
      <c r="X5" s="3178">
        <f t="shared" si="0"/>
        <v>0</v>
      </c>
      <c r="Y5" s="3178">
        <f t="shared" si="0"/>
        <v>0</v>
      </c>
      <c r="Z5" s="3178">
        <f t="shared" si="0"/>
        <v>0</v>
      </c>
      <c r="AA5" s="3178">
        <f t="shared" si="0"/>
        <v>0</v>
      </c>
      <c r="AB5" s="3178">
        <f t="shared" si="0"/>
        <v>0</v>
      </c>
      <c r="AC5" s="3178">
        <f t="shared" si="0"/>
        <v>0</v>
      </c>
      <c r="AD5" s="3178">
        <f t="shared" si="0"/>
        <v>0</v>
      </c>
      <c r="AE5" s="3178">
        <f t="shared" si="0"/>
        <v>0</v>
      </c>
      <c r="AF5" s="3178">
        <f t="shared" si="0"/>
        <v>0</v>
      </c>
      <c r="AG5" s="3178">
        <f t="shared" si="0"/>
        <v>0</v>
      </c>
      <c r="AH5" s="3178">
        <f t="shared" si="0"/>
        <v>0</v>
      </c>
      <c r="AI5" s="3178">
        <f t="shared" si="0"/>
        <v>0</v>
      </c>
      <c r="AJ5" s="3178">
        <f t="shared" si="0"/>
        <v>0</v>
      </c>
      <c r="AK5" s="3178">
        <f t="shared" si="0"/>
        <v>0</v>
      </c>
      <c r="AL5" s="3178">
        <f t="shared" si="0"/>
        <v>0</v>
      </c>
      <c r="AM5" s="3178">
        <f t="shared" si="0"/>
        <v>0</v>
      </c>
      <c r="AN5" s="3178">
        <f t="shared" si="0"/>
        <v>0</v>
      </c>
      <c r="AO5" s="3178">
        <f t="shared" si="0"/>
        <v>0</v>
      </c>
      <c r="AP5" s="3178">
        <f t="shared" si="0"/>
        <v>0</v>
      </c>
      <c r="AQ5" s="3178">
        <f t="shared" si="0"/>
        <v>0</v>
      </c>
      <c r="AR5" s="3178">
        <f t="shared" si="0"/>
        <v>0</v>
      </c>
      <c r="AS5" s="3178">
        <f t="shared" si="0"/>
        <v>0</v>
      </c>
      <c r="AT5" s="3178">
        <f t="shared" si="0"/>
        <v>0</v>
      </c>
      <c r="AU5" s="2460"/>
      <c r="AV5" s="1116" t="s">
        <v>510</v>
      </c>
      <c r="AW5" s="1222"/>
      <c r="AX5" s="1222"/>
      <c r="AY5" s="3258" t="s">
        <v>138</v>
      </c>
      <c r="AZ5" s="3259">
        <f t="shared" ref="AZ5:BT5" si="1">SUM(AZ13:AZ641)</f>
        <v>74800</v>
      </c>
      <c r="BA5" s="3259">
        <f t="shared" si="1"/>
        <v>74800</v>
      </c>
      <c r="BB5" s="3259">
        <f t="shared" si="1"/>
        <v>74800</v>
      </c>
      <c r="BC5" s="3259">
        <f t="shared" si="1"/>
        <v>0</v>
      </c>
      <c r="BD5" s="3259">
        <f t="shared" si="1"/>
        <v>0</v>
      </c>
      <c r="BE5" s="3259">
        <f t="shared" si="1"/>
        <v>0</v>
      </c>
      <c r="BF5" s="3259">
        <f t="shared" si="1"/>
        <v>0</v>
      </c>
      <c r="BG5" s="3259">
        <f t="shared" si="1"/>
        <v>0</v>
      </c>
      <c r="BH5" s="3259">
        <f t="shared" si="1"/>
        <v>0</v>
      </c>
      <c r="BI5" s="3259">
        <f t="shared" si="1"/>
        <v>0</v>
      </c>
      <c r="BJ5" s="3259">
        <f t="shared" si="1"/>
        <v>0</v>
      </c>
      <c r="BK5" s="3259">
        <f t="shared" si="1"/>
        <v>0</v>
      </c>
      <c r="BL5" s="3259">
        <f t="shared" si="1"/>
        <v>0</v>
      </c>
      <c r="BM5" s="3259">
        <f t="shared" si="1"/>
        <v>0</v>
      </c>
      <c r="BN5" s="3259">
        <f t="shared" si="1"/>
        <v>0</v>
      </c>
      <c r="BO5" s="3259">
        <f t="shared" si="1"/>
        <v>0</v>
      </c>
      <c r="BP5" s="3259">
        <f t="shared" si="1"/>
        <v>0</v>
      </c>
      <c r="BQ5" s="3259">
        <f t="shared" si="1"/>
        <v>0</v>
      </c>
      <c r="BR5" s="3259">
        <f t="shared" si="1"/>
        <v>0</v>
      </c>
      <c r="BS5" s="3259">
        <f t="shared" si="1"/>
        <v>0</v>
      </c>
      <c r="BT5" s="3268">
        <f t="shared" si="1"/>
        <v>0</v>
      </c>
    </row>
    <row r="6" spans="1:72" s="3165" customFormat="1" ht="12.75">
      <c r="A6" s="1116" t="s">
        <v>511</v>
      </c>
      <c r="B6" s="3179"/>
      <c r="C6" s="3179"/>
      <c r="D6" s="3180"/>
      <c r="E6" s="3178">
        <f>H6+AC6+AT6</f>
        <v>200000</v>
      </c>
      <c r="F6" s="3178" t="s">
        <v>138</v>
      </c>
      <c r="G6" s="3178" t="s">
        <v>138</v>
      </c>
      <c r="H6" s="3181">
        <f>SUMIF(I$12:AB$12,"总值",I6:AB6)</f>
        <v>200000</v>
      </c>
      <c r="I6" s="3178">
        <f t="shared" ref="I6:AB6" si="2">ROUND($A$3*I5/$B$3,2)</f>
        <v>200000</v>
      </c>
      <c r="J6" s="3178">
        <f t="shared" si="2"/>
        <v>0</v>
      </c>
      <c r="K6" s="3178">
        <f t="shared" si="2"/>
        <v>0</v>
      </c>
      <c r="L6" s="3178">
        <f t="shared" si="2"/>
        <v>0</v>
      </c>
      <c r="M6" s="3178">
        <f t="shared" si="2"/>
        <v>0</v>
      </c>
      <c r="N6" s="3178">
        <f t="shared" si="2"/>
        <v>0</v>
      </c>
      <c r="O6" s="3178">
        <f t="shared" si="2"/>
        <v>0</v>
      </c>
      <c r="P6" s="3178">
        <f t="shared" si="2"/>
        <v>0</v>
      </c>
      <c r="Q6" s="3178">
        <f t="shared" si="2"/>
        <v>0</v>
      </c>
      <c r="R6" s="3178">
        <f t="shared" si="2"/>
        <v>0</v>
      </c>
      <c r="S6" s="3178">
        <f t="shared" si="2"/>
        <v>0</v>
      </c>
      <c r="T6" s="3178">
        <f t="shared" si="2"/>
        <v>0</v>
      </c>
      <c r="U6" s="3178">
        <f t="shared" si="2"/>
        <v>0</v>
      </c>
      <c r="V6" s="3178">
        <f t="shared" si="2"/>
        <v>0</v>
      </c>
      <c r="W6" s="3178">
        <f t="shared" si="2"/>
        <v>0</v>
      </c>
      <c r="X6" s="3178">
        <f t="shared" si="2"/>
        <v>0</v>
      </c>
      <c r="Y6" s="3178">
        <f t="shared" si="2"/>
        <v>0</v>
      </c>
      <c r="Z6" s="3178">
        <f t="shared" si="2"/>
        <v>0</v>
      </c>
      <c r="AA6" s="3178">
        <f t="shared" si="2"/>
        <v>0</v>
      </c>
      <c r="AB6" s="3178">
        <f t="shared" si="2"/>
        <v>0</v>
      </c>
      <c r="AC6" s="3181">
        <f>SUMIF(AD$12:AS$12,"总值",AD6:AS6)</f>
        <v>0</v>
      </c>
      <c r="AD6" s="3178">
        <f t="shared" ref="AD6:AS6" si="3">ROUND($A$3*AD5/$B$3,2)</f>
        <v>0</v>
      </c>
      <c r="AE6" s="3178">
        <f t="shared" si="3"/>
        <v>0</v>
      </c>
      <c r="AF6" s="3178">
        <f t="shared" si="3"/>
        <v>0</v>
      </c>
      <c r="AG6" s="3178">
        <f t="shared" si="3"/>
        <v>0</v>
      </c>
      <c r="AH6" s="3178">
        <f t="shared" si="3"/>
        <v>0</v>
      </c>
      <c r="AI6" s="3178">
        <f t="shared" si="3"/>
        <v>0</v>
      </c>
      <c r="AJ6" s="3178">
        <f t="shared" si="3"/>
        <v>0</v>
      </c>
      <c r="AK6" s="3178">
        <f t="shared" si="3"/>
        <v>0</v>
      </c>
      <c r="AL6" s="3178">
        <f t="shared" si="3"/>
        <v>0</v>
      </c>
      <c r="AM6" s="3178">
        <f t="shared" si="3"/>
        <v>0</v>
      </c>
      <c r="AN6" s="3178">
        <f t="shared" si="3"/>
        <v>0</v>
      </c>
      <c r="AO6" s="3178">
        <f t="shared" si="3"/>
        <v>0</v>
      </c>
      <c r="AP6" s="3178">
        <f t="shared" si="3"/>
        <v>0</v>
      </c>
      <c r="AQ6" s="3178">
        <f t="shared" si="3"/>
        <v>0</v>
      </c>
      <c r="AR6" s="3178">
        <f t="shared" si="3"/>
        <v>0</v>
      </c>
      <c r="AS6" s="3178">
        <f t="shared" si="3"/>
        <v>0</v>
      </c>
      <c r="AT6" s="3181">
        <f>IF(C3="是",ROUND($A$3*AT5/$B$3,2),0)</f>
        <v>0</v>
      </c>
      <c r="AU6" s="3235"/>
      <c r="AV6" s="1116" t="s">
        <v>511</v>
      </c>
      <c r="AW6" s="3179"/>
      <c r="AX6" s="3179"/>
      <c r="AY6" s="3260">
        <f>IF(AY3&gt;0,AY3,ROUND($A$3*AZ5/$B$3,2))</f>
        <v>200000</v>
      </c>
      <c r="AZ6" s="3178" t="s">
        <v>138</v>
      </c>
      <c r="BA6" s="3178">
        <f>ROUND($AY$6*BA5/$AZ$5,2)</f>
        <v>200000</v>
      </c>
      <c r="BB6" s="3178">
        <f>ROUND($AY$6*BB5/$AZ$5,2)</f>
        <v>200000</v>
      </c>
      <c r="BC6" s="3178">
        <f t="shared" ref="BC6:BH6" si="4">ROUND($AY$6*BC5/$AZ$5,2)</f>
        <v>0</v>
      </c>
      <c r="BD6" s="3178">
        <f t="shared" si="4"/>
        <v>0</v>
      </c>
      <c r="BE6" s="3178">
        <f t="shared" si="4"/>
        <v>0</v>
      </c>
      <c r="BF6" s="3178">
        <f t="shared" si="4"/>
        <v>0</v>
      </c>
      <c r="BG6" s="3178">
        <f t="shared" si="4"/>
        <v>0</v>
      </c>
      <c r="BH6" s="3178">
        <f t="shared" si="4"/>
        <v>0</v>
      </c>
      <c r="BI6" s="3178">
        <f t="shared" ref="BI6:BT6" si="5">ROUND($AY$6*BI5/$AZ$5,2)</f>
        <v>0</v>
      </c>
      <c r="BJ6" s="3178">
        <f t="shared" si="5"/>
        <v>0</v>
      </c>
      <c r="BK6" s="3178">
        <f t="shared" si="5"/>
        <v>0</v>
      </c>
      <c r="BL6" s="3178">
        <f t="shared" si="5"/>
        <v>0</v>
      </c>
      <c r="BM6" s="3178">
        <f t="shared" si="5"/>
        <v>0</v>
      </c>
      <c r="BN6" s="3178">
        <f t="shared" si="5"/>
        <v>0</v>
      </c>
      <c r="BO6" s="3178">
        <f t="shared" si="5"/>
        <v>0</v>
      </c>
      <c r="BP6" s="3178">
        <f t="shared" si="5"/>
        <v>0</v>
      </c>
      <c r="BQ6" s="3178">
        <f t="shared" si="5"/>
        <v>0</v>
      </c>
      <c r="BR6" s="3178">
        <f t="shared" si="5"/>
        <v>0</v>
      </c>
      <c r="BS6" s="3178">
        <f t="shared" si="5"/>
        <v>0</v>
      </c>
      <c r="BT6" s="3269">
        <f t="shared" si="5"/>
        <v>0</v>
      </c>
    </row>
    <row r="7" spans="1:72" s="203" customFormat="1" ht="24.75">
      <c r="A7" s="3182" t="s">
        <v>512</v>
      </c>
      <c r="B7" s="3182" t="s">
        <v>513</v>
      </c>
      <c r="C7" s="3182" t="s">
        <v>514</v>
      </c>
      <c r="D7" s="3182" t="s">
        <v>515</v>
      </c>
      <c r="E7" s="3182" t="s">
        <v>511</v>
      </c>
      <c r="F7" s="3182" t="s">
        <v>516</v>
      </c>
      <c r="G7" s="3183" t="s">
        <v>517</v>
      </c>
      <c r="H7" s="3184"/>
      <c r="I7" s="3184"/>
      <c r="J7" s="3184"/>
      <c r="K7" s="3184"/>
      <c r="L7" s="3184"/>
      <c r="M7" s="3184"/>
      <c r="N7" s="3184"/>
      <c r="O7" s="3184"/>
      <c r="P7" s="3184"/>
      <c r="Q7" s="3184"/>
      <c r="R7" s="3184"/>
      <c r="S7" s="3184"/>
      <c r="T7" s="3184"/>
      <c r="U7" s="3184"/>
      <c r="V7" s="3184"/>
      <c r="W7" s="3184"/>
      <c r="X7" s="3184"/>
      <c r="Y7" s="3184"/>
      <c r="Z7" s="3184"/>
      <c r="AA7" s="3184"/>
      <c r="AB7" s="3184"/>
      <c r="AC7" s="3184"/>
      <c r="AD7" s="3184"/>
      <c r="AE7" s="3184"/>
      <c r="AF7" s="3184"/>
      <c r="AG7" s="3184"/>
      <c r="AH7" s="3184"/>
      <c r="AI7" s="3184"/>
      <c r="AJ7" s="3184"/>
      <c r="AK7" s="3184"/>
      <c r="AL7" s="3184"/>
      <c r="AM7" s="3184"/>
      <c r="AN7" s="3184"/>
      <c r="AO7" s="3184"/>
      <c r="AP7" s="3184"/>
      <c r="AQ7" s="3184"/>
      <c r="AR7" s="3184"/>
      <c r="AS7" s="3184"/>
      <c r="AT7" s="3236"/>
      <c r="AU7" s="3184" t="s">
        <v>518</v>
      </c>
      <c r="AV7" s="2630" t="s">
        <v>512</v>
      </c>
      <c r="AW7" s="2651" t="s">
        <v>513</v>
      </c>
      <c r="AX7" s="2630" t="s">
        <v>514</v>
      </c>
      <c r="AY7" s="1222" t="s">
        <v>519</v>
      </c>
      <c r="AZ7" s="3224"/>
      <c r="BA7" s="3184"/>
      <c r="BB7" s="3184"/>
      <c r="BC7" s="3184"/>
      <c r="BD7" s="3184"/>
      <c r="BE7" s="3184"/>
      <c r="BF7" s="3184"/>
      <c r="BG7" s="3184"/>
      <c r="BH7" s="3184"/>
      <c r="BI7" s="3184"/>
      <c r="BJ7" s="3184"/>
      <c r="BK7" s="3184"/>
      <c r="BL7" s="3184"/>
      <c r="BM7" s="3184"/>
      <c r="BN7" s="3184"/>
      <c r="BO7" s="3184"/>
      <c r="BP7" s="3184"/>
      <c r="BQ7" s="3184"/>
      <c r="BR7" s="3184"/>
      <c r="BS7" s="3184"/>
      <c r="BT7" s="3270"/>
    </row>
    <row r="8" spans="1:72" s="207" customFormat="1" ht="24">
      <c r="A8" s="3185"/>
      <c r="B8" s="3185"/>
      <c r="C8" s="3185"/>
      <c r="D8" s="3185"/>
      <c r="E8" s="3185"/>
      <c r="F8" s="3185"/>
      <c r="G8" s="3186" t="s">
        <v>520</v>
      </c>
      <c r="H8" s="3187" t="s">
        <v>521</v>
      </c>
      <c r="I8" s="3208"/>
      <c r="J8" s="140"/>
      <c r="K8" s="140"/>
      <c r="L8" s="140"/>
      <c r="M8" s="140"/>
      <c r="N8" s="140"/>
      <c r="O8" s="140"/>
      <c r="P8" s="140"/>
      <c r="Q8" s="140"/>
      <c r="R8" s="140"/>
      <c r="S8" s="140"/>
      <c r="T8" s="140"/>
      <c r="U8" s="140"/>
      <c r="V8" s="3220"/>
      <c r="W8" s="140"/>
      <c r="X8" s="140"/>
      <c r="Y8" s="140"/>
      <c r="Z8" s="140"/>
      <c r="AA8" s="3220"/>
      <c r="AB8" s="3222"/>
      <c r="AC8" s="2403" t="s">
        <v>522</v>
      </c>
      <c r="AD8" s="3223"/>
      <c r="AE8" s="3224"/>
      <c r="AF8" s="140"/>
      <c r="AG8" s="140"/>
      <c r="AH8" s="140"/>
      <c r="AI8" s="140"/>
      <c r="AJ8" s="140"/>
      <c r="AK8" s="140"/>
      <c r="AL8" s="140"/>
      <c r="AM8" s="140"/>
      <c r="AN8" s="140"/>
      <c r="AO8" s="140"/>
      <c r="AP8" s="140"/>
      <c r="AQ8" s="140"/>
      <c r="AR8" s="140"/>
      <c r="AS8" s="200"/>
      <c r="AT8" s="3237" t="s">
        <v>523</v>
      </c>
      <c r="AU8" s="3185" t="s">
        <v>524</v>
      </c>
      <c r="AV8" s="989"/>
      <c r="AW8" s="2658"/>
      <c r="AX8" s="989"/>
      <c r="AY8" s="2651" t="s">
        <v>511</v>
      </c>
      <c r="AZ8" s="139" t="s">
        <v>505</v>
      </c>
      <c r="BA8" s="140"/>
      <c r="BB8" s="140"/>
      <c r="BC8" s="140"/>
      <c r="BD8" s="140"/>
      <c r="BE8" s="140"/>
      <c r="BF8" s="140"/>
      <c r="BG8" s="140"/>
      <c r="BH8" s="140"/>
      <c r="BI8" s="140"/>
      <c r="BJ8" s="140"/>
      <c r="BK8" s="140"/>
      <c r="BL8" s="140"/>
      <c r="BM8" s="140"/>
      <c r="BN8" s="140"/>
      <c r="BO8" s="140"/>
      <c r="BP8" s="140"/>
      <c r="BQ8" s="140"/>
      <c r="BR8" s="140"/>
      <c r="BS8" s="140"/>
      <c r="BT8" s="1039"/>
    </row>
    <row r="9" spans="1:72" s="207" customFormat="1" ht="12.75">
      <c r="A9" s="3185"/>
      <c r="B9" s="3185"/>
      <c r="C9" s="3185"/>
      <c r="D9" s="3185"/>
      <c r="E9" s="3185"/>
      <c r="F9" s="3185"/>
      <c r="G9" s="989"/>
      <c r="H9" s="3188" t="s">
        <v>525</v>
      </c>
      <c r="I9" s="3209" t="s">
        <v>526</v>
      </c>
      <c r="J9" s="2403"/>
      <c r="K9" s="3209"/>
      <c r="L9" s="2403"/>
      <c r="M9" s="3209"/>
      <c r="N9" s="2403"/>
      <c r="O9" s="3210"/>
      <c r="P9" s="2403"/>
      <c r="Q9" s="3210"/>
      <c r="R9" s="2403"/>
      <c r="S9" s="3210"/>
      <c r="T9" s="2403"/>
      <c r="U9" s="3210"/>
      <c r="V9" s="2403"/>
      <c r="W9" s="3210"/>
      <c r="X9" s="3221"/>
      <c r="Y9" s="3210"/>
      <c r="Z9" s="2403"/>
      <c r="AA9" s="3210"/>
      <c r="AB9" s="2403"/>
      <c r="AC9" s="3186" t="s">
        <v>525</v>
      </c>
      <c r="AD9" s="1116" t="s">
        <v>527</v>
      </c>
      <c r="AE9" s="1246"/>
      <c r="AF9" s="1116" t="s">
        <v>528</v>
      </c>
      <c r="AG9" s="1246"/>
      <c r="AH9" s="1116" t="s">
        <v>527</v>
      </c>
      <c r="AI9" s="1246"/>
      <c r="AJ9" s="1116" t="s">
        <v>528</v>
      </c>
      <c r="AK9" s="1246"/>
      <c r="AL9" s="1116" t="s">
        <v>527</v>
      </c>
      <c r="AM9" s="1246"/>
      <c r="AN9" s="1116" t="s">
        <v>528</v>
      </c>
      <c r="AO9" s="1246"/>
      <c r="AP9" s="3238" t="s">
        <v>527</v>
      </c>
      <c r="AQ9" s="3239"/>
      <c r="AR9" s="3238" t="s">
        <v>528</v>
      </c>
      <c r="AS9" s="3240"/>
      <c r="AT9" s="3185"/>
      <c r="AU9" s="3185" t="s">
        <v>529</v>
      </c>
      <c r="AV9" s="989"/>
      <c r="AW9" s="2658"/>
      <c r="AX9" s="989"/>
      <c r="AY9" s="2631"/>
      <c r="AZ9" s="2631" t="s">
        <v>520</v>
      </c>
      <c r="BA9" s="3261" t="s">
        <v>530</v>
      </c>
      <c r="BB9" s="3262"/>
      <c r="BC9" s="1059"/>
      <c r="BD9" s="1059"/>
      <c r="BE9" s="1059"/>
      <c r="BF9" s="1059"/>
      <c r="BG9" s="1059"/>
      <c r="BH9" s="1059"/>
      <c r="BI9" s="1059"/>
      <c r="BJ9" s="1059"/>
      <c r="BK9" s="3267"/>
      <c r="BL9" s="1116" t="s">
        <v>531</v>
      </c>
      <c r="BM9" s="140"/>
      <c r="BN9" s="3208"/>
      <c r="BO9" s="140"/>
      <c r="BP9" s="140"/>
      <c r="BQ9" s="140"/>
      <c r="BR9" s="140"/>
      <c r="BS9" s="140"/>
      <c r="BT9" s="1039"/>
    </row>
    <row r="10" spans="1:72" s="207" customFormat="1" ht="12.75">
      <c r="A10" s="3185"/>
      <c r="B10" s="3185"/>
      <c r="C10" s="3185"/>
      <c r="D10" s="3185"/>
      <c r="E10" s="3185"/>
      <c r="F10" s="3185"/>
      <c r="G10" s="989"/>
      <c r="H10" s="2631"/>
      <c r="I10" s="3209" t="s">
        <v>164</v>
      </c>
      <c r="J10" s="2403"/>
      <c r="K10" s="3211"/>
      <c r="L10" s="2403"/>
      <c r="M10" s="3211"/>
      <c r="N10" s="2403"/>
      <c r="O10" s="3212"/>
      <c r="P10" s="2403"/>
      <c r="Q10" s="3212"/>
      <c r="R10" s="2403"/>
      <c r="S10" s="3212"/>
      <c r="T10" s="2403"/>
      <c r="U10" s="3212"/>
      <c r="V10" s="2403"/>
      <c r="W10" s="3212"/>
      <c r="X10" s="2403"/>
      <c r="Y10" s="3212"/>
      <c r="Z10" s="2403"/>
      <c r="AA10" s="3212"/>
      <c r="AB10" s="2403"/>
      <c r="AC10" s="989"/>
      <c r="AD10" s="2756" t="s">
        <v>229</v>
      </c>
      <c r="AE10" s="3225"/>
      <c r="AF10" s="2756" t="s">
        <v>229</v>
      </c>
      <c r="AG10" s="3225"/>
      <c r="AH10" s="2756" t="s">
        <v>532</v>
      </c>
      <c r="AI10" s="3225"/>
      <c r="AJ10" s="1116" t="s">
        <v>533</v>
      </c>
      <c r="AK10" s="3231"/>
      <c r="AL10" s="2756" t="s">
        <v>534</v>
      </c>
      <c r="AM10" s="3232"/>
      <c r="AN10" s="1116" t="s">
        <v>535</v>
      </c>
      <c r="AO10" s="1246"/>
      <c r="AP10" s="3238" t="s">
        <v>536</v>
      </c>
      <c r="AQ10" s="3239"/>
      <c r="AR10" s="3238" t="s">
        <v>536</v>
      </c>
      <c r="AS10" s="3239"/>
      <c r="AT10" s="3185"/>
      <c r="AU10" s="3185"/>
      <c r="AV10" s="989"/>
      <c r="AW10" s="2658"/>
      <c r="AX10" s="989"/>
      <c r="AY10" s="2631"/>
      <c r="AZ10" s="2631"/>
      <c r="BA10" s="3189" t="s">
        <v>525</v>
      </c>
      <c r="BB10" s="3263" t="str">
        <f>I9</f>
        <v>地上</v>
      </c>
      <c r="BC10" s="1073">
        <f>K9</f>
        <v>0</v>
      </c>
      <c r="BD10" s="1073">
        <f>M9</f>
        <v>0</v>
      </c>
      <c r="BE10" s="1073">
        <f>O9</f>
        <v>0</v>
      </c>
      <c r="BF10" s="1073">
        <f>Q9</f>
        <v>0</v>
      </c>
      <c r="BG10" s="1073">
        <f>S9</f>
        <v>0</v>
      </c>
      <c r="BH10" s="1073">
        <f>U9</f>
        <v>0</v>
      </c>
      <c r="BI10" s="1073">
        <f>W9</f>
        <v>0</v>
      </c>
      <c r="BJ10" s="1073">
        <f>Y9</f>
        <v>0</v>
      </c>
      <c r="BK10" s="1073">
        <f>AA9</f>
        <v>0</v>
      </c>
      <c r="BL10" s="1069" t="s">
        <v>525</v>
      </c>
      <c r="BM10" s="139" t="str">
        <f>AD9</f>
        <v>地上</v>
      </c>
      <c r="BN10" s="1073" t="str">
        <f>AF9</f>
        <v>地下</v>
      </c>
      <c r="BO10" s="139" t="str">
        <f>AH9</f>
        <v>地上</v>
      </c>
      <c r="BP10" s="1073" t="str">
        <f>AJ9</f>
        <v>地下</v>
      </c>
      <c r="BQ10" s="139" t="str">
        <f>AL9</f>
        <v>地上</v>
      </c>
      <c r="BR10" s="1073" t="str">
        <f>AN9</f>
        <v>地下</v>
      </c>
      <c r="BS10" s="139" t="str">
        <f>AP9</f>
        <v>地上</v>
      </c>
      <c r="BT10" s="2642" t="str">
        <f>AR9</f>
        <v>地下</v>
      </c>
    </row>
    <row r="11" spans="1:72" s="207" customFormat="1" ht="12.75">
      <c r="A11" s="3185"/>
      <c r="B11" s="3185"/>
      <c r="C11" s="3185"/>
      <c r="D11" s="3185"/>
      <c r="E11" s="3185"/>
      <c r="F11" s="3185"/>
      <c r="G11" s="989"/>
      <c r="H11" s="3189"/>
      <c r="I11" s="3213"/>
      <c r="J11" s="3214"/>
      <c r="K11" s="3213"/>
      <c r="L11" s="3214"/>
      <c r="M11" s="3215"/>
      <c r="N11" s="3214"/>
      <c r="O11" s="3215"/>
      <c r="P11" s="3214"/>
      <c r="Q11" s="3215"/>
      <c r="R11" s="3214"/>
      <c r="S11" s="3215"/>
      <c r="T11" s="3214"/>
      <c r="U11" s="3215"/>
      <c r="V11" s="3214"/>
      <c r="W11" s="3215"/>
      <c r="X11" s="3214"/>
      <c r="Y11" s="3215"/>
      <c r="Z11" s="3214"/>
      <c r="AA11" s="3215"/>
      <c r="AB11" s="3214"/>
      <c r="AC11" s="989"/>
      <c r="AD11" s="3226" t="s">
        <v>537</v>
      </c>
      <c r="AE11" s="200"/>
      <c r="AF11" s="3226" t="s">
        <v>537</v>
      </c>
      <c r="AG11" s="200"/>
      <c r="AH11" s="3226" t="s">
        <v>538</v>
      </c>
      <c r="AI11" s="3233"/>
      <c r="AJ11" s="3226" t="s">
        <v>538</v>
      </c>
      <c r="AK11" s="3231"/>
      <c r="AL11" s="139"/>
      <c r="AM11" s="200"/>
      <c r="AN11" s="139"/>
      <c r="AO11" s="200"/>
      <c r="AP11" s="3241"/>
      <c r="AQ11" s="3242"/>
      <c r="AR11" s="3241"/>
      <c r="AS11" s="3242"/>
      <c r="AT11" s="2658"/>
      <c r="AU11" s="3185"/>
      <c r="AV11" s="989"/>
      <c r="AW11" s="2658"/>
      <c r="AX11" s="989"/>
      <c r="AY11" s="2631"/>
      <c r="AZ11" s="2631"/>
      <c r="BA11" s="2631"/>
      <c r="BB11" s="3222" t="str">
        <f>I10</f>
        <v>工业</v>
      </c>
      <c r="BC11" s="3222">
        <f>K10</f>
        <v>0</v>
      </c>
      <c r="BD11" s="3222">
        <f>M10</f>
        <v>0</v>
      </c>
      <c r="BE11" s="3222">
        <f>O10</f>
        <v>0</v>
      </c>
      <c r="BF11" s="3222">
        <f>Q10</f>
        <v>0</v>
      </c>
      <c r="BG11" s="3222">
        <f>S10</f>
        <v>0</v>
      </c>
      <c r="BH11" s="3222">
        <f>U10</f>
        <v>0</v>
      </c>
      <c r="BI11" s="3222">
        <f>W10</f>
        <v>0</v>
      </c>
      <c r="BJ11" s="3222">
        <f>Y10</f>
        <v>0</v>
      </c>
      <c r="BK11" s="3222">
        <f>AA10</f>
        <v>0</v>
      </c>
      <c r="BL11" s="989"/>
      <c r="BM11" s="139" t="str">
        <f>AD10</f>
        <v>公共配套设施</v>
      </c>
      <c r="BN11" s="139" t="str">
        <f>AF10</f>
        <v>公共配套设施</v>
      </c>
      <c r="BO11" s="138" t="str">
        <f>AH10</f>
        <v>物业管理用房</v>
      </c>
      <c r="BP11" s="138" t="str">
        <f>AJ10</f>
        <v>物业管理用房</v>
      </c>
      <c r="BQ11" s="138" t="str">
        <f>AL10</f>
        <v>设备及其他</v>
      </c>
      <c r="BR11" s="138" t="str">
        <f>AN10</f>
        <v>设备及其他</v>
      </c>
      <c r="BS11" s="1069" t="str">
        <f>AP10</f>
        <v>未注明</v>
      </c>
      <c r="BT11" s="2632" t="str">
        <f>AR10</f>
        <v>未注明</v>
      </c>
    </row>
    <row r="12" spans="1:72" s="203" customFormat="1" ht="12.75">
      <c r="A12" s="3190"/>
      <c r="B12" s="3190"/>
      <c r="C12" s="3190"/>
      <c r="D12" s="3190"/>
      <c r="E12" s="3190"/>
      <c r="F12" s="3190"/>
      <c r="G12" s="2641"/>
      <c r="H12" s="3191"/>
      <c r="I12" s="2570" t="s">
        <v>539</v>
      </c>
      <c r="J12" s="141" t="s">
        <v>540</v>
      </c>
      <c r="K12" s="141" t="s">
        <v>539</v>
      </c>
      <c r="L12" s="141" t="s">
        <v>540</v>
      </c>
      <c r="M12" s="141" t="s">
        <v>539</v>
      </c>
      <c r="N12" s="141" t="s">
        <v>540</v>
      </c>
      <c r="O12" s="141" t="s">
        <v>539</v>
      </c>
      <c r="P12" s="141" t="s">
        <v>540</v>
      </c>
      <c r="Q12" s="141" t="s">
        <v>539</v>
      </c>
      <c r="R12" s="141" t="s">
        <v>540</v>
      </c>
      <c r="S12" s="141" t="s">
        <v>539</v>
      </c>
      <c r="T12" s="141" t="s">
        <v>540</v>
      </c>
      <c r="U12" s="141" t="s">
        <v>539</v>
      </c>
      <c r="V12" s="2460" t="s">
        <v>540</v>
      </c>
      <c r="W12" s="141" t="s">
        <v>539</v>
      </c>
      <c r="X12" s="141" t="s">
        <v>540</v>
      </c>
      <c r="Y12" s="141" t="s">
        <v>539</v>
      </c>
      <c r="Z12" s="141" t="s">
        <v>540</v>
      </c>
      <c r="AA12" s="141" t="s">
        <v>539</v>
      </c>
      <c r="AB12" s="141" t="s">
        <v>540</v>
      </c>
      <c r="AC12" s="3227"/>
      <c r="AD12" s="2570" t="s">
        <v>539</v>
      </c>
      <c r="AE12" s="141" t="s">
        <v>540</v>
      </c>
      <c r="AF12" s="141" t="s">
        <v>539</v>
      </c>
      <c r="AG12" s="141" t="s">
        <v>540</v>
      </c>
      <c r="AH12" s="141" t="s">
        <v>539</v>
      </c>
      <c r="AI12" s="141" t="s">
        <v>540</v>
      </c>
      <c r="AJ12" s="141" t="s">
        <v>539</v>
      </c>
      <c r="AK12" s="141" t="s">
        <v>540</v>
      </c>
      <c r="AL12" s="141" t="s">
        <v>539</v>
      </c>
      <c r="AM12" s="141" t="s">
        <v>540</v>
      </c>
      <c r="AN12" s="141" t="s">
        <v>539</v>
      </c>
      <c r="AO12" s="141" t="s">
        <v>540</v>
      </c>
      <c r="AP12" s="3243" t="s">
        <v>539</v>
      </c>
      <c r="AQ12" s="3243" t="s">
        <v>540</v>
      </c>
      <c r="AR12" s="3244" t="s">
        <v>539</v>
      </c>
      <c r="AS12" s="3245" t="s">
        <v>540</v>
      </c>
      <c r="AT12" s="3246"/>
      <c r="AU12" s="3190"/>
      <c r="AV12" s="2636"/>
      <c r="AW12" s="2651"/>
      <c r="AX12" s="2636"/>
      <c r="AY12" s="3264"/>
      <c r="AZ12" s="2631"/>
      <c r="BA12" s="3189"/>
      <c r="BB12" s="138">
        <f>I11</f>
        <v>0</v>
      </c>
      <c r="BC12" s="3265">
        <f>K11</f>
        <v>0</v>
      </c>
      <c r="BD12" s="3265">
        <f>M11</f>
        <v>0</v>
      </c>
      <c r="BE12" s="3222">
        <f>O11</f>
        <v>0</v>
      </c>
      <c r="BF12" s="3222">
        <f>Q11</f>
        <v>0</v>
      </c>
      <c r="BG12" s="3222">
        <f>S11</f>
        <v>0</v>
      </c>
      <c r="BH12" s="3222">
        <f>U11</f>
        <v>0</v>
      </c>
      <c r="BI12" s="3222">
        <f>W11</f>
        <v>0</v>
      </c>
      <c r="BJ12" s="3222">
        <f>Y11</f>
        <v>0</v>
      </c>
      <c r="BK12" s="3222">
        <f>AA11</f>
        <v>0</v>
      </c>
      <c r="BL12" s="989"/>
      <c r="BM12" s="139" t="str">
        <f>AD11</f>
        <v>（住宅）</v>
      </c>
      <c r="BN12" s="139" t="str">
        <f>AF11</f>
        <v>（住宅）</v>
      </c>
      <c r="BO12" s="138" t="str">
        <f>AH11</f>
        <v>（住宅、计出让金）</v>
      </c>
      <c r="BP12" s="138" t="str">
        <f>AJ11</f>
        <v>（住宅、计出让金）</v>
      </c>
      <c r="BQ12" s="138">
        <f>AL11</f>
        <v>0</v>
      </c>
      <c r="BR12" s="138">
        <f>AN11</f>
        <v>0</v>
      </c>
      <c r="BS12" s="1069">
        <f>AP11</f>
        <v>0</v>
      </c>
      <c r="BT12" s="2632">
        <f>AR11</f>
        <v>0</v>
      </c>
    </row>
    <row r="13" spans="1:72" s="203" customFormat="1" ht="12.75">
      <c r="A13" s="3192"/>
      <c r="B13" s="3192"/>
      <c r="C13" s="3192"/>
      <c r="D13" s="3193" t="s">
        <v>541</v>
      </c>
      <c r="E13" s="3178">
        <f t="shared" ref="E13:E20" si="6">IF($C$3="是",ROUND($A$3*G13/$B$3,2),ROUND($A$3*(G13-AT13)/$B$3,2))</f>
        <v>200000</v>
      </c>
      <c r="F13" s="3194"/>
      <c r="G13" s="3195">
        <f t="shared" ref="G13:G20" si="7">H13+AC13+AT13</f>
        <v>74800</v>
      </c>
      <c r="H13" s="3181">
        <f t="shared" ref="H13:H20" si="8">SUMIF(I$12:AB$12,"总值",I13:AB13)</f>
        <v>74800</v>
      </c>
      <c r="I13" s="3216">
        <f>A3*0.374</f>
        <v>74800</v>
      </c>
      <c r="J13" s="3216"/>
      <c r="K13" s="3216"/>
      <c r="L13" s="3216"/>
      <c r="M13" s="3216"/>
      <c r="N13" s="3217"/>
      <c r="O13" s="3217"/>
      <c r="P13" s="3217"/>
      <c r="Q13" s="3217"/>
      <c r="R13" s="3217"/>
      <c r="S13" s="3217"/>
      <c r="T13" s="3217"/>
      <c r="U13" s="3217"/>
      <c r="V13" s="3217"/>
      <c r="W13" s="3217"/>
      <c r="X13" s="3217"/>
      <c r="Y13" s="3217"/>
      <c r="Z13" s="3217"/>
      <c r="AA13" s="3217"/>
      <c r="AB13" s="3217"/>
      <c r="AC13" s="3178">
        <f t="shared" ref="AC13:AC20" si="9">SUMIF(AD$12:AS$12,"总值",AD13:AS13)</f>
        <v>0</v>
      </c>
      <c r="AD13" s="3228"/>
      <c r="AE13" s="3228"/>
      <c r="AF13" s="3228"/>
      <c r="AG13" s="3228"/>
      <c r="AH13" s="3228"/>
      <c r="AI13" s="3228"/>
      <c r="AJ13" s="3228"/>
      <c r="AK13" s="3228"/>
      <c r="AL13" s="3228"/>
      <c r="AM13" s="3228"/>
      <c r="AN13" s="3228"/>
      <c r="AO13" s="3228"/>
      <c r="AP13" s="3228"/>
      <c r="AQ13" s="3228"/>
      <c r="AR13" s="3228"/>
      <c r="AS13" s="3228"/>
      <c r="AT13" s="3247"/>
      <c r="AU13" s="3248"/>
      <c r="AV13" s="141">
        <f t="shared" ref="AV13:AX20" si="10">A13</f>
        <v>0</v>
      </c>
      <c r="AW13" s="141">
        <f t="shared" si="10"/>
        <v>0</v>
      </c>
      <c r="AX13" s="141">
        <f t="shared" si="10"/>
        <v>0</v>
      </c>
      <c r="AY13" s="2570">
        <f t="shared" ref="AY13:AY20" si="11">ROUND($AY$6*AZ13/$AZ$5,2)</f>
        <v>200000</v>
      </c>
      <c r="AZ13" s="3178">
        <f t="shared" ref="AZ13:AZ20" si="12">BA13+BL13</f>
        <v>74800</v>
      </c>
      <c r="BA13" s="3178">
        <f t="shared" ref="BA13:BA20" si="13">SUM(BB13:BK13)</f>
        <v>74800</v>
      </c>
      <c r="BB13" s="3178">
        <f t="shared" ref="BB13:BB20" si="14">IF($D13="是",I13-J13,0)</f>
        <v>74800</v>
      </c>
      <c r="BC13" s="3178">
        <f t="shared" ref="BC13:BC20" si="15">IF($D13="是",K13-L13,0)</f>
        <v>0</v>
      </c>
      <c r="BD13" s="3178">
        <f t="shared" ref="BD13:BD20" si="16">IF($D13="是",M13-N13,0)</f>
        <v>0</v>
      </c>
      <c r="BE13" s="3178">
        <f t="shared" ref="BE13:BE20" si="17">IF($D13="是",O13-P13,0)</f>
        <v>0</v>
      </c>
      <c r="BF13" s="3178">
        <f t="shared" ref="BF13:BF20" si="18">IF($D13="是",Q13-R13,0)</f>
        <v>0</v>
      </c>
      <c r="BG13" s="3178">
        <f t="shared" ref="BG13:BG20" si="19">IF($D13="是",S13-T13,0)</f>
        <v>0</v>
      </c>
      <c r="BH13" s="3178">
        <f t="shared" ref="BH13:BH20" si="20">IF($D13="是",U13-V13,0)</f>
        <v>0</v>
      </c>
      <c r="BI13" s="3178">
        <f t="shared" ref="BI13:BI20" si="21">IF($D13="是",W13-X13,0)</f>
        <v>0</v>
      </c>
      <c r="BJ13" s="3178">
        <f t="shared" ref="BJ13:BJ20" si="22">IF($D13="是",Y13-Z13,0)</f>
        <v>0</v>
      </c>
      <c r="BK13" s="3178">
        <f t="shared" ref="BK13:BK20" si="23">IF($D13="是",AA13-AB13,0)</f>
        <v>0</v>
      </c>
      <c r="BL13" s="3178">
        <f t="shared" ref="BL13:BL20" si="24">SUM(BM13:BT13)</f>
        <v>0</v>
      </c>
      <c r="BM13" s="3178">
        <f t="shared" ref="BM13:BM20" si="25">IF($D13="是",AD13-AE13,0)</f>
        <v>0</v>
      </c>
      <c r="BN13" s="3178">
        <f t="shared" ref="BN13:BN20" si="26">IF($D13="是",AF13-AG13,0)</f>
        <v>0</v>
      </c>
      <c r="BO13" s="3178">
        <f t="shared" ref="BO13:BO20" si="27">IF($D13="是",AH13-AI13,0)</f>
        <v>0</v>
      </c>
      <c r="BP13" s="3178">
        <f t="shared" ref="BP13:BP20" si="28">IF($D13="是",AJ13-AK13,0)</f>
        <v>0</v>
      </c>
      <c r="BQ13" s="3178">
        <f t="shared" ref="BQ13:BQ20" si="29">IF($D13="是",AL13-AM13,0)</f>
        <v>0</v>
      </c>
      <c r="BR13" s="3178">
        <f t="shared" ref="BR13:BR20" si="30">IF($D13="是",AN13-AO13,0)</f>
        <v>0</v>
      </c>
      <c r="BS13" s="3178">
        <f t="shared" ref="BS13:BS20" si="31">IF($D13="是",AP13-AQ13,0)</f>
        <v>0</v>
      </c>
      <c r="BT13" s="3269">
        <f t="shared" ref="BT13:BT20" si="32">IF($D13="是",AR13-AS13,0)</f>
        <v>0</v>
      </c>
    </row>
    <row r="14" spans="1:72" s="203" customFormat="1" ht="12.75">
      <c r="A14" s="3192"/>
      <c r="B14" s="3192"/>
      <c r="C14" s="3196"/>
      <c r="D14" s="3193"/>
      <c r="E14" s="3178">
        <f t="shared" si="6"/>
        <v>0</v>
      </c>
      <c r="F14" s="3194"/>
      <c r="G14" s="3195">
        <f t="shared" si="7"/>
        <v>0</v>
      </c>
      <c r="H14" s="3181">
        <f t="shared" si="8"/>
        <v>0</v>
      </c>
      <c r="I14" s="3216"/>
      <c r="J14" s="3216"/>
      <c r="K14" s="3216"/>
      <c r="L14" s="3216"/>
      <c r="M14" s="3216"/>
      <c r="N14" s="3217"/>
      <c r="O14" s="3217"/>
      <c r="P14" s="3217"/>
      <c r="Q14" s="3217"/>
      <c r="R14" s="3217"/>
      <c r="S14" s="3217"/>
      <c r="T14" s="3217"/>
      <c r="U14" s="3217"/>
      <c r="V14" s="3217"/>
      <c r="W14" s="3217"/>
      <c r="X14" s="3217"/>
      <c r="Y14" s="3217"/>
      <c r="Z14" s="3217"/>
      <c r="AA14" s="3217"/>
      <c r="AB14" s="3217"/>
      <c r="AC14" s="3178">
        <f t="shared" si="9"/>
        <v>0</v>
      </c>
      <c r="AD14" s="3228"/>
      <c r="AE14" s="3228"/>
      <c r="AF14" s="3228"/>
      <c r="AG14" s="3228"/>
      <c r="AH14" s="3228"/>
      <c r="AI14" s="3228"/>
      <c r="AJ14" s="3228"/>
      <c r="AK14" s="3228"/>
      <c r="AL14" s="3228"/>
      <c r="AM14" s="3228"/>
      <c r="AN14" s="3228"/>
      <c r="AO14" s="3228"/>
      <c r="AP14" s="3228"/>
      <c r="AQ14" s="3228"/>
      <c r="AR14" s="3228"/>
      <c r="AS14" s="3228"/>
      <c r="AT14" s="3247"/>
      <c r="AU14" s="3248"/>
      <c r="AV14" s="141">
        <f t="shared" si="10"/>
        <v>0</v>
      </c>
      <c r="AW14" s="141">
        <f t="shared" si="10"/>
        <v>0</v>
      </c>
      <c r="AX14" s="141">
        <f t="shared" si="10"/>
        <v>0</v>
      </c>
      <c r="AY14" s="2570">
        <f t="shared" si="11"/>
        <v>0</v>
      </c>
      <c r="AZ14" s="3178">
        <f t="shared" si="12"/>
        <v>0</v>
      </c>
      <c r="BA14" s="3178">
        <f t="shared" si="13"/>
        <v>0</v>
      </c>
      <c r="BB14" s="3178">
        <f t="shared" si="14"/>
        <v>0</v>
      </c>
      <c r="BC14" s="3178">
        <f t="shared" si="15"/>
        <v>0</v>
      </c>
      <c r="BD14" s="3178">
        <f t="shared" si="16"/>
        <v>0</v>
      </c>
      <c r="BE14" s="3178">
        <f t="shared" si="17"/>
        <v>0</v>
      </c>
      <c r="BF14" s="3178">
        <f t="shared" si="18"/>
        <v>0</v>
      </c>
      <c r="BG14" s="3178">
        <f t="shared" si="19"/>
        <v>0</v>
      </c>
      <c r="BH14" s="3178">
        <f t="shared" si="20"/>
        <v>0</v>
      </c>
      <c r="BI14" s="3178">
        <f t="shared" si="21"/>
        <v>0</v>
      </c>
      <c r="BJ14" s="3178">
        <f t="shared" si="22"/>
        <v>0</v>
      </c>
      <c r="BK14" s="3178">
        <f t="shared" si="23"/>
        <v>0</v>
      </c>
      <c r="BL14" s="3178">
        <f t="shared" si="24"/>
        <v>0</v>
      </c>
      <c r="BM14" s="3178">
        <f t="shared" si="25"/>
        <v>0</v>
      </c>
      <c r="BN14" s="3178">
        <f t="shared" si="26"/>
        <v>0</v>
      </c>
      <c r="BO14" s="3178">
        <f t="shared" si="27"/>
        <v>0</v>
      </c>
      <c r="BP14" s="3178">
        <f t="shared" si="28"/>
        <v>0</v>
      </c>
      <c r="BQ14" s="3178">
        <f t="shared" si="29"/>
        <v>0</v>
      </c>
      <c r="BR14" s="3178">
        <f t="shared" si="30"/>
        <v>0</v>
      </c>
      <c r="BS14" s="3178">
        <f t="shared" si="31"/>
        <v>0</v>
      </c>
      <c r="BT14" s="3269">
        <f t="shared" si="32"/>
        <v>0</v>
      </c>
    </row>
    <row r="15" spans="1:72" s="203" customFormat="1" ht="12.75">
      <c r="A15" s="3192"/>
      <c r="B15" s="3192"/>
      <c r="C15" s="3196"/>
      <c r="D15" s="3193"/>
      <c r="E15" s="3178">
        <f t="shared" si="6"/>
        <v>0</v>
      </c>
      <c r="F15" s="3194"/>
      <c r="G15" s="3195">
        <f t="shared" si="7"/>
        <v>0</v>
      </c>
      <c r="H15" s="3181">
        <f t="shared" si="8"/>
        <v>0</v>
      </c>
      <c r="I15" s="3216"/>
      <c r="J15" s="3216"/>
      <c r="K15" s="3216"/>
      <c r="L15" s="3216"/>
      <c r="M15" s="3216"/>
      <c r="N15" s="3217"/>
      <c r="O15" s="3217"/>
      <c r="P15" s="3217"/>
      <c r="Q15" s="3217"/>
      <c r="R15" s="3217"/>
      <c r="S15" s="3217"/>
      <c r="T15" s="3217"/>
      <c r="U15" s="3217"/>
      <c r="V15" s="3217"/>
      <c r="W15" s="3217"/>
      <c r="X15" s="3217"/>
      <c r="Y15" s="3217"/>
      <c r="Z15" s="3217"/>
      <c r="AA15" s="3217"/>
      <c r="AB15" s="3217"/>
      <c r="AC15" s="3178">
        <f t="shared" si="9"/>
        <v>0</v>
      </c>
      <c r="AD15" s="3228"/>
      <c r="AE15" s="3228"/>
      <c r="AF15" s="3228"/>
      <c r="AG15" s="3228"/>
      <c r="AH15" s="3228"/>
      <c r="AI15" s="3228"/>
      <c r="AJ15" s="3228"/>
      <c r="AK15" s="3228"/>
      <c r="AL15" s="3228"/>
      <c r="AM15" s="3228"/>
      <c r="AN15" s="3228"/>
      <c r="AO15" s="3228"/>
      <c r="AP15" s="3228"/>
      <c r="AQ15" s="3228"/>
      <c r="AR15" s="3228"/>
      <c r="AS15" s="3228"/>
      <c r="AT15" s="3247"/>
      <c r="AU15" s="3248"/>
      <c r="AV15" s="141">
        <f t="shared" si="10"/>
        <v>0</v>
      </c>
      <c r="AW15" s="141">
        <f t="shared" si="10"/>
        <v>0</v>
      </c>
      <c r="AX15" s="141">
        <f t="shared" si="10"/>
        <v>0</v>
      </c>
      <c r="AY15" s="2570">
        <f t="shared" si="11"/>
        <v>0</v>
      </c>
      <c r="AZ15" s="3178">
        <f t="shared" si="12"/>
        <v>0</v>
      </c>
      <c r="BA15" s="3178">
        <f t="shared" si="13"/>
        <v>0</v>
      </c>
      <c r="BB15" s="3178">
        <f t="shared" si="14"/>
        <v>0</v>
      </c>
      <c r="BC15" s="3178">
        <f t="shared" si="15"/>
        <v>0</v>
      </c>
      <c r="BD15" s="3178">
        <f t="shared" si="16"/>
        <v>0</v>
      </c>
      <c r="BE15" s="3178">
        <f t="shared" si="17"/>
        <v>0</v>
      </c>
      <c r="BF15" s="3178">
        <f t="shared" si="18"/>
        <v>0</v>
      </c>
      <c r="BG15" s="3178">
        <f t="shared" si="19"/>
        <v>0</v>
      </c>
      <c r="BH15" s="3178">
        <f t="shared" si="20"/>
        <v>0</v>
      </c>
      <c r="BI15" s="3178">
        <f t="shared" si="21"/>
        <v>0</v>
      </c>
      <c r="BJ15" s="3178">
        <f t="shared" si="22"/>
        <v>0</v>
      </c>
      <c r="BK15" s="3178">
        <f t="shared" si="23"/>
        <v>0</v>
      </c>
      <c r="BL15" s="3178">
        <f t="shared" si="24"/>
        <v>0</v>
      </c>
      <c r="BM15" s="3178">
        <f t="shared" si="25"/>
        <v>0</v>
      </c>
      <c r="BN15" s="3178">
        <f t="shared" si="26"/>
        <v>0</v>
      </c>
      <c r="BO15" s="3178">
        <f t="shared" si="27"/>
        <v>0</v>
      </c>
      <c r="BP15" s="3178">
        <f t="shared" si="28"/>
        <v>0</v>
      </c>
      <c r="BQ15" s="3178">
        <f t="shared" si="29"/>
        <v>0</v>
      </c>
      <c r="BR15" s="3178">
        <f t="shared" si="30"/>
        <v>0</v>
      </c>
      <c r="BS15" s="3178">
        <f t="shared" si="31"/>
        <v>0</v>
      </c>
      <c r="BT15" s="3269">
        <f t="shared" si="32"/>
        <v>0</v>
      </c>
    </row>
    <row r="16" spans="1:72" s="203" customFormat="1" ht="12.75">
      <c r="A16" s="3192"/>
      <c r="B16" s="3192"/>
      <c r="C16" s="3196"/>
      <c r="D16" s="3193"/>
      <c r="E16" s="3178">
        <f t="shared" si="6"/>
        <v>0</v>
      </c>
      <c r="F16" s="3194"/>
      <c r="G16" s="3195">
        <f t="shared" si="7"/>
        <v>0</v>
      </c>
      <c r="H16" s="3181">
        <f t="shared" si="8"/>
        <v>0</v>
      </c>
      <c r="I16" s="3216"/>
      <c r="J16" s="3216"/>
      <c r="K16" s="3216"/>
      <c r="L16" s="3216"/>
      <c r="M16" s="3216"/>
      <c r="N16" s="3217"/>
      <c r="O16" s="3217"/>
      <c r="P16" s="3217"/>
      <c r="Q16" s="3217"/>
      <c r="R16" s="3217"/>
      <c r="S16" s="3217"/>
      <c r="T16" s="3217"/>
      <c r="U16" s="3217"/>
      <c r="V16" s="3217"/>
      <c r="W16" s="3217"/>
      <c r="X16" s="3217"/>
      <c r="Y16" s="3217"/>
      <c r="Z16" s="3217"/>
      <c r="AA16" s="3217"/>
      <c r="AB16" s="3217"/>
      <c r="AC16" s="3178">
        <f t="shared" si="9"/>
        <v>0</v>
      </c>
      <c r="AD16" s="3228"/>
      <c r="AE16" s="3228"/>
      <c r="AF16" s="3228"/>
      <c r="AG16" s="3228"/>
      <c r="AH16" s="3228"/>
      <c r="AI16" s="3228"/>
      <c r="AJ16" s="3228"/>
      <c r="AK16" s="3228"/>
      <c r="AL16" s="3228"/>
      <c r="AM16" s="3228"/>
      <c r="AN16" s="3228"/>
      <c r="AO16" s="3228"/>
      <c r="AP16" s="3228"/>
      <c r="AQ16" s="3228"/>
      <c r="AR16" s="3228"/>
      <c r="AS16" s="3228"/>
      <c r="AT16" s="3247"/>
      <c r="AU16" s="3248"/>
      <c r="AV16" s="141">
        <f t="shared" si="10"/>
        <v>0</v>
      </c>
      <c r="AW16" s="141">
        <f t="shared" si="10"/>
        <v>0</v>
      </c>
      <c r="AX16" s="141">
        <f t="shared" si="10"/>
        <v>0</v>
      </c>
      <c r="AY16" s="2570">
        <f t="shared" si="11"/>
        <v>0</v>
      </c>
      <c r="AZ16" s="3178">
        <f t="shared" si="12"/>
        <v>0</v>
      </c>
      <c r="BA16" s="3178">
        <f t="shared" si="13"/>
        <v>0</v>
      </c>
      <c r="BB16" s="3178">
        <f t="shared" si="14"/>
        <v>0</v>
      </c>
      <c r="BC16" s="3178">
        <f t="shared" si="15"/>
        <v>0</v>
      </c>
      <c r="BD16" s="3178">
        <f t="shared" si="16"/>
        <v>0</v>
      </c>
      <c r="BE16" s="3178">
        <f t="shared" si="17"/>
        <v>0</v>
      </c>
      <c r="BF16" s="3178">
        <f t="shared" si="18"/>
        <v>0</v>
      </c>
      <c r="BG16" s="3178">
        <f t="shared" si="19"/>
        <v>0</v>
      </c>
      <c r="BH16" s="3178">
        <f t="shared" si="20"/>
        <v>0</v>
      </c>
      <c r="BI16" s="3178">
        <f t="shared" si="21"/>
        <v>0</v>
      </c>
      <c r="BJ16" s="3178">
        <f t="shared" si="22"/>
        <v>0</v>
      </c>
      <c r="BK16" s="3178">
        <f t="shared" si="23"/>
        <v>0</v>
      </c>
      <c r="BL16" s="3178">
        <f t="shared" si="24"/>
        <v>0</v>
      </c>
      <c r="BM16" s="3178">
        <f t="shared" si="25"/>
        <v>0</v>
      </c>
      <c r="BN16" s="3178">
        <f t="shared" si="26"/>
        <v>0</v>
      </c>
      <c r="BO16" s="3178">
        <f t="shared" si="27"/>
        <v>0</v>
      </c>
      <c r="BP16" s="3178">
        <f t="shared" si="28"/>
        <v>0</v>
      </c>
      <c r="BQ16" s="3178">
        <f t="shared" si="29"/>
        <v>0</v>
      </c>
      <c r="BR16" s="3178">
        <f t="shared" si="30"/>
        <v>0</v>
      </c>
      <c r="BS16" s="3178">
        <f t="shared" si="31"/>
        <v>0</v>
      </c>
      <c r="BT16" s="3269">
        <f t="shared" si="32"/>
        <v>0</v>
      </c>
    </row>
    <row r="17" spans="1:72" s="203" customFormat="1" ht="12.75">
      <c r="A17" s="3192"/>
      <c r="B17" s="3192"/>
      <c r="C17" s="3196"/>
      <c r="D17" s="3193"/>
      <c r="E17" s="3178">
        <f t="shared" si="6"/>
        <v>0</v>
      </c>
      <c r="F17" s="3194"/>
      <c r="G17" s="3195">
        <f t="shared" si="7"/>
        <v>0</v>
      </c>
      <c r="H17" s="3181">
        <f t="shared" si="8"/>
        <v>0</v>
      </c>
      <c r="I17" s="3216"/>
      <c r="J17" s="3216"/>
      <c r="K17" s="3216"/>
      <c r="L17" s="3216"/>
      <c r="M17" s="3216"/>
      <c r="N17" s="3217"/>
      <c r="O17" s="3217"/>
      <c r="P17" s="3217"/>
      <c r="Q17" s="3217"/>
      <c r="R17" s="3217"/>
      <c r="S17" s="3217"/>
      <c r="T17" s="3217"/>
      <c r="U17" s="3217"/>
      <c r="V17" s="3217"/>
      <c r="W17" s="3217"/>
      <c r="X17" s="3217"/>
      <c r="Y17" s="3217"/>
      <c r="Z17" s="3217"/>
      <c r="AA17" s="3217"/>
      <c r="AB17" s="3217"/>
      <c r="AC17" s="3178">
        <f t="shared" si="9"/>
        <v>0</v>
      </c>
      <c r="AD17" s="3228"/>
      <c r="AE17" s="3228"/>
      <c r="AF17" s="3228"/>
      <c r="AG17" s="3228"/>
      <c r="AH17" s="3228"/>
      <c r="AI17" s="3228"/>
      <c r="AJ17" s="3228"/>
      <c r="AK17" s="3228"/>
      <c r="AL17" s="3228"/>
      <c r="AM17" s="3228"/>
      <c r="AN17" s="3228"/>
      <c r="AO17" s="3228"/>
      <c r="AP17" s="3228"/>
      <c r="AQ17" s="3228"/>
      <c r="AR17" s="3228"/>
      <c r="AS17" s="3228"/>
      <c r="AT17" s="3247"/>
      <c r="AU17" s="3248"/>
      <c r="AV17" s="141">
        <f t="shared" si="10"/>
        <v>0</v>
      </c>
      <c r="AW17" s="141">
        <f t="shared" si="10"/>
        <v>0</v>
      </c>
      <c r="AX17" s="141">
        <f t="shared" si="10"/>
        <v>0</v>
      </c>
      <c r="AY17" s="2570">
        <f t="shared" si="11"/>
        <v>0</v>
      </c>
      <c r="AZ17" s="3178">
        <f t="shared" si="12"/>
        <v>0</v>
      </c>
      <c r="BA17" s="3178">
        <f t="shared" si="13"/>
        <v>0</v>
      </c>
      <c r="BB17" s="3178">
        <f t="shared" si="14"/>
        <v>0</v>
      </c>
      <c r="BC17" s="3178">
        <f t="shared" si="15"/>
        <v>0</v>
      </c>
      <c r="BD17" s="3178">
        <f t="shared" si="16"/>
        <v>0</v>
      </c>
      <c r="BE17" s="3178">
        <f t="shared" si="17"/>
        <v>0</v>
      </c>
      <c r="BF17" s="3178">
        <f t="shared" si="18"/>
        <v>0</v>
      </c>
      <c r="BG17" s="3178">
        <f t="shared" si="19"/>
        <v>0</v>
      </c>
      <c r="BH17" s="3178">
        <f t="shared" si="20"/>
        <v>0</v>
      </c>
      <c r="BI17" s="3178">
        <f t="shared" si="21"/>
        <v>0</v>
      </c>
      <c r="BJ17" s="3178">
        <f t="shared" si="22"/>
        <v>0</v>
      </c>
      <c r="BK17" s="3178">
        <f t="shared" si="23"/>
        <v>0</v>
      </c>
      <c r="BL17" s="3178">
        <f t="shared" si="24"/>
        <v>0</v>
      </c>
      <c r="BM17" s="3178">
        <f t="shared" si="25"/>
        <v>0</v>
      </c>
      <c r="BN17" s="3178">
        <f t="shared" si="26"/>
        <v>0</v>
      </c>
      <c r="BO17" s="3178">
        <f t="shared" si="27"/>
        <v>0</v>
      </c>
      <c r="BP17" s="3178">
        <f t="shared" si="28"/>
        <v>0</v>
      </c>
      <c r="BQ17" s="3178">
        <f t="shared" si="29"/>
        <v>0</v>
      </c>
      <c r="BR17" s="3178">
        <f t="shared" si="30"/>
        <v>0</v>
      </c>
      <c r="BS17" s="3178">
        <f t="shared" si="31"/>
        <v>0</v>
      </c>
      <c r="BT17" s="3269">
        <f t="shared" si="32"/>
        <v>0</v>
      </c>
    </row>
    <row r="18" spans="1:72">
      <c r="A18" s="3197"/>
      <c r="B18" s="3198"/>
      <c r="C18" s="3198"/>
      <c r="D18" s="3193"/>
      <c r="E18" s="3199">
        <f t="shared" si="6"/>
        <v>0</v>
      </c>
      <c r="F18" s="3200"/>
      <c r="G18" s="3201">
        <f t="shared" si="7"/>
        <v>0</v>
      </c>
      <c r="H18" s="3202">
        <f t="shared" si="8"/>
        <v>0</v>
      </c>
      <c r="I18" s="3204"/>
      <c r="J18" s="3218"/>
      <c r="K18" s="3204"/>
      <c r="L18" s="3218"/>
      <c r="M18" s="3218"/>
      <c r="N18" s="3218"/>
      <c r="O18" s="3218"/>
      <c r="P18" s="3218"/>
      <c r="Q18" s="3218"/>
      <c r="R18" s="3218"/>
      <c r="S18" s="3218"/>
      <c r="T18" s="3218"/>
      <c r="U18" s="3218"/>
      <c r="V18" s="3218"/>
      <c r="W18" s="3218"/>
      <c r="X18" s="3218"/>
      <c r="Y18" s="3218"/>
      <c r="Z18" s="3218"/>
      <c r="AA18" s="3218"/>
      <c r="AB18" s="3218"/>
      <c r="AC18" s="3199">
        <f t="shared" si="9"/>
        <v>0</v>
      </c>
      <c r="AD18" s="3229"/>
      <c r="AE18" s="3229"/>
      <c r="AF18" s="3204"/>
      <c r="AG18" s="3229"/>
      <c r="AH18" s="3229"/>
      <c r="AI18" s="3229"/>
      <c r="AJ18" s="3229"/>
      <c r="AK18" s="3229"/>
      <c r="AL18" s="3219"/>
      <c r="AM18" s="3229"/>
      <c r="AN18" s="3204"/>
      <c r="AO18" s="3229"/>
      <c r="AP18" s="3229"/>
      <c r="AQ18" s="3229"/>
      <c r="AR18" s="3229"/>
      <c r="AS18" s="3229"/>
      <c r="AT18" s="3249"/>
      <c r="AU18" s="3250"/>
      <c r="AV18" s="475">
        <f t="shared" si="10"/>
        <v>0</v>
      </c>
      <c r="AW18" s="475">
        <f t="shared" si="10"/>
        <v>0</v>
      </c>
      <c r="AX18" s="475">
        <f t="shared" si="10"/>
        <v>0</v>
      </c>
      <c r="AY18" s="3266">
        <f t="shared" si="11"/>
        <v>0</v>
      </c>
      <c r="AZ18" s="3199">
        <f t="shared" si="12"/>
        <v>0</v>
      </c>
      <c r="BA18" s="3199">
        <f t="shared" si="13"/>
        <v>0</v>
      </c>
      <c r="BB18" s="3199">
        <f t="shared" si="14"/>
        <v>0</v>
      </c>
      <c r="BC18" s="3199">
        <f t="shared" si="15"/>
        <v>0</v>
      </c>
      <c r="BD18" s="3199">
        <f t="shared" si="16"/>
        <v>0</v>
      </c>
      <c r="BE18" s="3199">
        <f t="shared" si="17"/>
        <v>0</v>
      </c>
      <c r="BF18" s="3199">
        <f t="shared" si="18"/>
        <v>0</v>
      </c>
      <c r="BG18" s="3199">
        <f t="shared" si="19"/>
        <v>0</v>
      </c>
      <c r="BH18" s="3199">
        <f t="shared" si="20"/>
        <v>0</v>
      </c>
      <c r="BI18" s="3199">
        <f t="shared" si="21"/>
        <v>0</v>
      </c>
      <c r="BJ18" s="3199">
        <f t="shared" si="22"/>
        <v>0</v>
      </c>
      <c r="BK18" s="3199">
        <f t="shared" si="23"/>
        <v>0</v>
      </c>
      <c r="BL18" s="3199">
        <f t="shared" si="24"/>
        <v>0</v>
      </c>
      <c r="BM18" s="3199">
        <f t="shared" si="25"/>
        <v>0</v>
      </c>
      <c r="BN18" s="3199">
        <f t="shared" si="26"/>
        <v>0</v>
      </c>
      <c r="BO18" s="3199">
        <f t="shared" si="27"/>
        <v>0</v>
      </c>
      <c r="BP18" s="3199">
        <f t="shared" si="28"/>
        <v>0</v>
      </c>
      <c r="BQ18" s="3199">
        <f t="shared" si="29"/>
        <v>0</v>
      </c>
      <c r="BR18" s="3199">
        <f t="shared" si="30"/>
        <v>0</v>
      </c>
      <c r="BS18" s="3199">
        <f t="shared" si="31"/>
        <v>0</v>
      </c>
      <c r="BT18" s="3271">
        <f t="shared" si="32"/>
        <v>0</v>
      </c>
    </row>
    <row r="19" spans="1:72">
      <c r="A19" s="3197"/>
      <c r="B19" s="3203"/>
      <c r="C19" s="3204"/>
      <c r="D19" s="3193"/>
      <c r="E19" s="3199">
        <f t="shared" si="6"/>
        <v>0</v>
      </c>
      <c r="F19" s="3200"/>
      <c r="G19" s="3201">
        <f t="shared" si="7"/>
        <v>0</v>
      </c>
      <c r="H19" s="3202">
        <f t="shared" si="8"/>
        <v>0</v>
      </c>
      <c r="I19" s="3204"/>
      <c r="J19" s="3218"/>
      <c r="K19" s="3204"/>
      <c r="L19" s="3218"/>
      <c r="M19" s="3218"/>
      <c r="N19" s="3218"/>
      <c r="O19" s="3218"/>
      <c r="P19" s="3218"/>
      <c r="Q19" s="3218"/>
      <c r="R19" s="3218"/>
      <c r="S19" s="3218"/>
      <c r="T19" s="3218"/>
      <c r="U19" s="3218"/>
      <c r="V19" s="3218"/>
      <c r="W19" s="3218"/>
      <c r="X19" s="3218"/>
      <c r="Y19" s="3218"/>
      <c r="Z19" s="3218"/>
      <c r="AA19" s="3218"/>
      <c r="AB19" s="3218"/>
      <c r="AC19" s="3199">
        <f t="shared" si="9"/>
        <v>0</v>
      </c>
      <c r="AD19" s="3229"/>
      <c r="AE19" s="3229"/>
      <c r="AF19" s="3204"/>
      <c r="AG19" s="3229"/>
      <c r="AH19" s="3229"/>
      <c r="AI19" s="3229"/>
      <c r="AJ19" s="3229"/>
      <c r="AK19" s="3229"/>
      <c r="AL19" s="3229"/>
      <c r="AM19" s="3229"/>
      <c r="AN19" s="3204"/>
      <c r="AO19" s="3229"/>
      <c r="AP19" s="3229"/>
      <c r="AQ19" s="3229"/>
      <c r="AR19" s="3229"/>
      <c r="AS19" s="3229"/>
      <c r="AT19" s="3249"/>
      <c r="AU19" s="3250"/>
      <c r="AV19" s="475">
        <f t="shared" si="10"/>
        <v>0</v>
      </c>
      <c r="AW19" s="475">
        <f t="shared" si="10"/>
        <v>0</v>
      </c>
      <c r="AX19" s="475">
        <f t="shared" si="10"/>
        <v>0</v>
      </c>
      <c r="AY19" s="3266">
        <f t="shared" si="11"/>
        <v>0</v>
      </c>
      <c r="AZ19" s="3199">
        <f t="shared" si="12"/>
        <v>0</v>
      </c>
      <c r="BA19" s="3199">
        <f t="shared" si="13"/>
        <v>0</v>
      </c>
      <c r="BB19" s="3199">
        <f t="shared" si="14"/>
        <v>0</v>
      </c>
      <c r="BC19" s="3199">
        <f t="shared" si="15"/>
        <v>0</v>
      </c>
      <c r="BD19" s="3199">
        <f t="shared" si="16"/>
        <v>0</v>
      </c>
      <c r="BE19" s="3199">
        <f t="shared" si="17"/>
        <v>0</v>
      </c>
      <c r="BF19" s="3199">
        <f t="shared" si="18"/>
        <v>0</v>
      </c>
      <c r="BG19" s="3199">
        <f t="shared" si="19"/>
        <v>0</v>
      </c>
      <c r="BH19" s="3199">
        <f t="shared" si="20"/>
        <v>0</v>
      </c>
      <c r="BI19" s="3199">
        <f t="shared" si="21"/>
        <v>0</v>
      </c>
      <c r="BJ19" s="3199">
        <f t="shared" si="22"/>
        <v>0</v>
      </c>
      <c r="BK19" s="3199">
        <f t="shared" si="23"/>
        <v>0</v>
      </c>
      <c r="BL19" s="3199">
        <f t="shared" si="24"/>
        <v>0</v>
      </c>
      <c r="BM19" s="3199">
        <f t="shared" si="25"/>
        <v>0</v>
      </c>
      <c r="BN19" s="3199">
        <f t="shared" si="26"/>
        <v>0</v>
      </c>
      <c r="BO19" s="3199">
        <f t="shared" si="27"/>
        <v>0</v>
      </c>
      <c r="BP19" s="3199">
        <f t="shared" si="28"/>
        <v>0</v>
      </c>
      <c r="BQ19" s="3199">
        <f t="shared" si="29"/>
        <v>0</v>
      </c>
      <c r="BR19" s="3199">
        <f t="shared" si="30"/>
        <v>0</v>
      </c>
      <c r="BS19" s="3199">
        <f t="shared" si="31"/>
        <v>0</v>
      </c>
      <c r="BT19" s="3271">
        <f t="shared" si="32"/>
        <v>0</v>
      </c>
    </row>
    <row r="20" spans="1:72">
      <c r="A20" s="3197"/>
      <c r="B20" s="3203"/>
      <c r="C20" s="3204"/>
      <c r="D20" s="3193"/>
      <c r="E20" s="3199">
        <f t="shared" si="6"/>
        <v>0</v>
      </c>
      <c r="F20" s="3200"/>
      <c r="G20" s="3201">
        <f t="shared" si="7"/>
        <v>0</v>
      </c>
      <c r="H20" s="3202">
        <f t="shared" si="8"/>
        <v>0</v>
      </c>
      <c r="I20" s="3204"/>
      <c r="J20" s="3218"/>
      <c r="K20" s="3204"/>
      <c r="L20" s="3218"/>
      <c r="M20" s="3218"/>
      <c r="N20" s="3218"/>
      <c r="O20" s="3218"/>
      <c r="P20" s="3218"/>
      <c r="Q20" s="3218"/>
      <c r="R20" s="3218"/>
      <c r="S20" s="3218"/>
      <c r="T20" s="3218"/>
      <c r="U20" s="3218"/>
      <c r="V20" s="3218"/>
      <c r="W20" s="3218"/>
      <c r="X20" s="3218"/>
      <c r="Y20" s="3218"/>
      <c r="Z20" s="3218"/>
      <c r="AA20" s="3218"/>
      <c r="AB20" s="3218"/>
      <c r="AC20" s="3199">
        <f t="shared" si="9"/>
        <v>0</v>
      </c>
      <c r="AD20" s="3229"/>
      <c r="AE20" s="3229"/>
      <c r="AF20" s="3204"/>
      <c r="AG20" s="3229"/>
      <c r="AH20" s="3229"/>
      <c r="AI20" s="3229"/>
      <c r="AJ20" s="3229"/>
      <c r="AK20" s="3229"/>
      <c r="AL20" s="3229"/>
      <c r="AM20" s="3229"/>
      <c r="AN20" s="3204"/>
      <c r="AO20" s="3229"/>
      <c r="AP20" s="3229"/>
      <c r="AQ20" s="3229"/>
      <c r="AR20" s="3229"/>
      <c r="AS20" s="3229"/>
      <c r="AT20" s="3249"/>
      <c r="AU20" s="3250"/>
      <c r="AV20" s="475">
        <f t="shared" si="10"/>
        <v>0</v>
      </c>
      <c r="AW20" s="475">
        <f t="shared" si="10"/>
        <v>0</v>
      </c>
      <c r="AX20" s="475">
        <f t="shared" si="10"/>
        <v>0</v>
      </c>
      <c r="AY20" s="3266">
        <f t="shared" si="11"/>
        <v>0</v>
      </c>
      <c r="AZ20" s="3199">
        <f t="shared" si="12"/>
        <v>0</v>
      </c>
      <c r="BA20" s="3199">
        <f t="shared" si="13"/>
        <v>0</v>
      </c>
      <c r="BB20" s="3199">
        <f t="shared" si="14"/>
        <v>0</v>
      </c>
      <c r="BC20" s="3199">
        <f t="shared" si="15"/>
        <v>0</v>
      </c>
      <c r="BD20" s="3199">
        <f t="shared" si="16"/>
        <v>0</v>
      </c>
      <c r="BE20" s="3199">
        <f t="shared" si="17"/>
        <v>0</v>
      </c>
      <c r="BF20" s="3199">
        <f t="shared" si="18"/>
        <v>0</v>
      </c>
      <c r="BG20" s="3199">
        <f t="shared" si="19"/>
        <v>0</v>
      </c>
      <c r="BH20" s="3199">
        <f t="shared" si="20"/>
        <v>0</v>
      </c>
      <c r="BI20" s="3199">
        <f t="shared" si="21"/>
        <v>0</v>
      </c>
      <c r="BJ20" s="3199">
        <f t="shared" si="22"/>
        <v>0</v>
      </c>
      <c r="BK20" s="3199">
        <f t="shared" si="23"/>
        <v>0</v>
      </c>
      <c r="BL20" s="3199">
        <f t="shared" si="24"/>
        <v>0</v>
      </c>
      <c r="BM20" s="3199">
        <f t="shared" si="25"/>
        <v>0</v>
      </c>
      <c r="BN20" s="3199">
        <f t="shared" si="26"/>
        <v>0</v>
      </c>
      <c r="BO20" s="3199">
        <f t="shared" si="27"/>
        <v>0</v>
      </c>
      <c r="BP20" s="3199">
        <f t="shared" si="28"/>
        <v>0</v>
      </c>
      <c r="BQ20" s="3199">
        <f t="shared" si="29"/>
        <v>0</v>
      </c>
      <c r="BR20" s="3199">
        <f t="shared" si="30"/>
        <v>0</v>
      </c>
      <c r="BS20" s="3199">
        <f t="shared" si="31"/>
        <v>0</v>
      </c>
      <c r="BT20" s="3271">
        <f t="shared" si="32"/>
        <v>0</v>
      </c>
    </row>
    <row r="21" spans="1:72">
      <c r="A21" s="3197"/>
      <c r="B21" s="3205"/>
      <c r="C21" s="3204"/>
      <c r="D21" s="3193"/>
      <c r="E21" s="3199">
        <f t="shared" ref="E21:E112" si="33">IF($C$3="是",ROUND($A$3*G21/$B$3,2),ROUND($A$3*(G21-AT21)/$B$3,2))</f>
        <v>0</v>
      </c>
      <c r="F21" s="3200"/>
      <c r="G21" s="3201">
        <f t="shared" ref="G21:G109" si="34">H21+AC21+AT21</f>
        <v>0</v>
      </c>
      <c r="H21" s="3202">
        <f t="shared" ref="H21:H109" si="35">SUMIF(I$12:AB$12,"总值",I21:AB21)</f>
        <v>0</v>
      </c>
      <c r="I21" s="3207"/>
      <c r="J21" s="3218"/>
      <c r="K21" s="3207"/>
      <c r="L21" s="3218"/>
      <c r="M21" s="3218"/>
      <c r="N21" s="3218"/>
      <c r="O21" s="3218"/>
      <c r="P21" s="3218"/>
      <c r="Q21" s="3218"/>
      <c r="R21" s="3218"/>
      <c r="S21" s="3218"/>
      <c r="T21" s="3218"/>
      <c r="U21" s="3218"/>
      <c r="V21" s="3218"/>
      <c r="W21" s="3218"/>
      <c r="X21" s="3218"/>
      <c r="Y21" s="3218"/>
      <c r="Z21" s="3218"/>
      <c r="AA21" s="3218"/>
      <c r="AB21" s="3218"/>
      <c r="AC21" s="3199">
        <f t="shared" ref="AC21:AC109" si="36">SUMIF(AD$12:AS$12,"总值",AD21:AS21)</f>
        <v>0</v>
      </c>
      <c r="AD21" s="3229"/>
      <c r="AE21" s="3229"/>
      <c r="AF21" s="3230"/>
      <c r="AG21" s="3229"/>
      <c r="AH21" s="3229"/>
      <c r="AI21" s="3229"/>
      <c r="AJ21" s="3229"/>
      <c r="AK21" s="3229"/>
      <c r="AL21" s="3229"/>
      <c r="AM21" s="3229"/>
      <c r="AN21" s="3219"/>
      <c r="AO21" s="3229"/>
      <c r="AP21" s="3229"/>
      <c r="AQ21" s="3229"/>
      <c r="AR21" s="3229"/>
      <c r="AS21" s="3229"/>
      <c r="AT21" s="3249"/>
      <c r="AU21" s="3250"/>
      <c r="AV21" s="475">
        <f t="shared" ref="AV21:AV112" si="37">A21</f>
        <v>0</v>
      </c>
      <c r="AW21" s="475">
        <f t="shared" ref="AW21:AW112" si="38">B21</f>
        <v>0</v>
      </c>
      <c r="AX21" s="475">
        <f t="shared" ref="AX21:AX112" si="39">C21</f>
        <v>0</v>
      </c>
      <c r="AY21" s="3266">
        <f t="shared" ref="AY21:AY109" si="40">ROUND($AY$6*AZ21/$AZ$5,2)</f>
        <v>0</v>
      </c>
      <c r="AZ21" s="3199">
        <f t="shared" ref="AZ21:AZ109" si="41">BA21+BL21</f>
        <v>0</v>
      </c>
      <c r="BA21" s="3199">
        <f t="shared" ref="BA21:BA109" si="42">SUM(BB21:BK21)</f>
        <v>0</v>
      </c>
      <c r="BB21" s="3199">
        <f t="shared" ref="BB21:BB109" si="43">IF($D21="是",I21-J21,0)</f>
        <v>0</v>
      </c>
      <c r="BC21" s="3199">
        <f t="shared" ref="BC21:BC109" si="44">IF($D21="是",K21-L21,0)</f>
        <v>0</v>
      </c>
      <c r="BD21" s="3199">
        <f t="shared" ref="BD21:BD109" si="45">IF($D21="是",M21-N21,0)</f>
        <v>0</v>
      </c>
      <c r="BE21" s="3199">
        <f t="shared" ref="BE21:BE109" si="46">IF($D21="是",O21-P21,0)</f>
        <v>0</v>
      </c>
      <c r="BF21" s="3199">
        <f t="shared" ref="BF21:BF109" si="47">IF($D21="是",Q21-R21,0)</f>
        <v>0</v>
      </c>
      <c r="BG21" s="3199">
        <f t="shared" ref="BG21:BG109" si="48">IF($D21="是",S21-T21,0)</f>
        <v>0</v>
      </c>
      <c r="BH21" s="3199">
        <f t="shared" ref="BH21:BH109" si="49">IF($D21="是",U21-V21,0)</f>
        <v>0</v>
      </c>
      <c r="BI21" s="3199">
        <f t="shared" ref="BI21:BI109" si="50">IF($D21="是",W21-X21,0)</f>
        <v>0</v>
      </c>
      <c r="BJ21" s="3199">
        <f t="shared" ref="BJ21:BJ109" si="51">IF($D21="是",Y21-Z21,0)</f>
        <v>0</v>
      </c>
      <c r="BK21" s="3199">
        <f t="shared" ref="BK21:BK109" si="52">IF($D21="是",AA21-AB21,0)</f>
        <v>0</v>
      </c>
      <c r="BL21" s="3199">
        <f t="shared" ref="BL21:BL109" si="53">SUM(BM21:BT21)</f>
        <v>0</v>
      </c>
      <c r="BM21" s="3199">
        <f t="shared" ref="BM21:BM109" si="54">IF($D21="是",AD21-AE21,0)</f>
        <v>0</v>
      </c>
      <c r="BN21" s="3199">
        <f t="shared" ref="BN21:BN109" si="55">IF($D21="是",AF21-AG21,0)</f>
        <v>0</v>
      </c>
      <c r="BO21" s="3199">
        <f t="shared" ref="BO21:BO109" si="56">IF($D21="是",AH21-AI21,0)</f>
        <v>0</v>
      </c>
      <c r="BP21" s="3199">
        <f t="shared" ref="BP21:BP109" si="57">IF($D21="是",AJ21-AK21,0)</f>
        <v>0</v>
      </c>
      <c r="BQ21" s="3199">
        <f t="shared" ref="BQ21:BQ109" si="58">IF($D21="是",AL21-AM21,0)</f>
        <v>0</v>
      </c>
      <c r="BR21" s="3199">
        <f t="shared" ref="BR21:BR109" si="59">IF($D21="是",AN21-AO21,0)</f>
        <v>0</v>
      </c>
      <c r="BS21" s="3199">
        <f t="shared" ref="BS21:BS109" si="60">IF($D21="是",AP21-AQ21,0)</f>
        <v>0</v>
      </c>
      <c r="BT21" s="3271">
        <f t="shared" ref="BT21:BT109" si="61">IF($D21="是",AR21-AS21,0)</f>
        <v>0</v>
      </c>
    </row>
    <row r="22" spans="1:72">
      <c r="A22" s="3197"/>
      <c r="B22" s="3205"/>
      <c r="C22" s="3204"/>
      <c r="D22" s="3193"/>
      <c r="E22" s="3199">
        <f t="shared" si="33"/>
        <v>0</v>
      </c>
      <c r="F22" s="3200"/>
      <c r="G22" s="3201">
        <f t="shared" si="34"/>
        <v>0</v>
      </c>
      <c r="H22" s="3202">
        <f t="shared" si="35"/>
        <v>0</v>
      </c>
      <c r="I22" s="3207"/>
      <c r="J22" s="3218"/>
      <c r="K22" s="3207"/>
      <c r="L22" s="3218"/>
      <c r="M22" s="3219"/>
      <c r="N22" s="3218"/>
      <c r="O22" s="3218"/>
      <c r="P22" s="3218"/>
      <c r="Q22" s="3218"/>
      <c r="R22" s="3218"/>
      <c r="S22" s="3218"/>
      <c r="T22" s="3218"/>
      <c r="U22" s="3218"/>
      <c r="V22" s="3218"/>
      <c r="W22" s="3218"/>
      <c r="X22" s="3218"/>
      <c r="Y22" s="3218"/>
      <c r="Z22" s="3218"/>
      <c r="AA22" s="3218"/>
      <c r="AB22" s="3218"/>
      <c r="AC22" s="3199">
        <f t="shared" si="36"/>
        <v>0</v>
      </c>
      <c r="AD22" s="3219"/>
      <c r="AE22" s="3229"/>
      <c r="AF22" s="3230"/>
      <c r="AG22" s="3229"/>
      <c r="AH22" s="3229"/>
      <c r="AI22" s="3229"/>
      <c r="AJ22" s="3229"/>
      <c r="AK22" s="3229"/>
      <c r="AL22" s="3219"/>
      <c r="AM22" s="3229"/>
      <c r="AN22" s="3219"/>
      <c r="AO22" s="3229"/>
      <c r="AP22" s="3229"/>
      <c r="AQ22" s="3229"/>
      <c r="AR22" s="3229"/>
      <c r="AS22" s="3229"/>
      <c r="AT22" s="3249"/>
      <c r="AU22" s="3250"/>
      <c r="AV22" s="475">
        <f t="shared" si="37"/>
        <v>0</v>
      </c>
      <c r="AW22" s="475">
        <f t="shared" si="38"/>
        <v>0</v>
      </c>
      <c r="AX22" s="475">
        <f t="shared" si="39"/>
        <v>0</v>
      </c>
      <c r="AY22" s="3266">
        <f t="shared" si="40"/>
        <v>0</v>
      </c>
      <c r="AZ22" s="3199">
        <f t="shared" si="41"/>
        <v>0</v>
      </c>
      <c r="BA22" s="3199">
        <f t="shared" si="42"/>
        <v>0</v>
      </c>
      <c r="BB22" s="3199">
        <f t="shared" si="43"/>
        <v>0</v>
      </c>
      <c r="BC22" s="3199">
        <f t="shared" si="44"/>
        <v>0</v>
      </c>
      <c r="BD22" s="3199">
        <f t="shared" si="45"/>
        <v>0</v>
      </c>
      <c r="BE22" s="3199">
        <f t="shared" si="46"/>
        <v>0</v>
      </c>
      <c r="BF22" s="3199">
        <f t="shared" si="47"/>
        <v>0</v>
      </c>
      <c r="BG22" s="3199">
        <f t="shared" si="48"/>
        <v>0</v>
      </c>
      <c r="BH22" s="3199">
        <f t="shared" si="49"/>
        <v>0</v>
      </c>
      <c r="BI22" s="3199">
        <f t="shared" si="50"/>
        <v>0</v>
      </c>
      <c r="BJ22" s="3199">
        <f t="shared" si="51"/>
        <v>0</v>
      </c>
      <c r="BK22" s="3199">
        <f t="shared" si="52"/>
        <v>0</v>
      </c>
      <c r="BL22" s="3199">
        <f t="shared" si="53"/>
        <v>0</v>
      </c>
      <c r="BM22" s="3199">
        <f t="shared" si="54"/>
        <v>0</v>
      </c>
      <c r="BN22" s="3199">
        <f t="shared" si="55"/>
        <v>0</v>
      </c>
      <c r="BO22" s="3199">
        <f t="shared" si="56"/>
        <v>0</v>
      </c>
      <c r="BP22" s="3199">
        <f t="shared" si="57"/>
        <v>0</v>
      </c>
      <c r="BQ22" s="3199">
        <f t="shared" si="58"/>
        <v>0</v>
      </c>
      <c r="BR22" s="3199">
        <f t="shared" si="59"/>
        <v>0</v>
      </c>
      <c r="BS22" s="3199">
        <f t="shared" si="60"/>
        <v>0</v>
      </c>
      <c r="BT22" s="3271">
        <f t="shared" si="61"/>
        <v>0</v>
      </c>
    </row>
    <row r="23" spans="1:72">
      <c r="A23" s="3197"/>
      <c r="B23" s="3205"/>
      <c r="C23" s="3204"/>
      <c r="D23" s="3193"/>
      <c r="E23" s="3199">
        <f t="shared" si="33"/>
        <v>0</v>
      </c>
      <c r="F23" s="3200"/>
      <c r="G23" s="3201">
        <f t="shared" si="34"/>
        <v>0</v>
      </c>
      <c r="H23" s="3202">
        <f t="shared" si="35"/>
        <v>0</v>
      </c>
      <c r="I23" s="3207"/>
      <c r="J23" s="3218"/>
      <c r="K23" s="3207"/>
      <c r="L23" s="3218"/>
      <c r="M23" s="3219"/>
      <c r="N23" s="3218"/>
      <c r="O23" s="3218"/>
      <c r="P23" s="3218"/>
      <c r="Q23" s="3218"/>
      <c r="R23" s="3218"/>
      <c r="S23" s="3218"/>
      <c r="T23" s="3218"/>
      <c r="U23" s="3218"/>
      <c r="V23" s="3218"/>
      <c r="W23" s="3218"/>
      <c r="X23" s="3218"/>
      <c r="Y23" s="3218"/>
      <c r="Z23" s="3218"/>
      <c r="AA23" s="3218"/>
      <c r="AB23" s="3218"/>
      <c r="AC23" s="3199">
        <f t="shared" si="36"/>
        <v>0</v>
      </c>
      <c r="AD23" s="3229"/>
      <c r="AE23" s="3229"/>
      <c r="AF23" s="3230"/>
      <c r="AG23" s="3229"/>
      <c r="AH23" s="3229"/>
      <c r="AI23" s="3229"/>
      <c r="AJ23" s="3229"/>
      <c r="AK23" s="3229"/>
      <c r="AL23" s="3219"/>
      <c r="AM23" s="3229"/>
      <c r="AN23" s="3219"/>
      <c r="AO23" s="3229"/>
      <c r="AP23" s="3229"/>
      <c r="AQ23" s="3229"/>
      <c r="AR23" s="3229"/>
      <c r="AS23" s="3229"/>
      <c r="AT23" s="3249"/>
      <c r="AU23" s="3250"/>
      <c r="AV23" s="475">
        <f t="shared" si="37"/>
        <v>0</v>
      </c>
      <c r="AW23" s="475">
        <f t="shared" si="38"/>
        <v>0</v>
      </c>
      <c r="AX23" s="475">
        <f t="shared" si="39"/>
        <v>0</v>
      </c>
      <c r="AY23" s="3266">
        <f t="shared" si="40"/>
        <v>0</v>
      </c>
      <c r="AZ23" s="3199">
        <f t="shared" si="41"/>
        <v>0</v>
      </c>
      <c r="BA23" s="3199">
        <f t="shared" si="42"/>
        <v>0</v>
      </c>
      <c r="BB23" s="3199">
        <f t="shared" si="43"/>
        <v>0</v>
      </c>
      <c r="BC23" s="3199">
        <f t="shared" si="44"/>
        <v>0</v>
      </c>
      <c r="BD23" s="3199">
        <f t="shared" si="45"/>
        <v>0</v>
      </c>
      <c r="BE23" s="3199">
        <f t="shared" si="46"/>
        <v>0</v>
      </c>
      <c r="BF23" s="3199">
        <f t="shared" si="47"/>
        <v>0</v>
      </c>
      <c r="BG23" s="3199">
        <f t="shared" si="48"/>
        <v>0</v>
      </c>
      <c r="BH23" s="3199">
        <f t="shared" si="49"/>
        <v>0</v>
      </c>
      <c r="BI23" s="3199">
        <f t="shared" si="50"/>
        <v>0</v>
      </c>
      <c r="BJ23" s="3199">
        <f t="shared" si="51"/>
        <v>0</v>
      </c>
      <c r="BK23" s="3199">
        <f t="shared" si="52"/>
        <v>0</v>
      </c>
      <c r="BL23" s="3199">
        <f t="shared" si="53"/>
        <v>0</v>
      </c>
      <c r="BM23" s="3199">
        <f t="shared" si="54"/>
        <v>0</v>
      </c>
      <c r="BN23" s="3199">
        <f t="shared" si="55"/>
        <v>0</v>
      </c>
      <c r="BO23" s="3199">
        <f t="shared" si="56"/>
        <v>0</v>
      </c>
      <c r="BP23" s="3199">
        <f t="shared" si="57"/>
        <v>0</v>
      </c>
      <c r="BQ23" s="3199">
        <f t="shared" si="58"/>
        <v>0</v>
      </c>
      <c r="BR23" s="3199">
        <f t="shared" si="59"/>
        <v>0</v>
      </c>
      <c r="BS23" s="3199">
        <f t="shared" si="60"/>
        <v>0</v>
      </c>
      <c r="BT23" s="3271">
        <f t="shared" si="61"/>
        <v>0</v>
      </c>
    </row>
    <row r="24" spans="1:72">
      <c r="A24" s="3197"/>
      <c r="B24" s="3205"/>
      <c r="C24" s="3204"/>
      <c r="D24" s="3193"/>
      <c r="E24" s="3199">
        <f t="shared" si="33"/>
        <v>0</v>
      </c>
      <c r="F24" s="3200"/>
      <c r="G24" s="3201">
        <f t="shared" si="34"/>
        <v>0</v>
      </c>
      <c r="H24" s="3202">
        <f t="shared" si="35"/>
        <v>0</v>
      </c>
      <c r="I24" s="3207"/>
      <c r="J24" s="3218"/>
      <c r="K24" s="3207"/>
      <c r="L24" s="3218"/>
      <c r="M24" s="3218"/>
      <c r="N24" s="3218"/>
      <c r="O24" s="3219"/>
      <c r="P24" s="3218"/>
      <c r="Q24" s="3218"/>
      <c r="R24" s="3218"/>
      <c r="S24" s="3218"/>
      <c r="T24" s="3218"/>
      <c r="U24" s="3218"/>
      <c r="V24" s="3218"/>
      <c r="W24" s="3218"/>
      <c r="X24" s="3218"/>
      <c r="Y24" s="3218"/>
      <c r="Z24" s="3218"/>
      <c r="AA24" s="3218"/>
      <c r="AB24" s="3218"/>
      <c r="AC24" s="3199">
        <f t="shared" si="36"/>
        <v>0</v>
      </c>
      <c r="AD24" s="3229"/>
      <c r="AE24" s="3229"/>
      <c r="AF24" s="3230"/>
      <c r="AG24" s="3229"/>
      <c r="AH24" s="3229"/>
      <c r="AI24" s="3229"/>
      <c r="AJ24" s="3229"/>
      <c r="AK24" s="3229"/>
      <c r="AL24" s="3229"/>
      <c r="AM24" s="3229"/>
      <c r="AN24" s="3219"/>
      <c r="AO24" s="3229"/>
      <c r="AP24" s="3229"/>
      <c r="AQ24" s="3229"/>
      <c r="AR24" s="3229"/>
      <c r="AS24" s="3229"/>
      <c r="AT24" s="3249"/>
      <c r="AU24" s="3250"/>
      <c r="AV24" s="475">
        <f t="shared" si="37"/>
        <v>0</v>
      </c>
      <c r="AW24" s="475">
        <f t="shared" si="38"/>
        <v>0</v>
      </c>
      <c r="AX24" s="475">
        <f t="shared" si="39"/>
        <v>0</v>
      </c>
      <c r="AY24" s="3266">
        <f t="shared" si="40"/>
        <v>0</v>
      </c>
      <c r="AZ24" s="3199">
        <f t="shared" si="41"/>
        <v>0</v>
      </c>
      <c r="BA24" s="3199">
        <f t="shared" si="42"/>
        <v>0</v>
      </c>
      <c r="BB24" s="3199">
        <f t="shared" si="43"/>
        <v>0</v>
      </c>
      <c r="BC24" s="3199">
        <f t="shared" si="44"/>
        <v>0</v>
      </c>
      <c r="BD24" s="3199">
        <f t="shared" si="45"/>
        <v>0</v>
      </c>
      <c r="BE24" s="3199">
        <f t="shared" si="46"/>
        <v>0</v>
      </c>
      <c r="BF24" s="3199">
        <f t="shared" si="47"/>
        <v>0</v>
      </c>
      <c r="BG24" s="3199">
        <f t="shared" si="48"/>
        <v>0</v>
      </c>
      <c r="BH24" s="3199">
        <f t="shared" si="49"/>
        <v>0</v>
      </c>
      <c r="BI24" s="3199">
        <f t="shared" si="50"/>
        <v>0</v>
      </c>
      <c r="BJ24" s="3199">
        <f t="shared" si="51"/>
        <v>0</v>
      </c>
      <c r="BK24" s="3199">
        <f t="shared" si="52"/>
        <v>0</v>
      </c>
      <c r="BL24" s="3199">
        <f t="shared" si="53"/>
        <v>0</v>
      </c>
      <c r="BM24" s="3199">
        <f t="shared" si="54"/>
        <v>0</v>
      </c>
      <c r="BN24" s="3199">
        <f t="shared" si="55"/>
        <v>0</v>
      </c>
      <c r="BO24" s="3199">
        <f t="shared" si="56"/>
        <v>0</v>
      </c>
      <c r="BP24" s="3199">
        <f t="shared" si="57"/>
        <v>0</v>
      </c>
      <c r="BQ24" s="3199">
        <f t="shared" si="58"/>
        <v>0</v>
      </c>
      <c r="BR24" s="3199">
        <f t="shared" si="59"/>
        <v>0</v>
      </c>
      <c r="BS24" s="3199">
        <f t="shared" si="60"/>
        <v>0</v>
      </c>
      <c r="BT24" s="3271">
        <f t="shared" si="61"/>
        <v>0</v>
      </c>
    </row>
    <row r="25" spans="1:72">
      <c r="A25" s="3197"/>
      <c r="B25" s="3205"/>
      <c r="C25" s="3204"/>
      <c r="D25" s="3193"/>
      <c r="E25" s="3199">
        <f t="shared" si="33"/>
        <v>0</v>
      </c>
      <c r="F25" s="3200"/>
      <c r="G25" s="3201">
        <f t="shared" si="34"/>
        <v>0</v>
      </c>
      <c r="H25" s="3202">
        <f t="shared" si="35"/>
        <v>0</v>
      </c>
      <c r="I25" s="3207"/>
      <c r="J25" s="3218"/>
      <c r="K25" s="3207"/>
      <c r="L25" s="3218"/>
      <c r="M25" s="3218"/>
      <c r="N25" s="3218"/>
      <c r="O25" s="3218"/>
      <c r="P25" s="3218"/>
      <c r="Q25" s="3218"/>
      <c r="R25" s="3218"/>
      <c r="S25" s="3218"/>
      <c r="T25" s="3218"/>
      <c r="U25" s="3218"/>
      <c r="V25" s="3218"/>
      <c r="W25" s="3218"/>
      <c r="X25" s="3218"/>
      <c r="Y25" s="3218"/>
      <c r="Z25" s="3218"/>
      <c r="AA25" s="3218"/>
      <c r="AB25" s="3218"/>
      <c r="AC25" s="3199">
        <f t="shared" si="36"/>
        <v>0</v>
      </c>
      <c r="AD25" s="3229"/>
      <c r="AE25" s="3229"/>
      <c r="AF25" s="3230"/>
      <c r="AG25" s="3229"/>
      <c r="AH25" s="3229"/>
      <c r="AI25" s="3229"/>
      <c r="AJ25" s="3229"/>
      <c r="AK25" s="3229"/>
      <c r="AL25" s="3229"/>
      <c r="AM25" s="3229"/>
      <c r="AN25" s="3229"/>
      <c r="AO25" s="3229"/>
      <c r="AP25" s="3229"/>
      <c r="AQ25" s="3229"/>
      <c r="AR25" s="3229"/>
      <c r="AS25" s="3229"/>
      <c r="AT25" s="3249"/>
      <c r="AU25" s="3250"/>
      <c r="AV25" s="475">
        <f t="shared" si="37"/>
        <v>0</v>
      </c>
      <c r="AW25" s="475">
        <f t="shared" si="38"/>
        <v>0</v>
      </c>
      <c r="AX25" s="475">
        <f t="shared" si="39"/>
        <v>0</v>
      </c>
      <c r="AY25" s="3266">
        <f t="shared" si="40"/>
        <v>0</v>
      </c>
      <c r="AZ25" s="3199">
        <f t="shared" si="41"/>
        <v>0</v>
      </c>
      <c r="BA25" s="3199">
        <f t="shared" si="42"/>
        <v>0</v>
      </c>
      <c r="BB25" s="3199">
        <f t="shared" si="43"/>
        <v>0</v>
      </c>
      <c r="BC25" s="3199">
        <f t="shared" si="44"/>
        <v>0</v>
      </c>
      <c r="BD25" s="3199">
        <f t="shared" si="45"/>
        <v>0</v>
      </c>
      <c r="BE25" s="3199">
        <f t="shared" si="46"/>
        <v>0</v>
      </c>
      <c r="BF25" s="3199">
        <f t="shared" si="47"/>
        <v>0</v>
      </c>
      <c r="BG25" s="3199">
        <f t="shared" si="48"/>
        <v>0</v>
      </c>
      <c r="BH25" s="3199">
        <f t="shared" si="49"/>
        <v>0</v>
      </c>
      <c r="BI25" s="3199">
        <f t="shared" si="50"/>
        <v>0</v>
      </c>
      <c r="BJ25" s="3199">
        <f t="shared" si="51"/>
        <v>0</v>
      </c>
      <c r="BK25" s="3199">
        <f t="shared" si="52"/>
        <v>0</v>
      </c>
      <c r="BL25" s="3199">
        <f t="shared" si="53"/>
        <v>0</v>
      </c>
      <c r="BM25" s="3199">
        <f t="shared" si="54"/>
        <v>0</v>
      </c>
      <c r="BN25" s="3199">
        <f t="shared" si="55"/>
        <v>0</v>
      </c>
      <c r="BO25" s="3199">
        <f t="shared" si="56"/>
        <v>0</v>
      </c>
      <c r="BP25" s="3199">
        <f t="shared" si="57"/>
        <v>0</v>
      </c>
      <c r="BQ25" s="3199">
        <f t="shared" si="58"/>
        <v>0</v>
      </c>
      <c r="BR25" s="3199">
        <f t="shared" si="59"/>
        <v>0</v>
      </c>
      <c r="BS25" s="3199">
        <f t="shared" si="60"/>
        <v>0</v>
      </c>
      <c r="BT25" s="3271">
        <f t="shared" si="61"/>
        <v>0</v>
      </c>
    </row>
    <row r="26" spans="1:72">
      <c r="A26" s="3197"/>
      <c r="B26" s="3205"/>
      <c r="C26" s="3204"/>
      <c r="D26" s="3193"/>
      <c r="E26" s="3199">
        <f t="shared" si="33"/>
        <v>0</v>
      </c>
      <c r="F26" s="3200"/>
      <c r="G26" s="3201">
        <f t="shared" si="34"/>
        <v>0</v>
      </c>
      <c r="H26" s="3202">
        <f t="shared" si="35"/>
        <v>0</v>
      </c>
      <c r="I26" s="3207"/>
      <c r="J26" s="3218"/>
      <c r="K26" s="3207"/>
      <c r="L26" s="3218"/>
      <c r="M26" s="3218"/>
      <c r="N26" s="3218"/>
      <c r="O26" s="3218"/>
      <c r="P26" s="3218"/>
      <c r="Q26" s="3218"/>
      <c r="R26" s="3218"/>
      <c r="S26" s="3218"/>
      <c r="T26" s="3218"/>
      <c r="U26" s="3218"/>
      <c r="V26" s="3218"/>
      <c r="W26" s="3218"/>
      <c r="X26" s="3218"/>
      <c r="Y26" s="3218"/>
      <c r="Z26" s="3218"/>
      <c r="AA26" s="3218"/>
      <c r="AB26" s="3218"/>
      <c r="AC26" s="3199">
        <f t="shared" si="36"/>
        <v>0</v>
      </c>
      <c r="AD26" s="3229"/>
      <c r="AE26" s="3229"/>
      <c r="AF26" s="3230"/>
      <c r="AG26" s="3229"/>
      <c r="AH26" s="3229"/>
      <c r="AI26" s="3229"/>
      <c r="AJ26" s="3229"/>
      <c r="AK26" s="3229"/>
      <c r="AL26" s="3229"/>
      <c r="AM26" s="3229"/>
      <c r="AN26" s="3229"/>
      <c r="AO26" s="3229"/>
      <c r="AP26" s="3229"/>
      <c r="AQ26" s="3229"/>
      <c r="AR26" s="3229"/>
      <c r="AS26" s="3229"/>
      <c r="AT26" s="3249"/>
      <c r="AU26" s="3250"/>
      <c r="AV26" s="475">
        <f t="shared" si="37"/>
        <v>0</v>
      </c>
      <c r="AW26" s="475">
        <f t="shared" si="38"/>
        <v>0</v>
      </c>
      <c r="AX26" s="475">
        <f t="shared" si="39"/>
        <v>0</v>
      </c>
      <c r="AY26" s="3266">
        <f t="shared" si="40"/>
        <v>0</v>
      </c>
      <c r="AZ26" s="3199">
        <f t="shared" si="41"/>
        <v>0</v>
      </c>
      <c r="BA26" s="3199">
        <f t="shared" si="42"/>
        <v>0</v>
      </c>
      <c r="BB26" s="3199">
        <f t="shared" si="43"/>
        <v>0</v>
      </c>
      <c r="BC26" s="3199">
        <f t="shared" si="44"/>
        <v>0</v>
      </c>
      <c r="BD26" s="3199">
        <f t="shared" si="45"/>
        <v>0</v>
      </c>
      <c r="BE26" s="3199">
        <f t="shared" si="46"/>
        <v>0</v>
      </c>
      <c r="BF26" s="3199">
        <f t="shared" si="47"/>
        <v>0</v>
      </c>
      <c r="BG26" s="3199">
        <f t="shared" si="48"/>
        <v>0</v>
      </c>
      <c r="BH26" s="3199">
        <f t="shared" si="49"/>
        <v>0</v>
      </c>
      <c r="BI26" s="3199">
        <f t="shared" si="50"/>
        <v>0</v>
      </c>
      <c r="BJ26" s="3199">
        <f t="shared" si="51"/>
        <v>0</v>
      </c>
      <c r="BK26" s="3199">
        <f t="shared" si="52"/>
        <v>0</v>
      </c>
      <c r="BL26" s="3199">
        <f t="shared" si="53"/>
        <v>0</v>
      </c>
      <c r="BM26" s="3199">
        <f t="shared" si="54"/>
        <v>0</v>
      </c>
      <c r="BN26" s="3199">
        <f t="shared" si="55"/>
        <v>0</v>
      </c>
      <c r="BO26" s="3199">
        <f t="shared" si="56"/>
        <v>0</v>
      </c>
      <c r="BP26" s="3199">
        <f t="shared" si="57"/>
        <v>0</v>
      </c>
      <c r="BQ26" s="3199">
        <f t="shared" si="58"/>
        <v>0</v>
      </c>
      <c r="BR26" s="3199">
        <f t="shared" si="59"/>
        <v>0</v>
      </c>
      <c r="BS26" s="3199">
        <f t="shared" si="60"/>
        <v>0</v>
      </c>
      <c r="BT26" s="3271">
        <f t="shared" si="61"/>
        <v>0</v>
      </c>
    </row>
    <row r="27" spans="1:72">
      <c r="A27" s="3197"/>
      <c r="B27" s="3205"/>
      <c r="C27" s="3204"/>
      <c r="D27" s="3193"/>
      <c r="E27" s="3199">
        <f t="shared" si="33"/>
        <v>0</v>
      </c>
      <c r="F27" s="3200"/>
      <c r="G27" s="3201">
        <f t="shared" si="34"/>
        <v>0</v>
      </c>
      <c r="H27" s="3202">
        <f t="shared" si="35"/>
        <v>0</v>
      </c>
      <c r="I27" s="3207"/>
      <c r="J27" s="3218"/>
      <c r="K27" s="3207"/>
      <c r="L27" s="3218"/>
      <c r="M27" s="3218"/>
      <c r="N27" s="3218"/>
      <c r="O27" s="3218"/>
      <c r="P27" s="3218"/>
      <c r="Q27" s="3218"/>
      <c r="R27" s="3218"/>
      <c r="S27" s="3218"/>
      <c r="T27" s="3218"/>
      <c r="U27" s="3218"/>
      <c r="V27" s="3218"/>
      <c r="W27" s="3218"/>
      <c r="X27" s="3218"/>
      <c r="Y27" s="3218"/>
      <c r="Z27" s="3218"/>
      <c r="AA27" s="3218"/>
      <c r="AB27" s="3218"/>
      <c r="AC27" s="3199">
        <f t="shared" si="36"/>
        <v>0</v>
      </c>
      <c r="AD27" s="3229"/>
      <c r="AE27" s="3229"/>
      <c r="AF27" s="3230"/>
      <c r="AG27" s="3229"/>
      <c r="AH27" s="3229"/>
      <c r="AI27" s="3229"/>
      <c r="AJ27" s="3229"/>
      <c r="AK27" s="3229"/>
      <c r="AL27" s="3229"/>
      <c r="AM27" s="3229"/>
      <c r="AN27" s="3229"/>
      <c r="AO27" s="3229"/>
      <c r="AP27" s="3229"/>
      <c r="AQ27" s="3229"/>
      <c r="AR27" s="3229"/>
      <c r="AS27" s="3229"/>
      <c r="AT27" s="3249"/>
      <c r="AU27" s="3250"/>
      <c r="AV27" s="475">
        <f t="shared" si="37"/>
        <v>0</v>
      </c>
      <c r="AW27" s="475">
        <f t="shared" si="38"/>
        <v>0</v>
      </c>
      <c r="AX27" s="475">
        <f t="shared" si="39"/>
        <v>0</v>
      </c>
      <c r="AY27" s="3266">
        <f t="shared" si="40"/>
        <v>0</v>
      </c>
      <c r="AZ27" s="3199">
        <f t="shared" si="41"/>
        <v>0</v>
      </c>
      <c r="BA27" s="3199">
        <f t="shared" si="42"/>
        <v>0</v>
      </c>
      <c r="BB27" s="3199">
        <f t="shared" si="43"/>
        <v>0</v>
      </c>
      <c r="BC27" s="3199">
        <f t="shared" si="44"/>
        <v>0</v>
      </c>
      <c r="BD27" s="3199">
        <f t="shared" si="45"/>
        <v>0</v>
      </c>
      <c r="BE27" s="3199">
        <f t="shared" si="46"/>
        <v>0</v>
      </c>
      <c r="BF27" s="3199">
        <f t="shared" si="47"/>
        <v>0</v>
      </c>
      <c r="BG27" s="3199">
        <f t="shared" si="48"/>
        <v>0</v>
      </c>
      <c r="BH27" s="3199">
        <f t="shared" si="49"/>
        <v>0</v>
      </c>
      <c r="BI27" s="3199">
        <f t="shared" si="50"/>
        <v>0</v>
      </c>
      <c r="BJ27" s="3199">
        <f t="shared" si="51"/>
        <v>0</v>
      </c>
      <c r="BK27" s="3199">
        <f t="shared" si="52"/>
        <v>0</v>
      </c>
      <c r="BL27" s="3199">
        <f t="shared" si="53"/>
        <v>0</v>
      </c>
      <c r="BM27" s="3199">
        <f t="shared" si="54"/>
        <v>0</v>
      </c>
      <c r="BN27" s="3199">
        <f t="shared" si="55"/>
        <v>0</v>
      </c>
      <c r="BO27" s="3199">
        <f t="shared" si="56"/>
        <v>0</v>
      </c>
      <c r="BP27" s="3199">
        <f t="shared" si="57"/>
        <v>0</v>
      </c>
      <c r="BQ27" s="3199">
        <f t="shared" si="58"/>
        <v>0</v>
      </c>
      <c r="BR27" s="3199">
        <f t="shared" si="59"/>
        <v>0</v>
      </c>
      <c r="BS27" s="3199">
        <f t="shared" si="60"/>
        <v>0</v>
      </c>
      <c r="BT27" s="3271">
        <f t="shared" si="61"/>
        <v>0</v>
      </c>
    </row>
    <row r="28" spans="1:72">
      <c r="A28" s="3197"/>
      <c r="B28" s="3205"/>
      <c r="C28" s="3204"/>
      <c r="D28" s="3193"/>
      <c r="E28" s="3199">
        <f t="shared" si="33"/>
        <v>0</v>
      </c>
      <c r="F28" s="3200"/>
      <c r="G28" s="3201">
        <f t="shared" si="34"/>
        <v>0</v>
      </c>
      <c r="H28" s="3202">
        <f t="shared" si="35"/>
        <v>0</v>
      </c>
      <c r="I28" s="3207"/>
      <c r="J28" s="3218"/>
      <c r="K28" s="3207"/>
      <c r="L28" s="3218"/>
      <c r="M28" s="3218"/>
      <c r="N28" s="3218"/>
      <c r="O28" s="3218"/>
      <c r="P28" s="3218"/>
      <c r="Q28" s="3218"/>
      <c r="R28" s="3218"/>
      <c r="S28" s="3218"/>
      <c r="T28" s="3218"/>
      <c r="U28" s="3218"/>
      <c r="V28" s="3218"/>
      <c r="W28" s="3218"/>
      <c r="X28" s="3218"/>
      <c r="Y28" s="3218"/>
      <c r="Z28" s="3218"/>
      <c r="AA28" s="3218"/>
      <c r="AB28" s="3218"/>
      <c r="AC28" s="3199">
        <f t="shared" si="36"/>
        <v>0</v>
      </c>
      <c r="AD28" s="3229"/>
      <c r="AE28" s="3229"/>
      <c r="AF28" s="3207"/>
      <c r="AG28" s="3229"/>
      <c r="AH28" s="3229"/>
      <c r="AI28" s="3229"/>
      <c r="AJ28" s="3229"/>
      <c r="AK28" s="3229"/>
      <c r="AL28" s="3229"/>
      <c r="AM28" s="3229"/>
      <c r="AN28" s="3229"/>
      <c r="AO28" s="3229"/>
      <c r="AP28" s="3229"/>
      <c r="AQ28" s="3229"/>
      <c r="AR28" s="3229"/>
      <c r="AS28" s="3229"/>
      <c r="AT28" s="3249"/>
      <c r="AU28" s="3250"/>
      <c r="AV28" s="475">
        <f t="shared" si="37"/>
        <v>0</v>
      </c>
      <c r="AW28" s="475">
        <f t="shared" si="38"/>
        <v>0</v>
      </c>
      <c r="AX28" s="475">
        <f t="shared" si="39"/>
        <v>0</v>
      </c>
      <c r="AY28" s="3266">
        <f t="shared" si="40"/>
        <v>0</v>
      </c>
      <c r="AZ28" s="3199">
        <f t="shared" si="41"/>
        <v>0</v>
      </c>
      <c r="BA28" s="3199">
        <f t="shared" si="42"/>
        <v>0</v>
      </c>
      <c r="BB28" s="3199">
        <f t="shared" si="43"/>
        <v>0</v>
      </c>
      <c r="BC28" s="3199">
        <f t="shared" si="44"/>
        <v>0</v>
      </c>
      <c r="BD28" s="3199">
        <f t="shared" si="45"/>
        <v>0</v>
      </c>
      <c r="BE28" s="3199">
        <f t="shared" si="46"/>
        <v>0</v>
      </c>
      <c r="BF28" s="3199">
        <f t="shared" si="47"/>
        <v>0</v>
      </c>
      <c r="BG28" s="3199">
        <f t="shared" si="48"/>
        <v>0</v>
      </c>
      <c r="BH28" s="3199">
        <f t="shared" si="49"/>
        <v>0</v>
      </c>
      <c r="BI28" s="3199">
        <f t="shared" si="50"/>
        <v>0</v>
      </c>
      <c r="BJ28" s="3199">
        <f t="shared" si="51"/>
        <v>0</v>
      </c>
      <c r="BK28" s="3199">
        <f t="shared" si="52"/>
        <v>0</v>
      </c>
      <c r="BL28" s="3199">
        <f t="shared" si="53"/>
        <v>0</v>
      </c>
      <c r="BM28" s="3199">
        <f t="shared" si="54"/>
        <v>0</v>
      </c>
      <c r="BN28" s="3199">
        <f t="shared" si="55"/>
        <v>0</v>
      </c>
      <c r="BO28" s="3199">
        <f t="shared" si="56"/>
        <v>0</v>
      </c>
      <c r="BP28" s="3199">
        <f t="shared" si="57"/>
        <v>0</v>
      </c>
      <c r="BQ28" s="3199">
        <f t="shared" si="58"/>
        <v>0</v>
      </c>
      <c r="BR28" s="3199">
        <f t="shared" si="59"/>
        <v>0</v>
      </c>
      <c r="BS28" s="3199">
        <f t="shared" si="60"/>
        <v>0</v>
      </c>
      <c r="BT28" s="3271">
        <f t="shared" si="61"/>
        <v>0</v>
      </c>
    </row>
    <row r="29" spans="1:72">
      <c r="A29" s="3197"/>
      <c r="B29" s="3206"/>
      <c r="C29" s="3207"/>
      <c r="D29" s="3193"/>
      <c r="E29" s="3199">
        <f t="shared" si="33"/>
        <v>0</v>
      </c>
      <c r="F29" s="3200"/>
      <c r="G29" s="3201">
        <f t="shared" si="34"/>
        <v>0</v>
      </c>
      <c r="H29" s="3202">
        <f t="shared" si="35"/>
        <v>0</v>
      </c>
      <c r="I29" s="3207"/>
      <c r="J29" s="3218"/>
      <c r="K29" s="3207"/>
      <c r="L29" s="3218"/>
      <c r="M29" s="3218"/>
      <c r="N29" s="3218"/>
      <c r="O29" s="3218"/>
      <c r="P29" s="3218"/>
      <c r="Q29" s="3218"/>
      <c r="R29" s="3218"/>
      <c r="S29" s="3218"/>
      <c r="T29" s="3218"/>
      <c r="U29" s="3218"/>
      <c r="V29" s="3218"/>
      <c r="W29" s="3218"/>
      <c r="X29" s="3218"/>
      <c r="Y29" s="3218"/>
      <c r="Z29" s="3218"/>
      <c r="AA29" s="3218"/>
      <c r="AB29" s="3218"/>
      <c r="AC29" s="3199">
        <f t="shared" si="36"/>
        <v>0</v>
      </c>
      <c r="AD29" s="3229"/>
      <c r="AE29" s="3229"/>
      <c r="AF29" s="3207"/>
      <c r="AG29" s="3229"/>
      <c r="AH29" s="3229"/>
      <c r="AI29" s="3229"/>
      <c r="AJ29" s="3229"/>
      <c r="AK29" s="3229"/>
      <c r="AL29" s="3229"/>
      <c r="AM29" s="3229"/>
      <c r="AN29" s="3229"/>
      <c r="AO29" s="3229"/>
      <c r="AP29" s="3229"/>
      <c r="AQ29" s="3229"/>
      <c r="AR29" s="3229"/>
      <c r="AS29" s="3229"/>
      <c r="AT29" s="3249"/>
      <c r="AU29" s="3250"/>
      <c r="AV29" s="475">
        <f t="shared" si="37"/>
        <v>0</v>
      </c>
      <c r="AW29" s="475">
        <f t="shared" si="38"/>
        <v>0</v>
      </c>
      <c r="AX29" s="475">
        <f t="shared" si="39"/>
        <v>0</v>
      </c>
      <c r="AY29" s="3266">
        <f t="shared" si="40"/>
        <v>0</v>
      </c>
      <c r="AZ29" s="3199">
        <f t="shared" si="41"/>
        <v>0</v>
      </c>
      <c r="BA29" s="3199">
        <f t="shared" si="42"/>
        <v>0</v>
      </c>
      <c r="BB29" s="3199">
        <f t="shared" si="43"/>
        <v>0</v>
      </c>
      <c r="BC29" s="3199">
        <f t="shared" si="44"/>
        <v>0</v>
      </c>
      <c r="BD29" s="3199">
        <f t="shared" si="45"/>
        <v>0</v>
      </c>
      <c r="BE29" s="3199">
        <f t="shared" si="46"/>
        <v>0</v>
      </c>
      <c r="BF29" s="3199">
        <f t="shared" si="47"/>
        <v>0</v>
      </c>
      <c r="BG29" s="3199">
        <f t="shared" si="48"/>
        <v>0</v>
      </c>
      <c r="BH29" s="3199">
        <f t="shared" si="49"/>
        <v>0</v>
      </c>
      <c r="BI29" s="3199">
        <f t="shared" si="50"/>
        <v>0</v>
      </c>
      <c r="BJ29" s="3199">
        <f t="shared" si="51"/>
        <v>0</v>
      </c>
      <c r="BK29" s="3199">
        <f t="shared" si="52"/>
        <v>0</v>
      </c>
      <c r="BL29" s="3199">
        <f t="shared" si="53"/>
        <v>0</v>
      </c>
      <c r="BM29" s="3199">
        <f t="shared" si="54"/>
        <v>0</v>
      </c>
      <c r="BN29" s="3199">
        <f t="shared" si="55"/>
        <v>0</v>
      </c>
      <c r="BO29" s="3199">
        <f t="shared" si="56"/>
        <v>0</v>
      </c>
      <c r="BP29" s="3199">
        <f t="shared" si="57"/>
        <v>0</v>
      </c>
      <c r="BQ29" s="3199">
        <f t="shared" si="58"/>
        <v>0</v>
      </c>
      <c r="BR29" s="3199">
        <f t="shared" si="59"/>
        <v>0</v>
      </c>
      <c r="BS29" s="3199">
        <f t="shared" si="60"/>
        <v>0</v>
      </c>
      <c r="BT29" s="3271">
        <f t="shared" si="61"/>
        <v>0</v>
      </c>
    </row>
    <row r="30" spans="1:72">
      <c r="A30" s="3197"/>
      <c r="B30" s="3205"/>
      <c r="C30" s="3204"/>
      <c r="D30" s="3193"/>
      <c r="E30" s="3199">
        <f t="shared" si="33"/>
        <v>0</v>
      </c>
      <c r="F30" s="3200"/>
      <c r="G30" s="3201">
        <f t="shared" si="34"/>
        <v>0</v>
      </c>
      <c r="H30" s="3202">
        <f t="shared" si="35"/>
        <v>0</v>
      </c>
      <c r="I30" s="3207"/>
      <c r="J30" s="3218"/>
      <c r="K30" s="3207"/>
      <c r="L30" s="3218"/>
      <c r="M30" s="3218"/>
      <c r="N30" s="3218"/>
      <c r="O30" s="3218"/>
      <c r="P30" s="3218"/>
      <c r="Q30" s="3218"/>
      <c r="R30" s="3218"/>
      <c r="S30" s="3218"/>
      <c r="T30" s="3218"/>
      <c r="U30" s="3218"/>
      <c r="V30" s="3218"/>
      <c r="W30" s="3218"/>
      <c r="X30" s="3218"/>
      <c r="Y30" s="3218"/>
      <c r="Z30" s="3218"/>
      <c r="AA30" s="3218"/>
      <c r="AB30" s="3218"/>
      <c r="AC30" s="3199">
        <f t="shared" si="36"/>
        <v>0</v>
      </c>
      <c r="AD30" s="3229"/>
      <c r="AE30" s="3229"/>
      <c r="AF30" s="3207"/>
      <c r="AG30" s="3229"/>
      <c r="AH30" s="3229"/>
      <c r="AI30" s="3229"/>
      <c r="AJ30" s="3229"/>
      <c r="AK30" s="3229"/>
      <c r="AL30" s="3229"/>
      <c r="AM30" s="3229"/>
      <c r="AN30" s="3229"/>
      <c r="AO30" s="3229"/>
      <c r="AP30" s="3229"/>
      <c r="AQ30" s="3229"/>
      <c r="AR30" s="3229"/>
      <c r="AS30" s="3229"/>
      <c r="AT30" s="3249"/>
      <c r="AU30" s="3250"/>
      <c r="AV30" s="475">
        <f t="shared" si="37"/>
        <v>0</v>
      </c>
      <c r="AW30" s="475">
        <f t="shared" si="38"/>
        <v>0</v>
      </c>
      <c r="AX30" s="475">
        <f t="shared" si="39"/>
        <v>0</v>
      </c>
      <c r="AY30" s="3266">
        <f t="shared" si="40"/>
        <v>0</v>
      </c>
      <c r="AZ30" s="3199">
        <f t="shared" si="41"/>
        <v>0</v>
      </c>
      <c r="BA30" s="3199">
        <f t="shared" si="42"/>
        <v>0</v>
      </c>
      <c r="BB30" s="3199">
        <f t="shared" si="43"/>
        <v>0</v>
      </c>
      <c r="BC30" s="3199">
        <f t="shared" si="44"/>
        <v>0</v>
      </c>
      <c r="BD30" s="3199">
        <f t="shared" si="45"/>
        <v>0</v>
      </c>
      <c r="BE30" s="3199">
        <f t="shared" si="46"/>
        <v>0</v>
      </c>
      <c r="BF30" s="3199">
        <f t="shared" si="47"/>
        <v>0</v>
      </c>
      <c r="BG30" s="3199">
        <f t="shared" si="48"/>
        <v>0</v>
      </c>
      <c r="BH30" s="3199">
        <f t="shared" si="49"/>
        <v>0</v>
      </c>
      <c r="BI30" s="3199">
        <f t="shared" si="50"/>
        <v>0</v>
      </c>
      <c r="BJ30" s="3199">
        <f t="shared" si="51"/>
        <v>0</v>
      </c>
      <c r="BK30" s="3199">
        <f t="shared" si="52"/>
        <v>0</v>
      </c>
      <c r="BL30" s="3199">
        <f t="shared" si="53"/>
        <v>0</v>
      </c>
      <c r="BM30" s="3199">
        <f t="shared" si="54"/>
        <v>0</v>
      </c>
      <c r="BN30" s="3199">
        <f t="shared" si="55"/>
        <v>0</v>
      </c>
      <c r="BO30" s="3199">
        <f t="shared" si="56"/>
        <v>0</v>
      </c>
      <c r="BP30" s="3199">
        <f t="shared" si="57"/>
        <v>0</v>
      </c>
      <c r="BQ30" s="3199">
        <f t="shared" si="58"/>
        <v>0</v>
      </c>
      <c r="BR30" s="3199">
        <f t="shared" si="59"/>
        <v>0</v>
      </c>
      <c r="BS30" s="3199">
        <f t="shared" si="60"/>
        <v>0</v>
      </c>
      <c r="BT30" s="3271">
        <f t="shared" si="61"/>
        <v>0</v>
      </c>
    </row>
    <row r="31" spans="1:72">
      <c r="A31" s="3197"/>
      <c r="B31" s="3205"/>
      <c r="C31" s="3204"/>
      <c r="D31" s="3193"/>
      <c r="E31" s="3199">
        <f t="shared" si="33"/>
        <v>0</v>
      </c>
      <c r="F31" s="3200"/>
      <c r="G31" s="3201">
        <f t="shared" si="34"/>
        <v>0</v>
      </c>
      <c r="H31" s="3202">
        <f t="shared" si="35"/>
        <v>0</v>
      </c>
      <c r="I31" s="3207"/>
      <c r="J31" s="3218"/>
      <c r="K31" s="3207"/>
      <c r="L31" s="3218"/>
      <c r="M31" s="3218"/>
      <c r="N31" s="3218"/>
      <c r="O31" s="3218"/>
      <c r="P31" s="3218"/>
      <c r="Q31" s="3218"/>
      <c r="R31" s="3218"/>
      <c r="S31" s="3218"/>
      <c r="T31" s="3218"/>
      <c r="U31" s="3218"/>
      <c r="V31" s="3218"/>
      <c r="W31" s="3218"/>
      <c r="X31" s="3218"/>
      <c r="Y31" s="3218"/>
      <c r="Z31" s="3218"/>
      <c r="AA31" s="3218"/>
      <c r="AB31" s="3218"/>
      <c r="AC31" s="3199">
        <f t="shared" si="36"/>
        <v>0</v>
      </c>
      <c r="AD31" s="3229"/>
      <c r="AE31" s="3229"/>
      <c r="AF31" s="3207"/>
      <c r="AG31" s="3229"/>
      <c r="AH31" s="3229"/>
      <c r="AI31" s="3229"/>
      <c r="AJ31" s="3229"/>
      <c r="AK31" s="3229"/>
      <c r="AL31" s="3229"/>
      <c r="AM31" s="3229"/>
      <c r="AN31" s="3229"/>
      <c r="AO31" s="3229"/>
      <c r="AP31" s="3229"/>
      <c r="AQ31" s="3229"/>
      <c r="AR31" s="3229"/>
      <c r="AS31" s="3229"/>
      <c r="AT31" s="3249"/>
      <c r="AU31" s="3250"/>
      <c r="AV31" s="475">
        <f t="shared" si="37"/>
        <v>0</v>
      </c>
      <c r="AW31" s="475">
        <f t="shared" si="38"/>
        <v>0</v>
      </c>
      <c r="AX31" s="475">
        <f t="shared" si="39"/>
        <v>0</v>
      </c>
      <c r="AY31" s="3266">
        <f t="shared" si="40"/>
        <v>0</v>
      </c>
      <c r="AZ31" s="3199">
        <f t="shared" si="41"/>
        <v>0</v>
      </c>
      <c r="BA31" s="3199">
        <f t="shared" si="42"/>
        <v>0</v>
      </c>
      <c r="BB31" s="3199">
        <f t="shared" si="43"/>
        <v>0</v>
      </c>
      <c r="BC31" s="3199">
        <f t="shared" si="44"/>
        <v>0</v>
      </c>
      <c r="BD31" s="3199">
        <f t="shared" si="45"/>
        <v>0</v>
      </c>
      <c r="BE31" s="3199">
        <f t="shared" si="46"/>
        <v>0</v>
      </c>
      <c r="BF31" s="3199">
        <f t="shared" si="47"/>
        <v>0</v>
      </c>
      <c r="BG31" s="3199">
        <f t="shared" si="48"/>
        <v>0</v>
      </c>
      <c r="BH31" s="3199">
        <f t="shared" si="49"/>
        <v>0</v>
      </c>
      <c r="BI31" s="3199">
        <f t="shared" si="50"/>
        <v>0</v>
      </c>
      <c r="BJ31" s="3199">
        <f t="shared" si="51"/>
        <v>0</v>
      </c>
      <c r="BK31" s="3199">
        <f t="shared" si="52"/>
        <v>0</v>
      </c>
      <c r="BL31" s="3199">
        <f t="shared" si="53"/>
        <v>0</v>
      </c>
      <c r="BM31" s="3199">
        <f t="shared" si="54"/>
        <v>0</v>
      </c>
      <c r="BN31" s="3199">
        <f t="shared" si="55"/>
        <v>0</v>
      </c>
      <c r="BO31" s="3199">
        <f t="shared" si="56"/>
        <v>0</v>
      </c>
      <c r="BP31" s="3199">
        <f t="shared" si="57"/>
        <v>0</v>
      </c>
      <c r="BQ31" s="3199">
        <f t="shared" si="58"/>
        <v>0</v>
      </c>
      <c r="BR31" s="3199">
        <f t="shared" si="59"/>
        <v>0</v>
      </c>
      <c r="BS31" s="3199">
        <f t="shared" si="60"/>
        <v>0</v>
      </c>
      <c r="BT31" s="3271">
        <f t="shared" si="61"/>
        <v>0</v>
      </c>
    </row>
    <row r="32" spans="1:72">
      <c r="A32" s="3197"/>
      <c r="B32" s="3205"/>
      <c r="C32" s="3204"/>
      <c r="D32" s="3193"/>
      <c r="E32" s="3199">
        <f t="shared" si="33"/>
        <v>0</v>
      </c>
      <c r="F32" s="3200"/>
      <c r="G32" s="3201">
        <f t="shared" si="34"/>
        <v>0</v>
      </c>
      <c r="H32" s="3202">
        <f t="shared" si="35"/>
        <v>0</v>
      </c>
      <c r="I32" s="3207"/>
      <c r="J32" s="3218"/>
      <c r="K32" s="3207"/>
      <c r="L32" s="3218"/>
      <c r="M32" s="3218"/>
      <c r="N32" s="3218"/>
      <c r="O32" s="3218"/>
      <c r="P32" s="3218"/>
      <c r="Q32" s="3218"/>
      <c r="R32" s="3218"/>
      <c r="S32" s="3218"/>
      <c r="T32" s="3218"/>
      <c r="U32" s="3218"/>
      <c r="V32" s="3218"/>
      <c r="W32" s="3218"/>
      <c r="X32" s="3218"/>
      <c r="Y32" s="3218"/>
      <c r="Z32" s="3218"/>
      <c r="AA32" s="3218"/>
      <c r="AB32" s="3218"/>
      <c r="AC32" s="3199">
        <f t="shared" si="36"/>
        <v>0</v>
      </c>
      <c r="AD32" s="3229"/>
      <c r="AE32" s="3229"/>
      <c r="AF32" s="3207"/>
      <c r="AG32" s="3229"/>
      <c r="AH32" s="3229"/>
      <c r="AI32" s="3229"/>
      <c r="AJ32" s="3229"/>
      <c r="AK32" s="3229"/>
      <c r="AL32" s="3229"/>
      <c r="AM32" s="3229"/>
      <c r="AN32" s="3229"/>
      <c r="AO32" s="3229"/>
      <c r="AP32" s="3229"/>
      <c r="AQ32" s="3229"/>
      <c r="AR32" s="3229"/>
      <c r="AS32" s="3229"/>
      <c r="AT32" s="3249"/>
      <c r="AU32" s="3250"/>
      <c r="AV32" s="475">
        <f t="shared" si="37"/>
        <v>0</v>
      </c>
      <c r="AW32" s="475">
        <f t="shared" si="38"/>
        <v>0</v>
      </c>
      <c r="AX32" s="475">
        <f t="shared" si="39"/>
        <v>0</v>
      </c>
      <c r="AY32" s="3266">
        <f t="shared" si="40"/>
        <v>0</v>
      </c>
      <c r="AZ32" s="3199">
        <f t="shared" si="41"/>
        <v>0</v>
      </c>
      <c r="BA32" s="3199">
        <f t="shared" si="42"/>
        <v>0</v>
      </c>
      <c r="BB32" s="3199">
        <f t="shared" si="43"/>
        <v>0</v>
      </c>
      <c r="BC32" s="3199">
        <f t="shared" si="44"/>
        <v>0</v>
      </c>
      <c r="BD32" s="3199">
        <f t="shared" si="45"/>
        <v>0</v>
      </c>
      <c r="BE32" s="3199">
        <f t="shared" si="46"/>
        <v>0</v>
      </c>
      <c r="BF32" s="3199">
        <f t="shared" si="47"/>
        <v>0</v>
      </c>
      <c r="BG32" s="3199">
        <f t="shared" si="48"/>
        <v>0</v>
      </c>
      <c r="BH32" s="3199">
        <f t="shared" si="49"/>
        <v>0</v>
      </c>
      <c r="BI32" s="3199">
        <f t="shared" si="50"/>
        <v>0</v>
      </c>
      <c r="BJ32" s="3199">
        <f t="shared" si="51"/>
        <v>0</v>
      </c>
      <c r="BK32" s="3199">
        <f t="shared" si="52"/>
        <v>0</v>
      </c>
      <c r="BL32" s="3199">
        <f t="shared" si="53"/>
        <v>0</v>
      </c>
      <c r="BM32" s="3199">
        <f t="shared" si="54"/>
        <v>0</v>
      </c>
      <c r="BN32" s="3199">
        <f t="shared" si="55"/>
        <v>0</v>
      </c>
      <c r="BO32" s="3199">
        <f t="shared" si="56"/>
        <v>0</v>
      </c>
      <c r="BP32" s="3199">
        <f t="shared" si="57"/>
        <v>0</v>
      </c>
      <c r="BQ32" s="3199">
        <f t="shared" si="58"/>
        <v>0</v>
      </c>
      <c r="BR32" s="3199">
        <f t="shared" si="59"/>
        <v>0</v>
      </c>
      <c r="BS32" s="3199">
        <f t="shared" si="60"/>
        <v>0</v>
      </c>
      <c r="BT32" s="3271">
        <f t="shared" si="61"/>
        <v>0</v>
      </c>
    </row>
    <row r="33" spans="1:72">
      <c r="A33" s="3197"/>
      <c r="B33" s="3205"/>
      <c r="C33" s="3204"/>
      <c r="D33" s="3193"/>
      <c r="E33" s="3199">
        <f t="shared" si="33"/>
        <v>0</v>
      </c>
      <c r="F33" s="3200"/>
      <c r="G33" s="3201">
        <f t="shared" si="34"/>
        <v>0</v>
      </c>
      <c r="H33" s="3202">
        <f t="shared" si="35"/>
        <v>0</v>
      </c>
      <c r="I33" s="3207"/>
      <c r="J33" s="3218"/>
      <c r="K33" s="3207"/>
      <c r="L33" s="3218"/>
      <c r="M33" s="3218"/>
      <c r="N33" s="3218"/>
      <c r="O33" s="3218"/>
      <c r="P33" s="3218"/>
      <c r="Q33" s="3218"/>
      <c r="R33" s="3218"/>
      <c r="S33" s="3218"/>
      <c r="T33" s="3218"/>
      <c r="U33" s="3218"/>
      <c r="V33" s="3218"/>
      <c r="W33" s="3218"/>
      <c r="X33" s="3218"/>
      <c r="Y33" s="3218"/>
      <c r="Z33" s="3218"/>
      <c r="AA33" s="3218"/>
      <c r="AB33" s="3218"/>
      <c r="AC33" s="3199">
        <f t="shared" si="36"/>
        <v>0</v>
      </c>
      <c r="AD33" s="3229"/>
      <c r="AE33" s="3229"/>
      <c r="AF33" s="3207"/>
      <c r="AG33" s="3229"/>
      <c r="AH33" s="3229"/>
      <c r="AI33" s="3229"/>
      <c r="AJ33" s="3229"/>
      <c r="AK33" s="3229"/>
      <c r="AL33" s="3229"/>
      <c r="AM33" s="3229"/>
      <c r="AN33" s="3229"/>
      <c r="AO33" s="3229"/>
      <c r="AP33" s="3229"/>
      <c r="AQ33" s="3229"/>
      <c r="AR33" s="3229"/>
      <c r="AS33" s="3229"/>
      <c r="AT33" s="3249"/>
      <c r="AU33" s="3250"/>
      <c r="AV33" s="475">
        <f t="shared" si="37"/>
        <v>0</v>
      </c>
      <c r="AW33" s="475">
        <f t="shared" si="38"/>
        <v>0</v>
      </c>
      <c r="AX33" s="475">
        <f t="shared" si="39"/>
        <v>0</v>
      </c>
      <c r="AY33" s="3266">
        <f t="shared" si="40"/>
        <v>0</v>
      </c>
      <c r="AZ33" s="3199">
        <f t="shared" si="41"/>
        <v>0</v>
      </c>
      <c r="BA33" s="3199">
        <f t="shared" si="42"/>
        <v>0</v>
      </c>
      <c r="BB33" s="3199">
        <f t="shared" si="43"/>
        <v>0</v>
      </c>
      <c r="BC33" s="3199">
        <f t="shared" si="44"/>
        <v>0</v>
      </c>
      <c r="BD33" s="3199">
        <f t="shared" si="45"/>
        <v>0</v>
      </c>
      <c r="BE33" s="3199">
        <f t="shared" si="46"/>
        <v>0</v>
      </c>
      <c r="BF33" s="3199">
        <f t="shared" si="47"/>
        <v>0</v>
      </c>
      <c r="BG33" s="3199">
        <f t="shared" si="48"/>
        <v>0</v>
      </c>
      <c r="BH33" s="3199">
        <f t="shared" si="49"/>
        <v>0</v>
      </c>
      <c r="BI33" s="3199">
        <f t="shared" si="50"/>
        <v>0</v>
      </c>
      <c r="BJ33" s="3199">
        <f t="shared" si="51"/>
        <v>0</v>
      </c>
      <c r="BK33" s="3199">
        <f t="shared" si="52"/>
        <v>0</v>
      </c>
      <c r="BL33" s="3199">
        <f t="shared" si="53"/>
        <v>0</v>
      </c>
      <c r="BM33" s="3199">
        <f t="shared" si="54"/>
        <v>0</v>
      </c>
      <c r="BN33" s="3199">
        <f t="shared" si="55"/>
        <v>0</v>
      </c>
      <c r="BO33" s="3199">
        <f t="shared" si="56"/>
        <v>0</v>
      </c>
      <c r="BP33" s="3199">
        <f t="shared" si="57"/>
        <v>0</v>
      </c>
      <c r="BQ33" s="3199">
        <f t="shared" si="58"/>
        <v>0</v>
      </c>
      <c r="BR33" s="3199">
        <f t="shared" si="59"/>
        <v>0</v>
      </c>
      <c r="BS33" s="3199">
        <f t="shared" si="60"/>
        <v>0</v>
      </c>
      <c r="BT33" s="3271">
        <f t="shared" si="61"/>
        <v>0</v>
      </c>
    </row>
    <row r="34" spans="1:72">
      <c r="A34" s="3197"/>
      <c r="B34" s="3205"/>
      <c r="C34" s="3204"/>
      <c r="D34" s="3193"/>
      <c r="E34" s="3199">
        <f t="shared" si="33"/>
        <v>0</v>
      </c>
      <c r="F34" s="3200"/>
      <c r="G34" s="3201">
        <f t="shared" si="34"/>
        <v>0</v>
      </c>
      <c r="H34" s="3202">
        <f t="shared" si="35"/>
        <v>0</v>
      </c>
      <c r="I34" s="3207"/>
      <c r="J34" s="3218"/>
      <c r="K34" s="3207"/>
      <c r="L34" s="3218"/>
      <c r="M34" s="3218"/>
      <c r="N34" s="3218"/>
      <c r="O34" s="3218"/>
      <c r="P34" s="3218"/>
      <c r="Q34" s="3218"/>
      <c r="R34" s="3218"/>
      <c r="S34" s="3218"/>
      <c r="T34" s="3218"/>
      <c r="U34" s="3218"/>
      <c r="V34" s="3218"/>
      <c r="W34" s="3218"/>
      <c r="X34" s="3218"/>
      <c r="Y34" s="3218"/>
      <c r="Z34" s="3218"/>
      <c r="AA34" s="3218"/>
      <c r="AB34" s="3218"/>
      <c r="AC34" s="3199">
        <f t="shared" si="36"/>
        <v>0</v>
      </c>
      <c r="AD34" s="3229"/>
      <c r="AE34" s="3229"/>
      <c r="AF34" s="3207"/>
      <c r="AG34" s="3229"/>
      <c r="AH34" s="3229"/>
      <c r="AI34" s="3229"/>
      <c r="AJ34" s="3229"/>
      <c r="AK34" s="3229"/>
      <c r="AL34" s="3229"/>
      <c r="AM34" s="3229"/>
      <c r="AN34" s="3229"/>
      <c r="AO34" s="3229"/>
      <c r="AP34" s="3229"/>
      <c r="AQ34" s="3229"/>
      <c r="AR34" s="3229"/>
      <c r="AS34" s="3229"/>
      <c r="AT34" s="3249"/>
      <c r="AU34" s="3250"/>
      <c r="AV34" s="475">
        <f t="shared" si="37"/>
        <v>0</v>
      </c>
      <c r="AW34" s="475">
        <f t="shared" si="38"/>
        <v>0</v>
      </c>
      <c r="AX34" s="475">
        <f t="shared" si="39"/>
        <v>0</v>
      </c>
      <c r="AY34" s="3266">
        <f t="shared" si="40"/>
        <v>0</v>
      </c>
      <c r="AZ34" s="3199">
        <f t="shared" si="41"/>
        <v>0</v>
      </c>
      <c r="BA34" s="3199">
        <f t="shared" si="42"/>
        <v>0</v>
      </c>
      <c r="BB34" s="3199">
        <f t="shared" si="43"/>
        <v>0</v>
      </c>
      <c r="BC34" s="3199">
        <f t="shared" si="44"/>
        <v>0</v>
      </c>
      <c r="BD34" s="3199">
        <f t="shared" si="45"/>
        <v>0</v>
      </c>
      <c r="BE34" s="3199">
        <f t="shared" si="46"/>
        <v>0</v>
      </c>
      <c r="BF34" s="3199">
        <f t="shared" si="47"/>
        <v>0</v>
      </c>
      <c r="BG34" s="3199">
        <f t="shared" si="48"/>
        <v>0</v>
      </c>
      <c r="BH34" s="3199">
        <f t="shared" si="49"/>
        <v>0</v>
      </c>
      <c r="BI34" s="3199">
        <f t="shared" si="50"/>
        <v>0</v>
      </c>
      <c r="BJ34" s="3199">
        <f t="shared" si="51"/>
        <v>0</v>
      </c>
      <c r="BK34" s="3199">
        <f t="shared" si="52"/>
        <v>0</v>
      </c>
      <c r="BL34" s="3199">
        <f t="shared" si="53"/>
        <v>0</v>
      </c>
      <c r="BM34" s="3199">
        <f t="shared" si="54"/>
        <v>0</v>
      </c>
      <c r="BN34" s="3199">
        <f t="shared" si="55"/>
        <v>0</v>
      </c>
      <c r="BO34" s="3199">
        <f t="shared" si="56"/>
        <v>0</v>
      </c>
      <c r="BP34" s="3199">
        <f t="shared" si="57"/>
        <v>0</v>
      </c>
      <c r="BQ34" s="3199">
        <f t="shared" si="58"/>
        <v>0</v>
      </c>
      <c r="BR34" s="3199">
        <f t="shared" si="59"/>
        <v>0</v>
      </c>
      <c r="BS34" s="3199">
        <f t="shared" si="60"/>
        <v>0</v>
      </c>
      <c r="BT34" s="3271">
        <f t="shared" si="61"/>
        <v>0</v>
      </c>
    </row>
    <row r="35" spans="1:72">
      <c r="A35" s="3197"/>
      <c r="B35" s="3205"/>
      <c r="C35" s="3204"/>
      <c r="D35" s="3193"/>
      <c r="E35" s="3199">
        <f t="shared" si="33"/>
        <v>0</v>
      </c>
      <c r="F35" s="3200"/>
      <c r="G35" s="3201">
        <f t="shared" si="34"/>
        <v>0</v>
      </c>
      <c r="H35" s="3202">
        <f t="shared" si="35"/>
        <v>0</v>
      </c>
      <c r="I35" s="3207"/>
      <c r="J35" s="3218"/>
      <c r="K35" s="3207"/>
      <c r="L35" s="3218"/>
      <c r="M35" s="3218"/>
      <c r="N35" s="3218"/>
      <c r="O35" s="3218"/>
      <c r="P35" s="3218"/>
      <c r="Q35" s="3218"/>
      <c r="R35" s="3218"/>
      <c r="S35" s="3218"/>
      <c r="T35" s="3218"/>
      <c r="U35" s="3218"/>
      <c r="V35" s="3218"/>
      <c r="W35" s="3218"/>
      <c r="X35" s="3218"/>
      <c r="Y35" s="3218"/>
      <c r="Z35" s="3218"/>
      <c r="AA35" s="3218"/>
      <c r="AB35" s="3218"/>
      <c r="AC35" s="3199">
        <f t="shared" si="36"/>
        <v>0</v>
      </c>
      <c r="AD35" s="3229"/>
      <c r="AE35" s="3229"/>
      <c r="AF35" s="3207"/>
      <c r="AG35" s="3229"/>
      <c r="AH35" s="3229"/>
      <c r="AI35" s="3229"/>
      <c r="AJ35" s="3229"/>
      <c r="AK35" s="3229"/>
      <c r="AL35" s="3229"/>
      <c r="AM35" s="3229"/>
      <c r="AN35" s="3229"/>
      <c r="AO35" s="3229"/>
      <c r="AP35" s="3229"/>
      <c r="AQ35" s="3229"/>
      <c r="AR35" s="3229"/>
      <c r="AS35" s="3229"/>
      <c r="AT35" s="3249"/>
      <c r="AU35" s="3250"/>
      <c r="AV35" s="475">
        <f t="shared" si="37"/>
        <v>0</v>
      </c>
      <c r="AW35" s="475">
        <f t="shared" si="38"/>
        <v>0</v>
      </c>
      <c r="AX35" s="475">
        <f t="shared" si="39"/>
        <v>0</v>
      </c>
      <c r="AY35" s="3266">
        <f t="shared" si="40"/>
        <v>0</v>
      </c>
      <c r="AZ35" s="3199">
        <f t="shared" si="41"/>
        <v>0</v>
      </c>
      <c r="BA35" s="3199">
        <f t="shared" si="42"/>
        <v>0</v>
      </c>
      <c r="BB35" s="3199">
        <f t="shared" si="43"/>
        <v>0</v>
      </c>
      <c r="BC35" s="3199">
        <f t="shared" si="44"/>
        <v>0</v>
      </c>
      <c r="BD35" s="3199">
        <f t="shared" si="45"/>
        <v>0</v>
      </c>
      <c r="BE35" s="3199">
        <f t="shared" si="46"/>
        <v>0</v>
      </c>
      <c r="BF35" s="3199">
        <f t="shared" si="47"/>
        <v>0</v>
      </c>
      <c r="BG35" s="3199">
        <f t="shared" si="48"/>
        <v>0</v>
      </c>
      <c r="BH35" s="3199">
        <f t="shared" si="49"/>
        <v>0</v>
      </c>
      <c r="BI35" s="3199">
        <f t="shared" si="50"/>
        <v>0</v>
      </c>
      <c r="BJ35" s="3199">
        <f t="shared" si="51"/>
        <v>0</v>
      </c>
      <c r="BK35" s="3199">
        <f t="shared" si="52"/>
        <v>0</v>
      </c>
      <c r="BL35" s="3199">
        <f t="shared" si="53"/>
        <v>0</v>
      </c>
      <c r="BM35" s="3199">
        <f t="shared" si="54"/>
        <v>0</v>
      </c>
      <c r="BN35" s="3199">
        <f t="shared" si="55"/>
        <v>0</v>
      </c>
      <c r="BO35" s="3199">
        <f t="shared" si="56"/>
        <v>0</v>
      </c>
      <c r="BP35" s="3199">
        <f t="shared" si="57"/>
        <v>0</v>
      </c>
      <c r="BQ35" s="3199">
        <f t="shared" si="58"/>
        <v>0</v>
      </c>
      <c r="BR35" s="3199">
        <f t="shared" si="59"/>
        <v>0</v>
      </c>
      <c r="BS35" s="3199">
        <f t="shared" si="60"/>
        <v>0</v>
      </c>
      <c r="BT35" s="3271">
        <f t="shared" si="61"/>
        <v>0</v>
      </c>
    </row>
    <row r="36" spans="1:72">
      <c r="A36" s="3197"/>
      <c r="B36" s="3205"/>
      <c r="C36" s="3204"/>
      <c r="D36" s="3193"/>
      <c r="E36" s="3199">
        <f t="shared" si="33"/>
        <v>0</v>
      </c>
      <c r="F36" s="3200"/>
      <c r="G36" s="3201">
        <f t="shared" si="34"/>
        <v>0</v>
      </c>
      <c r="H36" s="3202">
        <f t="shared" si="35"/>
        <v>0</v>
      </c>
      <c r="I36" s="3207"/>
      <c r="J36" s="3218"/>
      <c r="K36" s="3207"/>
      <c r="L36" s="3218"/>
      <c r="M36" s="3218"/>
      <c r="N36" s="3218"/>
      <c r="O36" s="3218"/>
      <c r="P36" s="3218"/>
      <c r="Q36" s="3218"/>
      <c r="R36" s="3218"/>
      <c r="S36" s="3218"/>
      <c r="T36" s="3218"/>
      <c r="U36" s="3218"/>
      <c r="V36" s="3218"/>
      <c r="W36" s="3218"/>
      <c r="X36" s="3218"/>
      <c r="Y36" s="3218"/>
      <c r="Z36" s="3218"/>
      <c r="AA36" s="3218"/>
      <c r="AB36" s="3218"/>
      <c r="AC36" s="3199">
        <f t="shared" si="36"/>
        <v>0</v>
      </c>
      <c r="AD36" s="3229"/>
      <c r="AE36" s="3229"/>
      <c r="AF36" s="3207"/>
      <c r="AG36" s="3229"/>
      <c r="AH36" s="3229"/>
      <c r="AI36" s="3229"/>
      <c r="AJ36" s="3229"/>
      <c r="AK36" s="3229"/>
      <c r="AL36" s="3229"/>
      <c r="AM36" s="3229"/>
      <c r="AN36" s="3229"/>
      <c r="AO36" s="3229"/>
      <c r="AP36" s="3229"/>
      <c r="AQ36" s="3229"/>
      <c r="AR36" s="3229"/>
      <c r="AS36" s="3229"/>
      <c r="AT36" s="3249"/>
      <c r="AU36" s="3250"/>
      <c r="AV36" s="475">
        <f t="shared" si="37"/>
        <v>0</v>
      </c>
      <c r="AW36" s="475">
        <f t="shared" si="38"/>
        <v>0</v>
      </c>
      <c r="AX36" s="475">
        <f t="shared" si="39"/>
        <v>0</v>
      </c>
      <c r="AY36" s="3266">
        <f t="shared" si="40"/>
        <v>0</v>
      </c>
      <c r="AZ36" s="3199">
        <f t="shared" si="41"/>
        <v>0</v>
      </c>
      <c r="BA36" s="3199">
        <f t="shared" si="42"/>
        <v>0</v>
      </c>
      <c r="BB36" s="3199">
        <f t="shared" si="43"/>
        <v>0</v>
      </c>
      <c r="BC36" s="3199">
        <f t="shared" si="44"/>
        <v>0</v>
      </c>
      <c r="BD36" s="3199">
        <f t="shared" si="45"/>
        <v>0</v>
      </c>
      <c r="BE36" s="3199">
        <f t="shared" si="46"/>
        <v>0</v>
      </c>
      <c r="BF36" s="3199">
        <f t="shared" si="47"/>
        <v>0</v>
      </c>
      <c r="BG36" s="3199">
        <f t="shared" si="48"/>
        <v>0</v>
      </c>
      <c r="BH36" s="3199">
        <f t="shared" si="49"/>
        <v>0</v>
      </c>
      <c r="BI36" s="3199">
        <f t="shared" si="50"/>
        <v>0</v>
      </c>
      <c r="BJ36" s="3199">
        <f t="shared" si="51"/>
        <v>0</v>
      </c>
      <c r="BK36" s="3199">
        <f t="shared" si="52"/>
        <v>0</v>
      </c>
      <c r="BL36" s="3199">
        <f t="shared" si="53"/>
        <v>0</v>
      </c>
      <c r="BM36" s="3199">
        <f t="shared" si="54"/>
        <v>0</v>
      </c>
      <c r="BN36" s="3199">
        <f t="shared" si="55"/>
        <v>0</v>
      </c>
      <c r="BO36" s="3199">
        <f t="shared" si="56"/>
        <v>0</v>
      </c>
      <c r="BP36" s="3199">
        <f t="shared" si="57"/>
        <v>0</v>
      </c>
      <c r="BQ36" s="3199">
        <f t="shared" si="58"/>
        <v>0</v>
      </c>
      <c r="BR36" s="3199">
        <f t="shared" si="59"/>
        <v>0</v>
      </c>
      <c r="BS36" s="3199">
        <f t="shared" si="60"/>
        <v>0</v>
      </c>
      <c r="BT36" s="3271">
        <f t="shared" si="61"/>
        <v>0</v>
      </c>
    </row>
    <row r="37" spans="1:72">
      <c r="A37" s="3197"/>
      <c r="B37" s="3205"/>
      <c r="C37" s="3204"/>
      <c r="D37" s="3193"/>
      <c r="E37" s="3199">
        <f t="shared" si="33"/>
        <v>0</v>
      </c>
      <c r="F37" s="3200"/>
      <c r="G37" s="3201">
        <f t="shared" si="34"/>
        <v>0</v>
      </c>
      <c r="H37" s="3202">
        <f t="shared" si="35"/>
        <v>0</v>
      </c>
      <c r="I37" s="3207"/>
      <c r="J37" s="3218"/>
      <c r="K37" s="3207"/>
      <c r="L37" s="3218"/>
      <c r="M37" s="3218"/>
      <c r="N37" s="3218"/>
      <c r="O37" s="3218"/>
      <c r="P37" s="3218"/>
      <c r="Q37" s="3218"/>
      <c r="R37" s="3218"/>
      <c r="S37" s="3218"/>
      <c r="T37" s="3218"/>
      <c r="U37" s="3218"/>
      <c r="V37" s="3218"/>
      <c r="W37" s="3218"/>
      <c r="X37" s="3218"/>
      <c r="Y37" s="3218"/>
      <c r="Z37" s="3218"/>
      <c r="AA37" s="3218"/>
      <c r="AB37" s="3218"/>
      <c r="AC37" s="3199">
        <f t="shared" si="36"/>
        <v>0</v>
      </c>
      <c r="AD37" s="3229"/>
      <c r="AE37" s="3229"/>
      <c r="AF37" s="3207"/>
      <c r="AG37" s="3229"/>
      <c r="AH37" s="3229"/>
      <c r="AI37" s="3229"/>
      <c r="AJ37" s="3229"/>
      <c r="AK37" s="3229"/>
      <c r="AL37" s="3229"/>
      <c r="AM37" s="3229"/>
      <c r="AN37" s="3229"/>
      <c r="AO37" s="3229"/>
      <c r="AP37" s="3229"/>
      <c r="AQ37" s="3229"/>
      <c r="AR37" s="3229"/>
      <c r="AS37" s="3229"/>
      <c r="AT37" s="3249"/>
      <c r="AU37" s="3250"/>
      <c r="AV37" s="475">
        <f t="shared" si="37"/>
        <v>0</v>
      </c>
      <c r="AW37" s="475">
        <f t="shared" si="38"/>
        <v>0</v>
      </c>
      <c r="AX37" s="475">
        <f t="shared" si="39"/>
        <v>0</v>
      </c>
      <c r="AY37" s="3266">
        <f t="shared" si="40"/>
        <v>0</v>
      </c>
      <c r="AZ37" s="3199">
        <f t="shared" si="41"/>
        <v>0</v>
      </c>
      <c r="BA37" s="3199">
        <f t="shared" si="42"/>
        <v>0</v>
      </c>
      <c r="BB37" s="3199">
        <f t="shared" si="43"/>
        <v>0</v>
      </c>
      <c r="BC37" s="3199">
        <f t="shared" si="44"/>
        <v>0</v>
      </c>
      <c r="BD37" s="3199">
        <f t="shared" si="45"/>
        <v>0</v>
      </c>
      <c r="BE37" s="3199">
        <f t="shared" si="46"/>
        <v>0</v>
      </c>
      <c r="BF37" s="3199">
        <f t="shared" si="47"/>
        <v>0</v>
      </c>
      <c r="BG37" s="3199">
        <f t="shared" si="48"/>
        <v>0</v>
      </c>
      <c r="BH37" s="3199">
        <f t="shared" si="49"/>
        <v>0</v>
      </c>
      <c r="BI37" s="3199">
        <f t="shared" si="50"/>
        <v>0</v>
      </c>
      <c r="BJ37" s="3199">
        <f t="shared" si="51"/>
        <v>0</v>
      </c>
      <c r="BK37" s="3199">
        <f t="shared" si="52"/>
        <v>0</v>
      </c>
      <c r="BL37" s="3199">
        <f t="shared" si="53"/>
        <v>0</v>
      </c>
      <c r="BM37" s="3199">
        <f t="shared" si="54"/>
        <v>0</v>
      </c>
      <c r="BN37" s="3199">
        <f t="shared" si="55"/>
        <v>0</v>
      </c>
      <c r="BO37" s="3199">
        <f t="shared" si="56"/>
        <v>0</v>
      </c>
      <c r="BP37" s="3199">
        <f t="shared" si="57"/>
        <v>0</v>
      </c>
      <c r="BQ37" s="3199">
        <f t="shared" si="58"/>
        <v>0</v>
      </c>
      <c r="BR37" s="3199">
        <f t="shared" si="59"/>
        <v>0</v>
      </c>
      <c r="BS37" s="3199">
        <f t="shared" si="60"/>
        <v>0</v>
      </c>
      <c r="BT37" s="3271">
        <f t="shared" si="61"/>
        <v>0</v>
      </c>
    </row>
    <row r="38" spans="1:72">
      <c r="A38" s="3197"/>
      <c r="B38" s="3205"/>
      <c r="C38" s="3204"/>
      <c r="D38" s="3193"/>
      <c r="E38" s="3199">
        <f t="shared" si="33"/>
        <v>0</v>
      </c>
      <c r="F38" s="3200"/>
      <c r="G38" s="3201">
        <f t="shared" si="34"/>
        <v>0</v>
      </c>
      <c r="H38" s="3202">
        <f t="shared" si="35"/>
        <v>0</v>
      </c>
      <c r="I38" s="3207"/>
      <c r="J38" s="3218"/>
      <c r="K38" s="3207"/>
      <c r="L38" s="3218"/>
      <c r="M38" s="3218"/>
      <c r="N38" s="3218"/>
      <c r="O38" s="3218"/>
      <c r="P38" s="3218"/>
      <c r="Q38" s="3218"/>
      <c r="R38" s="3218"/>
      <c r="S38" s="3218"/>
      <c r="T38" s="3218"/>
      <c r="U38" s="3218"/>
      <c r="V38" s="3218"/>
      <c r="W38" s="3218"/>
      <c r="X38" s="3218"/>
      <c r="Y38" s="3218"/>
      <c r="Z38" s="3218"/>
      <c r="AA38" s="3218"/>
      <c r="AB38" s="3218"/>
      <c r="AC38" s="3199">
        <f t="shared" si="36"/>
        <v>0</v>
      </c>
      <c r="AD38" s="3229"/>
      <c r="AE38" s="3229"/>
      <c r="AF38" s="3207"/>
      <c r="AG38" s="3229"/>
      <c r="AH38" s="3229"/>
      <c r="AI38" s="3229"/>
      <c r="AJ38" s="3229"/>
      <c r="AK38" s="3229"/>
      <c r="AL38" s="3229"/>
      <c r="AM38" s="3229"/>
      <c r="AN38" s="3229"/>
      <c r="AO38" s="3229"/>
      <c r="AP38" s="3229"/>
      <c r="AQ38" s="3229"/>
      <c r="AR38" s="3229"/>
      <c r="AS38" s="3229"/>
      <c r="AT38" s="3249"/>
      <c r="AU38" s="3250"/>
      <c r="AV38" s="475">
        <f t="shared" si="37"/>
        <v>0</v>
      </c>
      <c r="AW38" s="475">
        <f t="shared" si="38"/>
        <v>0</v>
      </c>
      <c r="AX38" s="475">
        <f t="shared" si="39"/>
        <v>0</v>
      </c>
      <c r="AY38" s="3266">
        <f t="shared" si="40"/>
        <v>0</v>
      </c>
      <c r="AZ38" s="3199">
        <f t="shared" si="41"/>
        <v>0</v>
      </c>
      <c r="BA38" s="3199">
        <f t="shared" si="42"/>
        <v>0</v>
      </c>
      <c r="BB38" s="3199">
        <f t="shared" si="43"/>
        <v>0</v>
      </c>
      <c r="BC38" s="3199">
        <f t="shared" si="44"/>
        <v>0</v>
      </c>
      <c r="BD38" s="3199">
        <f t="shared" si="45"/>
        <v>0</v>
      </c>
      <c r="BE38" s="3199">
        <f t="shared" si="46"/>
        <v>0</v>
      </c>
      <c r="BF38" s="3199">
        <f t="shared" si="47"/>
        <v>0</v>
      </c>
      <c r="BG38" s="3199">
        <f t="shared" si="48"/>
        <v>0</v>
      </c>
      <c r="BH38" s="3199">
        <f t="shared" si="49"/>
        <v>0</v>
      </c>
      <c r="BI38" s="3199">
        <f t="shared" si="50"/>
        <v>0</v>
      </c>
      <c r="BJ38" s="3199">
        <f t="shared" si="51"/>
        <v>0</v>
      </c>
      <c r="BK38" s="3199">
        <f t="shared" si="52"/>
        <v>0</v>
      </c>
      <c r="BL38" s="3199">
        <f t="shared" si="53"/>
        <v>0</v>
      </c>
      <c r="BM38" s="3199">
        <f t="shared" si="54"/>
        <v>0</v>
      </c>
      <c r="BN38" s="3199">
        <f t="shared" si="55"/>
        <v>0</v>
      </c>
      <c r="BO38" s="3199">
        <f t="shared" si="56"/>
        <v>0</v>
      </c>
      <c r="BP38" s="3199">
        <f t="shared" si="57"/>
        <v>0</v>
      </c>
      <c r="BQ38" s="3199">
        <f t="shared" si="58"/>
        <v>0</v>
      </c>
      <c r="BR38" s="3199">
        <f t="shared" si="59"/>
        <v>0</v>
      </c>
      <c r="BS38" s="3199">
        <f t="shared" si="60"/>
        <v>0</v>
      </c>
      <c r="BT38" s="3271">
        <f t="shared" si="61"/>
        <v>0</v>
      </c>
    </row>
    <row r="39" spans="1:72">
      <c r="A39" s="3197"/>
      <c r="B39" s="3205"/>
      <c r="C39" s="3204"/>
      <c r="D39" s="3193"/>
      <c r="E39" s="3199">
        <f t="shared" si="33"/>
        <v>0</v>
      </c>
      <c r="F39" s="3200"/>
      <c r="G39" s="3201">
        <f t="shared" si="34"/>
        <v>0</v>
      </c>
      <c r="H39" s="3202">
        <f t="shared" si="35"/>
        <v>0</v>
      </c>
      <c r="I39" s="3207"/>
      <c r="J39" s="3218"/>
      <c r="K39" s="3207"/>
      <c r="L39" s="3218"/>
      <c r="M39" s="3218"/>
      <c r="N39" s="3218"/>
      <c r="O39" s="3218"/>
      <c r="P39" s="3218"/>
      <c r="Q39" s="3218"/>
      <c r="R39" s="3218"/>
      <c r="S39" s="3218"/>
      <c r="T39" s="3218"/>
      <c r="U39" s="3218"/>
      <c r="V39" s="3218"/>
      <c r="W39" s="3218"/>
      <c r="X39" s="3218"/>
      <c r="Y39" s="3218"/>
      <c r="Z39" s="3218"/>
      <c r="AA39" s="3218"/>
      <c r="AB39" s="3218"/>
      <c r="AC39" s="3199">
        <f t="shared" si="36"/>
        <v>0</v>
      </c>
      <c r="AD39" s="3229"/>
      <c r="AE39" s="3229"/>
      <c r="AF39" s="3207"/>
      <c r="AG39" s="3229"/>
      <c r="AH39" s="3229"/>
      <c r="AI39" s="3229"/>
      <c r="AJ39" s="3229"/>
      <c r="AK39" s="3229"/>
      <c r="AL39" s="3229"/>
      <c r="AM39" s="3229"/>
      <c r="AN39" s="3229"/>
      <c r="AO39" s="3229"/>
      <c r="AP39" s="3229"/>
      <c r="AQ39" s="3229"/>
      <c r="AR39" s="3229"/>
      <c r="AS39" s="3229"/>
      <c r="AT39" s="3249"/>
      <c r="AU39" s="3250"/>
      <c r="AV39" s="475">
        <f t="shared" si="37"/>
        <v>0</v>
      </c>
      <c r="AW39" s="475">
        <f t="shared" si="38"/>
        <v>0</v>
      </c>
      <c r="AX39" s="475">
        <f t="shared" si="39"/>
        <v>0</v>
      </c>
      <c r="AY39" s="3266">
        <f t="shared" si="40"/>
        <v>0</v>
      </c>
      <c r="AZ39" s="3199">
        <f t="shared" si="41"/>
        <v>0</v>
      </c>
      <c r="BA39" s="3199">
        <f t="shared" si="42"/>
        <v>0</v>
      </c>
      <c r="BB39" s="3199">
        <f t="shared" si="43"/>
        <v>0</v>
      </c>
      <c r="BC39" s="3199">
        <f t="shared" si="44"/>
        <v>0</v>
      </c>
      <c r="BD39" s="3199">
        <f t="shared" si="45"/>
        <v>0</v>
      </c>
      <c r="BE39" s="3199">
        <f t="shared" si="46"/>
        <v>0</v>
      </c>
      <c r="BF39" s="3199">
        <f t="shared" si="47"/>
        <v>0</v>
      </c>
      <c r="BG39" s="3199">
        <f t="shared" si="48"/>
        <v>0</v>
      </c>
      <c r="BH39" s="3199">
        <f t="shared" si="49"/>
        <v>0</v>
      </c>
      <c r="BI39" s="3199">
        <f t="shared" si="50"/>
        <v>0</v>
      </c>
      <c r="BJ39" s="3199">
        <f t="shared" si="51"/>
        <v>0</v>
      </c>
      <c r="BK39" s="3199">
        <f t="shared" si="52"/>
        <v>0</v>
      </c>
      <c r="BL39" s="3199">
        <f t="shared" si="53"/>
        <v>0</v>
      </c>
      <c r="BM39" s="3199">
        <f t="shared" si="54"/>
        <v>0</v>
      </c>
      <c r="BN39" s="3199">
        <f t="shared" si="55"/>
        <v>0</v>
      </c>
      <c r="BO39" s="3199">
        <f t="shared" si="56"/>
        <v>0</v>
      </c>
      <c r="BP39" s="3199">
        <f t="shared" si="57"/>
        <v>0</v>
      </c>
      <c r="BQ39" s="3199">
        <f t="shared" si="58"/>
        <v>0</v>
      </c>
      <c r="BR39" s="3199">
        <f t="shared" si="59"/>
        <v>0</v>
      </c>
      <c r="BS39" s="3199">
        <f t="shared" si="60"/>
        <v>0</v>
      </c>
      <c r="BT39" s="3271">
        <f t="shared" si="61"/>
        <v>0</v>
      </c>
    </row>
    <row r="40" spans="1:72">
      <c r="A40" s="3197"/>
      <c r="B40" s="3205"/>
      <c r="C40" s="3204"/>
      <c r="D40" s="3193"/>
      <c r="E40" s="3199">
        <f t="shared" si="33"/>
        <v>0</v>
      </c>
      <c r="F40" s="3200"/>
      <c r="G40" s="3201">
        <f t="shared" si="34"/>
        <v>0</v>
      </c>
      <c r="H40" s="3202">
        <f t="shared" si="35"/>
        <v>0</v>
      </c>
      <c r="I40" s="3207"/>
      <c r="J40" s="3218"/>
      <c r="K40" s="3207"/>
      <c r="L40" s="3218"/>
      <c r="M40" s="3218"/>
      <c r="N40" s="3218"/>
      <c r="O40" s="3218"/>
      <c r="P40" s="3218"/>
      <c r="Q40" s="3218"/>
      <c r="R40" s="3218"/>
      <c r="S40" s="3218"/>
      <c r="T40" s="3218"/>
      <c r="U40" s="3218"/>
      <c r="V40" s="3218"/>
      <c r="W40" s="3218"/>
      <c r="X40" s="3218"/>
      <c r="Y40" s="3218"/>
      <c r="Z40" s="3218"/>
      <c r="AA40" s="3218"/>
      <c r="AB40" s="3218"/>
      <c r="AC40" s="3199">
        <f t="shared" si="36"/>
        <v>0</v>
      </c>
      <c r="AD40" s="3229"/>
      <c r="AE40" s="3229"/>
      <c r="AF40" s="3207"/>
      <c r="AG40" s="3229"/>
      <c r="AH40" s="3229"/>
      <c r="AI40" s="3229"/>
      <c r="AJ40" s="3229"/>
      <c r="AK40" s="3229"/>
      <c r="AL40" s="3229"/>
      <c r="AM40" s="3229"/>
      <c r="AN40" s="3229"/>
      <c r="AO40" s="3229"/>
      <c r="AP40" s="3229"/>
      <c r="AQ40" s="3229"/>
      <c r="AR40" s="3229"/>
      <c r="AS40" s="3229"/>
      <c r="AT40" s="3249"/>
      <c r="AU40" s="3250"/>
      <c r="AV40" s="475">
        <f t="shared" si="37"/>
        <v>0</v>
      </c>
      <c r="AW40" s="475">
        <f t="shared" si="38"/>
        <v>0</v>
      </c>
      <c r="AX40" s="475">
        <f t="shared" si="39"/>
        <v>0</v>
      </c>
      <c r="AY40" s="3266">
        <f t="shared" si="40"/>
        <v>0</v>
      </c>
      <c r="AZ40" s="3199">
        <f t="shared" si="41"/>
        <v>0</v>
      </c>
      <c r="BA40" s="3199">
        <f t="shared" si="42"/>
        <v>0</v>
      </c>
      <c r="BB40" s="3199">
        <f t="shared" si="43"/>
        <v>0</v>
      </c>
      <c r="BC40" s="3199">
        <f t="shared" si="44"/>
        <v>0</v>
      </c>
      <c r="BD40" s="3199">
        <f t="shared" si="45"/>
        <v>0</v>
      </c>
      <c r="BE40" s="3199">
        <f t="shared" si="46"/>
        <v>0</v>
      </c>
      <c r="BF40" s="3199">
        <f t="shared" si="47"/>
        <v>0</v>
      </c>
      <c r="BG40" s="3199">
        <f t="shared" si="48"/>
        <v>0</v>
      </c>
      <c r="BH40" s="3199">
        <f t="shared" si="49"/>
        <v>0</v>
      </c>
      <c r="BI40" s="3199">
        <f t="shared" si="50"/>
        <v>0</v>
      </c>
      <c r="BJ40" s="3199">
        <f t="shared" si="51"/>
        <v>0</v>
      </c>
      <c r="BK40" s="3199">
        <f t="shared" si="52"/>
        <v>0</v>
      </c>
      <c r="BL40" s="3199">
        <f t="shared" si="53"/>
        <v>0</v>
      </c>
      <c r="BM40" s="3199">
        <f t="shared" si="54"/>
        <v>0</v>
      </c>
      <c r="BN40" s="3199">
        <f t="shared" si="55"/>
        <v>0</v>
      </c>
      <c r="BO40" s="3199">
        <f t="shared" si="56"/>
        <v>0</v>
      </c>
      <c r="BP40" s="3199">
        <f t="shared" si="57"/>
        <v>0</v>
      </c>
      <c r="BQ40" s="3199">
        <f t="shared" si="58"/>
        <v>0</v>
      </c>
      <c r="BR40" s="3199">
        <f t="shared" si="59"/>
        <v>0</v>
      </c>
      <c r="BS40" s="3199">
        <f t="shared" si="60"/>
        <v>0</v>
      </c>
      <c r="BT40" s="3271">
        <f t="shared" si="61"/>
        <v>0</v>
      </c>
    </row>
    <row r="41" spans="1:72">
      <c r="A41" s="3197"/>
      <c r="B41" s="3205"/>
      <c r="C41" s="3204"/>
      <c r="D41" s="3193"/>
      <c r="E41" s="3199">
        <f t="shared" si="33"/>
        <v>0</v>
      </c>
      <c r="F41" s="3200"/>
      <c r="G41" s="3201">
        <f t="shared" si="34"/>
        <v>0</v>
      </c>
      <c r="H41" s="3202">
        <f t="shared" si="35"/>
        <v>0</v>
      </c>
      <c r="I41" s="3207"/>
      <c r="J41" s="3218"/>
      <c r="K41" s="3207"/>
      <c r="L41" s="3218"/>
      <c r="M41" s="3218"/>
      <c r="N41" s="3218"/>
      <c r="O41" s="3218"/>
      <c r="P41" s="3218"/>
      <c r="Q41" s="3218"/>
      <c r="R41" s="3218"/>
      <c r="S41" s="3218"/>
      <c r="T41" s="3218"/>
      <c r="U41" s="3218"/>
      <c r="V41" s="3218"/>
      <c r="W41" s="3218"/>
      <c r="X41" s="3218"/>
      <c r="Y41" s="3218"/>
      <c r="Z41" s="3218"/>
      <c r="AA41" s="3218"/>
      <c r="AB41" s="3218"/>
      <c r="AC41" s="3199">
        <f t="shared" si="36"/>
        <v>0</v>
      </c>
      <c r="AD41" s="3229"/>
      <c r="AE41" s="3229"/>
      <c r="AF41" s="3207"/>
      <c r="AG41" s="3229"/>
      <c r="AH41" s="3229"/>
      <c r="AI41" s="3229"/>
      <c r="AJ41" s="3229"/>
      <c r="AK41" s="3229"/>
      <c r="AL41" s="3229"/>
      <c r="AM41" s="3229"/>
      <c r="AN41" s="3229"/>
      <c r="AO41" s="3229"/>
      <c r="AP41" s="3229"/>
      <c r="AQ41" s="3229"/>
      <c r="AR41" s="3229"/>
      <c r="AS41" s="3229"/>
      <c r="AT41" s="3249"/>
      <c r="AU41" s="3250"/>
      <c r="AV41" s="475">
        <f t="shared" si="37"/>
        <v>0</v>
      </c>
      <c r="AW41" s="475">
        <f t="shared" si="38"/>
        <v>0</v>
      </c>
      <c r="AX41" s="475">
        <f t="shared" si="39"/>
        <v>0</v>
      </c>
      <c r="AY41" s="3266">
        <f t="shared" si="40"/>
        <v>0</v>
      </c>
      <c r="AZ41" s="3199">
        <f t="shared" si="41"/>
        <v>0</v>
      </c>
      <c r="BA41" s="3199">
        <f t="shared" si="42"/>
        <v>0</v>
      </c>
      <c r="BB41" s="3199">
        <f t="shared" si="43"/>
        <v>0</v>
      </c>
      <c r="BC41" s="3199">
        <f t="shared" si="44"/>
        <v>0</v>
      </c>
      <c r="BD41" s="3199">
        <f t="shared" si="45"/>
        <v>0</v>
      </c>
      <c r="BE41" s="3199">
        <f t="shared" si="46"/>
        <v>0</v>
      </c>
      <c r="BF41" s="3199">
        <f t="shared" si="47"/>
        <v>0</v>
      </c>
      <c r="BG41" s="3199">
        <f t="shared" si="48"/>
        <v>0</v>
      </c>
      <c r="BH41" s="3199">
        <f t="shared" si="49"/>
        <v>0</v>
      </c>
      <c r="BI41" s="3199">
        <f t="shared" si="50"/>
        <v>0</v>
      </c>
      <c r="BJ41" s="3199">
        <f t="shared" si="51"/>
        <v>0</v>
      </c>
      <c r="BK41" s="3199">
        <f t="shared" si="52"/>
        <v>0</v>
      </c>
      <c r="BL41" s="3199">
        <f t="shared" si="53"/>
        <v>0</v>
      </c>
      <c r="BM41" s="3199">
        <f t="shared" si="54"/>
        <v>0</v>
      </c>
      <c r="BN41" s="3199">
        <f t="shared" si="55"/>
        <v>0</v>
      </c>
      <c r="BO41" s="3199">
        <f t="shared" si="56"/>
        <v>0</v>
      </c>
      <c r="BP41" s="3199">
        <f t="shared" si="57"/>
        <v>0</v>
      </c>
      <c r="BQ41" s="3199">
        <f t="shared" si="58"/>
        <v>0</v>
      </c>
      <c r="BR41" s="3199">
        <f t="shared" si="59"/>
        <v>0</v>
      </c>
      <c r="BS41" s="3199">
        <f t="shared" si="60"/>
        <v>0</v>
      </c>
      <c r="BT41" s="3271">
        <f t="shared" si="61"/>
        <v>0</v>
      </c>
    </row>
    <row r="42" spans="1:72">
      <c r="A42" s="3197"/>
      <c r="B42" s="3205"/>
      <c r="C42" s="3204"/>
      <c r="D42" s="3193"/>
      <c r="E42" s="3199">
        <f t="shared" si="33"/>
        <v>0</v>
      </c>
      <c r="F42" s="3200"/>
      <c r="G42" s="3201">
        <f t="shared" si="34"/>
        <v>0</v>
      </c>
      <c r="H42" s="3202">
        <f t="shared" si="35"/>
        <v>0</v>
      </c>
      <c r="I42" s="3207"/>
      <c r="J42" s="3218"/>
      <c r="K42" s="3207"/>
      <c r="L42" s="3218"/>
      <c r="M42" s="3218"/>
      <c r="N42" s="3218"/>
      <c r="O42" s="3218"/>
      <c r="P42" s="3218"/>
      <c r="Q42" s="3218"/>
      <c r="R42" s="3218"/>
      <c r="S42" s="3218"/>
      <c r="T42" s="3218"/>
      <c r="U42" s="3218"/>
      <c r="V42" s="3218"/>
      <c r="W42" s="3218"/>
      <c r="X42" s="3218"/>
      <c r="Y42" s="3218"/>
      <c r="Z42" s="3218"/>
      <c r="AA42" s="3218"/>
      <c r="AB42" s="3218"/>
      <c r="AC42" s="3199">
        <f t="shared" si="36"/>
        <v>0</v>
      </c>
      <c r="AD42" s="3229"/>
      <c r="AE42" s="3229"/>
      <c r="AF42" s="3207"/>
      <c r="AG42" s="3229"/>
      <c r="AH42" s="3229"/>
      <c r="AI42" s="3229"/>
      <c r="AJ42" s="3229"/>
      <c r="AK42" s="3229"/>
      <c r="AL42" s="3229"/>
      <c r="AM42" s="3229"/>
      <c r="AN42" s="3229"/>
      <c r="AO42" s="3229"/>
      <c r="AP42" s="3229"/>
      <c r="AQ42" s="3229"/>
      <c r="AR42" s="3229"/>
      <c r="AS42" s="3229"/>
      <c r="AT42" s="3249"/>
      <c r="AU42" s="3250"/>
      <c r="AV42" s="475">
        <f t="shared" si="37"/>
        <v>0</v>
      </c>
      <c r="AW42" s="475">
        <f t="shared" si="38"/>
        <v>0</v>
      </c>
      <c r="AX42" s="475">
        <f t="shared" si="39"/>
        <v>0</v>
      </c>
      <c r="AY42" s="3266">
        <f t="shared" si="40"/>
        <v>0</v>
      </c>
      <c r="AZ42" s="3199">
        <f t="shared" si="41"/>
        <v>0</v>
      </c>
      <c r="BA42" s="3199">
        <f t="shared" si="42"/>
        <v>0</v>
      </c>
      <c r="BB42" s="3199">
        <f t="shared" si="43"/>
        <v>0</v>
      </c>
      <c r="BC42" s="3199">
        <f t="shared" si="44"/>
        <v>0</v>
      </c>
      <c r="BD42" s="3199">
        <f t="shared" si="45"/>
        <v>0</v>
      </c>
      <c r="BE42" s="3199">
        <f t="shared" si="46"/>
        <v>0</v>
      </c>
      <c r="BF42" s="3199">
        <f t="shared" si="47"/>
        <v>0</v>
      </c>
      <c r="BG42" s="3199">
        <f t="shared" si="48"/>
        <v>0</v>
      </c>
      <c r="BH42" s="3199">
        <f t="shared" si="49"/>
        <v>0</v>
      </c>
      <c r="BI42" s="3199">
        <f t="shared" si="50"/>
        <v>0</v>
      </c>
      <c r="BJ42" s="3199">
        <f t="shared" si="51"/>
        <v>0</v>
      </c>
      <c r="BK42" s="3199">
        <f t="shared" si="52"/>
        <v>0</v>
      </c>
      <c r="BL42" s="3199">
        <f t="shared" si="53"/>
        <v>0</v>
      </c>
      <c r="BM42" s="3199">
        <f t="shared" si="54"/>
        <v>0</v>
      </c>
      <c r="BN42" s="3199">
        <f t="shared" si="55"/>
        <v>0</v>
      </c>
      <c r="BO42" s="3199">
        <f t="shared" si="56"/>
        <v>0</v>
      </c>
      <c r="BP42" s="3199">
        <f t="shared" si="57"/>
        <v>0</v>
      </c>
      <c r="BQ42" s="3199">
        <f t="shared" si="58"/>
        <v>0</v>
      </c>
      <c r="BR42" s="3199">
        <f t="shared" si="59"/>
        <v>0</v>
      </c>
      <c r="BS42" s="3199">
        <f t="shared" si="60"/>
        <v>0</v>
      </c>
      <c r="BT42" s="3271">
        <f t="shared" si="61"/>
        <v>0</v>
      </c>
    </row>
    <row r="43" spans="1:72">
      <c r="A43" s="3197"/>
      <c r="B43" s="3205"/>
      <c r="C43" s="3204"/>
      <c r="D43" s="3193"/>
      <c r="E43" s="3199">
        <f t="shared" si="33"/>
        <v>0</v>
      </c>
      <c r="F43" s="3200"/>
      <c r="G43" s="3201">
        <f t="shared" si="34"/>
        <v>0</v>
      </c>
      <c r="H43" s="3202">
        <f t="shared" si="35"/>
        <v>0</v>
      </c>
      <c r="I43" s="3207"/>
      <c r="J43" s="3218"/>
      <c r="K43" s="3207"/>
      <c r="L43" s="3218"/>
      <c r="M43" s="3218"/>
      <c r="N43" s="3218"/>
      <c r="O43" s="3218"/>
      <c r="P43" s="3218"/>
      <c r="Q43" s="3218"/>
      <c r="R43" s="3218"/>
      <c r="S43" s="3218"/>
      <c r="T43" s="3218"/>
      <c r="U43" s="3218"/>
      <c r="V43" s="3218"/>
      <c r="W43" s="3218"/>
      <c r="X43" s="3218"/>
      <c r="Y43" s="3218"/>
      <c r="Z43" s="3218"/>
      <c r="AA43" s="3218"/>
      <c r="AB43" s="3218"/>
      <c r="AC43" s="3199">
        <f t="shared" si="36"/>
        <v>0</v>
      </c>
      <c r="AD43" s="3229"/>
      <c r="AE43" s="3229"/>
      <c r="AF43" s="3207"/>
      <c r="AG43" s="3229"/>
      <c r="AH43" s="3229"/>
      <c r="AI43" s="3229"/>
      <c r="AJ43" s="3229"/>
      <c r="AK43" s="3229"/>
      <c r="AL43" s="3229"/>
      <c r="AM43" s="3229"/>
      <c r="AN43" s="3229"/>
      <c r="AO43" s="3229"/>
      <c r="AP43" s="3229"/>
      <c r="AQ43" s="3229"/>
      <c r="AR43" s="3229"/>
      <c r="AS43" s="3229"/>
      <c r="AT43" s="3249"/>
      <c r="AU43" s="3250"/>
      <c r="AV43" s="475">
        <f t="shared" si="37"/>
        <v>0</v>
      </c>
      <c r="AW43" s="475">
        <f t="shared" si="38"/>
        <v>0</v>
      </c>
      <c r="AX43" s="475">
        <f t="shared" si="39"/>
        <v>0</v>
      </c>
      <c r="AY43" s="3266">
        <f t="shared" si="40"/>
        <v>0</v>
      </c>
      <c r="AZ43" s="3199">
        <f t="shared" si="41"/>
        <v>0</v>
      </c>
      <c r="BA43" s="3199">
        <f t="shared" si="42"/>
        <v>0</v>
      </c>
      <c r="BB43" s="3199">
        <f t="shared" si="43"/>
        <v>0</v>
      </c>
      <c r="BC43" s="3199">
        <f t="shared" si="44"/>
        <v>0</v>
      </c>
      <c r="BD43" s="3199">
        <f t="shared" si="45"/>
        <v>0</v>
      </c>
      <c r="BE43" s="3199">
        <f t="shared" si="46"/>
        <v>0</v>
      </c>
      <c r="BF43" s="3199">
        <f t="shared" si="47"/>
        <v>0</v>
      </c>
      <c r="BG43" s="3199">
        <f t="shared" si="48"/>
        <v>0</v>
      </c>
      <c r="BH43" s="3199">
        <f t="shared" si="49"/>
        <v>0</v>
      </c>
      <c r="BI43" s="3199">
        <f t="shared" si="50"/>
        <v>0</v>
      </c>
      <c r="BJ43" s="3199">
        <f t="shared" si="51"/>
        <v>0</v>
      </c>
      <c r="BK43" s="3199">
        <f t="shared" si="52"/>
        <v>0</v>
      </c>
      <c r="BL43" s="3199">
        <f t="shared" si="53"/>
        <v>0</v>
      </c>
      <c r="BM43" s="3199">
        <f t="shared" si="54"/>
        <v>0</v>
      </c>
      <c r="BN43" s="3199">
        <f t="shared" si="55"/>
        <v>0</v>
      </c>
      <c r="BO43" s="3199">
        <f t="shared" si="56"/>
        <v>0</v>
      </c>
      <c r="BP43" s="3199">
        <f t="shared" si="57"/>
        <v>0</v>
      </c>
      <c r="BQ43" s="3199">
        <f t="shared" si="58"/>
        <v>0</v>
      </c>
      <c r="BR43" s="3199">
        <f t="shared" si="59"/>
        <v>0</v>
      </c>
      <c r="BS43" s="3199">
        <f t="shared" si="60"/>
        <v>0</v>
      </c>
      <c r="BT43" s="3271">
        <f t="shared" si="61"/>
        <v>0</v>
      </c>
    </row>
    <row r="44" spans="1:72">
      <c r="A44" s="3197"/>
      <c r="B44" s="3205"/>
      <c r="C44" s="3204"/>
      <c r="D44" s="3193"/>
      <c r="E44" s="3199">
        <f t="shared" si="33"/>
        <v>0</v>
      </c>
      <c r="F44" s="3200"/>
      <c r="G44" s="3201">
        <f t="shared" si="34"/>
        <v>0</v>
      </c>
      <c r="H44" s="3202">
        <f t="shared" si="35"/>
        <v>0</v>
      </c>
      <c r="I44" s="3207"/>
      <c r="J44" s="3218"/>
      <c r="K44" s="3207"/>
      <c r="L44" s="3218"/>
      <c r="M44" s="3218"/>
      <c r="N44" s="3218"/>
      <c r="O44" s="3218"/>
      <c r="P44" s="3218"/>
      <c r="Q44" s="3218"/>
      <c r="R44" s="3218"/>
      <c r="S44" s="3218"/>
      <c r="T44" s="3218"/>
      <c r="U44" s="3218"/>
      <c r="V44" s="3218"/>
      <c r="W44" s="3218"/>
      <c r="X44" s="3218"/>
      <c r="Y44" s="3218"/>
      <c r="Z44" s="3218"/>
      <c r="AA44" s="3218"/>
      <c r="AB44" s="3218"/>
      <c r="AC44" s="3199">
        <f t="shared" si="36"/>
        <v>0</v>
      </c>
      <c r="AD44" s="3229"/>
      <c r="AE44" s="3229"/>
      <c r="AF44" s="3207"/>
      <c r="AG44" s="3229"/>
      <c r="AH44" s="3229"/>
      <c r="AI44" s="3229"/>
      <c r="AJ44" s="3229"/>
      <c r="AK44" s="3229"/>
      <c r="AL44" s="3229"/>
      <c r="AM44" s="3229"/>
      <c r="AN44" s="3229"/>
      <c r="AO44" s="3229"/>
      <c r="AP44" s="3229"/>
      <c r="AQ44" s="3229"/>
      <c r="AR44" s="3229"/>
      <c r="AS44" s="3229"/>
      <c r="AT44" s="3249"/>
      <c r="AU44" s="3250"/>
      <c r="AV44" s="475">
        <f t="shared" si="37"/>
        <v>0</v>
      </c>
      <c r="AW44" s="475">
        <f t="shared" si="38"/>
        <v>0</v>
      </c>
      <c r="AX44" s="475">
        <f t="shared" si="39"/>
        <v>0</v>
      </c>
      <c r="AY44" s="3266">
        <f t="shared" si="40"/>
        <v>0</v>
      </c>
      <c r="AZ44" s="3199">
        <f t="shared" si="41"/>
        <v>0</v>
      </c>
      <c r="BA44" s="3199">
        <f t="shared" si="42"/>
        <v>0</v>
      </c>
      <c r="BB44" s="3199">
        <f t="shared" si="43"/>
        <v>0</v>
      </c>
      <c r="BC44" s="3199">
        <f t="shared" si="44"/>
        <v>0</v>
      </c>
      <c r="BD44" s="3199">
        <f t="shared" si="45"/>
        <v>0</v>
      </c>
      <c r="BE44" s="3199">
        <f t="shared" si="46"/>
        <v>0</v>
      </c>
      <c r="BF44" s="3199">
        <f t="shared" si="47"/>
        <v>0</v>
      </c>
      <c r="BG44" s="3199">
        <f t="shared" si="48"/>
        <v>0</v>
      </c>
      <c r="BH44" s="3199">
        <f t="shared" si="49"/>
        <v>0</v>
      </c>
      <c r="BI44" s="3199">
        <f t="shared" si="50"/>
        <v>0</v>
      </c>
      <c r="BJ44" s="3199">
        <f t="shared" si="51"/>
        <v>0</v>
      </c>
      <c r="BK44" s="3199">
        <f t="shared" si="52"/>
        <v>0</v>
      </c>
      <c r="BL44" s="3199">
        <f t="shared" si="53"/>
        <v>0</v>
      </c>
      <c r="BM44" s="3199">
        <f t="shared" si="54"/>
        <v>0</v>
      </c>
      <c r="BN44" s="3199">
        <f t="shared" si="55"/>
        <v>0</v>
      </c>
      <c r="BO44" s="3199">
        <f t="shared" si="56"/>
        <v>0</v>
      </c>
      <c r="BP44" s="3199">
        <f t="shared" si="57"/>
        <v>0</v>
      </c>
      <c r="BQ44" s="3199">
        <f t="shared" si="58"/>
        <v>0</v>
      </c>
      <c r="BR44" s="3199">
        <f t="shared" si="59"/>
        <v>0</v>
      </c>
      <c r="BS44" s="3199">
        <f t="shared" si="60"/>
        <v>0</v>
      </c>
      <c r="BT44" s="3271">
        <f t="shared" si="61"/>
        <v>0</v>
      </c>
    </row>
    <row r="45" spans="1:72">
      <c r="A45" s="3197"/>
      <c r="B45" s="3205"/>
      <c r="C45" s="3204"/>
      <c r="D45" s="3193"/>
      <c r="E45" s="3199">
        <f t="shared" si="33"/>
        <v>0</v>
      </c>
      <c r="F45" s="3200"/>
      <c r="G45" s="3201">
        <f t="shared" si="34"/>
        <v>0</v>
      </c>
      <c r="H45" s="3202">
        <f t="shared" si="35"/>
        <v>0</v>
      </c>
      <c r="I45" s="3207"/>
      <c r="J45" s="3218"/>
      <c r="K45" s="3207"/>
      <c r="L45" s="3218"/>
      <c r="M45" s="3218"/>
      <c r="N45" s="3218"/>
      <c r="O45" s="3218"/>
      <c r="P45" s="3218"/>
      <c r="Q45" s="3218"/>
      <c r="R45" s="3218"/>
      <c r="S45" s="3218"/>
      <c r="T45" s="3218"/>
      <c r="U45" s="3218"/>
      <c r="V45" s="3218"/>
      <c r="W45" s="3218"/>
      <c r="X45" s="3218"/>
      <c r="Y45" s="3218"/>
      <c r="Z45" s="3218"/>
      <c r="AA45" s="3218"/>
      <c r="AB45" s="3218"/>
      <c r="AC45" s="3199">
        <f t="shared" si="36"/>
        <v>0</v>
      </c>
      <c r="AD45" s="3229"/>
      <c r="AE45" s="3229"/>
      <c r="AF45" s="3207"/>
      <c r="AG45" s="3229"/>
      <c r="AH45" s="3229"/>
      <c r="AI45" s="3229"/>
      <c r="AJ45" s="3229"/>
      <c r="AK45" s="3229"/>
      <c r="AL45" s="3229"/>
      <c r="AM45" s="3229"/>
      <c r="AN45" s="3229"/>
      <c r="AO45" s="3229"/>
      <c r="AP45" s="3229"/>
      <c r="AQ45" s="3229"/>
      <c r="AR45" s="3229"/>
      <c r="AS45" s="3229"/>
      <c r="AT45" s="3249"/>
      <c r="AU45" s="3250"/>
      <c r="AV45" s="475">
        <f t="shared" si="37"/>
        <v>0</v>
      </c>
      <c r="AW45" s="475">
        <f t="shared" si="38"/>
        <v>0</v>
      </c>
      <c r="AX45" s="475">
        <f t="shared" si="39"/>
        <v>0</v>
      </c>
      <c r="AY45" s="3266">
        <f t="shared" si="40"/>
        <v>0</v>
      </c>
      <c r="AZ45" s="3199">
        <f t="shared" si="41"/>
        <v>0</v>
      </c>
      <c r="BA45" s="3199">
        <f t="shared" si="42"/>
        <v>0</v>
      </c>
      <c r="BB45" s="3199">
        <f t="shared" si="43"/>
        <v>0</v>
      </c>
      <c r="BC45" s="3199">
        <f t="shared" si="44"/>
        <v>0</v>
      </c>
      <c r="BD45" s="3199">
        <f t="shared" si="45"/>
        <v>0</v>
      </c>
      <c r="BE45" s="3199">
        <f t="shared" si="46"/>
        <v>0</v>
      </c>
      <c r="BF45" s="3199">
        <f t="shared" si="47"/>
        <v>0</v>
      </c>
      <c r="BG45" s="3199">
        <f t="shared" si="48"/>
        <v>0</v>
      </c>
      <c r="BH45" s="3199">
        <f t="shared" si="49"/>
        <v>0</v>
      </c>
      <c r="BI45" s="3199">
        <f t="shared" si="50"/>
        <v>0</v>
      </c>
      <c r="BJ45" s="3199">
        <f t="shared" si="51"/>
        <v>0</v>
      </c>
      <c r="BK45" s="3199">
        <f t="shared" si="52"/>
        <v>0</v>
      </c>
      <c r="BL45" s="3199">
        <f t="shared" si="53"/>
        <v>0</v>
      </c>
      <c r="BM45" s="3199">
        <f t="shared" si="54"/>
        <v>0</v>
      </c>
      <c r="BN45" s="3199">
        <f t="shared" si="55"/>
        <v>0</v>
      </c>
      <c r="BO45" s="3199">
        <f t="shared" si="56"/>
        <v>0</v>
      </c>
      <c r="BP45" s="3199">
        <f t="shared" si="57"/>
        <v>0</v>
      </c>
      <c r="BQ45" s="3199">
        <f t="shared" si="58"/>
        <v>0</v>
      </c>
      <c r="BR45" s="3199">
        <f t="shared" si="59"/>
        <v>0</v>
      </c>
      <c r="BS45" s="3199">
        <f t="shared" si="60"/>
        <v>0</v>
      </c>
      <c r="BT45" s="3271">
        <f t="shared" si="61"/>
        <v>0</v>
      </c>
    </row>
    <row r="46" spans="1:72">
      <c r="A46" s="3197"/>
      <c r="B46" s="3205"/>
      <c r="C46" s="3204"/>
      <c r="D46" s="3193"/>
      <c r="E46" s="3199">
        <f t="shared" si="33"/>
        <v>0</v>
      </c>
      <c r="F46" s="3200"/>
      <c r="G46" s="3201">
        <f t="shared" si="34"/>
        <v>0</v>
      </c>
      <c r="H46" s="3202">
        <f t="shared" si="35"/>
        <v>0</v>
      </c>
      <c r="I46" s="3207"/>
      <c r="J46" s="3218"/>
      <c r="K46" s="3207"/>
      <c r="L46" s="3218"/>
      <c r="M46" s="3218"/>
      <c r="N46" s="3218"/>
      <c r="O46" s="3218"/>
      <c r="P46" s="3218"/>
      <c r="Q46" s="3218"/>
      <c r="R46" s="3218"/>
      <c r="S46" s="3218"/>
      <c r="T46" s="3218"/>
      <c r="U46" s="3218"/>
      <c r="V46" s="3218"/>
      <c r="W46" s="3218"/>
      <c r="X46" s="3218"/>
      <c r="Y46" s="3218"/>
      <c r="Z46" s="3218"/>
      <c r="AA46" s="3218"/>
      <c r="AB46" s="3218"/>
      <c r="AC46" s="3199">
        <f t="shared" si="36"/>
        <v>0</v>
      </c>
      <c r="AD46" s="3229"/>
      <c r="AE46" s="3229"/>
      <c r="AF46" s="3207"/>
      <c r="AG46" s="3229"/>
      <c r="AH46" s="3229"/>
      <c r="AI46" s="3229"/>
      <c r="AJ46" s="3229"/>
      <c r="AK46" s="3229"/>
      <c r="AL46" s="3229"/>
      <c r="AM46" s="3229"/>
      <c r="AN46" s="3229"/>
      <c r="AO46" s="3229"/>
      <c r="AP46" s="3229"/>
      <c r="AQ46" s="3229"/>
      <c r="AR46" s="3229"/>
      <c r="AS46" s="3229"/>
      <c r="AT46" s="3249"/>
      <c r="AU46" s="3250"/>
      <c r="AV46" s="475">
        <f t="shared" si="37"/>
        <v>0</v>
      </c>
      <c r="AW46" s="475">
        <f t="shared" si="38"/>
        <v>0</v>
      </c>
      <c r="AX46" s="475">
        <f t="shared" si="39"/>
        <v>0</v>
      </c>
      <c r="AY46" s="3266">
        <f t="shared" si="40"/>
        <v>0</v>
      </c>
      <c r="AZ46" s="3199">
        <f t="shared" si="41"/>
        <v>0</v>
      </c>
      <c r="BA46" s="3199">
        <f t="shared" si="42"/>
        <v>0</v>
      </c>
      <c r="BB46" s="3199">
        <f t="shared" si="43"/>
        <v>0</v>
      </c>
      <c r="BC46" s="3199">
        <f t="shared" si="44"/>
        <v>0</v>
      </c>
      <c r="BD46" s="3199">
        <f t="shared" si="45"/>
        <v>0</v>
      </c>
      <c r="BE46" s="3199">
        <f t="shared" si="46"/>
        <v>0</v>
      </c>
      <c r="BF46" s="3199">
        <f t="shared" si="47"/>
        <v>0</v>
      </c>
      <c r="BG46" s="3199">
        <f t="shared" si="48"/>
        <v>0</v>
      </c>
      <c r="BH46" s="3199">
        <f t="shared" si="49"/>
        <v>0</v>
      </c>
      <c r="BI46" s="3199">
        <f t="shared" si="50"/>
        <v>0</v>
      </c>
      <c r="BJ46" s="3199">
        <f t="shared" si="51"/>
        <v>0</v>
      </c>
      <c r="BK46" s="3199">
        <f t="shared" si="52"/>
        <v>0</v>
      </c>
      <c r="BL46" s="3199">
        <f t="shared" si="53"/>
        <v>0</v>
      </c>
      <c r="BM46" s="3199">
        <f t="shared" si="54"/>
        <v>0</v>
      </c>
      <c r="BN46" s="3199">
        <f t="shared" si="55"/>
        <v>0</v>
      </c>
      <c r="BO46" s="3199">
        <f t="shared" si="56"/>
        <v>0</v>
      </c>
      <c r="BP46" s="3199">
        <f t="shared" si="57"/>
        <v>0</v>
      </c>
      <c r="BQ46" s="3199">
        <f t="shared" si="58"/>
        <v>0</v>
      </c>
      <c r="BR46" s="3199">
        <f t="shared" si="59"/>
        <v>0</v>
      </c>
      <c r="BS46" s="3199">
        <f t="shared" si="60"/>
        <v>0</v>
      </c>
      <c r="BT46" s="3271">
        <f t="shared" si="61"/>
        <v>0</v>
      </c>
    </row>
    <row r="47" spans="1:72">
      <c r="A47" s="3197"/>
      <c r="B47" s="3205"/>
      <c r="C47" s="3204"/>
      <c r="D47" s="3193"/>
      <c r="E47" s="3199">
        <f t="shared" si="33"/>
        <v>0</v>
      </c>
      <c r="F47" s="3200"/>
      <c r="G47" s="3201">
        <f t="shared" si="34"/>
        <v>0</v>
      </c>
      <c r="H47" s="3202">
        <f t="shared" si="35"/>
        <v>0</v>
      </c>
      <c r="I47" s="3207"/>
      <c r="J47" s="3218"/>
      <c r="K47" s="3207"/>
      <c r="L47" s="3218"/>
      <c r="M47" s="3218"/>
      <c r="N47" s="3218"/>
      <c r="O47" s="3218"/>
      <c r="P47" s="3218"/>
      <c r="Q47" s="3218"/>
      <c r="R47" s="3218"/>
      <c r="S47" s="3218"/>
      <c r="T47" s="3218"/>
      <c r="U47" s="3218"/>
      <c r="V47" s="3218"/>
      <c r="W47" s="3218"/>
      <c r="X47" s="3218"/>
      <c r="Y47" s="3218"/>
      <c r="Z47" s="3218"/>
      <c r="AA47" s="3218"/>
      <c r="AB47" s="3218"/>
      <c r="AC47" s="3199">
        <f t="shared" si="36"/>
        <v>0</v>
      </c>
      <c r="AD47" s="3229"/>
      <c r="AE47" s="3229"/>
      <c r="AF47" s="3204"/>
      <c r="AG47" s="3229"/>
      <c r="AH47" s="3229"/>
      <c r="AI47" s="3229"/>
      <c r="AJ47" s="3229"/>
      <c r="AK47" s="3229"/>
      <c r="AL47" s="3229"/>
      <c r="AM47" s="3229"/>
      <c r="AN47" s="3229"/>
      <c r="AO47" s="3229"/>
      <c r="AP47" s="3229"/>
      <c r="AQ47" s="3229"/>
      <c r="AR47" s="3229"/>
      <c r="AS47" s="3229"/>
      <c r="AT47" s="3249"/>
      <c r="AU47" s="3250"/>
      <c r="AV47" s="475">
        <f t="shared" si="37"/>
        <v>0</v>
      </c>
      <c r="AW47" s="475">
        <f t="shared" si="38"/>
        <v>0</v>
      </c>
      <c r="AX47" s="475">
        <f t="shared" si="39"/>
        <v>0</v>
      </c>
      <c r="AY47" s="3266">
        <f t="shared" si="40"/>
        <v>0</v>
      </c>
      <c r="AZ47" s="3199">
        <f t="shared" si="41"/>
        <v>0</v>
      </c>
      <c r="BA47" s="3199">
        <f t="shared" si="42"/>
        <v>0</v>
      </c>
      <c r="BB47" s="3199">
        <f t="shared" si="43"/>
        <v>0</v>
      </c>
      <c r="BC47" s="3199">
        <f t="shared" si="44"/>
        <v>0</v>
      </c>
      <c r="BD47" s="3199">
        <f t="shared" si="45"/>
        <v>0</v>
      </c>
      <c r="BE47" s="3199">
        <f t="shared" si="46"/>
        <v>0</v>
      </c>
      <c r="BF47" s="3199">
        <f t="shared" si="47"/>
        <v>0</v>
      </c>
      <c r="BG47" s="3199">
        <f t="shared" si="48"/>
        <v>0</v>
      </c>
      <c r="BH47" s="3199">
        <f t="shared" si="49"/>
        <v>0</v>
      </c>
      <c r="BI47" s="3199">
        <f t="shared" si="50"/>
        <v>0</v>
      </c>
      <c r="BJ47" s="3199">
        <f t="shared" si="51"/>
        <v>0</v>
      </c>
      <c r="BK47" s="3199">
        <f t="shared" si="52"/>
        <v>0</v>
      </c>
      <c r="BL47" s="3199">
        <f t="shared" si="53"/>
        <v>0</v>
      </c>
      <c r="BM47" s="3199">
        <f t="shared" si="54"/>
        <v>0</v>
      </c>
      <c r="BN47" s="3199">
        <f t="shared" si="55"/>
        <v>0</v>
      </c>
      <c r="BO47" s="3199">
        <f t="shared" si="56"/>
        <v>0</v>
      </c>
      <c r="BP47" s="3199">
        <f t="shared" si="57"/>
        <v>0</v>
      </c>
      <c r="BQ47" s="3199">
        <f t="shared" si="58"/>
        <v>0</v>
      </c>
      <c r="BR47" s="3199">
        <f t="shared" si="59"/>
        <v>0</v>
      </c>
      <c r="BS47" s="3199">
        <f t="shared" si="60"/>
        <v>0</v>
      </c>
      <c r="BT47" s="3271">
        <f t="shared" si="61"/>
        <v>0</v>
      </c>
    </row>
    <row r="48" spans="1:72">
      <c r="A48" s="3197"/>
      <c r="B48" s="3205"/>
      <c r="C48" s="3204"/>
      <c r="D48" s="3193"/>
      <c r="E48" s="3199">
        <f t="shared" si="33"/>
        <v>0</v>
      </c>
      <c r="F48" s="3200"/>
      <c r="G48" s="3201">
        <f t="shared" si="34"/>
        <v>0</v>
      </c>
      <c r="H48" s="3202">
        <f t="shared" si="35"/>
        <v>0</v>
      </c>
      <c r="I48" s="3204"/>
      <c r="J48" s="3218"/>
      <c r="K48" s="3204"/>
      <c r="L48" s="3218"/>
      <c r="M48" s="3218"/>
      <c r="N48" s="3218"/>
      <c r="O48" s="3218"/>
      <c r="P48" s="3218"/>
      <c r="Q48" s="3218"/>
      <c r="R48" s="3218"/>
      <c r="S48" s="3218"/>
      <c r="T48" s="3218"/>
      <c r="U48" s="3218"/>
      <c r="V48" s="3218"/>
      <c r="W48" s="3218"/>
      <c r="X48" s="3218"/>
      <c r="Y48" s="3218"/>
      <c r="Z48" s="3218"/>
      <c r="AA48" s="3218"/>
      <c r="AB48" s="3218"/>
      <c r="AC48" s="3199">
        <f t="shared" si="36"/>
        <v>0</v>
      </c>
      <c r="AD48" s="3229"/>
      <c r="AE48" s="3229"/>
      <c r="AF48" s="3204"/>
      <c r="AG48" s="3229"/>
      <c r="AH48" s="3229"/>
      <c r="AI48" s="3229"/>
      <c r="AJ48" s="3229"/>
      <c r="AK48" s="3229"/>
      <c r="AL48" s="3229"/>
      <c r="AM48" s="3229"/>
      <c r="AN48" s="3229"/>
      <c r="AO48" s="3229"/>
      <c r="AP48" s="3229"/>
      <c r="AQ48" s="3229"/>
      <c r="AR48" s="3229"/>
      <c r="AS48" s="3229"/>
      <c r="AT48" s="3249"/>
      <c r="AU48" s="3250"/>
      <c r="AV48" s="475">
        <f t="shared" si="37"/>
        <v>0</v>
      </c>
      <c r="AW48" s="475">
        <f t="shared" si="38"/>
        <v>0</v>
      </c>
      <c r="AX48" s="475">
        <f t="shared" si="39"/>
        <v>0</v>
      </c>
      <c r="AY48" s="3266">
        <f t="shared" si="40"/>
        <v>0</v>
      </c>
      <c r="AZ48" s="3199">
        <f t="shared" si="41"/>
        <v>0</v>
      </c>
      <c r="BA48" s="3199">
        <f t="shared" si="42"/>
        <v>0</v>
      </c>
      <c r="BB48" s="3199">
        <f t="shared" si="43"/>
        <v>0</v>
      </c>
      <c r="BC48" s="3199">
        <f t="shared" si="44"/>
        <v>0</v>
      </c>
      <c r="BD48" s="3199">
        <f t="shared" si="45"/>
        <v>0</v>
      </c>
      <c r="BE48" s="3199">
        <f t="shared" si="46"/>
        <v>0</v>
      </c>
      <c r="BF48" s="3199">
        <f t="shared" si="47"/>
        <v>0</v>
      </c>
      <c r="BG48" s="3199">
        <f t="shared" si="48"/>
        <v>0</v>
      </c>
      <c r="BH48" s="3199">
        <f t="shared" si="49"/>
        <v>0</v>
      </c>
      <c r="BI48" s="3199">
        <f t="shared" si="50"/>
        <v>0</v>
      </c>
      <c r="BJ48" s="3199">
        <f t="shared" si="51"/>
        <v>0</v>
      </c>
      <c r="BK48" s="3199">
        <f t="shared" si="52"/>
        <v>0</v>
      </c>
      <c r="BL48" s="3199">
        <f t="shared" si="53"/>
        <v>0</v>
      </c>
      <c r="BM48" s="3199">
        <f t="shared" si="54"/>
        <v>0</v>
      </c>
      <c r="BN48" s="3199">
        <f t="shared" si="55"/>
        <v>0</v>
      </c>
      <c r="BO48" s="3199">
        <f t="shared" si="56"/>
        <v>0</v>
      </c>
      <c r="BP48" s="3199">
        <f t="shared" si="57"/>
        <v>0</v>
      </c>
      <c r="BQ48" s="3199">
        <f t="shared" si="58"/>
        <v>0</v>
      </c>
      <c r="BR48" s="3199">
        <f t="shared" si="59"/>
        <v>0</v>
      </c>
      <c r="BS48" s="3199">
        <f t="shared" si="60"/>
        <v>0</v>
      </c>
      <c r="BT48" s="3271">
        <f t="shared" si="61"/>
        <v>0</v>
      </c>
    </row>
    <row r="49" spans="1:72">
      <c r="A49" s="3197"/>
      <c r="B49" s="3205"/>
      <c r="C49" s="3204"/>
      <c r="D49" s="3193"/>
      <c r="E49" s="3199">
        <f t="shared" si="33"/>
        <v>0</v>
      </c>
      <c r="F49" s="3200"/>
      <c r="G49" s="3201">
        <f t="shared" si="34"/>
        <v>0</v>
      </c>
      <c r="H49" s="3202">
        <f t="shared" si="35"/>
        <v>0</v>
      </c>
      <c r="I49" s="3204"/>
      <c r="J49" s="3218"/>
      <c r="K49" s="3204"/>
      <c r="L49" s="3218"/>
      <c r="M49" s="3218"/>
      <c r="N49" s="3218"/>
      <c r="O49" s="3218"/>
      <c r="P49" s="3218"/>
      <c r="Q49" s="3218"/>
      <c r="R49" s="3218"/>
      <c r="S49" s="3218"/>
      <c r="T49" s="3218"/>
      <c r="U49" s="3218"/>
      <c r="V49" s="3218"/>
      <c r="W49" s="3218"/>
      <c r="X49" s="3218"/>
      <c r="Y49" s="3218"/>
      <c r="Z49" s="3218"/>
      <c r="AA49" s="3218"/>
      <c r="AB49" s="3218"/>
      <c r="AC49" s="3199">
        <f t="shared" si="36"/>
        <v>0</v>
      </c>
      <c r="AD49" s="3229"/>
      <c r="AE49" s="3229"/>
      <c r="AF49" s="3204"/>
      <c r="AG49" s="3229"/>
      <c r="AH49" s="3229"/>
      <c r="AI49" s="3229"/>
      <c r="AJ49" s="3229"/>
      <c r="AK49" s="3229"/>
      <c r="AL49" s="3229"/>
      <c r="AM49" s="3229"/>
      <c r="AN49" s="3229"/>
      <c r="AO49" s="3229"/>
      <c r="AP49" s="3229"/>
      <c r="AQ49" s="3229"/>
      <c r="AR49" s="3229"/>
      <c r="AS49" s="3229"/>
      <c r="AT49" s="3249"/>
      <c r="AU49" s="3250"/>
      <c r="AV49" s="475">
        <f t="shared" si="37"/>
        <v>0</v>
      </c>
      <c r="AW49" s="475">
        <f t="shared" si="38"/>
        <v>0</v>
      </c>
      <c r="AX49" s="475">
        <f t="shared" si="39"/>
        <v>0</v>
      </c>
      <c r="AY49" s="3266">
        <f t="shared" si="40"/>
        <v>0</v>
      </c>
      <c r="AZ49" s="3199">
        <f t="shared" si="41"/>
        <v>0</v>
      </c>
      <c r="BA49" s="3199">
        <f t="shared" si="42"/>
        <v>0</v>
      </c>
      <c r="BB49" s="3199">
        <f t="shared" si="43"/>
        <v>0</v>
      </c>
      <c r="BC49" s="3199">
        <f t="shared" si="44"/>
        <v>0</v>
      </c>
      <c r="BD49" s="3199">
        <f t="shared" si="45"/>
        <v>0</v>
      </c>
      <c r="BE49" s="3199">
        <f t="shared" si="46"/>
        <v>0</v>
      </c>
      <c r="BF49" s="3199">
        <f t="shared" si="47"/>
        <v>0</v>
      </c>
      <c r="BG49" s="3199">
        <f t="shared" si="48"/>
        <v>0</v>
      </c>
      <c r="BH49" s="3199">
        <f t="shared" si="49"/>
        <v>0</v>
      </c>
      <c r="BI49" s="3199">
        <f t="shared" si="50"/>
        <v>0</v>
      </c>
      <c r="BJ49" s="3199">
        <f t="shared" si="51"/>
        <v>0</v>
      </c>
      <c r="BK49" s="3199">
        <f t="shared" si="52"/>
        <v>0</v>
      </c>
      <c r="BL49" s="3199">
        <f t="shared" si="53"/>
        <v>0</v>
      </c>
      <c r="BM49" s="3199">
        <f t="shared" si="54"/>
        <v>0</v>
      </c>
      <c r="BN49" s="3199">
        <f t="shared" si="55"/>
        <v>0</v>
      </c>
      <c r="BO49" s="3199">
        <f t="shared" si="56"/>
        <v>0</v>
      </c>
      <c r="BP49" s="3199">
        <f t="shared" si="57"/>
        <v>0</v>
      </c>
      <c r="BQ49" s="3199">
        <f t="shared" si="58"/>
        <v>0</v>
      </c>
      <c r="BR49" s="3199">
        <f t="shared" si="59"/>
        <v>0</v>
      </c>
      <c r="BS49" s="3199">
        <f t="shared" si="60"/>
        <v>0</v>
      </c>
      <c r="BT49" s="3271">
        <f t="shared" si="61"/>
        <v>0</v>
      </c>
    </row>
    <row r="50" spans="1:72">
      <c r="A50" s="3197"/>
      <c r="B50" s="3205"/>
      <c r="C50" s="3204"/>
      <c r="D50" s="3193"/>
      <c r="E50" s="3199">
        <f t="shared" si="33"/>
        <v>0</v>
      </c>
      <c r="F50" s="3200"/>
      <c r="G50" s="3201">
        <f t="shared" si="34"/>
        <v>0</v>
      </c>
      <c r="H50" s="3202">
        <f t="shared" si="35"/>
        <v>0</v>
      </c>
      <c r="I50" s="3204"/>
      <c r="J50" s="3218"/>
      <c r="K50" s="3204"/>
      <c r="L50" s="3218"/>
      <c r="M50" s="3218"/>
      <c r="N50" s="3218"/>
      <c r="O50" s="3218"/>
      <c r="P50" s="3218"/>
      <c r="Q50" s="3218"/>
      <c r="R50" s="3218"/>
      <c r="S50" s="3218"/>
      <c r="T50" s="3218"/>
      <c r="U50" s="3218"/>
      <c r="V50" s="3218"/>
      <c r="W50" s="3218"/>
      <c r="X50" s="3218"/>
      <c r="Y50" s="3218"/>
      <c r="Z50" s="3218"/>
      <c r="AA50" s="3218"/>
      <c r="AB50" s="3218"/>
      <c r="AC50" s="3199">
        <f t="shared" si="36"/>
        <v>0</v>
      </c>
      <c r="AD50" s="3229"/>
      <c r="AE50" s="3229"/>
      <c r="AF50" s="3204"/>
      <c r="AG50" s="3229"/>
      <c r="AH50" s="3229"/>
      <c r="AI50" s="3229"/>
      <c r="AJ50" s="3229"/>
      <c r="AK50" s="3229"/>
      <c r="AL50" s="3229"/>
      <c r="AM50" s="3229"/>
      <c r="AN50" s="3229"/>
      <c r="AO50" s="3229"/>
      <c r="AP50" s="3229"/>
      <c r="AQ50" s="3229"/>
      <c r="AR50" s="3229"/>
      <c r="AS50" s="3229"/>
      <c r="AT50" s="3249"/>
      <c r="AU50" s="3250"/>
      <c r="AV50" s="475">
        <f t="shared" si="37"/>
        <v>0</v>
      </c>
      <c r="AW50" s="475">
        <f t="shared" si="38"/>
        <v>0</v>
      </c>
      <c r="AX50" s="475">
        <f t="shared" si="39"/>
        <v>0</v>
      </c>
      <c r="AY50" s="3266">
        <f t="shared" si="40"/>
        <v>0</v>
      </c>
      <c r="AZ50" s="3199">
        <f t="shared" si="41"/>
        <v>0</v>
      </c>
      <c r="BA50" s="3199">
        <f t="shared" si="42"/>
        <v>0</v>
      </c>
      <c r="BB50" s="3199">
        <f t="shared" si="43"/>
        <v>0</v>
      </c>
      <c r="BC50" s="3199">
        <f t="shared" si="44"/>
        <v>0</v>
      </c>
      <c r="BD50" s="3199">
        <f t="shared" si="45"/>
        <v>0</v>
      </c>
      <c r="BE50" s="3199">
        <f t="shared" si="46"/>
        <v>0</v>
      </c>
      <c r="BF50" s="3199">
        <f t="shared" si="47"/>
        <v>0</v>
      </c>
      <c r="BG50" s="3199">
        <f t="shared" si="48"/>
        <v>0</v>
      </c>
      <c r="BH50" s="3199">
        <f t="shared" si="49"/>
        <v>0</v>
      </c>
      <c r="BI50" s="3199">
        <f t="shared" si="50"/>
        <v>0</v>
      </c>
      <c r="BJ50" s="3199">
        <f t="shared" si="51"/>
        <v>0</v>
      </c>
      <c r="BK50" s="3199">
        <f t="shared" si="52"/>
        <v>0</v>
      </c>
      <c r="BL50" s="3199">
        <f t="shared" si="53"/>
        <v>0</v>
      </c>
      <c r="BM50" s="3199">
        <f t="shared" si="54"/>
        <v>0</v>
      </c>
      <c r="BN50" s="3199">
        <f t="shared" si="55"/>
        <v>0</v>
      </c>
      <c r="BO50" s="3199">
        <f t="shared" si="56"/>
        <v>0</v>
      </c>
      <c r="BP50" s="3199">
        <f t="shared" si="57"/>
        <v>0</v>
      </c>
      <c r="BQ50" s="3199">
        <f t="shared" si="58"/>
        <v>0</v>
      </c>
      <c r="BR50" s="3199">
        <f t="shared" si="59"/>
        <v>0</v>
      </c>
      <c r="BS50" s="3199">
        <f t="shared" si="60"/>
        <v>0</v>
      </c>
      <c r="BT50" s="3271">
        <f t="shared" si="61"/>
        <v>0</v>
      </c>
    </row>
    <row r="51" spans="1:72">
      <c r="A51" s="3197"/>
      <c r="B51" s="3205"/>
      <c r="C51" s="3204"/>
      <c r="D51" s="3193"/>
      <c r="E51" s="3199">
        <f t="shared" si="33"/>
        <v>0</v>
      </c>
      <c r="F51" s="3200"/>
      <c r="G51" s="3201">
        <f t="shared" si="34"/>
        <v>0</v>
      </c>
      <c r="H51" s="3202">
        <f t="shared" si="35"/>
        <v>0</v>
      </c>
      <c r="I51" s="3204"/>
      <c r="J51" s="3218"/>
      <c r="K51" s="3204"/>
      <c r="L51" s="3218"/>
      <c r="M51" s="3218"/>
      <c r="N51" s="3218"/>
      <c r="O51" s="3218"/>
      <c r="P51" s="3218"/>
      <c r="Q51" s="3218"/>
      <c r="R51" s="3218"/>
      <c r="S51" s="3218"/>
      <c r="T51" s="3218"/>
      <c r="U51" s="3218"/>
      <c r="V51" s="3218"/>
      <c r="W51" s="3218"/>
      <c r="X51" s="3218"/>
      <c r="Y51" s="3218"/>
      <c r="Z51" s="3218"/>
      <c r="AA51" s="3218"/>
      <c r="AB51" s="3218"/>
      <c r="AC51" s="3199">
        <f t="shared" si="36"/>
        <v>0</v>
      </c>
      <c r="AD51" s="3229"/>
      <c r="AE51" s="3229"/>
      <c r="AF51" s="3204"/>
      <c r="AG51" s="3229"/>
      <c r="AH51" s="3229"/>
      <c r="AI51" s="3229"/>
      <c r="AJ51" s="3229"/>
      <c r="AK51" s="3229"/>
      <c r="AL51" s="3229"/>
      <c r="AM51" s="3229"/>
      <c r="AN51" s="3229"/>
      <c r="AO51" s="3229"/>
      <c r="AP51" s="3229"/>
      <c r="AQ51" s="3229"/>
      <c r="AR51" s="3229"/>
      <c r="AS51" s="3229"/>
      <c r="AT51" s="3249"/>
      <c r="AU51" s="3250"/>
      <c r="AV51" s="475">
        <f t="shared" si="37"/>
        <v>0</v>
      </c>
      <c r="AW51" s="475">
        <f t="shared" si="38"/>
        <v>0</v>
      </c>
      <c r="AX51" s="475">
        <f t="shared" si="39"/>
        <v>0</v>
      </c>
      <c r="AY51" s="3266">
        <f t="shared" si="40"/>
        <v>0</v>
      </c>
      <c r="AZ51" s="3199">
        <f t="shared" si="41"/>
        <v>0</v>
      </c>
      <c r="BA51" s="3199">
        <f t="shared" si="42"/>
        <v>0</v>
      </c>
      <c r="BB51" s="3199">
        <f t="shared" si="43"/>
        <v>0</v>
      </c>
      <c r="BC51" s="3199">
        <f t="shared" si="44"/>
        <v>0</v>
      </c>
      <c r="BD51" s="3199">
        <f t="shared" si="45"/>
        <v>0</v>
      </c>
      <c r="BE51" s="3199">
        <f t="shared" si="46"/>
        <v>0</v>
      </c>
      <c r="BF51" s="3199">
        <f t="shared" si="47"/>
        <v>0</v>
      </c>
      <c r="BG51" s="3199">
        <f t="shared" si="48"/>
        <v>0</v>
      </c>
      <c r="BH51" s="3199">
        <f t="shared" si="49"/>
        <v>0</v>
      </c>
      <c r="BI51" s="3199">
        <f t="shared" si="50"/>
        <v>0</v>
      </c>
      <c r="BJ51" s="3199">
        <f t="shared" si="51"/>
        <v>0</v>
      </c>
      <c r="BK51" s="3199">
        <f t="shared" si="52"/>
        <v>0</v>
      </c>
      <c r="BL51" s="3199">
        <f t="shared" si="53"/>
        <v>0</v>
      </c>
      <c r="BM51" s="3199">
        <f t="shared" si="54"/>
        <v>0</v>
      </c>
      <c r="BN51" s="3199">
        <f t="shared" si="55"/>
        <v>0</v>
      </c>
      <c r="BO51" s="3199">
        <f t="shared" si="56"/>
        <v>0</v>
      </c>
      <c r="BP51" s="3199">
        <f t="shared" si="57"/>
        <v>0</v>
      </c>
      <c r="BQ51" s="3199">
        <f t="shared" si="58"/>
        <v>0</v>
      </c>
      <c r="BR51" s="3199">
        <f t="shared" si="59"/>
        <v>0</v>
      </c>
      <c r="BS51" s="3199">
        <f t="shared" si="60"/>
        <v>0</v>
      </c>
      <c r="BT51" s="3271">
        <f t="shared" si="61"/>
        <v>0</v>
      </c>
    </row>
    <row r="52" spans="1:72">
      <c r="A52" s="3197"/>
      <c r="B52" s="3205"/>
      <c r="C52" s="3204"/>
      <c r="D52" s="3193"/>
      <c r="E52" s="3199">
        <f t="shared" si="33"/>
        <v>0</v>
      </c>
      <c r="F52" s="3200"/>
      <c r="G52" s="3201">
        <f t="shared" si="34"/>
        <v>0</v>
      </c>
      <c r="H52" s="3202">
        <f t="shared" si="35"/>
        <v>0</v>
      </c>
      <c r="I52" s="3204"/>
      <c r="J52" s="3218"/>
      <c r="K52" s="3204"/>
      <c r="L52" s="3218"/>
      <c r="M52" s="3218"/>
      <c r="N52" s="3218"/>
      <c r="O52" s="3218"/>
      <c r="P52" s="3218"/>
      <c r="Q52" s="3218"/>
      <c r="R52" s="3218"/>
      <c r="S52" s="3218"/>
      <c r="T52" s="3218"/>
      <c r="U52" s="3218"/>
      <c r="V52" s="3218"/>
      <c r="W52" s="3218"/>
      <c r="X52" s="3218"/>
      <c r="Y52" s="3218"/>
      <c r="Z52" s="3218"/>
      <c r="AA52" s="3218"/>
      <c r="AB52" s="3218"/>
      <c r="AC52" s="3199">
        <f t="shared" si="36"/>
        <v>0</v>
      </c>
      <c r="AD52" s="3229"/>
      <c r="AE52" s="3229"/>
      <c r="AF52" s="3204"/>
      <c r="AG52" s="3229"/>
      <c r="AH52" s="3229"/>
      <c r="AI52" s="3229"/>
      <c r="AJ52" s="3229"/>
      <c r="AK52" s="3229"/>
      <c r="AL52" s="3229"/>
      <c r="AM52" s="3229"/>
      <c r="AN52" s="3229"/>
      <c r="AO52" s="3229"/>
      <c r="AP52" s="3229"/>
      <c r="AQ52" s="3229"/>
      <c r="AR52" s="3229"/>
      <c r="AS52" s="3229"/>
      <c r="AT52" s="3249"/>
      <c r="AU52" s="3250"/>
      <c r="AV52" s="475">
        <f t="shared" si="37"/>
        <v>0</v>
      </c>
      <c r="AW52" s="475">
        <f t="shared" si="38"/>
        <v>0</v>
      </c>
      <c r="AX52" s="475">
        <f t="shared" si="39"/>
        <v>0</v>
      </c>
      <c r="AY52" s="3266">
        <f t="shared" si="40"/>
        <v>0</v>
      </c>
      <c r="AZ52" s="3199">
        <f t="shared" si="41"/>
        <v>0</v>
      </c>
      <c r="BA52" s="3199">
        <f t="shared" si="42"/>
        <v>0</v>
      </c>
      <c r="BB52" s="3199">
        <f t="shared" si="43"/>
        <v>0</v>
      </c>
      <c r="BC52" s="3199">
        <f t="shared" si="44"/>
        <v>0</v>
      </c>
      <c r="BD52" s="3199">
        <f t="shared" si="45"/>
        <v>0</v>
      </c>
      <c r="BE52" s="3199">
        <f t="shared" si="46"/>
        <v>0</v>
      </c>
      <c r="BF52" s="3199">
        <f t="shared" si="47"/>
        <v>0</v>
      </c>
      <c r="BG52" s="3199">
        <f t="shared" si="48"/>
        <v>0</v>
      </c>
      <c r="BH52" s="3199">
        <f t="shared" si="49"/>
        <v>0</v>
      </c>
      <c r="BI52" s="3199">
        <f t="shared" si="50"/>
        <v>0</v>
      </c>
      <c r="BJ52" s="3199">
        <f t="shared" si="51"/>
        <v>0</v>
      </c>
      <c r="BK52" s="3199">
        <f t="shared" si="52"/>
        <v>0</v>
      </c>
      <c r="BL52" s="3199">
        <f t="shared" si="53"/>
        <v>0</v>
      </c>
      <c r="BM52" s="3199">
        <f t="shared" si="54"/>
        <v>0</v>
      </c>
      <c r="BN52" s="3199">
        <f t="shared" si="55"/>
        <v>0</v>
      </c>
      <c r="BO52" s="3199">
        <f t="shared" si="56"/>
        <v>0</v>
      </c>
      <c r="BP52" s="3199">
        <f t="shared" si="57"/>
        <v>0</v>
      </c>
      <c r="BQ52" s="3199">
        <f t="shared" si="58"/>
        <v>0</v>
      </c>
      <c r="BR52" s="3199">
        <f t="shared" si="59"/>
        <v>0</v>
      </c>
      <c r="BS52" s="3199">
        <f t="shared" si="60"/>
        <v>0</v>
      </c>
      <c r="BT52" s="3271">
        <f t="shared" si="61"/>
        <v>0</v>
      </c>
    </row>
    <row r="53" spans="1:72">
      <c r="A53" s="3197"/>
      <c r="B53" s="3205"/>
      <c r="C53" s="3204"/>
      <c r="D53" s="3193"/>
      <c r="E53" s="3199">
        <f t="shared" si="33"/>
        <v>0</v>
      </c>
      <c r="F53" s="3200"/>
      <c r="G53" s="3201">
        <f t="shared" si="34"/>
        <v>0</v>
      </c>
      <c r="H53" s="3202">
        <f t="shared" si="35"/>
        <v>0</v>
      </c>
      <c r="I53" s="3204"/>
      <c r="J53" s="3218"/>
      <c r="K53" s="3204"/>
      <c r="L53" s="3218"/>
      <c r="M53" s="3218"/>
      <c r="N53" s="3218"/>
      <c r="O53" s="3218"/>
      <c r="P53" s="3218"/>
      <c r="Q53" s="3218"/>
      <c r="R53" s="3218"/>
      <c r="S53" s="3218"/>
      <c r="T53" s="3218"/>
      <c r="U53" s="3218"/>
      <c r="V53" s="3218"/>
      <c r="W53" s="3218"/>
      <c r="X53" s="3218"/>
      <c r="Y53" s="3218"/>
      <c r="Z53" s="3218"/>
      <c r="AA53" s="3218"/>
      <c r="AB53" s="3218"/>
      <c r="AC53" s="3199">
        <f t="shared" si="36"/>
        <v>0</v>
      </c>
      <c r="AD53" s="3229"/>
      <c r="AE53" s="3229"/>
      <c r="AF53" s="3204"/>
      <c r="AG53" s="3229"/>
      <c r="AH53" s="3229"/>
      <c r="AI53" s="3229"/>
      <c r="AJ53" s="3229"/>
      <c r="AK53" s="3229"/>
      <c r="AL53" s="3229"/>
      <c r="AM53" s="3229"/>
      <c r="AN53" s="3229"/>
      <c r="AO53" s="3229"/>
      <c r="AP53" s="3229"/>
      <c r="AQ53" s="3229"/>
      <c r="AR53" s="3229"/>
      <c r="AS53" s="3229"/>
      <c r="AT53" s="3249"/>
      <c r="AU53" s="3250"/>
      <c r="AV53" s="475">
        <f t="shared" si="37"/>
        <v>0</v>
      </c>
      <c r="AW53" s="475">
        <f t="shared" si="38"/>
        <v>0</v>
      </c>
      <c r="AX53" s="475">
        <f t="shared" si="39"/>
        <v>0</v>
      </c>
      <c r="AY53" s="3266">
        <f t="shared" si="40"/>
        <v>0</v>
      </c>
      <c r="AZ53" s="3199">
        <f t="shared" si="41"/>
        <v>0</v>
      </c>
      <c r="BA53" s="3199">
        <f t="shared" si="42"/>
        <v>0</v>
      </c>
      <c r="BB53" s="3199">
        <f t="shared" si="43"/>
        <v>0</v>
      </c>
      <c r="BC53" s="3199">
        <f t="shared" si="44"/>
        <v>0</v>
      </c>
      <c r="BD53" s="3199">
        <f t="shared" si="45"/>
        <v>0</v>
      </c>
      <c r="BE53" s="3199">
        <f t="shared" si="46"/>
        <v>0</v>
      </c>
      <c r="BF53" s="3199">
        <f t="shared" si="47"/>
        <v>0</v>
      </c>
      <c r="BG53" s="3199">
        <f t="shared" si="48"/>
        <v>0</v>
      </c>
      <c r="BH53" s="3199">
        <f t="shared" si="49"/>
        <v>0</v>
      </c>
      <c r="BI53" s="3199">
        <f t="shared" si="50"/>
        <v>0</v>
      </c>
      <c r="BJ53" s="3199">
        <f t="shared" si="51"/>
        <v>0</v>
      </c>
      <c r="BK53" s="3199">
        <f t="shared" si="52"/>
        <v>0</v>
      </c>
      <c r="BL53" s="3199">
        <f t="shared" si="53"/>
        <v>0</v>
      </c>
      <c r="BM53" s="3199">
        <f t="shared" si="54"/>
        <v>0</v>
      </c>
      <c r="BN53" s="3199">
        <f t="shared" si="55"/>
        <v>0</v>
      </c>
      <c r="BO53" s="3199">
        <f t="shared" si="56"/>
        <v>0</v>
      </c>
      <c r="BP53" s="3199">
        <f t="shared" si="57"/>
        <v>0</v>
      </c>
      <c r="BQ53" s="3199">
        <f t="shared" si="58"/>
        <v>0</v>
      </c>
      <c r="BR53" s="3199">
        <f t="shared" si="59"/>
        <v>0</v>
      </c>
      <c r="BS53" s="3199">
        <f t="shared" si="60"/>
        <v>0</v>
      </c>
      <c r="BT53" s="3271">
        <f t="shared" si="61"/>
        <v>0</v>
      </c>
    </row>
    <row r="54" spans="1:72">
      <c r="A54" s="3197"/>
      <c r="B54" s="3205"/>
      <c r="C54" s="3204"/>
      <c r="D54" s="3193"/>
      <c r="E54" s="3199">
        <f t="shared" si="33"/>
        <v>0</v>
      </c>
      <c r="F54" s="3200"/>
      <c r="G54" s="3201">
        <f t="shared" si="34"/>
        <v>0</v>
      </c>
      <c r="H54" s="3202">
        <f t="shared" si="35"/>
        <v>0</v>
      </c>
      <c r="I54" s="3204"/>
      <c r="J54" s="3218"/>
      <c r="K54" s="3204"/>
      <c r="L54" s="3218"/>
      <c r="M54" s="3218"/>
      <c r="N54" s="3218"/>
      <c r="O54" s="3218"/>
      <c r="P54" s="3218"/>
      <c r="Q54" s="3218"/>
      <c r="R54" s="3218"/>
      <c r="S54" s="3218"/>
      <c r="T54" s="3218"/>
      <c r="U54" s="3218"/>
      <c r="V54" s="3218"/>
      <c r="W54" s="3218"/>
      <c r="X54" s="3218"/>
      <c r="Y54" s="3218"/>
      <c r="Z54" s="3218"/>
      <c r="AA54" s="3218"/>
      <c r="AB54" s="3218"/>
      <c r="AC54" s="3199">
        <f t="shared" si="36"/>
        <v>0</v>
      </c>
      <c r="AD54" s="3229"/>
      <c r="AE54" s="3229"/>
      <c r="AF54" s="3204"/>
      <c r="AG54" s="3229"/>
      <c r="AH54" s="3229"/>
      <c r="AI54" s="3229"/>
      <c r="AJ54" s="3229"/>
      <c r="AK54" s="3229"/>
      <c r="AL54" s="3229"/>
      <c r="AM54" s="3229"/>
      <c r="AN54" s="3229"/>
      <c r="AO54" s="3229"/>
      <c r="AP54" s="3229"/>
      <c r="AQ54" s="3229"/>
      <c r="AR54" s="3229"/>
      <c r="AS54" s="3229"/>
      <c r="AT54" s="3249"/>
      <c r="AU54" s="3250"/>
      <c r="AV54" s="475">
        <f t="shared" si="37"/>
        <v>0</v>
      </c>
      <c r="AW54" s="475">
        <f t="shared" si="38"/>
        <v>0</v>
      </c>
      <c r="AX54" s="475">
        <f t="shared" si="39"/>
        <v>0</v>
      </c>
      <c r="AY54" s="3266">
        <f t="shared" si="40"/>
        <v>0</v>
      </c>
      <c r="AZ54" s="3199">
        <f t="shared" si="41"/>
        <v>0</v>
      </c>
      <c r="BA54" s="3199">
        <f t="shared" si="42"/>
        <v>0</v>
      </c>
      <c r="BB54" s="3199">
        <f t="shared" si="43"/>
        <v>0</v>
      </c>
      <c r="BC54" s="3199">
        <f t="shared" si="44"/>
        <v>0</v>
      </c>
      <c r="BD54" s="3199">
        <f t="shared" si="45"/>
        <v>0</v>
      </c>
      <c r="BE54" s="3199">
        <f t="shared" si="46"/>
        <v>0</v>
      </c>
      <c r="BF54" s="3199">
        <f t="shared" si="47"/>
        <v>0</v>
      </c>
      <c r="BG54" s="3199">
        <f t="shared" si="48"/>
        <v>0</v>
      </c>
      <c r="BH54" s="3199">
        <f t="shared" si="49"/>
        <v>0</v>
      </c>
      <c r="BI54" s="3199">
        <f t="shared" si="50"/>
        <v>0</v>
      </c>
      <c r="BJ54" s="3199">
        <f t="shared" si="51"/>
        <v>0</v>
      </c>
      <c r="BK54" s="3199">
        <f t="shared" si="52"/>
        <v>0</v>
      </c>
      <c r="BL54" s="3199">
        <f t="shared" si="53"/>
        <v>0</v>
      </c>
      <c r="BM54" s="3199">
        <f t="shared" si="54"/>
        <v>0</v>
      </c>
      <c r="BN54" s="3199">
        <f t="shared" si="55"/>
        <v>0</v>
      </c>
      <c r="BO54" s="3199">
        <f t="shared" si="56"/>
        <v>0</v>
      </c>
      <c r="BP54" s="3199">
        <f t="shared" si="57"/>
        <v>0</v>
      </c>
      <c r="BQ54" s="3199">
        <f t="shared" si="58"/>
        <v>0</v>
      </c>
      <c r="BR54" s="3199">
        <f t="shared" si="59"/>
        <v>0</v>
      </c>
      <c r="BS54" s="3199">
        <f t="shared" si="60"/>
        <v>0</v>
      </c>
      <c r="BT54" s="3271">
        <f t="shared" si="61"/>
        <v>0</v>
      </c>
    </row>
    <row r="55" spans="1:72">
      <c r="A55" s="3197"/>
      <c r="B55" s="3206"/>
      <c r="C55" s="3207"/>
      <c r="D55" s="3193"/>
      <c r="E55" s="3199">
        <f t="shared" si="33"/>
        <v>0</v>
      </c>
      <c r="F55" s="3200"/>
      <c r="G55" s="3201">
        <f t="shared" si="34"/>
        <v>0</v>
      </c>
      <c r="H55" s="3202">
        <f t="shared" si="35"/>
        <v>0</v>
      </c>
      <c r="I55" s="3204"/>
      <c r="J55" s="3218"/>
      <c r="K55" s="3204"/>
      <c r="L55" s="3218"/>
      <c r="M55" s="3204"/>
      <c r="N55" s="3218"/>
      <c r="O55" s="3218"/>
      <c r="P55" s="3218"/>
      <c r="Q55" s="3218"/>
      <c r="R55" s="3218"/>
      <c r="S55" s="3218"/>
      <c r="T55" s="3218"/>
      <c r="U55" s="3218"/>
      <c r="V55" s="3218"/>
      <c r="W55" s="3218"/>
      <c r="X55" s="3218"/>
      <c r="Y55" s="3218"/>
      <c r="Z55" s="3218"/>
      <c r="AA55" s="3218"/>
      <c r="AB55" s="3218"/>
      <c r="AC55" s="3199">
        <f t="shared" si="36"/>
        <v>0</v>
      </c>
      <c r="AD55" s="3229"/>
      <c r="AE55" s="3229"/>
      <c r="AF55" s="3204"/>
      <c r="AG55" s="3229"/>
      <c r="AH55" s="3229"/>
      <c r="AI55" s="3229"/>
      <c r="AJ55" s="3229"/>
      <c r="AK55" s="3229"/>
      <c r="AL55" s="3229"/>
      <c r="AM55" s="3229"/>
      <c r="AN55" s="3229"/>
      <c r="AO55" s="3229"/>
      <c r="AP55" s="3229"/>
      <c r="AQ55" s="3229"/>
      <c r="AR55" s="3229"/>
      <c r="AS55" s="3229"/>
      <c r="AT55" s="3249"/>
      <c r="AU55" s="3250"/>
      <c r="AV55" s="475">
        <f t="shared" si="37"/>
        <v>0</v>
      </c>
      <c r="AW55" s="475">
        <f t="shared" si="38"/>
        <v>0</v>
      </c>
      <c r="AX55" s="475">
        <f t="shared" si="39"/>
        <v>0</v>
      </c>
      <c r="AY55" s="3266">
        <f t="shared" si="40"/>
        <v>0</v>
      </c>
      <c r="AZ55" s="3199">
        <f t="shared" si="41"/>
        <v>0</v>
      </c>
      <c r="BA55" s="3199">
        <f t="shared" si="42"/>
        <v>0</v>
      </c>
      <c r="BB55" s="3199">
        <f t="shared" si="43"/>
        <v>0</v>
      </c>
      <c r="BC55" s="3199">
        <f t="shared" si="44"/>
        <v>0</v>
      </c>
      <c r="BD55" s="3199">
        <f t="shared" si="45"/>
        <v>0</v>
      </c>
      <c r="BE55" s="3199">
        <f t="shared" si="46"/>
        <v>0</v>
      </c>
      <c r="BF55" s="3199">
        <f t="shared" si="47"/>
        <v>0</v>
      </c>
      <c r="BG55" s="3199">
        <f t="shared" si="48"/>
        <v>0</v>
      </c>
      <c r="BH55" s="3199">
        <f t="shared" si="49"/>
        <v>0</v>
      </c>
      <c r="BI55" s="3199">
        <f t="shared" si="50"/>
        <v>0</v>
      </c>
      <c r="BJ55" s="3199">
        <f t="shared" si="51"/>
        <v>0</v>
      </c>
      <c r="BK55" s="3199">
        <f t="shared" si="52"/>
        <v>0</v>
      </c>
      <c r="BL55" s="3199">
        <f t="shared" si="53"/>
        <v>0</v>
      </c>
      <c r="BM55" s="3199">
        <f t="shared" si="54"/>
        <v>0</v>
      </c>
      <c r="BN55" s="3199">
        <f t="shared" si="55"/>
        <v>0</v>
      </c>
      <c r="BO55" s="3199">
        <f t="shared" si="56"/>
        <v>0</v>
      </c>
      <c r="BP55" s="3199">
        <f t="shared" si="57"/>
        <v>0</v>
      </c>
      <c r="BQ55" s="3199">
        <f t="shared" si="58"/>
        <v>0</v>
      </c>
      <c r="BR55" s="3199">
        <f t="shared" si="59"/>
        <v>0</v>
      </c>
      <c r="BS55" s="3199">
        <f t="shared" si="60"/>
        <v>0</v>
      </c>
      <c r="BT55" s="3271">
        <f t="shared" si="61"/>
        <v>0</v>
      </c>
    </row>
    <row r="56" spans="1:72">
      <c r="A56" s="3197"/>
      <c r="B56" s="3198"/>
      <c r="C56" s="3198"/>
      <c r="D56" s="3193"/>
      <c r="E56" s="3199">
        <f t="shared" si="33"/>
        <v>0</v>
      </c>
      <c r="F56" s="3200"/>
      <c r="G56" s="3201">
        <f t="shared" si="34"/>
        <v>0</v>
      </c>
      <c r="H56" s="3202">
        <f t="shared" si="35"/>
        <v>0</v>
      </c>
      <c r="I56" s="3218"/>
      <c r="J56" s="3218"/>
      <c r="K56" s="3218"/>
      <c r="L56" s="3218"/>
      <c r="M56" s="3218"/>
      <c r="N56" s="3218"/>
      <c r="O56" s="3218"/>
      <c r="P56" s="3218"/>
      <c r="Q56" s="3218"/>
      <c r="R56" s="3218"/>
      <c r="S56" s="3218"/>
      <c r="T56" s="3218"/>
      <c r="U56" s="3218"/>
      <c r="V56" s="3218"/>
      <c r="W56" s="3218"/>
      <c r="X56" s="3218"/>
      <c r="Y56" s="3218"/>
      <c r="Z56" s="3218"/>
      <c r="AA56" s="3218"/>
      <c r="AB56" s="3218"/>
      <c r="AC56" s="3199">
        <f t="shared" si="36"/>
        <v>0</v>
      </c>
      <c r="AD56" s="3229"/>
      <c r="AE56" s="3229"/>
      <c r="AF56" s="3229"/>
      <c r="AG56" s="3229"/>
      <c r="AH56" s="3229"/>
      <c r="AI56" s="3229"/>
      <c r="AJ56" s="3229"/>
      <c r="AK56" s="3229"/>
      <c r="AL56" s="3229"/>
      <c r="AM56" s="3229"/>
      <c r="AN56" s="3229"/>
      <c r="AO56" s="3229"/>
      <c r="AP56" s="3229"/>
      <c r="AQ56" s="3229"/>
      <c r="AR56" s="3229"/>
      <c r="AS56" s="3229"/>
      <c r="AT56" s="3249"/>
      <c r="AU56" s="3250"/>
      <c r="AV56" s="475">
        <f t="shared" si="37"/>
        <v>0</v>
      </c>
      <c r="AW56" s="475">
        <f t="shared" si="38"/>
        <v>0</v>
      </c>
      <c r="AX56" s="475">
        <f t="shared" si="39"/>
        <v>0</v>
      </c>
      <c r="AY56" s="3266">
        <f t="shared" si="40"/>
        <v>0</v>
      </c>
      <c r="AZ56" s="3199">
        <f t="shared" si="41"/>
        <v>0</v>
      </c>
      <c r="BA56" s="3199">
        <f t="shared" si="42"/>
        <v>0</v>
      </c>
      <c r="BB56" s="3199">
        <f t="shared" si="43"/>
        <v>0</v>
      </c>
      <c r="BC56" s="3199">
        <f t="shared" si="44"/>
        <v>0</v>
      </c>
      <c r="BD56" s="3199">
        <f t="shared" si="45"/>
        <v>0</v>
      </c>
      <c r="BE56" s="3199">
        <f t="shared" si="46"/>
        <v>0</v>
      </c>
      <c r="BF56" s="3199">
        <f t="shared" si="47"/>
        <v>0</v>
      </c>
      <c r="BG56" s="3199">
        <f t="shared" si="48"/>
        <v>0</v>
      </c>
      <c r="BH56" s="3199">
        <f t="shared" si="49"/>
        <v>0</v>
      </c>
      <c r="BI56" s="3199">
        <f t="shared" si="50"/>
        <v>0</v>
      </c>
      <c r="BJ56" s="3199">
        <f t="shared" si="51"/>
        <v>0</v>
      </c>
      <c r="BK56" s="3199">
        <f t="shared" si="52"/>
        <v>0</v>
      </c>
      <c r="BL56" s="3199">
        <f t="shared" si="53"/>
        <v>0</v>
      </c>
      <c r="BM56" s="3199">
        <f t="shared" si="54"/>
        <v>0</v>
      </c>
      <c r="BN56" s="3199">
        <f t="shared" si="55"/>
        <v>0</v>
      </c>
      <c r="BO56" s="3199">
        <f t="shared" si="56"/>
        <v>0</v>
      </c>
      <c r="BP56" s="3199">
        <f t="shared" si="57"/>
        <v>0</v>
      </c>
      <c r="BQ56" s="3199">
        <f t="shared" si="58"/>
        <v>0</v>
      </c>
      <c r="BR56" s="3199">
        <f t="shared" si="59"/>
        <v>0</v>
      </c>
      <c r="BS56" s="3199">
        <f t="shared" si="60"/>
        <v>0</v>
      </c>
      <c r="BT56" s="3271">
        <f t="shared" si="61"/>
        <v>0</v>
      </c>
    </row>
    <row r="57" spans="1:72">
      <c r="A57" s="3197"/>
      <c r="B57" s="3198"/>
      <c r="C57" s="3198"/>
      <c r="D57" s="3193"/>
      <c r="E57" s="3199">
        <f t="shared" si="33"/>
        <v>0</v>
      </c>
      <c r="F57" s="3200"/>
      <c r="G57" s="3201">
        <f t="shared" si="34"/>
        <v>0</v>
      </c>
      <c r="H57" s="3202">
        <f t="shared" si="35"/>
        <v>0</v>
      </c>
      <c r="I57" s="3218"/>
      <c r="J57" s="3218"/>
      <c r="K57" s="3218"/>
      <c r="L57" s="3218"/>
      <c r="M57" s="3218"/>
      <c r="N57" s="3218"/>
      <c r="O57" s="3218"/>
      <c r="P57" s="3218"/>
      <c r="Q57" s="3218"/>
      <c r="R57" s="3218"/>
      <c r="S57" s="3218"/>
      <c r="T57" s="3218"/>
      <c r="U57" s="3218"/>
      <c r="V57" s="3218"/>
      <c r="W57" s="3218"/>
      <c r="X57" s="3218"/>
      <c r="Y57" s="3218"/>
      <c r="Z57" s="3218"/>
      <c r="AA57" s="3218"/>
      <c r="AB57" s="3218"/>
      <c r="AC57" s="3199">
        <f t="shared" si="36"/>
        <v>0</v>
      </c>
      <c r="AD57" s="3229"/>
      <c r="AE57" s="3229"/>
      <c r="AF57" s="3229"/>
      <c r="AG57" s="3229"/>
      <c r="AH57" s="3229"/>
      <c r="AI57" s="3229"/>
      <c r="AJ57" s="3229"/>
      <c r="AK57" s="3229"/>
      <c r="AL57" s="3229"/>
      <c r="AM57" s="3229"/>
      <c r="AN57" s="3229"/>
      <c r="AO57" s="3229"/>
      <c r="AP57" s="3229"/>
      <c r="AQ57" s="3229"/>
      <c r="AR57" s="3229"/>
      <c r="AS57" s="3229"/>
      <c r="AT57" s="3249"/>
      <c r="AU57" s="3250"/>
      <c r="AV57" s="475">
        <f t="shared" si="37"/>
        <v>0</v>
      </c>
      <c r="AW57" s="475">
        <f t="shared" si="38"/>
        <v>0</v>
      </c>
      <c r="AX57" s="475">
        <f t="shared" si="39"/>
        <v>0</v>
      </c>
      <c r="AY57" s="3266">
        <f t="shared" si="40"/>
        <v>0</v>
      </c>
      <c r="AZ57" s="3199">
        <f t="shared" si="41"/>
        <v>0</v>
      </c>
      <c r="BA57" s="3199">
        <f t="shared" si="42"/>
        <v>0</v>
      </c>
      <c r="BB57" s="3199">
        <f t="shared" si="43"/>
        <v>0</v>
      </c>
      <c r="BC57" s="3199">
        <f t="shared" si="44"/>
        <v>0</v>
      </c>
      <c r="BD57" s="3199">
        <f t="shared" si="45"/>
        <v>0</v>
      </c>
      <c r="BE57" s="3199">
        <f t="shared" si="46"/>
        <v>0</v>
      </c>
      <c r="BF57" s="3199">
        <f t="shared" si="47"/>
        <v>0</v>
      </c>
      <c r="BG57" s="3199">
        <f t="shared" si="48"/>
        <v>0</v>
      </c>
      <c r="BH57" s="3199">
        <f t="shared" si="49"/>
        <v>0</v>
      </c>
      <c r="BI57" s="3199">
        <f t="shared" si="50"/>
        <v>0</v>
      </c>
      <c r="BJ57" s="3199">
        <f t="shared" si="51"/>
        <v>0</v>
      </c>
      <c r="BK57" s="3199">
        <f t="shared" si="52"/>
        <v>0</v>
      </c>
      <c r="BL57" s="3199">
        <f t="shared" si="53"/>
        <v>0</v>
      </c>
      <c r="BM57" s="3199">
        <f t="shared" si="54"/>
        <v>0</v>
      </c>
      <c r="BN57" s="3199">
        <f t="shared" si="55"/>
        <v>0</v>
      </c>
      <c r="BO57" s="3199">
        <f t="shared" si="56"/>
        <v>0</v>
      </c>
      <c r="BP57" s="3199">
        <f t="shared" si="57"/>
        <v>0</v>
      </c>
      <c r="BQ57" s="3199">
        <f t="shared" si="58"/>
        <v>0</v>
      </c>
      <c r="BR57" s="3199">
        <f t="shared" si="59"/>
        <v>0</v>
      </c>
      <c r="BS57" s="3199">
        <f t="shared" si="60"/>
        <v>0</v>
      </c>
      <c r="BT57" s="3271">
        <f t="shared" si="61"/>
        <v>0</v>
      </c>
    </row>
    <row r="58" spans="1:72">
      <c r="A58" s="3197"/>
      <c r="B58" s="3198"/>
      <c r="C58" s="3198"/>
      <c r="D58" s="3193"/>
      <c r="E58" s="3199">
        <f t="shared" si="33"/>
        <v>0</v>
      </c>
      <c r="F58" s="3200"/>
      <c r="G58" s="3201">
        <f t="shared" si="34"/>
        <v>0</v>
      </c>
      <c r="H58" s="3202">
        <f t="shared" si="35"/>
        <v>0</v>
      </c>
      <c r="I58" s="3218"/>
      <c r="J58" s="3218"/>
      <c r="K58" s="3218"/>
      <c r="L58" s="3218"/>
      <c r="M58" s="3218"/>
      <c r="N58" s="3218"/>
      <c r="O58" s="3218"/>
      <c r="P58" s="3218"/>
      <c r="Q58" s="3218"/>
      <c r="R58" s="3218"/>
      <c r="S58" s="3218"/>
      <c r="T58" s="3218"/>
      <c r="U58" s="3218"/>
      <c r="V58" s="3218"/>
      <c r="W58" s="3218"/>
      <c r="X58" s="3218"/>
      <c r="Y58" s="3218"/>
      <c r="Z58" s="3218"/>
      <c r="AA58" s="3218"/>
      <c r="AB58" s="3218"/>
      <c r="AC58" s="3199">
        <f t="shared" si="36"/>
        <v>0</v>
      </c>
      <c r="AD58" s="3229"/>
      <c r="AE58" s="3229"/>
      <c r="AF58" s="3229"/>
      <c r="AG58" s="3229"/>
      <c r="AH58" s="3229"/>
      <c r="AI58" s="3229"/>
      <c r="AJ58" s="3229"/>
      <c r="AK58" s="3229"/>
      <c r="AL58" s="3229"/>
      <c r="AM58" s="3229"/>
      <c r="AN58" s="3229"/>
      <c r="AO58" s="3229"/>
      <c r="AP58" s="3229"/>
      <c r="AQ58" s="3229"/>
      <c r="AR58" s="3229"/>
      <c r="AS58" s="3229"/>
      <c r="AT58" s="3249"/>
      <c r="AU58" s="3250"/>
      <c r="AV58" s="475">
        <f t="shared" si="37"/>
        <v>0</v>
      </c>
      <c r="AW58" s="475">
        <f t="shared" si="38"/>
        <v>0</v>
      </c>
      <c r="AX58" s="475">
        <f t="shared" si="39"/>
        <v>0</v>
      </c>
      <c r="AY58" s="3266">
        <f t="shared" si="40"/>
        <v>0</v>
      </c>
      <c r="AZ58" s="3199">
        <f t="shared" si="41"/>
        <v>0</v>
      </c>
      <c r="BA58" s="3199">
        <f t="shared" si="42"/>
        <v>0</v>
      </c>
      <c r="BB58" s="3199">
        <f t="shared" si="43"/>
        <v>0</v>
      </c>
      <c r="BC58" s="3199">
        <f t="shared" si="44"/>
        <v>0</v>
      </c>
      <c r="BD58" s="3199">
        <f t="shared" si="45"/>
        <v>0</v>
      </c>
      <c r="BE58" s="3199">
        <f t="shared" si="46"/>
        <v>0</v>
      </c>
      <c r="BF58" s="3199">
        <f t="shared" si="47"/>
        <v>0</v>
      </c>
      <c r="BG58" s="3199">
        <f t="shared" si="48"/>
        <v>0</v>
      </c>
      <c r="BH58" s="3199">
        <f t="shared" si="49"/>
        <v>0</v>
      </c>
      <c r="BI58" s="3199">
        <f t="shared" si="50"/>
        <v>0</v>
      </c>
      <c r="BJ58" s="3199">
        <f t="shared" si="51"/>
        <v>0</v>
      </c>
      <c r="BK58" s="3199">
        <f t="shared" si="52"/>
        <v>0</v>
      </c>
      <c r="BL58" s="3199">
        <f t="shared" si="53"/>
        <v>0</v>
      </c>
      <c r="BM58" s="3199">
        <f t="shared" si="54"/>
        <v>0</v>
      </c>
      <c r="BN58" s="3199">
        <f t="shared" si="55"/>
        <v>0</v>
      </c>
      <c r="BO58" s="3199">
        <f t="shared" si="56"/>
        <v>0</v>
      </c>
      <c r="BP58" s="3199">
        <f t="shared" si="57"/>
        <v>0</v>
      </c>
      <c r="BQ58" s="3199">
        <f t="shared" si="58"/>
        <v>0</v>
      </c>
      <c r="BR58" s="3199">
        <f t="shared" si="59"/>
        <v>0</v>
      </c>
      <c r="BS58" s="3199">
        <f t="shared" si="60"/>
        <v>0</v>
      </c>
      <c r="BT58" s="3271">
        <f t="shared" si="61"/>
        <v>0</v>
      </c>
    </row>
    <row r="59" spans="1:72">
      <c r="A59" s="3197"/>
      <c r="B59" s="3198"/>
      <c r="C59" s="3198"/>
      <c r="D59" s="3193"/>
      <c r="E59" s="3199">
        <f t="shared" si="33"/>
        <v>0</v>
      </c>
      <c r="F59" s="3200"/>
      <c r="G59" s="3201">
        <f t="shared" si="34"/>
        <v>0</v>
      </c>
      <c r="H59" s="3202">
        <f t="shared" si="35"/>
        <v>0</v>
      </c>
      <c r="I59" s="3218"/>
      <c r="J59" s="3218"/>
      <c r="K59" s="3218"/>
      <c r="L59" s="3218"/>
      <c r="M59" s="3218"/>
      <c r="N59" s="3218"/>
      <c r="O59" s="3218"/>
      <c r="P59" s="3218"/>
      <c r="Q59" s="3218"/>
      <c r="R59" s="3218"/>
      <c r="S59" s="3218"/>
      <c r="T59" s="3218"/>
      <c r="U59" s="3218"/>
      <c r="V59" s="3218"/>
      <c r="W59" s="3218"/>
      <c r="X59" s="3218"/>
      <c r="Y59" s="3218"/>
      <c r="Z59" s="3218"/>
      <c r="AA59" s="3218"/>
      <c r="AB59" s="3218"/>
      <c r="AC59" s="3199">
        <f t="shared" si="36"/>
        <v>0</v>
      </c>
      <c r="AD59" s="3229"/>
      <c r="AE59" s="3229"/>
      <c r="AF59" s="3229"/>
      <c r="AG59" s="3229"/>
      <c r="AH59" s="3229"/>
      <c r="AI59" s="3229"/>
      <c r="AJ59" s="3229"/>
      <c r="AK59" s="3229"/>
      <c r="AL59" s="3229"/>
      <c r="AM59" s="3229"/>
      <c r="AN59" s="3229"/>
      <c r="AO59" s="3229"/>
      <c r="AP59" s="3229"/>
      <c r="AQ59" s="3229"/>
      <c r="AR59" s="3229"/>
      <c r="AS59" s="3229"/>
      <c r="AT59" s="3249"/>
      <c r="AU59" s="3250"/>
      <c r="AV59" s="475">
        <f t="shared" si="37"/>
        <v>0</v>
      </c>
      <c r="AW59" s="475">
        <f t="shared" si="38"/>
        <v>0</v>
      </c>
      <c r="AX59" s="475">
        <f t="shared" si="39"/>
        <v>0</v>
      </c>
      <c r="AY59" s="3266">
        <f t="shared" si="40"/>
        <v>0</v>
      </c>
      <c r="AZ59" s="3199">
        <f t="shared" si="41"/>
        <v>0</v>
      </c>
      <c r="BA59" s="3199">
        <f t="shared" si="42"/>
        <v>0</v>
      </c>
      <c r="BB59" s="3199">
        <f t="shared" si="43"/>
        <v>0</v>
      </c>
      <c r="BC59" s="3199">
        <f t="shared" si="44"/>
        <v>0</v>
      </c>
      <c r="BD59" s="3199">
        <f t="shared" si="45"/>
        <v>0</v>
      </c>
      <c r="BE59" s="3199">
        <f t="shared" si="46"/>
        <v>0</v>
      </c>
      <c r="BF59" s="3199">
        <f t="shared" si="47"/>
        <v>0</v>
      </c>
      <c r="BG59" s="3199">
        <f t="shared" si="48"/>
        <v>0</v>
      </c>
      <c r="BH59" s="3199">
        <f t="shared" si="49"/>
        <v>0</v>
      </c>
      <c r="BI59" s="3199">
        <f t="shared" si="50"/>
        <v>0</v>
      </c>
      <c r="BJ59" s="3199">
        <f t="shared" si="51"/>
        <v>0</v>
      </c>
      <c r="BK59" s="3199">
        <f t="shared" si="52"/>
        <v>0</v>
      </c>
      <c r="BL59" s="3199">
        <f t="shared" si="53"/>
        <v>0</v>
      </c>
      <c r="BM59" s="3199">
        <f t="shared" si="54"/>
        <v>0</v>
      </c>
      <c r="BN59" s="3199">
        <f t="shared" si="55"/>
        <v>0</v>
      </c>
      <c r="BO59" s="3199">
        <f t="shared" si="56"/>
        <v>0</v>
      </c>
      <c r="BP59" s="3199">
        <f t="shared" si="57"/>
        <v>0</v>
      </c>
      <c r="BQ59" s="3199">
        <f t="shared" si="58"/>
        <v>0</v>
      </c>
      <c r="BR59" s="3199">
        <f t="shared" si="59"/>
        <v>0</v>
      </c>
      <c r="BS59" s="3199">
        <f t="shared" si="60"/>
        <v>0</v>
      </c>
      <c r="BT59" s="3271">
        <f t="shared" si="61"/>
        <v>0</v>
      </c>
    </row>
    <row r="60" spans="1:72">
      <c r="A60" s="3197"/>
      <c r="B60" s="3198"/>
      <c r="C60" s="3198"/>
      <c r="D60" s="3193"/>
      <c r="E60" s="3199">
        <f t="shared" si="33"/>
        <v>0</v>
      </c>
      <c r="F60" s="3200"/>
      <c r="G60" s="3201">
        <f t="shared" si="34"/>
        <v>0</v>
      </c>
      <c r="H60" s="3202">
        <f t="shared" si="35"/>
        <v>0</v>
      </c>
      <c r="I60" s="3218"/>
      <c r="J60" s="3218"/>
      <c r="K60" s="3218"/>
      <c r="L60" s="3218"/>
      <c r="M60" s="3218"/>
      <c r="N60" s="3218"/>
      <c r="O60" s="3218"/>
      <c r="P60" s="3218"/>
      <c r="Q60" s="3218"/>
      <c r="R60" s="3218"/>
      <c r="S60" s="3218"/>
      <c r="T60" s="3218"/>
      <c r="U60" s="3218"/>
      <c r="V60" s="3218"/>
      <c r="W60" s="3218"/>
      <c r="X60" s="3218"/>
      <c r="Y60" s="3218"/>
      <c r="Z60" s="3218"/>
      <c r="AA60" s="3218"/>
      <c r="AB60" s="3218"/>
      <c r="AC60" s="3199">
        <f t="shared" si="36"/>
        <v>0</v>
      </c>
      <c r="AD60" s="3229"/>
      <c r="AE60" s="3229"/>
      <c r="AF60" s="3229"/>
      <c r="AG60" s="3229"/>
      <c r="AH60" s="3229"/>
      <c r="AI60" s="3229"/>
      <c r="AJ60" s="3229"/>
      <c r="AK60" s="3229"/>
      <c r="AL60" s="3229"/>
      <c r="AM60" s="3229"/>
      <c r="AN60" s="3229"/>
      <c r="AO60" s="3229"/>
      <c r="AP60" s="3229"/>
      <c r="AQ60" s="3229"/>
      <c r="AR60" s="3229"/>
      <c r="AS60" s="3229"/>
      <c r="AT60" s="3249"/>
      <c r="AU60" s="3250"/>
      <c r="AV60" s="475">
        <f t="shared" si="37"/>
        <v>0</v>
      </c>
      <c r="AW60" s="475">
        <f t="shared" si="38"/>
        <v>0</v>
      </c>
      <c r="AX60" s="475">
        <f t="shared" si="39"/>
        <v>0</v>
      </c>
      <c r="AY60" s="3266">
        <f t="shared" si="40"/>
        <v>0</v>
      </c>
      <c r="AZ60" s="3199">
        <f t="shared" si="41"/>
        <v>0</v>
      </c>
      <c r="BA60" s="3199">
        <f t="shared" si="42"/>
        <v>0</v>
      </c>
      <c r="BB60" s="3199">
        <f t="shared" si="43"/>
        <v>0</v>
      </c>
      <c r="BC60" s="3199">
        <f t="shared" si="44"/>
        <v>0</v>
      </c>
      <c r="BD60" s="3199">
        <f t="shared" si="45"/>
        <v>0</v>
      </c>
      <c r="BE60" s="3199">
        <f t="shared" si="46"/>
        <v>0</v>
      </c>
      <c r="BF60" s="3199">
        <f t="shared" si="47"/>
        <v>0</v>
      </c>
      <c r="BG60" s="3199">
        <f t="shared" si="48"/>
        <v>0</v>
      </c>
      <c r="BH60" s="3199">
        <f t="shared" si="49"/>
        <v>0</v>
      </c>
      <c r="BI60" s="3199">
        <f t="shared" si="50"/>
        <v>0</v>
      </c>
      <c r="BJ60" s="3199">
        <f t="shared" si="51"/>
        <v>0</v>
      </c>
      <c r="BK60" s="3199">
        <f t="shared" si="52"/>
        <v>0</v>
      </c>
      <c r="BL60" s="3199">
        <f t="shared" si="53"/>
        <v>0</v>
      </c>
      <c r="BM60" s="3199">
        <f t="shared" si="54"/>
        <v>0</v>
      </c>
      <c r="BN60" s="3199">
        <f t="shared" si="55"/>
        <v>0</v>
      </c>
      <c r="BO60" s="3199">
        <f t="shared" si="56"/>
        <v>0</v>
      </c>
      <c r="BP60" s="3199">
        <f t="shared" si="57"/>
        <v>0</v>
      </c>
      <c r="BQ60" s="3199">
        <f t="shared" si="58"/>
        <v>0</v>
      </c>
      <c r="BR60" s="3199">
        <f t="shared" si="59"/>
        <v>0</v>
      </c>
      <c r="BS60" s="3199">
        <f t="shared" si="60"/>
        <v>0</v>
      </c>
      <c r="BT60" s="3271">
        <f t="shared" si="61"/>
        <v>0</v>
      </c>
    </row>
    <row r="61" spans="1:72">
      <c r="A61" s="3197"/>
      <c r="B61" s="3198"/>
      <c r="C61" s="3198"/>
      <c r="D61" s="3193"/>
      <c r="E61" s="3199">
        <f t="shared" si="33"/>
        <v>0</v>
      </c>
      <c r="F61" s="3200"/>
      <c r="G61" s="3201">
        <f t="shared" si="34"/>
        <v>0</v>
      </c>
      <c r="H61" s="3202">
        <f t="shared" si="35"/>
        <v>0</v>
      </c>
      <c r="I61" s="3218"/>
      <c r="J61" s="3218"/>
      <c r="K61" s="3218"/>
      <c r="L61" s="3218"/>
      <c r="M61" s="3218"/>
      <c r="N61" s="3218"/>
      <c r="O61" s="3218"/>
      <c r="P61" s="3218"/>
      <c r="Q61" s="3218"/>
      <c r="R61" s="3218"/>
      <c r="S61" s="3218"/>
      <c r="T61" s="3218"/>
      <c r="U61" s="3218"/>
      <c r="V61" s="3218"/>
      <c r="W61" s="3218"/>
      <c r="X61" s="3218"/>
      <c r="Y61" s="3218"/>
      <c r="Z61" s="3218"/>
      <c r="AA61" s="3218"/>
      <c r="AB61" s="3218"/>
      <c r="AC61" s="3199">
        <f t="shared" si="36"/>
        <v>0</v>
      </c>
      <c r="AD61" s="3229"/>
      <c r="AE61" s="3229"/>
      <c r="AF61" s="3229"/>
      <c r="AG61" s="3229"/>
      <c r="AH61" s="3229"/>
      <c r="AI61" s="3229"/>
      <c r="AJ61" s="3229"/>
      <c r="AK61" s="3229"/>
      <c r="AL61" s="3229"/>
      <c r="AM61" s="3229"/>
      <c r="AN61" s="3229"/>
      <c r="AO61" s="3229"/>
      <c r="AP61" s="3229"/>
      <c r="AQ61" s="3229"/>
      <c r="AR61" s="3229"/>
      <c r="AS61" s="3229"/>
      <c r="AT61" s="3249"/>
      <c r="AU61" s="3250"/>
      <c r="AV61" s="475">
        <f t="shared" si="37"/>
        <v>0</v>
      </c>
      <c r="AW61" s="475">
        <f t="shared" si="38"/>
        <v>0</v>
      </c>
      <c r="AX61" s="475">
        <f t="shared" si="39"/>
        <v>0</v>
      </c>
      <c r="AY61" s="3266">
        <f t="shared" si="40"/>
        <v>0</v>
      </c>
      <c r="AZ61" s="3199">
        <f t="shared" si="41"/>
        <v>0</v>
      </c>
      <c r="BA61" s="3199">
        <f t="shared" si="42"/>
        <v>0</v>
      </c>
      <c r="BB61" s="3199">
        <f t="shared" si="43"/>
        <v>0</v>
      </c>
      <c r="BC61" s="3199">
        <f t="shared" si="44"/>
        <v>0</v>
      </c>
      <c r="BD61" s="3199">
        <f t="shared" si="45"/>
        <v>0</v>
      </c>
      <c r="BE61" s="3199">
        <f t="shared" si="46"/>
        <v>0</v>
      </c>
      <c r="BF61" s="3199">
        <f t="shared" si="47"/>
        <v>0</v>
      </c>
      <c r="BG61" s="3199">
        <f t="shared" si="48"/>
        <v>0</v>
      </c>
      <c r="BH61" s="3199">
        <f t="shared" si="49"/>
        <v>0</v>
      </c>
      <c r="BI61" s="3199">
        <f t="shared" si="50"/>
        <v>0</v>
      </c>
      <c r="BJ61" s="3199">
        <f t="shared" si="51"/>
        <v>0</v>
      </c>
      <c r="BK61" s="3199">
        <f t="shared" si="52"/>
        <v>0</v>
      </c>
      <c r="BL61" s="3199">
        <f t="shared" si="53"/>
        <v>0</v>
      </c>
      <c r="BM61" s="3199">
        <f t="shared" si="54"/>
        <v>0</v>
      </c>
      <c r="BN61" s="3199">
        <f t="shared" si="55"/>
        <v>0</v>
      </c>
      <c r="BO61" s="3199">
        <f t="shared" si="56"/>
        <v>0</v>
      </c>
      <c r="BP61" s="3199">
        <f t="shared" si="57"/>
        <v>0</v>
      </c>
      <c r="BQ61" s="3199">
        <f t="shared" si="58"/>
        <v>0</v>
      </c>
      <c r="BR61" s="3199">
        <f t="shared" si="59"/>
        <v>0</v>
      </c>
      <c r="BS61" s="3199">
        <f t="shared" si="60"/>
        <v>0</v>
      </c>
      <c r="BT61" s="3271">
        <f t="shared" si="61"/>
        <v>0</v>
      </c>
    </row>
    <row r="62" spans="1:72">
      <c r="A62" s="3197"/>
      <c r="B62" s="3198"/>
      <c r="C62" s="3198"/>
      <c r="D62" s="3193"/>
      <c r="E62" s="3199">
        <f t="shared" si="33"/>
        <v>0</v>
      </c>
      <c r="F62" s="3200"/>
      <c r="G62" s="3201">
        <f t="shared" si="34"/>
        <v>0</v>
      </c>
      <c r="H62" s="3202">
        <f t="shared" si="35"/>
        <v>0</v>
      </c>
      <c r="I62" s="3218"/>
      <c r="J62" s="3218"/>
      <c r="K62" s="3218"/>
      <c r="L62" s="3218"/>
      <c r="M62" s="3218"/>
      <c r="N62" s="3218"/>
      <c r="O62" s="3218"/>
      <c r="P62" s="3218"/>
      <c r="Q62" s="3218"/>
      <c r="R62" s="3218"/>
      <c r="S62" s="3218"/>
      <c r="T62" s="3218"/>
      <c r="U62" s="3218"/>
      <c r="V62" s="3218"/>
      <c r="W62" s="3218"/>
      <c r="X62" s="3218"/>
      <c r="Y62" s="3218"/>
      <c r="Z62" s="3218"/>
      <c r="AA62" s="3218"/>
      <c r="AB62" s="3218"/>
      <c r="AC62" s="3199">
        <f t="shared" si="36"/>
        <v>0</v>
      </c>
      <c r="AD62" s="3229"/>
      <c r="AE62" s="3229"/>
      <c r="AF62" s="3229"/>
      <c r="AG62" s="3229"/>
      <c r="AH62" s="3229"/>
      <c r="AI62" s="3229"/>
      <c r="AJ62" s="3229"/>
      <c r="AK62" s="3229"/>
      <c r="AL62" s="3229"/>
      <c r="AM62" s="3229"/>
      <c r="AN62" s="3229"/>
      <c r="AO62" s="3229"/>
      <c r="AP62" s="3229"/>
      <c r="AQ62" s="3229"/>
      <c r="AR62" s="3229"/>
      <c r="AS62" s="3229"/>
      <c r="AT62" s="3249"/>
      <c r="AU62" s="3250"/>
      <c r="AV62" s="475">
        <f t="shared" si="37"/>
        <v>0</v>
      </c>
      <c r="AW62" s="475">
        <f t="shared" si="38"/>
        <v>0</v>
      </c>
      <c r="AX62" s="475">
        <f t="shared" si="39"/>
        <v>0</v>
      </c>
      <c r="AY62" s="3266">
        <f t="shared" si="40"/>
        <v>0</v>
      </c>
      <c r="AZ62" s="3199">
        <f t="shared" si="41"/>
        <v>0</v>
      </c>
      <c r="BA62" s="3199">
        <f t="shared" si="42"/>
        <v>0</v>
      </c>
      <c r="BB62" s="3199">
        <f t="shared" si="43"/>
        <v>0</v>
      </c>
      <c r="BC62" s="3199">
        <f t="shared" si="44"/>
        <v>0</v>
      </c>
      <c r="BD62" s="3199">
        <f t="shared" si="45"/>
        <v>0</v>
      </c>
      <c r="BE62" s="3199">
        <f t="shared" si="46"/>
        <v>0</v>
      </c>
      <c r="BF62" s="3199">
        <f t="shared" si="47"/>
        <v>0</v>
      </c>
      <c r="BG62" s="3199">
        <f t="shared" si="48"/>
        <v>0</v>
      </c>
      <c r="BH62" s="3199">
        <f t="shared" si="49"/>
        <v>0</v>
      </c>
      <c r="BI62" s="3199">
        <f t="shared" si="50"/>
        <v>0</v>
      </c>
      <c r="BJ62" s="3199">
        <f t="shared" si="51"/>
        <v>0</v>
      </c>
      <c r="BK62" s="3199">
        <f t="shared" si="52"/>
        <v>0</v>
      </c>
      <c r="BL62" s="3199">
        <f t="shared" si="53"/>
        <v>0</v>
      </c>
      <c r="BM62" s="3199">
        <f t="shared" si="54"/>
        <v>0</v>
      </c>
      <c r="BN62" s="3199">
        <f t="shared" si="55"/>
        <v>0</v>
      </c>
      <c r="BO62" s="3199">
        <f t="shared" si="56"/>
        <v>0</v>
      </c>
      <c r="BP62" s="3199">
        <f t="shared" si="57"/>
        <v>0</v>
      </c>
      <c r="BQ62" s="3199">
        <f t="shared" si="58"/>
        <v>0</v>
      </c>
      <c r="BR62" s="3199">
        <f t="shared" si="59"/>
        <v>0</v>
      </c>
      <c r="BS62" s="3199">
        <f t="shared" si="60"/>
        <v>0</v>
      </c>
      <c r="BT62" s="3271">
        <f t="shared" si="61"/>
        <v>0</v>
      </c>
    </row>
    <row r="63" spans="1:72">
      <c r="A63" s="3197"/>
      <c r="B63" s="3198"/>
      <c r="C63" s="3198"/>
      <c r="D63" s="3193"/>
      <c r="E63" s="3199">
        <f t="shared" si="33"/>
        <v>0</v>
      </c>
      <c r="F63" s="3200"/>
      <c r="G63" s="3201">
        <f t="shared" si="34"/>
        <v>0</v>
      </c>
      <c r="H63" s="3202">
        <f t="shared" si="35"/>
        <v>0</v>
      </c>
      <c r="I63" s="3218"/>
      <c r="J63" s="3218"/>
      <c r="K63" s="3218"/>
      <c r="L63" s="3218"/>
      <c r="M63" s="3218"/>
      <c r="N63" s="3218"/>
      <c r="O63" s="3218"/>
      <c r="P63" s="3218"/>
      <c r="Q63" s="3218"/>
      <c r="R63" s="3218"/>
      <c r="S63" s="3218"/>
      <c r="T63" s="3218"/>
      <c r="U63" s="3218"/>
      <c r="V63" s="3218"/>
      <c r="W63" s="3218"/>
      <c r="X63" s="3218"/>
      <c r="Y63" s="3218"/>
      <c r="Z63" s="3218"/>
      <c r="AA63" s="3218"/>
      <c r="AB63" s="3218"/>
      <c r="AC63" s="3199">
        <f t="shared" si="36"/>
        <v>0</v>
      </c>
      <c r="AD63" s="3229"/>
      <c r="AE63" s="3229"/>
      <c r="AF63" s="3229"/>
      <c r="AG63" s="3229"/>
      <c r="AH63" s="3229"/>
      <c r="AI63" s="3229"/>
      <c r="AJ63" s="3229"/>
      <c r="AK63" s="3229"/>
      <c r="AL63" s="3229"/>
      <c r="AM63" s="3229"/>
      <c r="AN63" s="3229"/>
      <c r="AO63" s="3229"/>
      <c r="AP63" s="3229"/>
      <c r="AQ63" s="3229"/>
      <c r="AR63" s="3229"/>
      <c r="AS63" s="3229"/>
      <c r="AT63" s="3249"/>
      <c r="AU63" s="3250"/>
      <c r="AV63" s="475">
        <f t="shared" si="37"/>
        <v>0</v>
      </c>
      <c r="AW63" s="475">
        <f t="shared" si="38"/>
        <v>0</v>
      </c>
      <c r="AX63" s="475">
        <f t="shared" si="39"/>
        <v>0</v>
      </c>
      <c r="AY63" s="3266">
        <f t="shared" si="40"/>
        <v>0</v>
      </c>
      <c r="AZ63" s="3199">
        <f t="shared" si="41"/>
        <v>0</v>
      </c>
      <c r="BA63" s="3199">
        <f t="shared" si="42"/>
        <v>0</v>
      </c>
      <c r="BB63" s="3199">
        <f t="shared" si="43"/>
        <v>0</v>
      </c>
      <c r="BC63" s="3199">
        <f t="shared" si="44"/>
        <v>0</v>
      </c>
      <c r="BD63" s="3199">
        <f t="shared" si="45"/>
        <v>0</v>
      </c>
      <c r="BE63" s="3199">
        <f t="shared" si="46"/>
        <v>0</v>
      </c>
      <c r="BF63" s="3199">
        <f t="shared" si="47"/>
        <v>0</v>
      </c>
      <c r="BG63" s="3199">
        <f t="shared" si="48"/>
        <v>0</v>
      </c>
      <c r="BH63" s="3199">
        <f t="shared" si="49"/>
        <v>0</v>
      </c>
      <c r="BI63" s="3199">
        <f t="shared" si="50"/>
        <v>0</v>
      </c>
      <c r="BJ63" s="3199">
        <f t="shared" si="51"/>
        <v>0</v>
      </c>
      <c r="BK63" s="3199">
        <f t="shared" si="52"/>
        <v>0</v>
      </c>
      <c r="BL63" s="3199">
        <f t="shared" si="53"/>
        <v>0</v>
      </c>
      <c r="BM63" s="3199">
        <f t="shared" si="54"/>
        <v>0</v>
      </c>
      <c r="BN63" s="3199">
        <f t="shared" si="55"/>
        <v>0</v>
      </c>
      <c r="BO63" s="3199">
        <f t="shared" si="56"/>
        <v>0</v>
      </c>
      <c r="BP63" s="3199">
        <f t="shared" si="57"/>
        <v>0</v>
      </c>
      <c r="BQ63" s="3199">
        <f t="shared" si="58"/>
        <v>0</v>
      </c>
      <c r="BR63" s="3199">
        <f t="shared" si="59"/>
        <v>0</v>
      </c>
      <c r="BS63" s="3199">
        <f t="shared" si="60"/>
        <v>0</v>
      </c>
      <c r="BT63" s="3271">
        <f t="shared" si="61"/>
        <v>0</v>
      </c>
    </row>
    <row r="64" spans="1:72">
      <c r="A64" s="3197"/>
      <c r="B64" s="3198"/>
      <c r="C64" s="3198"/>
      <c r="D64" s="3193"/>
      <c r="E64" s="3199">
        <f t="shared" si="33"/>
        <v>0</v>
      </c>
      <c r="F64" s="3200"/>
      <c r="G64" s="3201">
        <f t="shared" si="34"/>
        <v>0</v>
      </c>
      <c r="H64" s="3202">
        <f t="shared" si="35"/>
        <v>0</v>
      </c>
      <c r="I64" s="3218"/>
      <c r="J64" s="3218"/>
      <c r="K64" s="3218"/>
      <c r="L64" s="3218"/>
      <c r="M64" s="3218"/>
      <c r="N64" s="3218"/>
      <c r="O64" s="3218"/>
      <c r="P64" s="3218"/>
      <c r="Q64" s="3218"/>
      <c r="R64" s="3218"/>
      <c r="S64" s="3218"/>
      <c r="T64" s="3218"/>
      <c r="U64" s="3218"/>
      <c r="V64" s="3218"/>
      <c r="W64" s="3218"/>
      <c r="X64" s="3218"/>
      <c r="Y64" s="3218"/>
      <c r="Z64" s="3218"/>
      <c r="AA64" s="3218"/>
      <c r="AB64" s="3218"/>
      <c r="AC64" s="3199">
        <f t="shared" si="36"/>
        <v>0</v>
      </c>
      <c r="AD64" s="3229"/>
      <c r="AE64" s="3229"/>
      <c r="AF64" s="3229"/>
      <c r="AG64" s="3229"/>
      <c r="AH64" s="3229"/>
      <c r="AI64" s="3229"/>
      <c r="AJ64" s="3229"/>
      <c r="AK64" s="3229"/>
      <c r="AL64" s="3229"/>
      <c r="AM64" s="3229"/>
      <c r="AN64" s="3229"/>
      <c r="AO64" s="3229"/>
      <c r="AP64" s="3229"/>
      <c r="AQ64" s="3229"/>
      <c r="AR64" s="3229"/>
      <c r="AS64" s="3229"/>
      <c r="AT64" s="3249"/>
      <c r="AU64" s="3250"/>
      <c r="AV64" s="475">
        <f t="shared" si="37"/>
        <v>0</v>
      </c>
      <c r="AW64" s="475">
        <f t="shared" si="38"/>
        <v>0</v>
      </c>
      <c r="AX64" s="475">
        <f t="shared" si="39"/>
        <v>0</v>
      </c>
      <c r="AY64" s="3266">
        <f t="shared" si="40"/>
        <v>0</v>
      </c>
      <c r="AZ64" s="3199">
        <f t="shared" si="41"/>
        <v>0</v>
      </c>
      <c r="BA64" s="3199">
        <f t="shared" si="42"/>
        <v>0</v>
      </c>
      <c r="BB64" s="3199">
        <f t="shared" si="43"/>
        <v>0</v>
      </c>
      <c r="BC64" s="3199">
        <f t="shared" si="44"/>
        <v>0</v>
      </c>
      <c r="BD64" s="3199">
        <f t="shared" si="45"/>
        <v>0</v>
      </c>
      <c r="BE64" s="3199">
        <f t="shared" si="46"/>
        <v>0</v>
      </c>
      <c r="BF64" s="3199">
        <f t="shared" si="47"/>
        <v>0</v>
      </c>
      <c r="BG64" s="3199">
        <f t="shared" si="48"/>
        <v>0</v>
      </c>
      <c r="BH64" s="3199">
        <f t="shared" si="49"/>
        <v>0</v>
      </c>
      <c r="BI64" s="3199">
        <f t="shared" si="50"/>
        <v>0</v>
      </c>
      <c r="BJ64" s="3199">
        <f t="shared" si="51"/>
        <v>0</v>
      </c>
      <c r="BK64" s="3199">
        <f t="shared" si="52"/>
        <v>0</v>
      </c>
      <c r="BL64" s="3199">
        <f t="shared" si="53"/>
        <v>0</v>
      </c>
      <c r="BM64" s="3199">
        <f t="shared" si="54"/>
        <v>0</v>
      </c>
      <c r="BN64" s="3199">
        <f t="shared" si="55"/>
        <v>0</v>
      </c>
      <c r="BO64" s="3199">
        <f t="shared" si="56"/>
        <v>0</v>
      </c>
      <c r="BP64" s="3199">
        <f t="shared" si="57"/>
        <v>0</v>
      </c>
      <c r="BQ64" s="3199">
        <f t="shared" si="58"/>
        <v>0</v>
      </c>
      <c r="BR64" s="3199">
        <f t="shared" si="59"/>
        <v>0</v>
      </c>
      <c r="BS64" s="3199">
        <f t="shared" si="60"/>
        <v>0</v>
      </c>
      <c r="BT64" s="3271">
        <f t="shared" si="61"/>
        <v>0</v>
      </c>
    </row>
    <row r="65" spans="1:72">
      <c r="A65" s="3197"/>
      <c r="B65" s="3198"/>
      <c r="C65" s="3198"/>
      <c r="D65" s="3193"/>
      <c r="E65" s="3199">
        <f t="shared" si="33"/>
        <v>0</v>
      </c>
      <c r="F65" s="3200"/>
      <c r="G65" s="3201">
        <f t="shared" si="34"/>
        <v>0</v>
      </c>
      <c r="H65" s="3202">
        <f t="shared" si="35"/>
        <v>0</v>
      </c>
      <c r="I65" s="3218"/>
      <c r="J65" s="3218"/>
      <c r="K65" s="3218"/>
      <c r="L65" s="3218"/>
      <c r="M65" s="3218"/>
      <c r="N65" s="3218"/>
      <c r="O65" s="3218"/>
      <c r="P65" s="3218"/>
      <c r="Q65" s="3218"/>
      <c r="R65" s="3218"/>
      <c r="S65" s="3218"/>
      <c r="T65" s="3218"/>
      <c r="U65" s="3218"/>
      <c r="V65" s="3218"/>
      <c r="W65" s="3218"/>
      <c r="X65" s="3218"/>
      <c r="Y65" s="3218"/>
      <c r="Z65" s="3218"/>
      <c r="AA65" s="3218"/>
      <c r="AB65" s="3218"/>
      <c r="AC65" s="3199">
        <f t="shared" si="36"/>
        <v>0</v>
      </c>
      <c r="AD65" s="3229"/>
      <c r="AE65" s="3229"/>
      <c r="AF65" s="3229"/>
      <c r="AG65" s="3229"/>
      <c r="AH65" s="3229"/>
      <c r="AI65" s="3229"/>
      <c r="AJ65" s="3229"/>
      <c r="AK65" s="3229"/>
      <c r="AL65" s="3229"/>
      <c r="AM65" s="3229"/>
      <c r="AN65" s="3229"/>
      <c r="AO65" s="3229"/>
      <c r="AP65" s="3229"/>
      <c r="AQ65" s="3229"/>
      <c r="AR65" s="3229"/>
      <c r="AS65" s="3229"/>
      <c r="AT65" s="3249"/>
      <c r="AU65" s="3250"/>
      <c r="AV65" s="475">
        <f t="shared" si="37"/>
        <v>0</v>
      </c>
      <c r="AW65" s="475">
        <f t="shared" si="38"/>
        <v>0</v>
      </c>
      <c r="AX65" s="475">
        <f t="shared" si="39"/>
        <v>0</v>
      </c>
      <c r="AY65" s="3266">
        <f t="shared" si="40"/>
        <v>0</v>
      </c>
      <c r="AZ65" s="3199">
        <f t="shared" si="41"/>
        <v>0</v>
      </c>
      <c r="BA65" s="3199">
        <f t="shared" si="42"/>
        <v>0</v>
      </c>
      <c r="BB65" s="3199">
        <f t="shared" si="43"/>
        <v>0</v>
      </c>
      <c r="BC65" s="3199">
        <f t="shared" si="44"/>
        <v>0</v>
      </c>
      <c r="BD65" s="3199">
        <f t="shared" si="45"/>
        <v>0</v>
      </c>
      <c r="BE65" s="3199">
        <f t="shared" si="46"/>
        <v>0</v>
      </c>
      <c r="BF65" s="3199">
        <f t="shared" si="47"/>
        <v>0</v>
      </c>
      <c r="BG65" s="3199">
        <f t="shared" si="48"/>
        <v>0</v>
      </c>
      <c r="BH65" s="3199">
        <f t="shared" si="49"/>
        <v>0</v>
      </c>
      <c r="BI65" s="3199">
        <f t="shared" si="50"/>
        <v>0</v>
      </c>
      <c r="BJ65" s="3199">
        <f t="shared" si="51"/>
        <v>0</v>
      </c>
      <c r="BK65" s="3199">
        <f t="shared" si="52"/>
        <v>0</v>
      </c>
      <c r="BL65" s="3199">
        <f t="shared" si="53"/>
        <v>0</v>
      </c>
      <c r="BM65" s="3199">
        <f t="shared" si="54"/>
        <v>0</v>
      </c>
      <c r="BN65" s="3199">
        <f t="shared" si="55"/>
        <v>0</v>
      </c>
      <c r="BO65" s="3199">
        <f t="shared" si="56"/>
        <v>0</v>
      </c>
      <c r="BP65" s="3199">
        <f t="shared" si="57"/>
        <v>0</v>
      </c>
      <c r="BQ65" s="3199">
        <f t="shared" si="58"/>
        <v>0</v>
      </c>
      <c r="BR65" s="3199">
        <f t="shared" si="59"/>
        <v>0</v>
      </c>
      <c r="BS65" s="3199">
        <f t="shared" si="60"/>
        <v>0</v>
      </c>
      <c r="BT65" s="3271">
        <f t="shared" si="61"/>
        <v>0</v>
      </c>
    </row>
    <row r="66" spans="1:72">
      <c r="A66" s="3197"/>
      <c r="B66" s="3198"/>
      <c r="C66" s="3198"/>
      <c r="D66" s="3193"/>
      <c r="E66" s="3199">
        <f t="shared" si="33"/>
        <v>0</v>
      </c>
      <c r="F66" s="3200"/>
      <c r="G66" s="3201">
        <f t="shared" si="34"/>
        <v>0</v>
      </c>
      <c r="H66" s="3202">
        <f t="shared" si="35"/>
        <v>0</v>
      </c>
      <c r="I66" s="3218"/>
      <c r="J66" s="3218"/>
      <c r="K66" s="3218"/>
      <c r="L66" s="3218"/>
      <c r="M66" s="3218"/>
      <c r="N66" s="3218"/>
      <c r="O66" s="3218"/>
      <c r="P66" s="3218"/>
      <c r="Q66" s="3218"/>
      <c r="R66" s="3218"/>
      <c r="S66" s="3218"/>
      <c r="T66" s="3218"/>
      <c r="U66" s="3218"/>
      <c r="V66" s="3218"/>
      <c r="W66" s="3218"/>
      <c r="X66" s="3218"/>
      <c r="Y66" s="3218"/>
      <c r="Z66" s="3218"/>
      <c r="AA66" s="3218"/>
      <c r="AB66" s="3218"/>
      <c r="AC66" s="3199">
        <f t="shared" si="36"/>
        <v>0</v>
      </c>
      <c r="AD66" s="3229"/>
      <c r="AE66" s="3229"/>
      <c r="AF66" s="3229"/>
      <c r="AG66" s="3229"/>
      <c r="AH66" s="3229"/>
      <c r="AI66" s="3229"/>
      <c r="AJ66" s="3229"/>
      <c r="AK66" s="3229"/>
      <c r="AL66" s="3229"/>
      <c r="AM66" s="3229"/>
      <c r="AN66" s="3229"/>
      <c r="AO66" s="3229"/>
      <c r="AP66" s="3229"/>
      <c r="AQ66" s="3229"/>
      <c r="AR66" s="3229"/>
      <c r="AS66" s="3229"/>
      <c r="AT66" s="3249"/>
      <c r="AU66" s="3250"/>
      <c r="AV66" s="475">
        <f t="shared" si="37"/>
        <v>0</v>
      </c>
      <c r="AW66" s="475">
        <f t="shared" si="38"/>
        <v>0</v>
      </c>
      <c r="AX66" s="475">
        <f t="shared" si="39"/>
        <v>0</v>
      </c>
      <c r="AY66" s="3266">
        <f t="shared" si="40"/>
        <v>0</v>
      </c>
      <c r="AZ66" s="3199">
        <f t="shared" si="41"/>
        <v>0</v>
      </c>
      <c r="BA66" s="3199">
        <f t="shared" si="42"/>
        <v>0</v>
      </c>
      <c r="BB66" s="3199">
        <f t="shared" si="43"/>
        <v>0</v>
      </c>
      <c r="BC66" s="3199">
        <f t="shared" si="44"/>
        <v>0</v>
      </c>
      <c r="BD66" s="3199">
        <f t="shared" si="45"/>
        <v>0</v>
      </c>
      <c r="BE66" s="3199">
        <f t="shared" si="46"/>
        <v>0</v>
      </c>
      <c r="BF66" s="3199">
        <f t="shared" si="47"/>
        <v>0</v>
      </c>
      <c r="BG66" s="3199">
        <f t="shared" si="48"/>
        <v>0</v>
      </c>
      <c r="BH66" s="3199">
        <f t="shared" si="49"/>
        <v>0</v>
      </c>
      <c r="BI66" s="3199">
        <f t="shared" si="50"/>
        <v>0</v>
      </c>
      <c r="BJ66" s="3199">
        <f t="shared" si="51"/>
        <v>0</v>
      </c>
      <c r="BK66" s="3199">
        <f t="shared" si="52"/>
        <v>0</v>
      </c>
      <c r="BL66" s="3199">
        <f t="shared" si="53"/>
        <v>0</v>
      </c>
      <c r="BM66" s="3199">
        <f t="shared" si="54"/>
        <v>0</v>
      </c>
      <c r="BN66" s="3199">
        <f t="shared" si="55"/>
        <v>0</v>
      </c>
      <c r="BO66" s="3199">
        <f t="shared" si="56"/>
        <v>0</v>
      </c>
      <c r="BP66" s="3199">
        <f t="shared" si="57"/>
        <v>0</v>
      </c>
      <c r="BQ66" s="3199">
        <f t="shared" si="58"/>
        <v>0</v>
      </c>
      <c r="BR66" s="3199">
        <f t="shared" si="59"/>
        <v>0</v>
      </c>
      <c r="BS66" s="3199">
        <f t="shared" si="60"/>
        <v>0</v>
      </c>
      <c r="BT66" s="3271">
        <f t="shared" si="61"/>
        <v>0</v>
      </c>
    </row>
    <row r="67" spans="1:72">
      <c r="A67" s="3197"/>
      <c r="B67" s="3198"/>
      <c r="C67" s="3198"/>
      <c r="D67" s="3193"/>
      <c r="E67" s="3199">
        <f t="shared" si="33"/>
        <v>0</v>
      </c>
      <c r="F67" s="3200"/>
      <c r="G67" s="3201">
        <f t="shared" si="34"/>
        <v>0</v>
      </c>
      <c r="H67" s="3202">
        <f t="shared" si="35"/>
        <v>0</v>
      </c>
      <c r="I67" s="3218"/>
      <c r="J67" s="3218"/>
      <c r="K67" s="3218"/>
      <c r="L67" s="3218"/>
      <c r="M67" s="3218"/>
      <c r="N67" s="3218"/>
      <c r="O67" s="3218"/>
      <c r="P67" s="3218"/>
      <c r="Q67" s="3218"/>
      <c r="R67" s="3218"/>
      <c r="S67" s="3218"/>
      <c r="T67" s="3218"/>
      <c r="U67" s="3218"/>
      <c r="V67" s="3218"/>
      <c r="W67" s="3218"/>
      <c r="X67" s="3218"/>
      <c r="Y67" s="3218"/>
      <c r="Z67" s="3218"/>
      <c r="AA67" s="3218"/>
      <c r="AB67" s="3218"/>
      <c r="AC67" s="3199">
        <f t="shared" si="36"/>
        <v>0</v>
      </c>
      <c r="AD67" s="3229"/>
      <c r="AE67" s="3229"/>
      <c r="AF67" s="3229"/>
      <c r="AG67" s="3229"/>
      <c r="AH67" s="3229"/>
      <c r="AI67" s="3229"/>
      <c r="AJ67" s="3229"/>
      <c r="AK67" s="3229"/>
      <c r="AL67" s="3229"/>
      <c r="AM67" s="3229"/>
      <c r="AN67" s="3229"/>
      <c r="AO67" s="3229"/>
      <c r="AP67" s="3229"/>
      <c r="AQ67" s="3229"/>
      <c r="AR67" s="3229"/>
      <c r="AS67" s="3229"/>
      <c r="AT67" s="3249"/>
      <c r="AU67" s="3250"/>
      <c r="AV67" s="475">
        <f t="shared" si="37"/>
        <v>0</v>
      </c>
      <c r="AW67" s="475">
        <f t="shared" si="38"/>
        <v>0</v>
      </c>
      <c r="AX67" s="475">
        <f t="shared" si="39"/>
        <v>0</v>
      </c>
      <c r="AY67" s="3266">
        <f t="shared" si="40"/>
        <v>0</v>
      </c>
      <c r="AZ67" s="3199">
        <f t="shared" si="41"/>
        <v>0</v>
      </c>
      <c r="BA67" s="3199">
        <f t="shared" si="42"/>
        <v>0</v>
      </c>
      <c r="BB67" s="3199">
        <f t="shared" si="43"/>
        <v>0</v>
      </c>
      <c r="BC67" s="3199">
        <f t="shared" si="44"/>
        <v>0</v>
      </c>
      <c r="BD67" s="3199">
        <f t="shared" si="45"/>
        <v>0</v>
      </c>
      <c r="BE67" s="3199">
        <f t="shared" si="46"/>
        <v>0</v>
      </c>
      <c r="BF67" s="3199">
        <f t="shared" si="47"/>
        <v>0</v>
      </c>
      <c r="BG67" s="3199">
        <f t="shared" si="48"/>
        <v>0</v>
      </c>
      <c r="BH67" s="3199">
        <f t="shared" si="49"/>
        <v>0</v>
      </c>
      <c r="BI67" s="3199">
        <f t="shared" si="50"/>
        <v>0</v>
      </c>
      <c r="BJ67" s="3199">
        <f t="shared" si="51"/>
        <v>0</v>
      </c>
      <c r="BK67" s="3199">
        <f t="shared" si="52"/>
        <v>0</v>
      </c>
      <c r="BL67" s="3199">
        <f t="shared" si="53"/>
        <v>0</v>
      </c>
      <c r="BM67" s="3199">
        <f t="shared" si="54"/>
        <v>0</v>
      </c>
      <c r="BN67" s="3199">
        <f t="shared" si="55"/>
        <v>0</v>
      </c>
      <c r="BO67" s="3199">
        <f t="shared" si="56"/>
        <v>0</v>
      </c>
      <c r="BP67" s="3199">
        <f t="shared" si="57"/>
        <v>0</v>
      </c>
      <c r="BQ67" s="3199">
        <f t="shared" si="58"/>
        <v>0</v>
      </c>
      <c r="BR67" s="3199">
        <f t="shared" si="59"/>
        <v>0</v>
      </c>
      <c r="BS67" s="3199">
        <f t="shared" si="60"/>
        <v>0</v>
      </c>
      <c r="BT67" s="3271">
        <f t="shared" si="61"/>
        <v>0</v>
      </c>
    </row>
    <row r="68" spans="1:72">
      <c r="A68" s="3197"/>
      <c r="B68" s="3198"/>
      <c r="C68" s="3198"/>
      <c r="D68" s="3193"/>
      <c r="E68" s="3199">
        <f t="shared" si="33"/>
        <v>0</v>
      </c>
      <c r="F68" s="3200"/>
      <c r="G68" s="3201">
        <f t="shared" si="34"/>
        <v>0</v>
      </c>
      <c r="H68" s="3202">
        <f t="shared" si="35"/>
        <v>0</v>
      </c>
      <c r="I68" s="3218"/>
      <c r="J68" s="3218"/>
      <c r="K68" s="3218"/>
      <c r="L68" s="3218"/>
      <c r="M68" s="3218"/>
      <c r="N68" s="3218"/>
      <c r="O68" s="3218"/>
      <c r="P68" s="3218"/>
      <c r="Q68" s="3218"/>
      <c r="R68" s="3218"/>
      <c r="S68" s="3218"/>
      <c r="T68" s="3218"/>
      <c r="U68" s="3218"/>
      <c r="V68" s="3218"/>
      <c r="W68" s="3218"/>
      <c r="X68" s="3218"/>
      <c r="Y68" s="3218"/>
      <c r="Z68" s="3218"/>
      <c r="AA68" s="3218"/>
      <c r="AB68" s="3218"/>
      <c r="AC68" s="3199">
        <f t="shared" si="36"/>
        <v>0</v>
      </c>
      <c r="AD68" s="3229"/>
      <c r="AE68" s="3229"/>
      <c r="AF68" s="3229"/>
      <c r="AG68" s="3229"/>
      <c r="AH68" s="3229"/>
      <c r="AI68" s="3229"/>
      <c r="AJ68" s="3229"/>
      <c r="AK68" s="3229"/>
      <c r="AL68" s="3229"/>
      <c r="AM68" s="3229"/>
      <c r="AN68" s="3229"/>
      <c r="AO68" s="3229"/>
      <c r="AP68" s="3229"/>
      <c r="AQ68" s="3229"/>
      <c r="AR68" s="3229"/>
      <c r="AS68" s="3229"/>
      <c r="AT68" s="3249"/>
      <c r="AU68" s="3250"/>
      <c r="AV68" s="475">
        <f t="shared" si="37"/>
        <v>0</v>
      </c>
      <c r="AW68" s="475">
        <f t="shared" si="38"/>
        <v>0</v>
      </c>
      <c r="AX68" s="475">
        <f t="shared" si="39"/>
        <v>0</v>
      </c>
      <c r="AY68" s="3266">
        <f t="shared" si="40"/>
        <v>0</v>
      </c>
      <c r="AZ68" s="3199">
        <f t="shared" si="41"/>
        <v>0</v>
      </c>
      <c r="BA68" s="3199">
        <f t="shared" si="42"/>
        <v>0</v>
      </c>
      <c r="BB68" s="3199">
        <f t="shared" si="43"/>
        <v>0</v>
      </c>
      <c r="BC68" s="3199">
        <f t="shared" si="44"/>
        <v>0</v>
      </c>
      <c r="BD68" s="3199">
        <f t="shared" si="45"/>
        <v>0</v>
      </c>
      <c r="BE68" s="3199">
        <f t="shared" si="46"/>
        <v>0</v>
      </c>
      <c r="BF68" s="3199">
        <f t="shared" si="47"/>
        <v>0</v>
      </c>
      <c r="BG68" s="3199">
        <f t="shared" si="48"/>
        <v>0</v>
      </c>
      <c r="BH68" s="3199">
        <f t="shared" si="49"/>
        <v>0</v>
      </c>
      <c r="BI68" s="3199">
        <f t="shared" si="50"/>
        <v>0</v>
      </c>
      <c r="BJ68" s="3199">
        <f t="shared" si="51"/>
        <v>0</v>
      </c>
      <c r="BK68" s="3199">
        <f t="shared" si="52"/>
        <v>0</v>
      </c>
      <c r="BL68" s="3199">
        <f t="shared" si="53"/>
        <v>0</v>
      </c>
      <c r="BM68" s="3199">
        <f t="shared" si="54"/>
        <v>0</v>
      </c>
      <c r="BN68" s="3199">
        <f t="shared" si="55"/>
        <v>0</v>
      </c>
      <c r="BO68" s="3199">
        <f t="shared" si="56"/>
        <v>0</v>
      </c>
      <c r="BP68" s="3199">
        <f t="shared" si="57"/>
        <v>0</v>
      </c>
      <c r="BQ68" s="3199">
        <f t="shared" si="58"/>
        <v>0</v>
      </c>
      <c r="BR68" s="3199">
        <f t="shared" si="59"/>
        <v>0</v>
      </c>
      <c r="BS68" s="3199">
        <f t="shared" si="60"/>
        <v>0</v>
      </c>
      <c r="BT68" s="3271">
        <f t="shared" si="61"/>
        <v>0</v>
      </c>
    </row>
    <row r="69" spans="1:72">
      <c r="A69" s="3197"/>
      <c r="B69" s="3198"/>
      <c r="C69" s="3198"/>
      <c r="D69" s="3193"/>
      <c r="E69" s="3199">
        <f t="shared" si="33"/>
        <v>0</v>
      </c>
      <c r="F69" s="3200"/>
      <c r="G69" s="3201">
        <f t="shared" si="34"/>
        <v>0</v>
      </c>
      <c r="H69" s="3202">
        <f t="shared" si="35"/>
        <v>0</v>
      </c>
      <c r="I69" s="3218"/>
      <c r="J69" s="3218"/>
      <c r="K69" s="3218"/>
      <c r="L69" s="3218"/>
      <c r="M69" s="3218"/>
      <c r="N69" s="3218"/>
      <c r="O69" s="3218"/>
      <c r="P69" s="3218"/>
      <c r="Q69" s="3218"/>
      <c r="R69" s="3218"/>
      <c r="S69" s="3218"/>
      <c r="T69" s="3218"/>
      <c r="U69" s="3218"/>
      <c r="V69" s="3218"/>
      <c r="W69" s="3218"/>
      <c r="X69" s="3218"/>
      <c r="Y69" s="3218"/>
      <c r="Z69" s="3218"/>
      <c r="AA69" s="3218"/>
      <c r="AB69" s="3218"/>
      <c r="AC69" s="3199">
        <f t="shared" si="36"/>
        <v>0</v>
      </c>
      <c r="AD69" s="3229"/>
      <c r="AE69" s="3229"/>
      <c r="AF69" s="3229"/>
      <c r="AG69" s="3229"/>
      <c r="AH69" s="3229"/>
      <c r="AI69" s="3229"/>
      <c r="AJ69" s="3229"/>
      <c r="AK69" s="3229"/>
      <c r="AL69" s="3229"/>
      <c r="AM69" s="3229"/>
      <c r="AN69" s="3229"/>
      <c r="AO69" s="3229"/>
      <c r="AP69" s="3229"/>
      <c r="AQ69" s="3229"/>
      <c r="AR69" s="3229"/>
      <c r="AS69" s="3229"/>
      <c r="AT69" s="3249"/>
      <c r="AU69" s="3250"/>
      <c r="AV69" s="475">
        <f t="shared" si="37"/>
        <v>0</v>
      </c>
      <c r="AW69" s="475">
        <f t="shared" si="38"/>
        <v>0</v>
      </c>
      <c r="AX69" s="475">
        <f t="shared" si="39"/>
        <v>0</v>
      </c>
      <c r="AY69" s="3266">
        <f t="shared" si="40"/>
        <v>0</v>
      </c>
      <c r="AZ69" s="3199">
        <f t="shared" si="41"/>
        <v>0</v>
      </c>
      <c r="BA69" s="3199">
        <f t="shared" si="42"/>
        <v>0</v>
      </c>
      <c r="BB69" s="3199">
        <f t="shared" si="43"/>
        <v>0</v>
      </c>
      <c r="BC69" s="3199">
        <f t="shared" si="44"/>
        <v>0</v>
      </c>
      <c r="BD69" s="3199">
        <f t="shared" si="45"/>
        <v>0</v>
      </c>
      <c r="BE69" s="3199">
        <f t="shared" si="46"/>
        <v>0</v>
      </c>
      <c r="BF69" s="3199">
        <f t="shared" si="47"/>
        <v>0</v>
      </c>
      <c r="BG69" s="3199">
        <f t="shared" si="48"/>
        <v>0</v>
      </c>
      <c r="BH69" s="3199">
        <f t="shared" si="49"/>
        <v>0</v>
      </c>
      <c r="BI69" s="3199">
        <f t="shared" si="50"/>
        <v>0</v>
      </c>
      <c r="BJ69" s="3199">
        <f t="shared" si="51"/>
        <v>0</v>
      </c>
      <c r="BK69" s="3199">
        <f t="shared" si="52"/>
        <v>0</v>
      </c>
      <c r="BL69" s="3199">
        <f t="shared" si="53"/>
        <v>0</v>
      </c>
      <c r="BM69" s="3199">
        <f t="shared" si="54"/>
        <v>0</v>
      </c>
      <c r="BN69" s="3199">
        <f t="shared" si="55"/>
        <v>0</v>
      </c>
      <c r="BO69" s="3199">
        <f t="shared" si="56"/>
        <v>0</v>
      </c>
      <c r="BP69" s="3199">
        <f t="shared" si="57"/>
        <v>0</v>
      </c>
      <c r="BQ69" s="3199">
        <f t="shared" si="58"/>
        <v>0</v>
      </c>
      <c r="BR69" s="3199">
        <f t="shared" si="59"/>
        <v>0</v>
      </c>
      <c r="BS69" s="3199">
        <f t="shared" si="60"/>
        <v>0</v>
      </c>
      <c r="BT69" s="3271">
        <f t="shared" si="61"/>
        <v>0</v>
      </c>
    </row>
    <row r="70" spans="1:72">
      <c r="A70" s="3197"/>
      <c r="B70" s="3198"/>
      <c r="C70" s="3198"/>
      <c r="D70" s="3193"/>
      <c r="E70" s="3199">
        <f t="shared" si="33"/>
        <v>0</v>
      </c>
      <c r="F70" s="3200"/>
      <c r="G70" s="3201">
        <f t="shared" si="34"/>
        <v>0</v>
      </c>
      <c r="H70" s="3202">
        <f t="shared" si="35"/>
        <v>0</v>
      </c>
      <c r="I70" s="3218"/>
      <c r="J70" s="3218"/>
      <c r="K70" s="3218"/>
      <c r="L70" s="3218"/>
      <c r="M70" s="3218"/>
      <c r="N70" s="3218"/>
      <c r="O70" s="3218"/>
      <c r="P70" s="3218"/>
      <c r="Q70" s="3218"/>
      <c r="R70" s="3218"/>
      <c r="S70" s="3218"/>
      <c r="T70" s="3218"/>
      <c r="U70" s="3218"/>
      <c r="V70" s="3218"/>
      <c r="W70" s="3218"/>
      <c r="X70" s="3218"/>
      <c r="Y70" s="3218"/>
      <c r="Z70" s="3218"/>
      <c r="AA70" s="3218"/>
      <c r="AB70" s="3218"/>
      <c r="AC70" s="3199">
        <f t="shared" si="36"/>
        <v>0</v>
      </c>
      <c r="AD70" s="3229"/>
      <c r="AE70" s="3229"/>
      <c r="AF70" s="3229"/>
      <c r="AG70" s="3229"/>
      <c r="AH70" s="3229"/>
      <c r="AI70" s="3229"/>
      <c r="AJ70" s="3229"/>
      <c r="AK70" s="3229"/>
      <c r="AL70" s="3229"/>
      <c r="AM70" s="3229"/>
      <c r="AN70" s="3229"/>
      <c r="AO70" s="3229"/>
      <c r="AP70" s="3229"/>
      <c r="AQ70" s="3229"/>
      <c r="AR70" s="3229"/>
      <c r="AS70" s="3229"/>
      <c r="AT70" s="3249"/>
      <c r="AU70" s="3250"/>
      <c r="AV70" s="475">
        <f t="shared" si="37"/>
        <v>0</v>
      </c>
      <c r="AW70" s="475">
        <f t="shared" si="38"/>
        <v>0</v>
      </c>
      <c r="AX70" s="475">
        <f t="shared" si="39"/>
        <v>0</v>
      </c>
      <c r="AY70" s="3266">
        <f t="shared" si="40"/>
        <v>0</v>
      </c>
      <c r="AZ70" s="3199">
        <f t="shared" si="41"/>
        <v>0</v>
      </c>
      <c r="BA70" s="3199">
        <f t="shared" si="42"/>
        <v>0</v>
      </c>
      <c r="BB70" s="3199">
        <f t="shared" si="43"/>
        <v>0</v>
      </c>
      <c r="BC70" s="3199">
        <f t="shared" si="44"/>
        <v>0</v>
      </c>
      <c r="BD70" s="3199">
        <f t="shared" si="45"/>
        <v>0</v>
      </c>
      <c r="BE70" s="3199">
        <f t="shared" si="46"/>
        <v>0</v>
      </c>
      <c r="BF70" s="3199">
        <f t="shared" si="47"/>
        <v>0</v>
      </c>
      <c r="BG70" s="3199">
        <f t="shared" si="48"/>
        <v>0</v>
      </c>
      <c r="BH70" s="3199">
        <f t="shared" si="49"/>
        <v>0</v>
      </c>
      <c r="BI70" s="3199">
        <f t="shared" si="50"/>
        <v>0</v>
      </c>
      <c r="BJ70" s="3199">
        <f t="shared" si="51"/>
        <v>0</v>
      </c>
      <c r="BK70" s="3199">
        <f t="shared" si="52"/>
        <v>0</v>
      </c>
      <c r="BL70" s="3199">
        <f t="shared" si="53"/>
        <v>0</v>
      </c>
      <c r="BM70" s="3199">
        <f t="shared" si="54"/>
        <v>0</v>
      </c>
      <c r="BN70" s="3199">
        <f t="shared" si="55"/>
        <v>0</v>
      </c>
      <c r="BO70" s="3199">
        <f t="shared" si="56"/>
        <v>0</v>
      </c>
      <c r="BP70" s="3199">
        <f t="shared" si="57"/>
        <v>0</v>
      </c>
      <c r="BQ70" s="3199">
        <f t="shared" si="58"/>
        <v>0</v>
      </c>
      <c r="BR70" s="3199">
        <f t="shared" si="59"/>
        <v>0</v>
      </c>
      <c r="BS70" s="3199">
        <f t="shared" si="60"/>
        <v>0</v>
      </c>
      <c r="BT70" s="3271">
        <f t="shared" si="61"/>
        <v>0</v>
      </c>
    </row>
    <row r="71" spans="1:72">
      <c r="A71" s="3197"/>
      <c r="B71" s="3198"/>
      <c r="C71" s="3198"/>
      <c r="D71" s="3193"/>
      <c r="E71" s="3199">
        <f t="shared" si="33"/>
        <v>0</v>
      </c>
      <c r="F71" s="3200"/>
      <c r="G71" s="3201">
        <f t="shared" si="34"/>
        <v>0</v>
      </c>
      <c r="H71" s="3202">
        <f t="shared" si="35"/>
        <v>0</v>
      </c>
      <c r="I71" s="3218"/>
      <c r="J71" s="3218"/>
      <c r="K71" s="3218"/>
      <c r="L71" s="3218"/>
      <c r="M71" s="3218"/>
      <c r="N71" s="3218"/>
      <c r="O71" s="3218"/>
      <c r="P71" s="3218"/>
      <c r="Q71" s="3218"/>
      <c r="R71" s="3218"/>
      <c r="S71" s="3218"/>
      <c r="T71" s="3218"/>
      <c r="U71" s="3218"/>
      <c r="V71" s="3218"/>
      <c r="W71" s="3218"/>
      <c r="X71" s="3218"/>
      <c r="Y71" s="3218"/>
      <c r="Z71" s="3218"/>
      <c r="AA71" s="3218"/>
      <c r="AB71" s="3218"/>
      <c r="AC71" s="3199">
        <f t="shared" si="36"/>
        <v>0</v>
      </c>
      <c r="AD71" s="3229"/>
      <c r="AE71" s="3229"/>
      <c r="AF71" s="3229"/>
      <c r="AG71" s="3229"/>
      <c r="AH71" s="3229"/>
      <c r="AI71" s="3229"/>
      <c r="AJ71" s="3229"/>
      <c r="AK71" s="3229"/>
      <c r="AL71" s="3229"/>
      <c r="AM71" s="3229"/>
      <c r="AN71" s="3229"/>
      <c r="AO71" s="3229"/>
      <c r="AP71" s="3229"/>
      <c r="AQ71" s="3229"/>
      <c r="AR71" s="3229"/>
      <c r="AS71" s="3229"/>
      <c r="AT71" s="3249"/>
      <c r="AU71" s="3250"/>
      <c r="AV71" s="475">
        <f t="shared" si="37"/>
        <v>0</v>
      </c>
      <c r="AW71" s="475">
        <f t="shared" si="38"/>
        <v>0</v>
      </c>
      <c r="AX71" s="475">
        <f t="shared" si="39"/>
        <v>0</v>
      </c>
      <c r="AY71" s="3266">
        <f t="shared" si="40"/>
        <v>0</v>
      </c>
      <c r="AZ71" s="3199">
        <f t="shared" si="41"/>
        <v>0</v>
      </c>
      <c r="BA71" s="3199">
        <f t="shared" si="42"/>
        <v>0</v>
      </c>
      <c r="BB71" s="3199">
        <f t="shared" si="43"/>
        <v>0</v>
      </c>
      <c r="BC71" s="3199">
        <f t="shared" si="44"/>
        <v>0</v>
      </c>
      <c r="BD71" s="3199">
        <f t="shared" si="45"/>
        <v>0</v>
      </c>
      <c r="BE71" s="3199">
        <f t="shared" si="46"/>
        <v>0</v>
      </c>
      <c r="BF71" s="3199">
        <f t="shared" si="47"/>
        <v>0</v>
      </c>
      <c r="BG71" s="3199">
        <f t="shared" si="48"/>
        <v>0</v>
      </c>
      <c r="BH71" s="3199">
        <f t="shared" si="49"/>
        <v>0</v>
      </c>
      <c r="BI71" s="3199">
        <f t="shared" si="50"/>
        <v>0</v>
      </c>
      <c r="BJ71" s="3199">
        <f t="shared" si="51"/>
        <v>0</v>
      </c>
      <c r="BK71" s="3199">
        <f t="shared" si="52"/>
        <v>0</v>
      </c>
      <c r="BL71" s="3199">
        <f t="shared" si="53"/>
        <v>0</v>
      </c>
      <c r="BM71" s="3199">
        <f t="shared" si="54"/>
        <v>0</v>
      </c>
      <c r="BN71" s="3199">
        <f t="shared" si="55"/>
        <v>0</v>
      </c>
      <c r="BO71" s="3199">
        <f t="shared" si="56"/>
        <v>0</v>
      </c>
      <c r="BP71" s="3199">
        <f t="shared" si="57"/>
        <v>0</v>
      </c>
      <c r="BQ71" s="3199">
        <f t="shared" si="58"/>
        <v>0</v>
      </c>
      <c r="BR71" s="3199">
        <f t="shared" si="59"/>
        <v>0</v>
      </c>
      <c r="BS71" s="3199">
        <f t="shared" si="60"/>
        <v>0</v>
      </c>
      <c r="BT71" s="3271">
        <f t="shared" si="61"/>
        <v>0</v>
      </c>
    </row>
    <row r="72" spans="1:72">
      <c r="A72" s="3197"/>
      <c r="B72" s="3198"/>
      <c r="C72" s="3198"/>
      <c r="D72" s="3193"/>
      <c r="E72" s="3199">
        <f t="shared" si="33"/>
        <v>0</v>
      </c>
      <c r="F72" s="3200"/>
      <c r="G72" s="3201">
        <f t="shared" si="34"/>
        <v>0</v>
      </c>
      <c r="H72" s="3202">
        <f t="shared" si="35"/>
        <v>0</v>
      </c>
      <c r="I72" s="3218"/>
      <c r="J72" s="3218"/>
      <c r="K72" s="3218"/>
      <c r="L72" s="3218"/>
      <c r="M72" s="3218"/>
      <c r="N72" s="3218"/>
      <c r="O72" s="3218"/>
      <c r="P72" s="3218"/>
      <c r="Q72" s="3218"/>
      <c r="R72" s="3218"/>
      <c r="S72" s="3218"/>
      <c r="T72" s="3218"/>
      <c r="U72" s="3218"/>
      <c r="V72" s="3218"/>
      <c r="W72" s="3218"/>
      <c r="X72" s="3218"/>
      <c r="Y72" s="3218"/>
      <c r="Z72" s="3218"/>
      <c r="AA72" s="3218"/>
      <c r="AB72" s="3218"/>
      <c r="AC72" s="3199">
        <f t="shared" si="36"/>
        <v>0</v>
      </c>
      <c r="AD72" s="3229"/>
      <c r="AE72" s="3229"/>
      <c r="AF72" s="3229"/>
      <c r="AG72" s="3229"/>
      <c r="AH72" s="3229"/>
      <c r="AI72" s="3229"/>
      <c r="AJ72" s="3229"/>
      <c r="AK72" s="3229"/>
      <c r="AL72" s="3229"/>
      <c r="AM72" s="3229"/>
      <c r="AN72" s="3229"/>
      <c r="AO72" s="3229"/>
      <c r="AP72" s="3229"/>
      <c r="AQ72" s="3229"/>
      <c r="AR72" s="3229"/>
      <c r="AS72" s="3229"/>
      <c r="AT72" s="3249"/>
      <c r="AU72" s="3250"/>
      <c r="AV72" s="475">
        <f t="shared" si="37"/>
        <v>0</v>
      </c>
      <c r="AW72" s="475">
        <f t="shared" si="38"/>
        <v>0</v>
      </c>
      <c r="AX72" s="475">
        <f t="shared" si="39"/>
        <v>0</v>
      </c>
      <c r="AY72" s="3266">
        <f t="shared" si="40"/>
        <v>0</v>
      </c>
      <c r="AZ72" s="3199">
        <f t="shared" si="41"/>
        <v>0</v>
      </c>
      <c r="BA72" s="3199">
        <f t="shared" si="42"/>
        <v>0</v>
      </c>
      <c r="BB72" s="3199">
        <f t="shared" si="43"/>
        <v>0</v>
      </c>
      <c r="BC72" s="3199">
        <f t="shared" si="44"/>
        <v>0</v>
      </c>
      <c r="BD72" s="3199">
        <f t="shared" si="45"/>
        <v>0</v>
      </c>
      <c r="BE72" s="3199">
        <f t="shared" si="46"/>
        <v>0</v>
      </c>
      <c r="BF72" s="3199">
        <f t="shared" si="47"/>
        <v>0</v>
      </c>
      <c r="BG72" s="3199">
        <f t="shared" si="48"/>
        <v>0</v>
      </c>
      <c r="BH72" s="3199">
        <f t="shared" si="49"/>
        <v>0</v>
      </c>
      <c r="BI72" s="3199">
        <f t="shared" si="50"/>
        <v>0</v>
      </c>
      <c r="BJ72" s="3199">
        <f t="shared" si="51"/>
        <v>0</v>
      </c>
      <c r="BK72" s="3199">
        <f t="shared" si="52"/>
        <v>0</v>
      </c>
      <c r="BL72" s="3199">
        <f t="shared" si="53"/>
        <v>0</v>
      </c>
      <c r="BM72" s="3199">
        <f t="shared" si="54"/>
        <v>0</v>
      </c>
      <c r="BN72" s="3199">
        <f t="shared" si="55"/>
        <v>0</v>
      </c>
      <c r="BO72" s="3199">
        <f t="shared" si="56"/>
        <v>0</v>
      </c>
      <c r="BP72" s="3199">
        <f t="shared" si="57"/>
        <v>0</v>
      </c>
      <c r="BQ72" s="3199">
        <f t="shared" si="58"/>
        <v>0</v>
      </c>
      <c r="BR72" s="3199">
        <f t="shared" si="59"/>
        <v>0</v>
      </c>
      <c r="BS72" s="3199">
        <f t="shared" si="60"/>
        <v>0</v>
      </c>
      <c r="BT72" s="3271">
        <f t="shared" si="61"/>
        <v>0</v>
      </c>
    </row>
    <row r="73" spans="1:72">
      <c r="A73" s="3197"/>
      <c r="B73" s="3198"/>
      <c r="C73" s="3198"/>
      <c r="D73" s="3193"/>
      <c r="E73" s="3199">
        <f t="shared" si="33"/>
        <v>0</v>
      </c>
      <c r="F73" s="3200"/>
      <c r="G73" s="3201">
        <f t="shared" si="34"/>
        <v>0</v>
      </c>
      <c r="H73" s="3202">
        <f t="shared" si="35"/>
        <v>0</v>
      </c>
      <c r="I73" s="3218"/>
      <c r="J73" s="3218"/>
      <c r="K73" s="3218"/>
      <c r="L73" s="3218"/>
      <c r="M73" s="3218"/>
      <c r="N73" s="3218"/>
      <c r="O73" s="3218"/>
      <c r="P73" s="3218"/>
      <c r="Q73" s="3218"/>
      <c r="R73" s="3218"/>
      <c r="S73" s="3218"/>
      <c r="T73" s="3218"/>
      <c r="U73" s="3218"/>
      <c r="V73" s="3218"/>
      <c r="W73" s="3218"/>
      <c r="X73" s="3218"/>
      <c r="Y73" s="3218"/>
      <c r="Z73" s="3218"/>
      <c r="AA73" s="3218"/>
      <c r="AB73" s="3218"/>
      <c r="AC73" s="3199">
        <f t="shared" si="36"/>
        <v>0</v>
      </c>
      <c r="AD73" s="3229"/>
      <c r="AE73" s="3229"/>
      <c r="AF73" s="3229"/>
      <c r="AG73" s="3229"/>
      <c r="AH73" s="3229"/>
      <c r="AI73" s="3229"/>
      <c r="AJ73" s="3229"/>
      <c r="AK73" s="3229"/>
      <c r="AL73" s="3229"/>
      <c r="AM73" s="3229"/>
      <c r="AN73" s="3229"/>
      <c r="AO73" s="3229"/>
      <c r="AP73" s="3229"/>
      <c r="AQ73" s="3229"/>
      <c r="AR73" s="3229"/>
      <c r="AS73" s="3229"/>
      <c r="AT73" s="3249"/>
      <c r="AU73" s="3250"/>
      <c r="AV73" s="475">
        <f t="shared" si="37"/>
        <v>0</v>
      </c>
      <c r="AW73" s="475">
        <f t="shared" si="38"/>
        <v>0</v>
      </c>
      <c r="AX73" s="475">
        <f t="shared" si="39"/>
        <v>0</v>
      </c>
      <c r="AY73" s="3266">
        <f t="shared" si="40"/>
        <v>0</v>
      </c>
      <c r="AZ73" s="3199">
        <f t="shared" si="41"/>
        <v>0</v>
      </c>
      <c r="BA73" s="3199">
        <f t="shared" si="42"/>
        <v>0</v>
      </c>
      <c r="BB73" s="3199">
        <f t="shared" si="43"/>
        <v>0</v>
      </c>
      <c r="BC73" s="3199">
        <f t="shared" si="44"/>
        <v>0</v>
      </c>
      <c r="BD73" s="3199">
        <f t="shared" si="45"/>
        <v>0</v>
      </c>
      <c r="BE73" s="3199">
        <f t="shared" si="46"/>
        <v>0</v>
      </c>
      <c r="BF73" s="3199">
        <f t="shared" si="47"/>
        <v>0</v>
      </c>
      <c r="BG73" s="3199">
        <f t="shared" si="48"/>
        <v>0</v>
      </c>
      <c r="BH73" s="3199">
        <f t="shared" si="49"/>
        <v>0</v>
      </c>
      <c r="BI73" s="3199">
        <f t="shared" si="50"/>
        <v>0</v>
      </c>
      <c r="BJ73" s="3199">
        <f t="shared" si="51"/>
        <v>0</v>
      </c>
      <c r="BK73" s="3199">
        <f t="shared" si="52"/>
        <v>0</v>
      </c>
      <c r="BL73" s="3199">
        <f t="shared" si="53"/>
        <v>0</v>
      </c>
      <c r="BM73" s="3199">
        <f t="shared" si="54"/>
        <v>0</v>
      </c>
      <c r="BN73" s="3199">
        <f t="shared" si="55"/>
        <v>0</v>
      </c>
      <c r="BO73" s="3199">
        <f t="shared" si="56"/>
        <v>0</v>
      </c>
      <c r="BP73" s="3199">
        <f t="shared" si="57"/>
        <v>0</v>
      </c>
      <c r="BQ73" s="3199">
        <f t="shared" si="58"/>
        <v>0</v>
      </c>
      <c r="BR73" s="3199">
        <f t="shared" si="59"/>
        <v>0</v>
      </c>
      <c r="BS73" s="3199">
        <f t="shared" si="60"/>
        <v>0</v>
      </c>
      <c r="BT73" s="3271">
        <f t="shared" si="61"/>
        <v>0</v>
      </c>
    </row>
    <row r="74" spans="1:72">
      <c r="A74" s="3197"/>
      <c r="B74" s="3198"/>
      <c r="C74" s="3198"/>
      <c r="D74" s="3193"/>
      <c r="E74" s="3199">
        <f t="shared" si="33"/>
        <v>0</v>
      </c>
      <c r="F74" s="3200"/>
      <c r="G74" s="3201">
        <f t="shared" si="34"/>
        <v>0</v>
      </c>
      <c r="H74" s="3202">
        <f t="shared" si="35"/>
        <v>0</v>
      </c>
      <c r="I74" s="3218"/>
      <c r="J74" s="3218"/>
      <c r="K74" s="3218"/>
      <c r="L74" s="3218"/>
      <c r="M74" s="3218"/>
      <c r="N74" s="3218"/>
      <c r="O74" s="3218"/>
      <c r="P74" s="3218"/>
      <c r="Q74" s="3218"/>
      <c r="R74" s="3218"/>
      <c r="S74" s="3218"/>
      <c r="T74" s="3218"/>
      <c r="U74" s="3218"/>
      <c r="V74" s="3218"/>
      <c r="W74" s="3218"/>
      <c r="X74" s="3218"/>
      <c r="Y74" s="3218"/>
      <c r="Z74" s="3218"/>
      <c r="AA74" s="3218"/>
      <c r="AB74" s="3218"/>
      <c r="AC74" s="3199">
        <f t="shared" si="36"/>
        <v>0</v>
      </c>
      <c r="AD74" s="3229"/>
      <c r="AE74" s="3229"/>
      <c r="AF74" s="3229"/>
      <c r="AG74" s="3229"/>
      <c r="AH74" s="3229"/>
      <c r="AI74" s="3229"/>
      <c r="AJ74" s="3229"/>
      <c r="AK74" s="3229"/>
      <c r="AL74" s="3229"/>
      <c r="AM74" s="3229"/>
      <c r="AN74" s="3229"/>
      <c r="AO74" s="3229"/>
      <c r="AP74" s="3229"/>
      <c r="AQ74" s="3229"/>
      <c r="AR74" s="3229"/>
      <c r="AS74" s="3229"/>
      <c r="AT74" s="3249"/>
      <c r="AU74" s="3250"/>
      <c r="AV74" s="475">
        <f t="shared" si="37"/>
        <v>0</v>
      </c>
      <c r="AW74" s="475">
        <f t="shared" si="38"/>
        <v>0</v>
      </c>
      <c r="AX74" s="475">
        <f t="shared" si="39"/>
        <v>0</v>
      </c>
      <c r="AY74" s="3266">
        <f t="shared" si="40"/>
        <v>0</v>
      </c>
      <c r="AZ74" s="3199">
        <f t="shared" si="41"/>
        <v>0</v>
      </c>
      <c r="BA74" s="3199">
        <f t="shared" si="42"/>
        <v>0</v>
      </c>
      <c r="BB74" s="3199">
        <f t="shared" si="43"/>
        <v>0</v>
      </c>
      <c r="BC74" s="3199">
        <f t="shared" si="44"/>
        <v>0</v>
      </c>
      <c r="BD74" s="3199">
        <f t="shared" si="45"/>
        <v>0</v>
      </c>
      <c r="BE74" s="3199">
        <f t="shared" si="46"/>
        <v>0</v>
      </c>
      <c r="BF74" s="3199">
        <f t="shared" si="47"/>
        <v>0</v>
      </c>
      <c r="BG74" s="3199">
        <f t="shared" si="48"/>
        <v>0</v>
      </c>
      <c r="BH74" s="3199">
        <f t="shared" si="49"/>
        <v>0</v>
      </c>
      <c r="BI74" s="3199">
        <f t="shared" si="50"/>
        <v>0</v>
      </c>
      <c r="BJ74" s="3199">
        <f t="shared" si="51"/>
        <v>0</v>
      </c>
      <c r="BK74" s="3199">
        <f t="shared" si="52"/>
        <v>0</v>
      </c>
      <c r="BL74" s="3199">
        <f t="shared" si="53"/>
        <v>0</v>
      </c>
      <c r="BM74" s="3199">
        <f t="shared" si="54"/>
        <v>0</v>
      </c>
      <c r="BN74" s="3199">
        <f t="shared" si="55"/>
        <v>0</v>
      </c>
      <c r="BO74" s="3199">
        <f t="shared" si="56"/>
        <v>0</v>
      </c>
      <c r="BP74" s="3199">
        <f t="shared" si="57"/>
        <v>0</v>
      </c>
      <c r="BQ74" s="3199">
        <f t="shared" si="58"/>
        <v>0</v>
      </c>
      <c r="BR74" s="3199">
        <f t="shared" si="59"/>
        <v>0</v>
      </c>
      <c r="BS74" s="3199">
        <f t="shared" si="60"/>
        <v>0</v>
      </c>
      <c r="BT74" s="3271">
        <f t="shared" si="61"/>
        <v>0</v>
      </c>
    </row>
    <row r="75" spans="1:72">
      <c r="A75" s="3197"/>
      <c r="B75" s="3198"/>
      <c r="C75" s="3198"/>
      <c r="D75" s="3193"/>
      <c r="E75" s="3199">
        <f t="shared" si="33"/>
        <v>0</v>
      </c>
      <c r="F75" s="3200"/>
      <c r="G75" s="3201">
        <f t="shared" si="34"/>
        <v>0</v>
      </c>
      <c r="H75" s="3202">
        <f t="shared" si="35"/>
        <v>0</v>
      </c>
      <c r="I75" s="3218"/>
      <c r="J75" s="3218"/>
      <c r="K75" s="3218"/>
      <c r="L75" s="3218"/>
      <c r="M75" s="3218"/>
      <c r="N75" s="3218"/>
      <c r="O75" s="3218"/>
      <c r="P75" s="3218"/>
      <c r="Q75" s="3218"/>
      <c r="R75" s="3218"/>
      <c r="S75" s="3218"/>
      <c r="T75" s="3218"/>
      <c r="U75" s="3218"/>
      <c r="V75" s="3218"/>
      <c r="W75" s="3218"/>
      <c r="X75" s="3218"/>
      <c r="Y75" s="3218"/>
      <c r="Z75" s="3218"/>
      <c r="AA75" s="3218"/>
      <c r="AB75" s="3218"/>
      <c r="AC75" s="3199">
        <f t="shared" si="36"/>
        <v>0</v>
      </c>
      <c r="AD75" s="3229"/>
      <c r="AE75" s="3229"/>
      <c r="AF75" s="3229"/>
      <c r="AG75" s="3229"/>
      <c r="AH75" s="3229"/>
      <c r="AI75" s="3229"/>
      <c r="AJ75" s="3229"/>
      <c r="AK75" s="3229"/>
      <c r="AL75" s="3229"/>
      <c r="AM75" s="3229"/>
      <c r="AN75" s="3229"/>
      <c r="AO75" s="3229"/>
      <c r="AP75" s="3229"/>
      <c r="AQ75" s="3229"/>
      <c r="AR75" s="3229"/>
      <c r="AS75" s="3229"/>
      <c r="AT75" s="3249"/>
      <c r="AU75" s="3250"/>
      <c r="AV75" s="475">
        <f t="shared" si="37"/>
        <v>0</v>
      </c>
      <c r="AW75" s="475">
        <f t="shared" si="38"/>
        <v>0</v>
      </c>
      <c r="AX75" s="475">
        <f t="shared" si="39"/>
        <v>0</v>
      </c>
      <c r="AY75" s="3266">
        <f t="shared" si="40"/>
        <v>0</v>
      </c>
      <c r="AZ75" s="3199">
        <f t="shared" si="41"/>
        <v>0</v>
      </c>
      <c r="BA75" s="3199">
        <f t="shared" si="42"/>
        <v>0</v>
      </c>
      <c r="BB75" s="3199">
        <f t="shared" si="43"/>
        <v>0</v>
      </c>
      <c r="BC75" s="3199">
        <f t="shared" si="44"/>
        <v>0</v>
      </c>
      <c r="BD75" s="3199">
        <f t="shared" si="45"/>
        <v>0</v>
      </c>
      <c r="BE75" s="3199">
        <f t="shared" si="46"/>
        <v>0</v>
      </c>
      <c r="BF75" s="3199">
        <f t="shared" si="47"/>
        <v>0</v>
      </c>
      <c r="BG75" s="3199">
        <f t="shared" si="48"/>
        <v>0</v>
      </c>
      <c r="BH75" s="3199">
        <f t="shared" si="49"/>
        <v>0</v>
      </c>
      <c r="BI75" s="3199">
        <f t="shared" si="50"/>
        <v>0</v>
      </c>
      <c r="BJ75" s="3199">
        <f t="shared" si="51"/>
        <v>0</v>
      </c>
      <c r="BK75" s="3199">
        <f t="shared" si="52"/>
        <v>0</v>
      </c>
      <c r="BL75" s="3199">
        <f t="shared" si="53"/>
        <v>0</v>
      </c>
      <c r="BM75" s="3199">
        <f t="shared" si="54"/>
        <v>0</v>
      </c>
      <c r="BN75" s="3199">
        <f t="shared" si="55"/>
        <v>0</v>
      </c>
      <c r="BO75" s="3199">
        <f t="shared" si="56"/>
        <v>0</v>
      </c>
      <c r="BP75" s="3199">
        <f t="shared" si="57"/>
        <v>0</v>
      </c>
      <c r="BQ75" s="3199">
        <f t="shared" si="58"/>
        <v>0</v>
      </c>
      <c r="BR75" s="3199">
        <f t="shared" si="59"/>
        <v>0</v>
      </c>
      <c r="BS75" s="3199">
        <f t="shared" si="60"/>
        <v>0</v>
      </c>
      <c r="BT75" s="3271">
        <f t="shared" si="61"/>
        <v>0</v>
      </c>
    </row>
    <row r="76" spans="1:72">
      <c r="A76" s="3197"/>
      <c r="B76" s="3198"/>
      <c r="C76" s="3198"/>
      <c r="D76" s="3193"/>
      <c r="E76" s="3199">
        <f t="shared" si="33"/>
        <v>0</v>
      </c>
      <c r="F76" s="3200"/>
      <c r="G76" s="3201">
        <f t="shared" si="34"/>
        <v>0</v>
      </c>
      <c r="H76" s="3202">
        <f t="shared" si="35"/>
        <v>0</v>
      </c>
      <c r="I76" s="3218"/>
      <c r="J76" s="3218"/>
      <c r="K76" s="3218"/>
      <c r="L76" s="3218"/>
      <c r="M76" s="3218"/>
      <c r="N76" s="3218"/>
      <c r="O76" s="3218"/>
      <c r="P76" s="3218"/>
      <c r="Q76" s="3218"/>
      <c r="R76" s="3218"/>
      <c r="S76" s="3218"/>
      <c r="T76" s="3218"/>
      <c r="U76" s="3218"/>
      <c r="V76" s="3218"/>
      <c r="W76" s="3218"/>
      <c r="X76" s="3218"/>
      <c r="Y76" s="3218"/>
      <c r="Z76" s="3218"/>
      <c r="AA76" s="3218"/>
      <c r="AB76" s="3218"/>
      <c r="AC76" s="3199">
        <f t="shared" si="36"/>
        <v>0</v>
      </c>
      <c r="AD76" s="3229"/>
      <c r="AE76" s="3229"/>
      <c r="AF76" s="3229"/>
      <c r="AG76" s="3229"/>
      <c r="AH76" s="3229"/>
      <c r="AI76" s="3229"/>
      <c r="AJ76" s="3229"/>
      <c r="AK76" s="3229"/>
      <c r="AL76" s="3229"/>
      <c r="AM76" s="3229"/>
      <c r="AN76" s="3229"/>
      <c r="AO76" s="3229"/>
      <c r="AP76" s="3229"/>
      <c r="AQ76" s="3229"/>
      <c r="AR76" s="3229"/>
      <c r="AS76" s="3229"/>
      <c r="AT76" s="3249"/>
      <c r="AU76" s="3250"/>
      <c r="AV76" s="475">
        <f t="shared" si="37"/>
        <v>0</v>
      </c>
      <c r="AW76" s="475">
        <f t="shared" si="38"/>
        <v>0</v>
      </c>
      <c r="AX76" s="475">
        <f t="shared" si="39"/>
        <v>0</v>
      </c>
      <c r="AY76" s="3266">
        <f t="shared" si="40"/>
        <v>0</v>
      </c>
      <c r="AZ76" s="3199">
        <f t="shared" si="41"/>
        <v>0</v>
      </c>
      <c r="BA76" s="3199">
        <f t="shared" si="42"/>
        <v>0</v>
      </c>
      <c r="BB76" s="3199">
        <f t="shared" si="43"/>
        <v>0</v>
      </c>
      <c r="BC76" s="3199">
        <f t="shared" si="44"/>
        <v>0</v>
      </c>
      <c r="BD76" s="3199">
        <f t="shared" si="45"/>
        <v>0</v>
      </c>
      <c r="BE76" s="3199">
        <f t="shared" si="46"/>
        <v>0</v>
      </c>
      <c r="BF76" s="3199">
        <f t="shared" si="47"/>
        <v>0</v>
      </c>
      <c r="BG76" s="3199">
        <f t="shared" si="48"/>
        <v>0</v>
      </c>
      <c r="BH76" s="3199">
        <f t="shared" si="49"/>
        <v>0</v>
      </c>
      <c r="BI76" s="3199">
        <f t="shared" si="50"/>
        <v>0</v>
      </c>
      <c r="BJ76" s="3199">
        <f t="shared" si="51"/>
        <v>0</v>
      </c>
      <c r="BK76" s="3199">
        <f t="shared" si="52"/>
        <v>0</v>
      </c>
      <c r="BL76" s="3199">
        <f t="shared" si="53"/>
        <v>0</v>
      </c>
      <c r="BM76" s="3199">
        <f t="shared" si="54"/>
        <v>0</v>
      </c>
      <c r="BN76" s="3199">
        <f t="shared" si="55"/>
        <v>0</v>
      </c>
      <c r="BO76" s="3199">
        <f t="shared" si="56"/>
        <v>0</v>
      </c>
      <c r="BP76" s="3199">
        <f t="shared" si="57"/>
        <v>0</v>
      </c>
      <c r="BQ76" s="3199">
        <f t="shared" si="58"/>
        <v>0</v>
      </c>
      <c r="BR76" s="3199">
        <f t="shared" si="59"/>
        <v>0</v>
      </c>
      <c r="BS76" s="3199">
        <f t="shared" si="60"/>
        <v>0</v>
      </c>
      <c r="BT76" s="3271">
        <f t="shared" si="61"/>
        <v>0</v>
      </c>
    </row>
    <row r="77" spans="1:72">
      <c r="A77" s="3197"/>
      <c r="B77" s="3198"/>
      <c r="C77" s="3198"/>
      <c r="D77" s="3193"/>
      <c r="E77" s="3199">
        <f t="shared" si="33"/>
        <v>0</v>
      </c>
      <c r="F77" s="3200"/>
      <c r="G77" s="3201">
        <f t="shared" si="34"/>
        <v>0</v>
      </c>
      <c r="H77" s="3202">
        <f t="shared" si="35"/>
        <v>0</v>
      </c>
      <c r="I77" s="3218"/>
      <c r="J77" s="3218"/>
      <c r="K77" s="3218"/>
      <c r="L77" s="3218"/>
      <c r="M77" s="3218"/>
      <c r="N77" s="3218"/>
      <c r="O77" s="3218"/>
      <c r="P77" s="3218"/>
      <c r="Q77" s="3218"/>
      <c r="R77" s="3218"/>
      <c r="S77" s="3218"/>
      <c r="T77" s="3218"/>
      <c r="U77" s="3218"/>
      <c r="V77" s="3218"/>
      <c r="W77" s="3218"/>
      <c r="X77" s="3218"/>
      <c r="Y77" s="3218"/>
      <c r="Z77" s="3218"/>
      <c r="AA77" s="3218"/>
      <c r="AB77" s="3218"/>
      <c r="AC77" s="3199">
        <f t="shared" si="36"/>
        <v>0</v>
      </c>
      <c r="AD77" s="3229"/>
      <c r="AE77" s="3229"/>
      <c r="AF77" s="3229"/>
      <c r="AG77" s="3229"/>
      <c r="AH77" s="3229"/>
      <c r="AI77" s="3229"/>
      <c r="AJ77" s="3229"/>
      <c r="AK77" s="3229"/>
      <c r="AL77" s="3229"/>
      <c r="AM77" s="3229"/>
      <c r="AN77" s="3229"/>
      <c r="AO77" s="3229"/>
      <c r="AP77" s="3229"/>
      <c r="AQ77" s="3229"/>
      <c r="AR77" s="3229"/>
      <c r="AS77" s="3229"/>
      <c r="AT77" s="3249"/>
      <c r="AU77" s="3250"/>
      <c r="AV77" s="475">
        <f t="shared" si="37"/>
        <v>0</v>
      </c>
      <c r="AW77" s="475">
        <f t="shared" si="38"/>
        <v>0</v>
      </c>
      <c r="AX77" s="475">
        <f t="shared" si="39"/>
        <v>0</v>
      </c>
      <c r="AY77" s="3266">
        <f t="shared" si="40"/>
        <v>0</v>
      </c>
      <c r="AZ77" s="3199">
        <f t="shared" si="41"/>
        <v>0</v>
      </c>
      <c r="BA77" s="3199">
        <f t="shared" si="42"/>
        <v>0</v>
      </c>
      <c r="BB77" s="3199">
        <f t="shared" si="43"/>
        <v>0</v>
      </c>
      <c r="BC77" s="3199">
        <f t="shared" si="44"/>
        <v>0</v>
      </c>
      <c r="BD77" s="3199">
        <f t="shared" si="45"/>
        <v>0</v>
      </c>
      <c r="BE77" s="3199">
        <f t="shared" si="46"/>
        <v>0</v>
      </c>
      <c r="BF77" s="3199">
        <f t="shared" si="47"/>
        <v>0</v>
      </c>
      <c r="BG77" s="3199">
        <f t="shared" si="48"/>
        <v>0</v>
      </c>
      <c r="BH77" s="3199">
        <f t="shared" si="49"/>
        <v>0</v>
      </c>
      <c r="BI77" s="3199">
        <f t="shared" si="50"/>
        <v>0</v>
      </c>
      <c r="BJ77" s="3199">
        <f t="shared" si="51"/>
        <v>0</v>
      </c>
      <c r="BK77" s="3199">
        <f t="shared" si="52"/>
        <v>0</v>
      </c>
      <c r="BL77" s="3199">
        <f t="shared" si="53"/>
        <v>0</v>
      </c>
      <c r="BM77" s="3199">
        <f t="shared" si="54"/>
        <v>0</v>
      </c>
      <c r="BN77" s="3199">
        <f t="shared" si="55"/>
        <v>0</v>
      </c>
      <c r="BO77" s="3199">
        <f t="shared" si="56"/>
        <v>0</v>
      </c>
      <c r="BP77" s="3199">
        <f t="shared" si="57"/>
        <v>0</v>
      </c>
      <c r="BQ77" s="3199">
        <f t="shared" si="58"/>
        <v>0</v>
      </c>
      <c r="BR77" s="3199">
        <f t="shared" si="59"/>
        <v>0</v>
      </c>
      <c r="BS77" s="3199">
        <f t="shared" si="60"/>
        <v>0</v>
      </c>
      <c r="BT77" s="3271">
        <f t="shared" si="61"/>
        <v>0</v>
      </c>
    </row>
    <row r="78" spans="1:72">
      <c r="A78" s="3197"/>
      <c r="B78" s="3198"/>
      <c r="C78" s="3198"/>
      <c r="D78" s="3193"/>
      <c r="E78" s="3199">
        <f t="shared" si="33"/>
        <v>0</v>
      </c>
      <c r="F78" s="3200"/>
      <c r="G78" s="3201">
        <f t="shared" si="34"/>
        <v>0</v>
      </c>
      <c r="H78" s="3202">
        <f t="shared" si="35"/>
        <v>0</v>
      </c>
      <c r="I78" s="3218"/>
      <c r="J78" s="3218"/>
      <c r="K78" s="3218"/>
      <c r="L78" s="3218"/>
      <c r="M78" s="3218"/>
      <c r="N78" s="3218"/>
      <c r="O78" s="3218"/>
      <c r="P78" s="3218"/>
      <c r="Q78" s="3218"/>
      <c r="R78" s="3218"/>
      <c r="S78" s="3218"/>
      <c r="T78" s="3218"/>
      <c r="U78" s="3218"/>
      <c r="V78" s="3218"/>
      <c r="W78" s="3218"/>
      <c r="X78" s="3218"/>
      <c r="Y78" s="3218"/>
      <c r="Z78" s="3218"/>
      <c r="AA78" s="3218"/>
      <c r="AB78" s="3218"/>
      <c r="AC78" s="3199">
        <f t="shared" si="36"/>
        <v>0</v>
      </c>
      <c r="AD78" s="3229"/>
      <c r="AE78" s="3229"/>
      <c r="AF78" s="3229"/>
      <c r="AG78" s="3229"/>
      <c r="AH78" s="3229"/>
      <c r="AI78" s="3229"/>
      <c r="AJ78" s="3229"/>
      <c r="AK78" s="3229"/>
      <c r="AL78" s="3229"/>
      <c r="AM78" s="3229"/>
      <c r="AN78" s="3229"/>
      <c r="AO78" s="3229"/>
      <c r="AP78" s="3229"/>
      <c r="AQ78" s="3229"/>
      <c r="AR78" s="3229"/>
      <c r="AS78" s="3229"/>
      <c r="AT78" s="3249"/>
      <c r="AU78" s="3250"/>
      <c r="AV78" s="475">
        <f t="shared" si="37"/>
        <v>0</v>
      </c>
      <c r="AW78" s="475">
        <f t="shared" si="38"/>
        <v>0</v>
      </c>
      <c r="AX78" s="475">
        <f t="shared" si="39"/>
        <v>0</v>
      </c>
      <c r="AY78" s="3266">
        <f t="shared" si="40"/>
        <v>0</v>
      </c>
      <c r="AZ78" s="3199">
        <f t="shared" si="41"/>
        <v>0</v>
      </c>
      <c r="BA78" s="3199">
        <f t="shared" si="42"/>
        <v>0</v>
      </c>
      <c r="BB78" s="3199">
        <f t="shared" si="43"/>
        <v>0</v>
      </c>
      <c r="BC78" s="3199">
        <f t="shared" si="44"/>
        <v>0</v>
      </c>
      <c r="BD78" s="3199">
        <f t="shared" si="45"/>
        <v>0</v>
      </c>
      <c r="BE78" s="3199">
        <f t="shared" si="46"/>
        <v>0</v>
      </c>
      <c r="BF78" s="3199">
        <f t="shared" si="47"/>
        <v>0</v>
      </c>
      <c r="BG78" s="3199">
        <f t="shared" si="48"/>
        <v>0</v>
      </c>
      <c r="BH78" s="3199">
        <f t="shared" si="49"/>
        <v>0</v>
      </c>
      <c r="BI78" s="3199">
        <f t="shared" si="50"/>
        <v>0</v>
      </c>
      <c r="BJ78" s="3199">
        <f t="shared" si="51"/>
        <v>0</v>
      </c>
      <c r="BK78" s="3199">
        <f t="shared" si="52"/>
        <v>0</v>
      </c>
      <c r="BL78" s="3199">
        <f t="shared" si="53"/>
        <v>0</v>
      </c>
      <c r="BM78" s="3199">
        <f t="shared" si="54"/>
        <v>0</v>
      </c>
      <c r="BN78" s="3199">
        <f t="shared" si="55"/>
        <v>0</v>
      </c>
      <c r="BO78" s="3199">
        <f t="shared" si="56"/>
        <v>0</v>
      </c>
      <c r="BP78" s="3199">
        <f t="shared" si="57"/>
        <v>0</v>
      </c>
      <c r="BQ78" s="3199">
        <f t="shared" si="58"/>
        <v>0</v>
      </c>
      <c r="BR78" s="3199">
        <f t="shared" si="59"/>
        <v>0</v>
      </c>
      <c r="BS78" s="3199">
        <f t="shared" si="60"/>
        <v>0</v>
      </c>
      <c r="BT78" s="3271">
        <f t="shared" si="61"/>
        <v>0</v>
      </c>
    </row>
    <row r="79" spans="1:72">
      <c r="A79" s="3197"/>
      <c r="B79" s="3198"/>
      <c r="C79" s="3198"/>
      <c r="D79" s="3193"/>
      <c r="E79" s="3199">
        <f t="shared" si="33"/>
        <v>0</v>
      </c>
      <c r="F79" s="3200"/>
      <c r="G79" s="3201">
        <f t="shared" si="34"/>
        <v>0</v>
      </c>
      <c r="H79" s="3202">
        <f t="shared" si="35"/>
        <v>0</v>
      </c>
      <c r="I79" s="3218"/>
      <c r="J79" s="3218"/>
      <c r="K79" s="3218"/>
      <c r="L79" s="3218"/>
      <c r="M79" s="3218"/>
      <c r="N79" s="3218"/>
      <c r="O79" s="3218"/>
      <c r="P79" s="3218"/>
      <c r="Q79" s="3218"/>
      <c r="R79" s="3218"/>
      <c r="S79" s="3218"/>
      <c r="T79" s="3218"/>
      <c r="U79" s="3218"/>
      <c r="V79" s="3218"/>
      <c r="W79" s="3218"/>
      <c r="X79" s="3218"/>
      <c r="Y79" s="3218"/>
      <c r="Z79" s="3218"/>
      <c r="AA79" s="3218"/>
      <c r="AB79" s="3218"/>
      <c r="AC79" s="3199">
        <f t="shared" si="36"/>
        <v>0</v>
      </c>
      <c r="AD79" s="3229"/>
      <c r="AE79" s="3229"/>
      <c r="AF79" s="3229"/>
      <c r="AG79" s="3229"/>
      <c r="AH79" s="3229"/>
      <c r="AI79" s="3229"/>
      <c r="AJ79" s="3229"/>
      <c r="AK79" s="3229"/>
      <c r="AL79" s="3229"/>
      <c r="AM79" s="3229"/>
      <c r="AN79" s="3229"/>
      <c r="AO79" s="3229"/>
      <c r="AP79" s="3229"/>
      <c r="AQ79" s="3229"/>
      <c r="AR79" s="3229"/>
      <c r="AS79" s="3229"/>
      <c r="AT79" s="3249"/>
      <c r="AU79" s="3250"/>
      <c r="AV79" s="475">
        <f t="shared" si="37"/>
        <v>0</v>
      </c>
      <c r="AW79" s="475">
        <f t="shared" si="38"/>
        <v>0</v>
      </c>
      <c r="AX79" s="475">
        <f t="shared" si="39"/>
        <v>0</v>
      </c>
      <c r="AY79" s="3266">
        <f t="shared" si="40"/>
        <v>0</v>
      </c>
      <c r="AZ79" s="3199">
        <f t="shared" si="41"/>
        <v>0</v>
      </c>
      <c r="BA79" s="3199">
        <f t="shared" si="42"/>
        <v>0</v>
      </c>
      <c r="BB79" s="3199">
        <f t="shared" si="43"/>
        <v>0</v>
      </c>
      <c r="BC79" s="3199">
        <f t="shared" si="44"/>
        <v>0</v>
      </c>
      <c r="BD79" s="3199">
        <f t="shared" si="45"/>
        <v>0</v>
      </c>
      <c r="BE79" s="3199">
        <f t="shared" si="46"/>
        <v>0</v>
      </c>
      <c r="BF79" s="3199">
        <f t="shared" si="47"/>
        <v>0</v>
      </c>
      <c r="BG79" s="3199">
        <f t="shared" si="48"/>
        <v>0</v>
      </c>
      <c r="BH79" s="3199">
        <f t="shared" si="49"/>
        <v>0</v>
      </c>
      <c r="BI79" s="3199">
        <f t="shared" si="50"/>
        <v>0</v>
      </c>
      <c r="BJ79" s="3199">
        <f t="shared" si="51"/>
        <v>0</v>
      </c>
      <c r="BK79" s="3199">
        <f t="shared" si="52"/>
        <v>0</v>
      </c>
      <c r="BL79" s="3199">
        <f t="shared" si="53"/>
        <v>0</v>
      </c>
      <c r="BM79" s="3199">
        <f t="shared" si="54"/>
        <v>0</v>
      </c>
      <c r="BN79" s="3199">
        <f t="shared" si="55"/>
        <v>0</v>
      </c>
      <c r="BO79" s="3199">
        <f t="shared" si="56"/>
        <v>0</v>
      </c>
      <c r="BP79" s="3199">
        <f t="shared" si="57"/>
        <v>0</v>
      </c>
      <c r="BQ79" s="3199">
        <f t="shared" si="58"/>
        <v>0</v>
      </c>
      <c r="BR79" s="3199">
        <f t="shared" si="59"/>
        <v>0</v>
      </c>
      <c r="BS79" s="3199">
        <f t="shared" si="60"/>
        <v>0</v>
      </c>
      <c r="BT79" s="3271">
        <f t="shared" si="61"/>
        <v>0</v>
      </c>
    </row>
    <row r="80" spans="1:72">
      <c r="A80" s="3197"/>
      <c r="B80" s="3198"/>
      <c r="C80" s="3198"/>
      <c r="D80" s="3193"/>
      <c r="E80" s="3199">
        <f t="shared" si="33"/>
        <v>0</v>
      </c>
      <c r="F80" s="3200"/>
      <c r="G80" s="3201">
        <f t="shared" si="34"/>
        <v>0</v>
      </c>
      <c r="H80" s="3202">
        <f t="shared" si="35"/>
        <v>0</v>
      </c>
      <c r="I80" s="3218"/>
      <c r="J80" s="3218"/>
      <c r="K80" s="3218"/>
      <c r="L80" s="3218"/>
      <c r="M80" s="3218"/>
      <c r="N80" s="3218"/>
      <c r="O80" s="3218"/>
      <c r="P80" s="3218"/>
      <c r="Q80" s="3218"/>
      <c r="R80" s="3218"/>
      <c r="S80" s="3218"/>
      <c r="T80" s="3218"/>
      <c r="U80" s="3218"/>
      <c r="V80" s="3218"/>
      <c r="W80" s="3218"/>
      <c r="X80" s="3218"/>
      <c r="Y80" s="3218"/>
      <c r="Z80" s="3218"/>
      <c r="AA80" s="3218"/>
      <c r="AB80" s="3218"/>
      <c r="AC80" s="3199">
        <f t="shared" si="36"/>
        <v>0</v>
      </c>
      <c r="AD80" s="3229"/>
      <c r="AE80" s="3229"/>
      <c r="AF80" s="3229"/>
      <c r="AG80" s="3229"/>
      <c r="AH80" s="3229"/>
      <c r="AI80" s="3229"/>
      <c r="AJ80" s="3229"/>
      <c r="AK80" s="3229"/>
      <c r="AL80" s="3229"/>
      <c r="AM80" s="3229"/>
      <c r="AN80" s="3229"/>
      <c r="AO80" s="3229"/>
      <c r="AP80" s="3229"/>
      <c r="AQ80" s="3229"/>
      <c r="AR80" s="3229"/>
      <c r="AS80" s="3229"/>
      <c r="AT80" s="3249"/>
      <c r="AU80" s="3250"/>
      <c r="AV80" s="475">
        <f t="shared" si="37"/>
        <v>0</v>
      </c>
      <c r="AW80" s="475">
        <f t="shared" si="38"/>
        <v>0</v>
      </c>
      <c r="AX80" s="475">
        <f t="shared" si="39"/>
        <v>0</v>
      </c>
      <c r="AY80" s="3266">
        <f t="shared" si="40"/>
        <v>0</v>
      </c>
      <c r="AZ80" s="3199">
        <f t="shared" si="41"/>
        <v>0</v>
      </c>
      <c r="BA80" s="3199">
        <f t="shared" si="42"/>
        <v>0</v>
      </c>
      <c r="BB80" s="3199">
        <f t="shared" si="43"/>
        <v>0</v>
      </c>
      <c r="BC80" s="3199">
        <f t="shared" si="44"/>
        <v>0</v>
      </c>
      <c r="BD80" s="3199">
        <f t="shared" si="45"/>
        <v>0</v>
      </c>
      <c r="BE80" s="3199">
        <f t="shared" si="46"/>
        <v>0</v>
      </c>
      <c r="BF80" s="3199">
        <f t="shared" si="47"/>
        <v>0</v>
      </c>
      <c r="BG80" s="3199">
        <f t="shared" si="48"/>
        <v>0</v>
      </c>
      <c r="BH80" s="3199">
        <f t="shared" si="49"/>
        <v>0</v>
      </c>
      <c r="BI80" s="3199">
        <f t="shared" si="50"/>
        <v>0</v>
      </c>
      <c r="BJ80" s="3199">
        <f t="shared" si="51"/>
        <v>0</v>
      </c>
      <c r="BK80" s="3199">
        <f t="shared" si="52"/>
        <v>0</v>
      </c>
      <c r="BL80" s="3199">
        <f t="shared" si="53"/>
        <v>0</v>
      </c>
      <c r="BM80" s="3199">
        <f t="shared" si="54"/>
        <v>0</v>
      </c>
      <c r="BN80" s="3199">
        <f t="shared" si="55"/>
        <v>0</v>
      </c>
      <c r="BO80" s="3199">
        <f t="shared" si="56"/>
        <v>0</v>
      </c>
      <c r="BP80" s="3199">
        <f t="shared" si="57"/>
        <v>0</v>
      </c>
      <c r="BQ80" s="3199">
        <f t="shared" si="58"/>
        <v>0</v>
      </c>
      <c r="BR80" s="3199">
        <f t="shared" si="59"/>
        <v>0</v>
      </c>
      <c r="BS80" s="3199">
        <f t="shared" si="60"/>
        <v>0</v>
      </c>
      <c r="BT80" s="3271">
        <f t="shared" si="61"/>
        <v>0</v>
      </c>
    </row>
    <row r="81" spans="1:72">
      <c r="A81" s="3197"/>
      <c r="B81" s="3198"/>
      <c r="C81" s="3198"/>
      <c r="D81" s="3193"/>
      <c r="E81" s="3199">
        <f t="shared" si="33"/>
        <v>0</v>
      </c>
      <c r="F81" s="3200"/>
      <c r="G81" s="3201">
        <f t="shared" si="34"/>
        <v>0</v>
      </c>
      <c r="H81" s="3202">
        <f t="shared" si="35"/>
        <v>0</v>
      </c>
      <c r="I81" s="3218"/>
      <c r="J81" s="3218"/>
      <c r="K81" s="3218"/>
      <c r="L81" s="3218"/>
      <c r="M81" s="3218"/>
      <c r="N81" s="3218"/>
      <c r="O81" s="3218"/>
      <c r="P81" s="3218"/>
      <c r="Q81" s="3218"/>
      <c r="R81" s="3218"/>
      <c r="S81" s="3218"/>
      <c r="T81" s="3218"/>
      <c r="U81" s="3218"/>
      <c r="V81" s="3218"/>
      <c r="W81" s="3218"/>
      <c r="X81" s="3218"/>
      <c r="Y81" s="3218"/>
      <c r="Z81" s="3218"/>
      <c r="AA81" s="3218"/>
      <c r="AB81" s="3218"/>
      <c r="AC81" s="3199">
        <f t="shared" si="36"/>
        <v>0</v>
      </c>
      <c r="AD81" s="3229"/>
      <c r="AE81" s="3229"/>
      <c r="AF81" s="3229"/>
      <c r="AG81" s="3229"/>
      <c r="AH81" s="3229"/>
      <c r="AI81" s="3229"/>
      <c r="AJ81" s="3229"/>
      <c r="AK81" s="3229"/>
      <c r="AL81" s="3229"/>
      <c r="AM81" s="3229"/>
      <c r="AN81" s="3229"/>
      <c r="AO81" s="3229"/>
      <c r="AP81" s="3229"/>
      <c r="AQ81" s="3229"/>
      <c r="AR81" s="3229"/>
      <c r="AS81" s="3229"/>
      <c r="AT81" s="3249"/>
      <c r="AU81" s="3250"/>
      <c r="AV81" s="475">
        <f t="shared" si="37"/>
        <v>0</v>
      </c>
      <c r="AW81" s="475">
        <f t="shared" si="38"/>
        <v>0</v>
      </c>
      <c r="AX81" s="475">
        <f t="shared" si="39"/>
        <v>0</v>
      </c>
      <c r="AY81" s="3266">
        <f t="shared" si="40"/>
        <v>0</v>
      </c>
      <c r="AZ81" s="3199">
        <f t="shared" si="41"/>
        <v>0</v>
      </c>
      <c r="BA81" s="3199">
        <f t="shared" si="42"/>
        <v>0</v>
      </c>
      <c r="BB81" s="3199">
        <f t="shared" si="43"/>
        <v>0</v>
      </c>
      <c r="BC81" s="3199">
        <f t="shared" si="44"/>
        <v>0</v>
      </c>
      <c r="BD81" s="3199">
        <f t="shared" si="45"/>
        <v>0</v>
      </c>
      <c r="BE81" s="3199">
        <f t="shared" si="46"/>
        <v>0</v>
      </c>
      <c r="BF81" s="3199">
        <f t="shared" si="47"/>
        <v>0</v>
      </c>
      <c r="BG81" s="3199">
        <f t="shared" si="48"/>
        <v>0</v>
      </c>
      <c r="BH81" s="3199">
        <f t="shared" si="49"/>
        <v>0</v>
      </c>
      <c r="BI81" s="3199">
        <f t="shared" si="50"/>
        <v>0</v>
      </c>
      <c r="BJ81" s="3199">
        <f t="shared" si="51"/>
        <v>0</v>
      </c>
      <c r="BK81" s="3199">
        <f t="shared" si="52"/>
        <v>0</v>
      </c>
      <c r="BL81" s="3199">
        <f t="shared" si="53"/>
        <v>0</v>
      </c>
      <c r="BM81" s="3199">
        <f t="shared" si="54"/>
        <v>0</v>
      </c>
      <c r="BN81" s="3199">
        <f t="shared" si="55"/>
        <v>0</v>
      </c>
      <c r="BO81" s="3199">
        <f t="shared" si="56"/>
        <v>0</v>
      </c>
      <c r="BP81" s="3199">
        <f t="shared" si="57"/>
        <v>0</v>
      </c>
      <c r="BQ81" s="3199">
        <f t="shared" si="58"/>
        <v>0</v>
      </c>
      <c r="BR81" s="3199">
        <f t="shared" si="59"/>
        <v>0</v>
      </c>
      <c r="BS81" s="3199">
        <f t="shared" si="60"/>
        <v>0</v>
      </c>
      <c r="BT81" s="3271">
        <f t="shared" si="61"/>
        <v>0</v>
      </c>
    </row>
    <row r="82" spans="1:72">
      <c r="A82" s="3197"/>
      <c r="B82" s="3198"/>
      <c r="C82" s="3198"/>
      <c r="D82" s="3193"/>
      <c r="E82" s="3199">
        <f t="shared" si="33"/>
        <v>0</v>
      </c>
      <c r="F82" s="3200"/>
      <c r="G82" s="3201">
        <f t="shared" si="34"/>
        <v>0</v>
      </c>
      <c r="H82" s="3202">
        <f t="shared" si="35"/>
        <v>0</v>
      </c>
      <c r="I82" s="3218"/>
      <c r="J82" s="3218"/>
      <c r="K82" s="3218"/>
      <c r="L82" s="3218"/>
      <c r="M82" s="3218"/>
      <c r="N82" s="3218"/>
      <c r="O82" s="3218"/>
      <c r="P82" s="3218"/>
      <c r="Q82" s="3218"/>
      <c r="R82" s="3218"/>
      <c r="S82" s="3218"/>
      <c r="T82" s="3218"/>
      <c r="U82" s="3218"/>
      <c r="V82" s="3218"/>
      <c r="W82" s="3218"/>
      <c r="X82" s="3218"/>
      <c r="Y82" s="3218"/>
      <c r="Z82" s="3218"/>
      <c r="AA82" s="3218"/>
      <c r="AB82" s="3218"/>
      <c r="AC82" s="3199">
        <f t="shared" si="36"/>
        <v>0</v>
      </c>
      <c r="AD82" s="3229"/>
      <c r="AE82" s="3229"/>
      <c r="AF82" s="3229"/>
      <c r="AG82" s="3229"/>
      <c r="AH82" s="3229"/>
      <c r="AI82" s="3229"/>
      <c r="AJ82" s="3229"/>
      <c r="AK82" s="3229"/>
      <c r="AL82" s="3229"/>
      <c r="AM82" s="3229"/>
      <c r="AN82" s="3229"/>
      <c r="AO82" s="3229"/>
      <c r="AP82" s="3229"/>
      <c r="AQ82" s="3229"/>
      <c r="AR82" s="3229"/>
      <c r="AS82" s="3229"/>
      <c r="AT82" s="3249"/>
      <c r="AU82" s="3250"/>
      <c r="AV82" s="475">
        <f t="shared" si="37"/>
        <v>0</v>
      </c>
      <c r="AW82" s="475">
        <f t="shared" si="38"/>
        <v>0</v>
      </c>
      <c r="AX82" s="475">
        <f t="shared" si="39"/>
        <v>0</v>
      </c>
      <c r="AY82" s="3266">
        <f t="shared" si="40"/>
        <v>0</v>
      </c>
      <c r="AZ82" s="3199">
        <f t="shared" si="41"/>
        <v>0</v>
      </c>
      <c r="BA82" s="3199">
        <f t="shared" si="42"/>
        <v>0</v>
      </c>
      <c r="BB82" s="3199">
        <f t="shared" si="43"/>
        <v>0</v>
      </c>
      <c r="BC82" s="3199">
        <f t="shared" si="44"/>
        <v>0</v>
      </c>
      <c r="BD82" s="3199">
        <f t="shared" si="45"/>
        <v>0</v>
      </c>
      <c r="BE82" s="3199">
        <f t="shared" si="46"/>
        <v>0</v>
      </c>
      <c r="BF82" s="3199">
        <f t="shared" si="47"/>
        <v>0</v>
      </c>
      <c r="BG82" s="3199">
        <f t="shared" si="48"/>
        <v>0</v>
      </c>
      <c r="BH82" s="3199">
        <f t="shared" si="49"/>
        <v>0</v>
      </c>
      <c r="BI82" s="3199">
        <f t="shared" si="50"/>
        <v>0</v>
      </c>
      <c r="BJ82" s="3199">
        <f t="shared" si="51"/>
        <v>0</v>
      </c>
      <c r="BK82" s="3199">
        <f t="shared" si="52"/>
        <v>0</v>
      </c>
      <c r="BL82" s="3199">
        <f t="shared" si="53"/>
        <v>0</v>
      </c>
      <c r="BM82" s="3199">
        <f t="shared" si="54"/>
        <v>0</v>
      </c>
      <c r="BN82" s="3199">
        <f t="shared" si="55"/>
        <v>0</v>
      </c>
      <c r="BO82" s="3199">
        <f t="shared" si="56"/>
        <v>0</v>
      </c>
      <c r="BP82" s="3199">
        <f t="shared" si="57"/>
        <v>0</v>
      </c>
      <c r="BQ82" s="3199">
        <f t="shared" si="58"/>
        <v>0</v>
      </c>
      <c r="BR82" s="3199">
        <f t="shared" si="59"/>
        <v>0</v>
      </c>
      <c r="BS82" s="3199">
        <f t="shared" si="60"/>
        <v>0</v>
      </c>
      <c r="BT82" s="3271">
        <f t="shared" si="61"/>
        <v>0</v>
      </c>
    </row>
    <row r="83" spans="1:72">
      <c r="A83" s="3197"/>
      <c r="B83" s="3198"/>
      <c r="C83" s="3198"/>
      <c r="D83" s="3193"/>
      <c r="E83" s="3199">
        <f t="shared" si="33"/>
        <v>0</v>
      </c>
      <c r="F83" s="3200"/>
      <c r="G83" s="3201">
        <f t="shared" si="34"/>
        <v>0</v>
      </c>
      <c r="H83" s="3202">
        <f t="shared" si="35"/>
        <v>0</v>
      </c>
      <c r="I83" s="3218"/>
      <c r="J83" s="3218"/>
      <c r="K83" s="3218"/>
      <c r="L83" s="3218"/>
      <c r="M83" s="3218"/>
      <c r="N83" s="3218"/>
      <c r="O83" s="3218"/>
      <c r="P83" s="3218"/>
      <c r="Q83" s="3218"/>
      <c r="R83" s="3218"/>
      <c r="S83" s="3218"/>
      <c r="T83" s="3218"/>
      <c r="U83" s="3218"/>
      <c r="V83" s="3218"/>
      <c r="W83" s="3218"/>
      <c r="X83" s="3218"/>
      <c r="Y83" s="3218"/>
      <c r="Z83" s="3218"/>
      <c r="AA83" s="3218"/>
      <c r="AB83" s="3218"/>
      <c r="AC83" s="3199">
        <f t="shared" si="36"/>
        <v>0</v>
      </c>
      <c r="AD83" s="3229"/>
      <c r="AE83" s="3229"/>
      <c r="AF83" s="3229"/>
      <c r="AG83" s="3229"/>
      <c r="AH83" s="3229"/>
      <c r="AI83" s="3229"/>
      <c r="AJ83" s="3229"/>
      <c r="AK83" s="3229"/>
      <c r="AL83" s="3229"/>
      <c r="AM83" s="3229"/>
      <c r="AN83" s="3229"/>
      <c r="AO83" s="3229"/>
      <c r="AP83" s="3229"/>
      <c r="AQ83" s="3229"/>
      <c r="AR83" s="3229"/>
      <c r="AS83" s="3229"/>
      <c r="AT83" s="3249"/>
      <c r="AU83" s="3250"/>
      <c r="AV83" s="475">
        <f t="shared" si="37"/>
        <v>0</v>
      </c>
      <c r="AW83" s="475">
        <f t="shared" si="38"/>
        <v>0</v>
      </c>
      <c r="AX83" s="475">
        <f t="shared" si="39"/>
        <v>0</v>
      </c>
      <c r="AY83" s="3266">
        <f t="shared" si="40"/>
        <v>0</v>
      </c>
      <c r="AZ83" s="3199">
        <f t="shared" si="41"/>
        <v>0</v>
      </c>
      <c r="BA83" s="3199">
        <f t="shared" si="42"/>
        <v>0</v>
      </c>
      <c r="BB83" s="3199">
        <f t="shared" si="43"/>
        <v>0</v>
      </c>
      <c r="BC83" s="3199">
        <f t="shared" si="44"/>
        <v>0</v>
      </c>
      <c r="BD83" s="3199">
        <f t="shared" si="45"/>
        <v>0</v>
      </c>
      <c r="BE83" s="3199">
        <f t="shared" si="46"/>
        <v>0</v>
      </c>
      <c r="BF83" s="3199">
        <f t="shared" si="47"/>
        <v>0</v>
      </c>
      <c r="BG83" s="3199">
        <f t="shared" si="48"/>
        <v>0</v>
      </c>
      <c r="BH83" s="3199">
        <f t="shared" si="49"/>
        <v>0</v>
      </c>
      <c r="BI83" s="3199">
        <f t="shared" si="50"/>
        <v>0</v>
      </c>
      <c r="BJ83" s="3199">
        <f t="shared" si="51"/>
        <v>0</v>
      </c>
      <c r="BK83" s="3199">
        <f t="shared" si="52"/>
        <v>0</v>
      </c>
      <c r="BL83" s="3199">
        <f t="shared" si="53"/>
        <v>0</v>
      </c>
      <c r="BM83" s="3199">
        <f t="shared" si="54"/>
        <v>0</v>
      </c>
      <c r="BN83" s="3199">
        <f t="shared" si="55"/>
        <v>0</v>
      </c>
      <c r="BO83" s="3199">
        <f t="shared" si="56"/>
        <v>0</v>
      </c>
      <c r="BP83" s="3199">
        <f t="shared" si="57"/>
        <v>0</v>
      </c>
      <c r="BQ83" s="3199">
        <f t="shared" si="58"/>
        <v>0</v>
      </c>
      <c r="BR83" s="3199">
        <f t="shared" si="59"/>
        <v>0</v>
      </c>
      <c r="BS83" s="3199">
        <f t="shared" si="60"/>
        <v>0</v>
      </c>
      <c r="BT83" s="3271">
        <f t="shared" si="61"/>
        <v>0</v>
      </c>
    </row>
    <row r="84" spans="1:72">
      <c r="A84" s="3197"/>
      <c r="B84" s="3198"/>
      <c r="C84" s="3198"/>
      <c r="D84" s="3193"/>
      <c r="E84" s="3199">
        <f t="shared" si="33"/>
        <v>0</v>
      </c>
      <c r="F84" s="3200"/>
      <c r="G84" s="3201">
        <f t="shared" si="34"/>
        <v>0</v>
      </c>
      <c r="H84" s="3202">
        <f t="shared" si="35"/>
        <v>0</v>
      </c>
      <c r="I84" s="3218"/>
      <c r="J84" s="3218"/>
      <c r="K84" s="3218"/>
      <c r="L84" s="3218"/>
      <c r="M84" s="3218"/>
      <c r="N84" s="3218"/>
      <c r="O84" s="3218"/>
      <c r="P84" s="3218"/>
      <c r="Q84" s="3218"/>
      <c r="R84" s="3218"/>
      <c r="S84" s="3218"/>
      <c r="T84" s="3218"/>
      <c r="U84" s="3218"/>
      <c r="V84" s="3218"/>
      <c r="W84" s="3218"/>
      <c r="X84" s="3218"/>
      <c r="Y84" s="3218"/>
      <c r="Z84" s="3218"/>
      <c r="AA84" s="3218"/>
      <c r="AB84" s="3218"/>
      <c r="AC84" s="3199">
        <f t="shared" si="36"/>
        <v>0</v>
      </c>
      <c r="AD84" s="3229"/>
      <c r="AE84" s="3229"/>
      <c r="AF84" s="3229"/>
      <c r="AG84" s="3229"/>
      <c r="AH84" s="3229"/>
      <c r="AI84" s="3229"/>
      <c r="AJ84" s="3229"/>
      <c r="AK84" s="3229"/>
      <c r="AL84" s="3229"/>
      <c r="AM84" s="3229"/>
      <c r="AN84" s="3229"/>
      <c r="AO84" s="3229"/>
      <c r="AP84" s="3229"/>
      <c r="AQ84" s="3229"/>
      <c r="AR84" s="3229"/>
      <c r="AS84" s="3229"/>
      <c r="AT84" s="3249"/>
      <c r="AU84" s="3250"/>
      <c r="AV84" s="475">
        <f t="shared" si="37"/>
        <v>0</v>
      </c>
      <c r="AW84" s="475">
        <f t="shared" si="38"/>
        <v>0</v>
      </c>
      <c r="AX84" s="475">
        <f t="shared" si="39"/>
        <v>0</v>
      </c>
      <c r="AY84" s="3266">
        <f t="shared" si="40"/>
        <v>0</v>
      </c>
      <c r="AZ84" s="3199">
        <f t="shared" si="41"/>
        <v>0</v>
      </c>
      <c r="BA84" s="3199">
        <f t="shared" si="42"/>
        <v>0</v>
      </c>
      <c r="BB84" s="3199">
        <f t="shared" si="43"/>
        <v>0</v>
      </c>
      <c r="BC84" s="3199">
        <f t="shared" si="44"/>
        <v>0</v>
      </c>
      <c r="BD84" s="3199">
        <f t="shared" si="45"/>
        <v>0</v>
      </c>
      <c r="BE84" s="3199">
        <f t="shared" si="46"/>
        <v>0</v>
      </c>
      <c r="BF84" s="3199">
        <f t="shared" si="47"/>
        <v>0</v>
      </c>
      <c r="BG84" s="3199">
        <f t="shared" si="48"/>
        <v>0</v>
      </c>
      <c r="BH84" s="3199">
        <f t="shared" si="49"/>
        <v>0</v>
      </c>
      <c r="BI84" s="3199">
        <f t="shared" si="50"/>
        <v>0</v>
      </c>
      <c r="BJ84" s="3199">
        <f t="shared" si="51"/>
        <v>0</v>
      </c>
      <c r="BK84" s="3199">
        <f t="shared" si="52"/>
        <v>0</v>
      </c>
      <c r="BL84" s="3199">
        <f t="shared" si="53"/>
        <v>0</v>
      </c>
      <c r="BM84" s="3199">
        <f t="shared" si="54"/>
        <v>0</v>
      </c>
      <c r="BN84" s="3199">
        <f t="shared" si="55"/>
        <v>0</v>
      </c>
      <c r="BO84" s="3199">
        <f t="shared" si="56"/>
        <v>0</v>
      </c>
      <c r="BP84" s="3199">
        <f t="shared" si="57"/>
        <v>0</v>
      </c>
      <c r="BQ84" s="3199">
        <f t="shared" si="58"/>
        <v>0</v>
      </c>
      <c r="BR84" s="3199">
        <f t="shared" si="59"/>
        <v>0</v>
      </c>
      <c r="BS84" s="3199">
        <f t="shared" si="60"/>
        <v>0</v>
      </c>
      <c r="BT84" s="3271">
        <f t="shared" si="61"/>
        <v>0</v>
      </c>
    </row>
    <row r="85" spans="1:72">
      <c r="A85" s="3197"/>
      <c r="B85" s="3198"/>
      <c r="C85" s="3198"/>
      <c r="D85" s="3193"/>
      <c r="E85" s="3199">
        <f t="shared" si="33"/>
        <v>0</v>
      </c>
      <c r="F85" s="3200"/>
      <c r="G85" s="3201">
        <f t="shared" si="34"/>
        <v>0</v>
      </c>
      <c r="H85" s="3202">
        <f t="shared" si="35"/>
        <v>0</v>
      </c>
      <c r="I85" s="3218"/>
      <c r="J85" s="3218"/>
      <c r="K85" s="3218"/>
      <c r="L85" s="3218"/>
      <c r="M85" s="3218"/>
      <c r="N85" s="3218"/>
      <c r="O85" s="3218"/>
      <c r="P85" s="3218"/>
      <c r="Q85" s="3218"/>
      <c r="R85" s="3218"/>
      <c r="S85" s="3218"/>
      <c r="T85" s="3218"/>
      <c r="U85" s="3218"/>
      <c r="V85" s="3218"/>
      <c r="W85" s="3218"/>
      <c r="X85" s="3218"/>
      <c r="Y85" s="3218"/>
      <c r="Z85" s="3218"/>
      <c r="AA85" s="3218"/>
      <c r="AB85" s="3218"/>
      <c r="AC85" s="3199">
        <f t="shared" si="36"/>
        <v>0</v>
      </c>
      <c r="AD85" s="3229"/>
      <c r="AE85" s="3229"/>
      <c r="AF85" s="3229"/>
      <c r="AG85" s="3229"/>
      <c r="AH85" s="3229"/>
      <c r="AI85" s="3229"/>
      <c r="AJ85" s="3229"/>
      <c r="AK85" s="3229"/>
      <c r="AL85" s="3229"/>
      <c r="AM85" s="3229"/>
      <c r="AN85" s="3229"/>
      <c r="AO85" s="3229"/>
      <c r="AP85" s="3229"/>
      <c r="AQ85" s="3229"/>
      <c r="AR85" s="3229"/>
      <c r="AS85" s="3229"/>
      <c r="AT85" s="3249"/>
      <c r="AU85" s="3250"/>
      <c r="AV85" s="475">
        <f t="shared" si="37"/>
        <v>0</v>
      </c>
      <c r="AW85" s="475">
        <f t="shared" si="38"/>
        <v>0</v>
      </c>
      <c r="AX85" s="475">
        <f t="shared" si="39"/>
        <v>0</v>
      </c>
      <c r="AY85" s="3266">
        <f t="shared" si="40"/>
        <v>0</v>
      </c>
      <c r="AZ85" s="3199">
        <f t="shared" si="41"/>
        <v>0</v>
      </c>
      <c r="BA85" s="3199">
        <f t="shared" si="42"/>
        <v>0</v>
      </c>
      <c r="BB85" s="3199">
        <f t="shared" si="43"/>
        <v>0</v>
      </c>
      <c r="BC85" s="3199">
        <f t="shared" si="44"/>
        <v>0</v>
      </c>
      <c r="BD85" s="3199">
        <f t="shared" si="45"/>
        <v>0</v>
      </c>
      <c r="BE85" s="3199">
        <f t="shared" si="46"/>
        <v>0</v>
      </c>
      <c r="BF85" s="3199">
        <f t="shared" si="47"/>
        <v>0</v>
      </c>
      <c r="BG85" s="3199">
        <f t="shared" si="48"/>
        <v>0</v>
      </c>
      <c r="BH85" s="3199">
        <f t="shared" si="49"/>
        <v>0</v>
      </c>
      <c r="BI85" s="3199">
        <f t="shared" si="50"/>
        <v>0</v>
      </c>
      <c r="BJ85" s="3199">
        <f t="shared" si="51"/>
        <v>0</v>
      </c>
      <c r="BK85" s="3199">
        <f t="shared" si="52"/>
        <v>0</v>
      </c>
      <c r="BL85" s="3199">
        <f t="shared" si="53"/>
        <v>0</v>
      </c>
      <c r="BM85" s="3199">
        <f t="shared" si="54"/>
        <v>0</v>
      </c>
      <c r="BN85" s="3199">
        <f t="shared" si="55"/>
        <v>0</v>
      </c>
      <c r="BO85" s="3199">
        <f t="shared" si="56"/>
        <v>0</v>
      </c>
      <c r="BP85" s="3199">
        <f t="shared" si="57"/>
        <v>0</v>
      </c>
      <c r="BQ85" s="3199">
        <f t="shared" si="58"/>
        <v>0</v>
      </c>
      <c r="BR85" s="3199">
        <f t="shared" si="59"/>
        <v>0</v>
      </c>
      <c r="BS85" s="3199">
        <f t="shared" si="60"/>
        <v>0</v>
      </c>
      <c r="BT85" s="3271">
        <f t="shared" si="61"/>
        <v>0</v>
      </c>
    </row>
    <row r="86" spans="1:72">
      <c r="A86" s="3197"/>
      <c r="B86" s="3198"/>
      <c r="C86" s="3198"/>
      <c r="D86" s="3193"/>
      <c r="E86" s="3199">
        <f t="shared" si="33"/>
        <v>0</v>
      </c>
      <c r="F86" s="3200"/>
      <c r="G86" s="3201">
        <f t="shared" si="34"/>
        <v>0</v>
      </c>
      <c r="H86" s="3202">
        <f t="shared" si="35"/>
        <v>0</v>
      </c>
      <c r="I86" s="3218"/>
      <c r="J86" s="3218"/>
      <c r="K86" s="3218"/>
      <c r="L86" s="3218"/>
      <c r="M86" s="3218"/>
      <c r="N86" s="3218"/>
      <c r="O86" s="3218"/>
      <c r="P86" s="3218"/>
      <c r="Q86" s="3218"/>
      <c r="R86" s="3218"/>
      <c r="S86" s="3218"/>
      <c r="T86" s="3218"/>
      <c r="U86" s="3218"/>
      <c r="V86" s="3218"/>
      <c r="W86" s="3218"/>
      <c r="X86" s="3218"/>
      <c r="Y86" s="3218"/>
      <c r="Z86" s="3218"/>
      <c r="AA86" s="3218"/>
      <c r="AB86" s="3218"/>
      <c r="AC86" s="3199">
        <f t="shared" si="36"/>
        <v>0</v>
      </c>
      <c r="AD86" s="3229"/>
      <c r="AE86" s="3229"/>
      <c r="AF86" s="3229"/>
      <c r="AG86" s="3229"/>
      <c r="AH86" s="3229"/>
      <c r="AI86" s="3229"/>
      <c r="AJ86" s="3229"/>
      <c r="AK86" s="3229"/>
      <c r="AL86" s="3229"/>
      <c r="AM86" s="3229"/>
      <c r="AN86" s="3229"/>
      <c r="AO86" s="3229"/>
      <c r="AP86" s="3229"/>
      <c r="AQ86" s="3229"/>
      <c r="AR86" s="3229"/>
      <c r="AS86" s="3229"/>
      <c r="AT86" s="3249"/>
      <c r="AU86" s="3250"/>
      <c r="AV86" s="475">
        <f t="shared" si="37"/>
        <v>0</v>
      </c>
      <c r="AW86" s="475">
        <f t="shared" si="38"/>
        <v>0</v>
      </c>
      <c r="AX86" s="475">
        <f t="shared" si="39"/>
        <v>0</v>
      </c>
      <c r="AY86" s="3266">
        <f t="shared" si="40"/>
        <v>0</v>
      </c>
      <c r="AZ86" s="3199">
        <f t="shared" si="41"/>
        <v>0</v>
      </c>
      <c r="BA86" s="3199">
        <f t="shared" si="42"/>
        <v>0</v>
      </c>
      <c r="BB86" s="3199">
        <f t="shared" si="43"/>
        <v>0</v>
      </c>
      <c r="BC86" s="3199">
        <f t="shared" si="44"/>
        <v>0</v>
      </c>
      <c r="BD86" s="3199">
        <f t="shared" si="45"/>
        <v>0</v>
      </c>
      <c r="BE86" s="3199">
        <f t="shared" si="46"/>
        <v>0</v>
      </c>
      <c r="BF86" s="3199">
        <f t="shared" si="47"/>
        <v>0</v>
      </c>
      <c r="BG86" s="3199">
        <f t="shared" si="48"/>
        <v>0</v>
      </c>
      <c r="BH86" s="3199">
        <f t="shared" si="49"/>
        <v>0</v>
      </c>
      <c r="BI86" s="3199">
        <f t="shared" si="50"/>
        <v>0</v>
      </c>
      <c r="BJ86" s="3199">
        <f t="shared" si="51"/>
        <v>0</v>
      </c>
      <c r="BK86" s="3199">
        <f t="shared" si="52"/>
        <v>0</v>
      </c>
      <c r="BL86" s="3199">
        <f t="shared" si="53"/>
        <v>0</v>
      </c>
      <c r="BM86" s="3199">
        <f t="shared" si="54"/>
        <v>0</v>
      </c>
      <c r="BN86" s="3199">
        <f t="shared" si="55"/>
        <v>0</v>
      </c>
      <c r="BO86" s="3199">
        <f t="shared" si="56"/>
        <v>0</v>
      </c>
      <c r="BP86" s="3199">
        <f t="shared" si="57"/>
        <v>0</v>
      </c>
      <c r="BQ86" s="3199">
        <f t="shared" si="58"/>
        <v>0</v>
      </c>
      <c r="BR86" s="3199">
        <f t="shared" si="59"/>
        <v>0</v>
      </c>
      <c r="BS86" s="3199">
        <f t="shared" si="60"/>
        <v>0</v>
      </c>
      <c r="BT86" s="3271">
        <f t="shared" si="61"/>
        <v>0</v>
      </c>
    </row>
    <row r="87" spans="1:72">
      <c r="A87" s="3197"/>
      <c r="B87" s="3198"/>
      <c r="C87" s="3198"/>
      <c r="D87" s="3193"/>
      <c r="E87" s="3199">
        <f t="shared" si="33"/>
        <v>0</v>
      </c>
      <c r="F87" s="3200"/>
      <c r="G87" s="3201">
        <f t="shared" si="34"/>
        <v>0</v>
      </c>
      <c r="H87" s="3202">
        <f t="shared" si="35"/>
        <v>0</v>
      </c>
      <c r="I87" s="3218"/>
      <c r="J87" s="3218"/>
      <c r="K87" s="3218"/>
      <c r="L87" s="3218"/>
      <c r="M87" s="3218"/>
      <c r="N87" s="3218"/>
      <c r="O87" s="3218"/>
      <c r="P87" s="3218"/>
      <c r="Q87" s="3218"/>
      <c r="R87" s="3218"/>
      <c r="S87" s="3218"/>
      <c r="T87" s="3218"/>
      <c r="U87" s="3218"/>
      <c r="V87" s="3218"/>
      <c r="W87" s="3218"/>
      <c r="X87" s="3218"/>
      <c r="Y87" s="3218"/>
      <c r="Z87" s="3218"/>
      <c r="AA87" s="3218"/>
      <c r="AB87" s="3218"/>
      <c r="AC87" s="3199">
        <f t="shared" si="36"/>
        <v>0</v>
      </c>
      <c r="AD87" s="3229"/>
      <c r="AE87" s="3229"/>
      <c r="AF87" s="3229"/>
      <c r="AG87" s="3229"/>
      <c r="AH87" s="3229"/>
      <c r="AI87" s="3229"/>
      <c r="AJ87" s="3229"/>
      <c r="AK87" s="3229"/>
      <c r="AL87" s="3229"/>
      <c r="AM87" s="3229"/>
      <c r="AN87" s="3229"/>
      <c r="AO87" s="3229"/>
      <c r="AP87" s="3229"/>
      <c r="AQ87" s="3229"/>
      <c r="AR87" s="3229"/>
      <c r="AS87" s="3229"/>
      <c r="AT87" s="3249"/>
      <c r="AU87" s="3250"/>
      <c r="AV87" s="475">
        <f t="shared" si="37"/>
        <v>0</v>
      </c>
      <c r="AW87" s="475">
        <f t="shared" si="38"/>
        <v>0</v>
      </c>
      <c r="AX87" s="475">
        <f t="shared" si="39"/>
        <v>0</v>
      </c>
      <c r="AY87" s="3266">
        <f t="shared" si="40"/>
        <v>0</v>
      </c>
      <c r="AZ87" s="3199">
        <f t="shared" si="41"/>
        <v>0</v>
      </c>
      <c r="BA87" s="3199">
        <f t="shared" si="42"/>
        <v>0</v>
      </c>
      <c r="BB87" s="3199">
        <f t="shared" si="43"/>
        <v>0</v>
      </c>
      <c r="BC87" s="3199">
        <f t="shared" si="44"/>
        <v>0</v>
      </c>
      <c r="BD87" s="3199">
        <f t="shared" si="45"/>
        <v>0</v>
      </c>
      <c r="BE87" s="3199">
        <f t="shared" si="46"/>
        <v>0</v>
      </c>
      <c r="BF87" s="3199">
        <f t="shared" si="47"/>
        <v>0</v>
      </c>
      <c r="BG87" s="3199">
        <f t="shared" si="48"/>
        <v>0</v>
      </c>
      <c r="BH87" s="3199">
        <f t="shared" si="49"/>
        <v>0</v>
      </c>
      <c r="BI87" s="3199">
        <f t="shared" si="50"/>
        <v>0</v>
      </c>
      <c r="BJ87" s="3199">
        <f t="shared" si="51"/>
        <v>0</v>
      </c>
      <c r="BK87" s="3199">
        <f t="shared" si="52"/>
        <v>0</v>
      </c>
      <c r="BL87" s="3199">
        <f t="shared" si="53"/>
        <v>0</v>
      </c>
      <c r="BM87" s="3199">
        <f t="shared" si="54"/>
        <v>0</v>
      </c>
      <c r="BN87" s="3199">
        <f t="shared" si="55"/>
        <v>0</v>
      </c>
      <c r="BO87" s="3199">
        <f t="shared" si="56"/>
        <v>0</v>
      </c>
      <c r="BP87" s="3199">
        <f t="shared" si="57"/>
        <v>0</v>
      </c>
      <c r="BQ87" s="3199">
        <f t="shared" si="58"/>
        <v>0</v>
      </c>
      <c r="BR87" s="3199">
        <f t="shared" si="59"/>
        <v>0</v>
      </c>
      <c r="BS87" s="3199">
        <f t="shared" si="60"/>
        <v>0</v>
      </c>
      <c r="BT87" s="3271">
        <f t="shared" si="61"/>
        <v>0</v>
      </c>
    </row>
    <row r="88" spans="1:72">
      <c r="A88" s="3197"/>
      <c r="B88" s="3198"/>
      <c r="C88" s="3198"/>
      <c r="D88" s="3193"/>
      <c r="E88" s="3199">
        <f t="shared" si="33"/>
        <v>0</v>
      </c>
      <c r="F88" s="3200"/>
      <c r="G88" s="3201">
        <f t="shared" si="34"/>
        <v>0</v>
      </c>
      <c r="H88" s="3202">
        <f t="shared" si="35"/>
        <v>0</v>
      </c>
      <c r="I88" s="3218"/>
      <c r="J88" s="3218"/>
      <c r="K88" s="3218"/>
      <c r="L88" s="3218"/>
      <c r="M88" s="3218"/>
      <c r="N88" s="3218"/>
      <c r="O88" s="3218"/>
      <c r="P88" s="3218"/>
      <c r="Q88" s="3218"/>
      <c r="R88" s="3218"/>
      <c r="S88" s="3218"/>
      <c r="T88" s="3218"/>
      <c r="U88" s="3218"/>
      <c r="V88" s="3218"/>
      <c r="W88" s="3218"/>
      <c r="X88" s="3218"/>
      <c r="Y88" s="3218"/>
      <c r="Z88" s="3218"/>
      <c r="AA88" s="3218"/>
      <c r="AB88" s="3218"/>
      <c r="AC88" s="3199">
        <f t="shared" si="36"/>
        <v>0</v>
      </c>
      <c r="AD88" s="3229"/>
      <c r="AE88" s="3229"/>
      <c r="AF88" s="3229"/>
      <c r="AG88" s="3229"/>
      <c r="AH88" s="3229"/>
      <c r="AI88" s="3229"/>
      <c r="AJ88" s="3229"/>
      <c r="AK88" s="3229"/>
      <c r="AL88" s="3229"/>
      <c r="AM88" s="3229"/>
      <c r="AN88" s="3229"/>
      <c r="AO88" s="3229"/>
      <c r="AP88" s="3229"/>
      <c r="AQ88" s="3229"/>
      <c r="AR88" s="3229"/>
      <c r="AS88" s="3229"/>
      <c r="AT88" s="3249"/>
      <c r="AU88" s="3250"/>
      <c r="AV88" s="475">
        <f t="shared" si="37"/>
        <v>0</v>
      </c>
      <c r="AW88" s="475">
        <f t="shared" si="38"/>
        <v>0</v>
      </c>
      <c r="AX88" s="475">
        <f t="shared" si="39"/>
        <v>0</v>
      </c>
      <c r="AY88" s="3266">
        <f t="shared" si="40"/>
        <v>0</v>
      </c>
      <c r="AZ88" s="3199">
        <f t="shared" si="41"/>
        <v>0</v>
      </c>
      <c r="BA88" s="3199">
        <f t="shared" si="42"/>
        <v>0</v>
      </c>
      <c r="BB88" s="3199">
        <f t="shared" si="43"/>
        <v>0</v>
      </c>
      <c r="BC88" s="3199">
        <f t="shared" si="44"/>
        <v>0</v>
      </c>
      <c r="BD88" s="3199">
        <f t="shared" si="45"/>
        <v>0</v>
      </c>
      <c r="BE88" s="3199">
        <f t="shared" si="46"/>
        <v>0</v>
      </c>
      <c r="BF88" s="3199">
        <f t="shared" si="47"/>
        <v>0</v>
      </c>
      <c r="BG88" s="3199">
        <f t="shared" si="48"/>
        <v>0</v>
      </c>
      <c r="BH88" s="3199">
        <f t="shared" si="49"/>
        <v>0</v>
      </c>
      <c r="BI88" s="3199">
        <f t="shared" si="50"/>
        <v>0</v>
      </c>
      <c r="BJ88" s="3199">
        <f t="shared" si="51"/>
        <v>0</v>
      </c>
      <c r="BK88" s="3199">
        <f t="shared" si="52"/>
        <v>0</v>
      </c>
      <c r="BL88" s="3199">
        <f t="shared" si="53"/>
        <v>0</v>
      </c>
      <c r="BM88" s="3199">
        <f t="shared" si="54"/>
        <v>0</v>
      </c>
      <c r="BN88" s="3199">
        <f t="shared" si="55"/>
        <v>0</v>
      </c>
      <c r="BO88" s="3199">
        <f t="shared" si="56"/>
        <v>0</v>
      </c>
      <c r="BP88" s="3199">
        <f t="shared" si="57"/>
        <v>0</v>
      </c>
      <c r="BQ88" s="3199">
        <f t="shared" si="58"/>
        <v>0</v>
      </c>
      <c r="BR88" s="3199">
        <f t="shared" si="59"/>
        <v>0</v>
      </c>
      <c r="BS88" s="3199">
        <f t="shared" si="60"/>
        <v>0</v>
      </c>
      <c r="BT88" s="3271">
        <f t="shared" si="61"/>
        <v>0</v>
      </c>
    </row>
    <row r="89" spans="1:72">
      <c r="A89" s="3197"/>
      <c r="B89" s="3198"/>
      <c r="C89" s="3198"/>
      <c r="D89" s="3193"/>
      <c r="E89" s="3199">
        <f t="shared" si="33"/>
        <v>0</v>
      </c>
      <c r="F89" s="3200"/>
      <c r="G89" s="3201">
        <f t="shared" si="34"/>
        <v>0</v>
      </c>
      <c r="H89" s="3202">
        <f t="shared" si="35"/>
        <v>0</v>
      </c>
      <c r="I89" s="3218"/>
      <c r="J89" s="3218"/>
      <c r="K89" s="3218"/>
      <c r="L89" s="3218"/>
      <c r="M89" s="3218"/>
      <c r="N89" s="3218"/>
      <c r="O89" s="3218"/>
      <c r="P89" s="3218"/>
      <c r="Q89" s="3218"/>
      <c r="R89" s="3218"/>
      <c r="S89" s="3218"/>
      <c r="T89" s="3218"/>
      <c r="U89" s="3218"/>
      <c r="V89" s="3218"/>
      <c r="W89" s="3218"/>
      <c r="X89" s="3218"/>
      <c r="Y89" s="3218"/>
      <c r="Z89" s="3218"/>
      <c r="AA89" s="3218"/>
      <c r="AB89" s="3218"/>
      <c r="AC89" s="3199">
        <f t="shared" si="36"/>
        <v>0</v>
      </c>
      <c r="AD89" s="3229"/>
      <c r="AE89" s="3229"/>
      <c r="AF89" s="3229"/>
      <c r="AG89" s="3229"/>
      <c r="AH89" s="3229"/>
      <c r="AI89" s="3229"/>
      <c r="AJ89" s="3229"/>
      <c r="AK89" s="3229"/>
      <c r="AL89" s="3229"/>
      <c r="AM89" s="3229"/>
      <c r="AN89" s="3229"/>
      <c r="AO89" s="3229"/>
      <c r="AP89" s="3229"/>
      <c r="AQ89" s="3229"/>
      <c r="AR89" s="3229"/>
      <c r="AS89" s="3229"/>
      <c r="AT89" s="3249"/>
      <c r="AU89" s="3250"/>
      <c r="AV89" s="475">
        <f t="shared" si="37"/>
        <v>0</v>
      </c>
      <c r="AW89" s="475">
        <f t="shared" si="38"/>
        <v>0</v>
      </c>
      <c r="AX89" s="475">
        <f t="shared" si="39"/>
        <v>0</v>
      </c>
      <c r="AY89" s="3266">
        <f t="shared" si="40"/>
        <v>0</v>
      </c>
      <c r="AZ89" s="3199">
        <f t="shared" si="41"/>
        <v>0</v>
      </c>
      <c r="BA89" s="3199">
        <f t="shared" si="42"/>
        <v>0</v>
      </c>
      <c r="BB89" s="3199">
        <f t="shared" si="43"/>
        <v>0</v>
      </c>
      <c r="BC89" s="3199">
        <f t="shared" si="44"/>
        <v>0</v>
      </c>
      <c r="BD89" s="3199">
        <f t="shared" si="45"/>
        <v>0</v>
      </c>
      <c r="BE89" s="3199">
        <f t="shared" si="46"/>
        <v>0</v>
      </c>
      <c r="BF89" s="3199">
        <f t="shared" si="47"/>
        <v>0</v>
      </c>
      <c r="BG89" s="3199">
        <f t="shared" si="48"/>
        <v>0</v>
      </c>
      <c r="BH89" s="3199">
        <f t="shared" si="49"/>
        <v>0</v>
      </c>
      <c r="BI89" s="3199">
        <f t="shared" si="50"/>
        <v>0</v>
      </c>
      <c r="BJ89" s="3199">
        <f t="shared" si="51"/>
        <v>0</v>
      </c>
      <c r="BK89" s="3199">
        <f t="shared" si="52"/>
        <v>0</v>
      </c>
      <c r="BL89" s="3199">
        <f t="shared" si="53"/>
        <v>0</v>
      </c>
      <c r="BM89" s="3199">
        <f t="shared" si="54"/>
        <v>0</v>
      </c>
      <c r="BN89" s="3199">
        <f t="shared" si="55"/>
        <v>0</v>
      </c>
      <c r="BO89" s="3199">
        <f t="shared" si="56"/>
        <v>0</v>
      </c>
      <c r="BP89" s="3199">
        <f t="shared" si="57"/>
        <v>0</v>
      </c>
      <c r="BQ89" s="3199">
        <f t="shared" si="58"/>
        <v>0</v>
      </c>
      <c r="BR89" s="3199">
        <f t="shared" si="59"/>
        <v>0</v>
      </c>
      <c r="BS89" s="3199">
        <f t="shared" si="60"/>
        <v>0</v>
      </c>
      <c r="BT89" s="3271">
        <f t="shared" si="61"/>
        <v>0</v>
      </c>
    </row>
    <row r="90" spans="1:72">
      <c r="A90" s="3197"/>
      <c r="B90" s="3198"/>
      <c r="C90" s="3198"/>
      <c r="D90" s="3193"/>
      <c r="E90" s="3199">
        <f t="shared" si="33"/>
        <v>0</v>
      </c>
      <c r="F90" s="3200"/>
      <c r="G90" s="3201">
        <f t="shared" si="34"/>
        <v>0</v>
      </c>
      <c r="H90" s="3202">
        <f t="shared" si="35"/>
        <v>0</v>
      </c>
      <c r="I90" s="3218"/>
      <c r="J90" s="3218"/>
      <c r="K90" s="3218"/>
      <c r="L90" s="3218"/>
      <c r="M90" s="3218"/>
      <c r="N90" s="3218"/>
      <c r="O90" s="3218"/>
      <c r="P90" s="3218"/>
      <c r="Q90" s="3218"/>
      <c r="R90" s="3218"/>
      <c r="S90" s="3218"/>
      <c r="T90" s="3218"/>
      <c r="U90" s="3218"/>
      <c r="V90" s="3218"/>
      <c r="W90" s="3218"/>
      <c r="X90" s="3218"/>
      <c r="Y90" s="3218"/>
      <c r="Z90" s="3218"/>
      <c r="AA90" s="3218"/>
      <c r="AB90" s="3218"/>
      <c r="AC90" s="3199">
        <f t="shared" si="36"/>
        <v>0</v>
      </c>
      <c r="AD90" s="3229"/>
      <c r="AE90" s="3229"/>
      <c r="AF90" s="3229"/>
      <c r="AG90" s="3229"/>
      <c r="AH90" s="3229"/>
      <c r="AI90" s="3229"/>
      <c r="AJ90" s="3229"/>
      <c r="AK90" s="3229"/>
      <c r="AL90" s="3229"/>
      <c r="AM90" s="3229"/>
      <c r="AN90" s="3229"/>
      <c r="AO90" s="3229"/>
      <c r="AP90" s="3229"/>
      <c r="AQ90" s="3229"/>
      <c r="AR90" s="3229"/>
      <c r="AS90" s="3229"/>
      <c r="AT90" s="3249"/>
      <c r="AU90" s="3250"/>
      <c r="AV90" s="475">
        <f t="shared" si="37"/>
        <v>0</v>
      </c>
      <c r="AW90" s="475">
        <f t="shared" si="38"/>
        <v>0</v>
      </c>
      <c r="AX90" s="475">
        <f t="shared" si="39"/>
        <v>0</v>
      </c>
      <c r="AY90" s="3266">
        <f t="shared" si="40"/>
        <v>0</v>
      </c>
      <c r="AZ90" s="3199">
        <f t="shared" si="41"/>
        <v>0</v>
      </c>
      <c r="BA90" s="3199">
        <f t="shared" si="42"/>
        <v>0</v>
      </c>
      <c r="BB90" s="3199">
        <f t="shared" si="43"/>
        <v>0</v>
      </c>
      <c r="BC90" s="3199">
        <f t="shared" si="44"/>
        <v>0</v>
      </c>
      <c r="BD90" s="3199">
        <f t="shared" si="45"/>
        <v>0</v>
      </c>
      <c r="BE90" s="3199">
        <f t="shared" si="46"/>
        <v>0</v>
      </c>
      <c r="BF90" s="3199">
        <f t="shared" si="47"/>
        <v>0</v>
      </c>
      <c r="BG90" s="3199">
        <f t="shared" si="48"/>
        <v>0</v>
      </c>
      <c r="BH90" s="3199">
        <f t="shared" si="49"/>
        <v>0</v>
      </c>
      <c r="BI90" s="3199">
        <f t="shared" si="50"/>
        <v>0</v>
      </c>
      <c r="BJ90" s="3199">
        <f t="shared" si="51"/>
        <v>0</v>
      </c>
      <c r="BK90" s="3199">
        <f t="shared" si="52"/>
        <v>0</v>
      </c>
      <c r="BL90" s="3199">
        <f t="shared" si="53"/>
        <v>0</v>
      </c>
      <c r="BM90" s="3199">
        <f t="shared" si="54"/>
        <v>0</v>
      </c>
      <c r="BN90" s="3199">
        <f t="shared" si="55"/>
        <v>0</v>
      </c>
      <c r="BO90" s="3199">
        <f t="shared" si="56"/>
        <v>0</v>
      </c>
      <c r="BP90" s="3199">
        <f t="shared" si="57"/>
        <v>0</v>
      </c>
      <c r="BQ90" s="3199">
        <f t="shared" si="58"/>
        <v>0</v>
      </c>
      <c r="BR90" s="3199">
        <f t="shared" si="59"/>
        <v>0</v>
      </c>
      <c r="BS90" s="3199">
        <f t="shared" si="60"/>
        <v>0</v>
      </c>
      <c r="BT90" s="3271">
        <f t="shared" si="61"/>
        <v>0</v>
      </c>
    </row>
    <row r="91" spans="1:72">
      <c r="A91" s="3197"/>
      <c r="B91" s="3198"/>
      <c r="C91" s="3198"/>
      <c r="D91" s="3193"/>
      <c r="E91" s="3199">
        <f t="shared" si="33"/>
        <v>0</v>
      </c>
      <c r="F91" s="3200"/>
      <c r="G91" s="3201">
        <f t="shared" si="34"/>
        <v>0</v>
      </c>
      <c r="H91" s="3202">
        <f t="shared" si="35"/>
        <v>0</v>
      </c>
      <c r="I91" s="3218"/>
      <c r="J91" s="3218"/>
      <c r="K91" s="3218"/>
      <c r="L91" s="3218"/>
      <c r="M91" s="3218"/>
      <c r="N91" s="3218"/>
      <c r="O91" s="3218"/>
      <c r="P91" s="3218"/>
      <c r="Q91" s="3218"/>
      <c r="R91" s="3218"/>
      <c r="S91" s="3218"/>
      <c r="T91" s="3218"/>
      <c r="U91" s="3218"/>
      <c r="V91" s="3218"/>
      <c r="W91" s="3218"/>
      <c r="X91" s="3218"/>
      <c r="Y91" s="3218"/>
      <c r="Z91" s="3218"/>
      <c r="AA91" s="3218"/>
      <c r="AB91" s="3218"/>
      <c r="AC91" s="3199">
        <f t="shared" si="36"/>
        <v>0</v>
      </c>
      <c r="AD91" s="3229"/>
      <c r="AE91" s="3229"/>
      <c r="AF91" s="3229"/>
      <c r="AG91" s="3229"/>
      <c r="AH91" s="3229"/>
      <c r="AI91" s="3229"/>
      <c r="AJ91" s="3229"/>
      <c r="AK91" s="3229"/>
      <c r="AL91" s="3229"/>
      <c r="AM91" s="3229"/>
      <c r="AN91" s="3229"/>
      <c r="AO91" s="3229"/>
      <c r="AP91" s="3229"/>
      <c r="AQ91" s="3229"/>
      <c r="AR91" s="3229"/>
      <c r="AS91" s="3229"/>
      <c r="AT91" s="3249"/>
      <c r="AU91" s="3250"/>
      <c r="AV91" s="475">
        <f t="shared" si="37"/>
        <v>0</v>
      </c>
      <c r="AW91" s="475">
        <f t="shared" si="38"/>
        <v>0</v>
      </c>
      <c r="AX91" s="475">
        <f t="shared" si="39"/>
        <v>0</v>
      </c>
      <c r="AY91" s="3266">
        <f t="shared" si="40"/>
        <v>0</v>
      </c>
      <c r="AZ91" s="3199">
        <f t="shared" si="41"/>
        <v>0</v>
      </c>
      <c r="BA91" s="3199">
        <f t="shared" si="42"/>
        <v>0</v>
      </c>
      <c r="BB91" s="3199">
        <f t="shared" si="43"/>
        <v>0</v>
      </c>
      <c r="BC91" s="3199">
        <f t="shared" si="44"/>
        <v>0</v>
      </c>
      <c r="BD91" s="3199">
        <f t="shared" si="45"/>
        <v>0</v>
      </c>
      <c r="BE91" s="3199">
        <f t="shared" si="46"/>
        <v>0</v>
      </c>
      <c r="BF91" s="3199">
        <f t="shared" si="47"/>
        <v>0</v>
      </c>
      <c r="BG91" s="3199">
        <f t="shared" si="48"/>
        <v>0</v>
      </c>
      <c r="BH91" s="3199">
        <f t="shared" si="49"/>
        <v>0</v>
      </c>
      <c r="BI91" s="3199">
        <f t="shared" si="50"/>
        <v>0</v>
      </c>
      <c r="BJ91" s="3199">
        <f t="shared" si="51"/>
        <v>0</v>
      </c>
      <c r="BK91" s="3199">
        <f t="shared" si="52"/>
        <v>0</v>
      </c>
      <c r="BL91" s="3199">
        <f t="shared" si="53"/>
        <v>0</v>
      </c>
      <c r="BM91" s="3199">
        <f t="shared" si="54"/>
        <v>0</v>
      </c>
      <c r="BN91" s="3199">
        <f t="shared" si="55"/>
        <v>0</v>
      </c>
      <c r="BO91" s="3199">
        <f t="shared" si="56"/>
        <v>0</v>
      </c>
      <c r="BP91" s="3199">
        <f t="shared" si="57"/>
        <v>0</v>
      </c>
      <c r="BQ91" s="3199">
        <f t="shared" si="58"/>
        <v>0</v>
      </c>
      <c r="BR91" s="3199">
        <f t="shared" si="59"/>
        <v>0</v>
      </c>
      <c r="BS91" s="3199">
        <f t="shared" si="60"/>
        <v>0</v>
      </c>
      <c r="BT91" s="3271">
        <f t="shared" si="61"/>
        <v>0</v>
      </c>
    </row>
    <row r="92" spans="1:72">
      <c r="A92" s="3197"/>
      <c r="B92" s="3198"/>
      <c r="C92" s="3198"/>
      <c r="D92" s="3193"/>
      <c r="E92" s="3199">
        <f t="shared" si="33"/>
        <v>0</v>
      </c>
      <c r="F92" s="3200"/>
      <c r="G92" s="3201">
        <f t="shared" si="34"/>
        <v>0</v>
      </c>
      <c r="H92" s="3202">
        <f t="shared" si="35"/>
        <v>0</v>
      </c>
      <c r="I92" s="3218"/>
      <c r="J92" s="3218"/>
      <c r="K92" s="3218"/>
      <c r="L92" s="3218"/>
      <c r="M92" s="3218"/>
      <c r="N92" s="3218"/>
      <c r="O92" s="3218"/>
      <c r="P92" s="3218"/>
      <c r="Q92" s="3218"/>
      <c r="R92" s="3218"/>
      <c r="S92" s="3218"/>
      <c r="T92" s="3218"/>
      <c r="U92" s="3218"/>
      <c r="V92" s="3218"/>
      <c r="W92" s="3218"/>
      <c r="X92" s="3218"/>
      <c r="Y92" s="3218"/>
      <c r="Z92" s="3218"/>
      <c r="AA92" s="3218"/>
      <c r="AB92" s="3218"/>
      <c r="AC92" s="3199">
        <f t="shared" si="36"/>
        <v>0</v>
      </c>
      <c r="AD92" s="3229"/>
      <c r="AE92" s="3229"/>
      <c r="AF92" s="3229"/>
      <c r="AG92" s="3229"/>
      <c r="AH92" s="3229"/>
      <c r="AI92" s="3229"/>
      <c r="AJ92" s="3229"/>
      <c r="AK92" s="3229"/>
      <c r="AL92" s="3229"/>
      <c r="AM92" s="3229"/>
      <c r="AN92" s="3229"/>
      <c r="AO92" s="3229"/>
      <c r="AP92" s="3229"/>
      <c r="AQ92" s="3229"/>
      <c r="AR92" s="3229"/>
      <c r="AS92" s="3229"/>
      <c r="AT92" s="3249"/>
      <c r="AU92" s="3250"/>
      <c r="AV92" s="475">
        <f t="shared" si="37"/>
        <v>0</v>
      </c>
      <c r="AW92" s="475">
        <f t="shared" si="38"/>
        <v>0</v>
      </c>
      <c r="AX92" s="475">
        <f t="shared" si="39"/>
        <v>0</v>
      </c>
      <c r="AY92" s="3266">
        <f t="shared" si="40"/>
        <v>0</v>
      </c>
      <c r="AZ92" s="3199">
        <f t="shared" si="41"/>
        <v>0</v>
      </c>
      <c r="BA92" s="3199">
        <f t="shared" si="42"/>
        <v>0</v>
      </c>
      <c r="BB92" s="3199">
        <f t="shared" si="43"/>
        <v>0</v>
      </c>
      <c r="BC92" s="3199">
        <f t="shared" si="44"/>
        <v>0</v>
      </c>
      <c r="BD92" s="3199">
        <f t="shared" si="45"/>
        <v>0</v>
      </c>
      <c r="BE92" s="3199">
        <f t="shared" si="46"/>
        <v>0</v>
      </c>
      <c r="BF92" s="3199">
        <f t="shared" si="47"/>
        <v>0</v>
      </c>
      <c r="BG92" s="3199">
        <f t="shared" si="48"/>
        <v>0</v>
      </c>
      <c r="BH92" s="3199">
        <f t="shared" si="49"/>
        <v>0</v>
      </c>
      <c r="BI92" s="3199">
        <f t="shared" si="50"/>
        <v>0</v>
      </c>
      <c r="BJ92" s="3199">
        <f t="shared" si="51"/>
        <v>0</v>
      </c>
      <c r="BK92" s="3199">
        <f t="shared" si="52"/>
        <v>0</v>
      </c>
      <c r="BL92" s="3199">
        <f t="shared" si="53"/>
        <v>0</v>
      </c>
      <c r="BM92" s="3199">
        <f t="shared" si="54"/>
        <v>0</v>
      </c>
      <c r="BN92" s="3199">
        <f t="shared" si="55"/>
        <v>0</v>
      </c>
      <c r="BO92" s="3199">
        <f t="shared" si="56"/>
        <v>0</v>
      </c>
      <c r="BP92" s="3199">
        <f t="shared" si="57"/>
        <v>0</v>
      </c>
      <c r="BQ92" s="3199">
        <f t="shared" si="58"/>
        <v>0</v>
      </c>
      <c r="BR92" s="3199">
        <f t="shared" si="59"/>
        <v>0</v>
      </c>
      <c r="BS92" s="3199">
        <f t="shared" si="60"/>
        <v>0</v>
      </c>
      <c r="BT92" s="3271">
        <f t="shared" si="61"/>
        <v>0</v>
      </c>
    </row>
    <row r="93" spans="1:72">
      <c r="A93" s="3197"/>
      <c r="B93" s="3198"/>
      <c r="C93" s="3198"/>
      <c r="D93" s="3193"/>
      <c r="E93" s="3199">
        <f t="shared" si="33"/>
        <v>0</v>
      </c>
      <c r="F93" s="3200"/>
      <c r="G93" s="3201">
        <f t="shared" si="34"/>
        <v>0</v>
      </c>
      <c r="H93" s="3202">
        <f t="shared" si="35"/>
        <v>0</v>
      </c>
      <c r="I93" s="3218"/>
      <c r="J93" s="3218"/>
      <c r="K93" s="3218"/>
      <c r="L93" s="3218"/>
      <c r="M93" s="3218"/>
      <c r="N93" s="3218"/>
      <c r="O93" s="3218"/>
      <c r="P93" s="3218"/>
      <c r="Q93" s="3218"/>
      <c r="R93" s="3218"/>
      <c r="S93" s="3218"/>
      <c r="T93" s="3218"/>
      <c r="U93" s="3218"/>
      <c r="V93" s="3218"/>
      <c r="W93" s="3218"/>
      <c r="X93" s="3218"/>
      <c r="Y93" s="3218"/>
      <c r="Z93" s="3218"/>
      <c r="AA93" s="3218"/>
      <c r="AB93" s="3218"/>
      <c r="AC93" s="3199">
        <f t="shared" si="36"/>
        <v>0</v>
      </c>
      <c r="AD93" s="3229"/>
      <c r="AE93" s="3229"/>
      <c r="AF93" s="3229"/>
      <c r="AG93" s="3229"/>
      <c r="AH93" s="3229"/>
      <c r="AI93" s="3229"/>
      <c r="AJ93" s="3229"/>
      <c r="AK93" s="3229"/>
      <c r="AL93" s="3229"/>
      <c r="AM93" s="3229"/>
      <c r="AN93" s="3229"/>
      <c r="AO93" s="3229"/>
      <c r="AP93" s="3229"/>
      <c r="AQ93" s="3229"/>
      <c r="AR93" s="3229"/>
      <c r="AS93" s="3229"/>
      <c r="AT93" s="3249"/>
      <c r="AU93" s="3250"/>
      <c r="AV93" s="475">
        <f t="shared" si="37"/>
        <v>0</v>
      </c>
      <c r="AW93" s="475">
        <f t="shared" si="38"/>
        <v>0</v>
      </c>
      <c r="AX93" s="475">
        <f t="shared" si="39"/>
        <v>0</v>
      </c>
      <c r="AY93" s="3266">
        <f t="shared" si="40"/>
        <v>0</v>
      </c>
      <c r="AZ93" s="3199">
        <f t="shared" si="41"/>
        <v>0</v>
      </c>
      <c r="BA93" s="3199">
        <f t="shared" si="42"/>
        <v>0</v>
      </c>
      <c r="BB93" s="3199">
        <f t="shared" si="43"/>
        <v>0</v>
      </c>
      <c r="BC93" s="3199">
        <f t="shared" si="44"/>
        <v>0</v>
      </c>
      <c r="BD93" s="3199">
        <f t="shared" si="45"/>
        <v>0</v>
      </c>
      <c r="BE93" s="3199">
        <f t="shared" si="46"/>
        <v>0</v>
      </c>
      <c r="BF93" s="3199">
        <f t="shared" si="47"/>
        <v>0</v>
      </c>
      <c r="BG93" s="3199">
        <f t="shared" si="48"/>
        <v>0</v>
      </c>
      <c r="BH93" s="3199">
        <f t="shared" si="49"/>
        <v>0</v>
      </c>
      <c r="BI93" s="3199">
        <f t="shared" si="50"/>
        <v>0</v>
      </c>
      <c r="BJ93" s="3199">
        <f t="shared" si="51"/>
        <v>0</v>
      </c>
      <c r="BK93" s="3199">
        <f t="shared" si="52"/>
        <v>0</v>
      </c>
      <c r="BL93" s="3199">
        <f t="shared" si="53"/>
        <v>0</v>
      </c>
      <c r="BM93" s="3199">
        <f t="shared" si="54"/>
        <v>0</v>
      </c>
      <c r="BN93" s="3199">
        <f t="shared" si="55"/>
        <v>0</v>
      </c>
      <c r="BO93" s="3199">
        <f t="shared" si="56"/>
        <v>0</v>
      </c>
      <c r="BP93" s="3199">
        <f t="shared" si="57"/>
        <v>0</v>
      </c>
      <c r="BQ93" s="3199">
        <f t="shared" si="58"/>
        <v>0</v>
      </c>
      <c r="BR93" s="3199">
        <f t="shared" si="59"/>
        <v>0</v>
      </c>
      <c r="BS93" s="3199">
        <f t="shared" si="60"/>
        <v>0</v>
      </c>
      <c r="BT93" s="3271">
        <f t="shared" si="61"/>
        <v>0</v>
      </c>
    </row>
    <row r="94" spans="1:72">
      <c r="A94" s="3197"/>
      <c r="B94" s="3198"/>
      <c r="C94" s="3198"/>
      <c r="D94" s="3193"/>
      <c r="E94" s="3199">
        <f t="shared" si="33"/>
        <v>0</v>
      </c>
      <c r="F94" s="3200"/>
      <c r="G94" s="3201">
        <f t="shared" si="34"/>
        <v>0</v>
      </c>
      <c r="H94" s="3202">
        <f t="shared" si="35"/>
        <v>0</v>
      </c>
      <c r="I94" s="3218"/>
      <c r="J94" s="3218"/>
      <c r="K94" s="3218"/>
      <c r="L94" s="3218"/>
      <c r="M94" s="3218"/>
      <c r="N94" s="3218"/>
      <c r="O94" s="3218"/>
      <c r="P94" s="3218"/>
      <c r="Q94" s="3218"/>
      <c r="R94" s="3218"/>
      <c r="S94" s="3218"/>
      <c r="T94" s="3218"/>
      <c r="U94" s="3218"/>
      <c r="V94" s="3218"/>
      <c r="W94" s="3218"/>
      <c r="X94" s="3218"/>
      <c r="Y94" s="3218"/>
      <c r="Z94" s="3218"/>
      <c r="AA94" s="3218"/>
      <c r="AB94" s="3218"/>
      <c r="AC94" s="3199">
        <f t="shared" si="36"/>
        <v>0</v>
      </c>
      <c r="AD94" s="3229"/>
      <c r="AE94" s="3229"/>
      <c r="AF94" s="3229"/>
      <c r="AG94" s="3229"/>
      <c r="AH94" s="3229"/>
      <c r="AI94" s="3229"/>
      <c r="AJ94" s="3229"/>
      <c r="AK94" s="3229"/>
      <c r="AL94" s="3229"/>
      <c r="AM94" s="3229"/>
      <c r="AN94" s="3229"/>
      <c r="AO94" s="3229"/>
      <c r="AP94" s="3229"/>
      <c r="AQ94" s="3229"/>
      <c r="AR94" s="3229"/>
      <c r="AS94" s="3229"/>
      <c r="AT94" s="3249"/>
      <c r="AU94" s="3250"/>
      <c r="AV94" s="475">
        <f t="shared" si="37"/>
        <v>0</v>
      </c>
      <c r="AW94" s="475">
        <f t="shared" si="38"/>
        <v>0</v>
      </c>
      <c r="AX94" s="475">
        <f t="shared" si="39"/>
        <v>0</v>
      </c>
      <c r="AY94" s="3266">
        <f t="shared" si="40"/>
        <v>0</v>
      </c>
      <c r="AZ94" s="3199">
        <f t="shared" si="41"/>
        <v>0</v>
      </c>
      <c r="BA94" s="3199">
        <f t="shared" si="42"/>
        <v>0</v>
      </c>
      <c r="BB94" s="3199">
        <f t="shared" si="43"/>
        <v>0</v>
      </c>
      <c r="BC94" s="3199">
        <f t="shared" si="44"/>
        <v>0</v>
      </c>
      <c r="BD94" s="3199">
        <f t="shared" si="45"/>
        <v>0</v>
      </c>
      <c r="BE94" s="3199">
        <f t="shared" si="46"/>
        <v>0</v>
      </c>
      <c r="BF94" s="3199">
        <f t="shared" si="47"/>
        <v>0</v>
      </c>
      <c r="BG94" s="3199">
        <f t="shared" si="48"/>
        <v>0</v>
      </c>
      <c r="BH94" s="3199">
        <f t="shared" si="49"/>
        <v>0</v>
      </c>
      <c r="BI94" s="3199">
        <f t="shared" si="50"/>
        <v>0</v>
      </c>
      <c r="BJ94" s="3199">
        <f t="shared" si="51"/>
        <v>0</v>
      </c>
      <c r="BK94" s="3199">
        <f t="shared" si="52"/>
        <v>0</v>
      </c>
      <c r="BL94" s="3199">
        <f t="shared" si="53"/>
        <v>0</v>
      </c>
      <c r="BM94" s="3199">
        <f t="shared" si="54"/>
        <v>0</v>
      </c>
      <c r="BN94" s="3199">
        <f t="shared" si="55"/>
        <v>0</v>
      </c>
      <c r="BO94" s="3199">
        <f t="shared" si="56"/>
        <v>0</v>
      </c>
      <c r="BP94" s="3199">
        <f t="shared" si="57"/>
        <v>0</v>
      </c>
      <c r="BQ94" s="3199">
        <f t="shared" si="58"/>
        <v>0</v>
      </c>
      <c r="BR94" s="3199">
        <f t="shared" si="59"/>
        <v>0</v>
      </c>
      <c r="BS94" s="3199">
        <f t="shared" si="60"/>
        <v>0</v>
      </c>
      <c r="BT94" s="3271">
        <f t="shared" si="61"/>
        <v>0</v>
      </c>
    </row>
    <row r="95" spans="1:72">
      <c r="A95" s="3197"/>
      <c r="B95" s="3198"/>
      <c r="C95" s="3198"/>
      <c r="D95" s="3193"/>
      <c r="E95" s="3199">
        <f t="shared" si="33"/>
        <v>0</v>
      </c>
      <c r="F95" s="3200"/>
      <c r="G95" s="3201">
        <f t="shared" si="34"/>
        <v>0</v>
      </c>
      <c r="H95" s="3202">
        <f t="shared" si="35"/>
        <v>0</v>
      </c>
      <c r="I95" s="3218"/>
      <c r="J95" s="3218"/>
      <c r="K95" s="3218"/>
      <c r="L95" s="3218"/>
      <c r="M95" s="3218"/>
      <c r="N95" s="3218"/>
      <c r="O95" s="3218"/>
      <c r="P95" s="3218"/>
      <c r="Q95" s="3218"/>
      <c r="R95" s="3218"/>
      <c r="S95" s="3218"/>
      <c r="T95" s="3218"/>
      <c r="U95" s="3218"/>
      <c r="V95" s="3218"/>
      <c r="W95" s="3218"/>
      <c r="X95" s="3218"/>
      <c r="Y95" s="3218"/>
      <c r="Z95" s="3218"/>
      <c r="AA95" s="3218"/>
      <c r="AB95" s="3218"/>
      <c r="AC95" s="3199">
        <f t="shared" si="36"/>
        <v>0</v>
      </c>
      <c r="AD95" s="3229"/>
      <c r="AE95" s="3229"/>
      <c r="AF95" s="3229"/>
      <c r="AG95" s="3229"/>
      <c r="AH95" s="3229"/>
      <c r="AI95" s="3229"/>
      <c r="AJ95" s="3229"/>
      <c r="AK95" s="3229"/>
      <c r="AL95" s="3229"/>
      <c r="AM95" s="3229"/>
      <c r="AN95" s="3229"/>
      <c r="AO95" s="3229"/>
      <c r="AP95" s="3229"/>
      <c r="AQ95" s="3229"/>
      <c r="AR95" s="3229"/>
      <c r="AS95" s="3229"/>
      <c r="AT95" s="3249"/>
      <c r="AU95" s="3250"/>
      <c r="AV95" s="475">
        <f t="shared" si="37"/>
        <v>0</v>
      </c>
      <c r="AW95" s="475">
        <f t="shared" si="38"/>
        <v>0</v>
      </c>
      <c r="AX95" s="475">
        <f t="shared" si="39"/>
        <v>0</v>
      </c>
      <c r="AY95" s="3266">
        <f t="shared" si="40"/>
        <v>0</v>
      </c>
      <c r="AZ95" s="3199">
        <f t="shared" si="41"/>
        <v>0</v>
      </c>
      <c r="BA95" s="3199">
        <f t="shared" si="42"/>
        <v>0</v>
      </c>
      <c r="BB95" s="3199">
        <f t="shared" si="43"/>
        <v>0</v>
      </c>
      <c r="BC95" s="3199">
        <f t="shared" si="44"/>
        <v>0</v>
      </c>
      <c r="BD95" s="3199">
        <f t="shared" si="45"/>
        <v>0</v>
      </c>
      <c r="BE95" s="3199">
        <f t="shared" si="46"/>
        <v>0</v>
      </c>
      <c r="BF95" s="3199">
        <f t="shared" si="47"/>
        <v>0</v>
      </c>
      <c r="BG95" s="3199">
        <f t="shared" si="48"/>
        <v>0</v>
      </c>
      <c r="BH95" s="3199">
        <f t="shared" si="49"/>
        <v>0</v>
      </c>
      <c r="BI95" s="3199">
        <f t="shared" si="50"/>
        <v>0</v>
      </c>
      <c r="BJ95" s="3199">
        <f t="shared" si="51"/>
        <v>0</v>
      </c>
      <c r="BK95" s="3199">
        <f t="shared" si="52"/>
        <v>0</v>
      </c>
      <c r="BL95" s="3199">
        <f t="shared" si="53"/>
        <v>0</v>
      </c>
      <c r="BM95" s="3199">
        <f t="shared" si="54"/>
        <v>0</v>
      </c>
      <c r="BN95" s="3199">
        <f t="shared" si="55"/>
        <v>0</v>
      </c>
      <c r="BO95" s="3199">
        <f t="shared" si="56"/>
        <v>0</v>
      </c>
      <c r="BP95" s="3199">
        <f t="shared" si="57"/>
        <v>0</v>
      </c>
      <c r="BQ95" s="3199">
        <f t="shared" si="58"/>
        <v>0</v>
      </c>
      <c r="BR95" s="3199">
        <f t="shared" si="59"/>
        <v>0</v>
      </c>
      <c r="BS95" s="3199">
        <f t="shared" si="60"/>
        <v>0</v>
      </c>
      <c r="BT95" s="3271">
        <f t="shared" si="61"/>
        <v>0</v>
      </c>
    </row>
    <row r="96" spans="1:72">
      <c r="A96" s="3197"/>
      <c r="B96" s="3198"/>
      <c r="C96" s="3198"/>
      <c r="D96" s="3193"/>
      <c r="E96" s="3199">
        <f t="shared" si="33"/>
        <v>0</v>
      </c>
      <c r="F96" s="3200"/>
      <c r="G96" s="3201">
        <f t="shared" si="34"/>
        <v>0</v>
      </c>
      <c r="H96" s="3202">
        <f t="shared" si="35"/>
        <v>0</v>
      </c>
      <c r="I96" s="3218"/>
      <c r="J96" s="3218"/>
      <c r="K96" s="3218"/>
      <c r="L96" s="3218"/>
      <c r="M96" s="3218"/>
      <c r="N96" s="3218"/>
      <c r="O96" s="3218"/>
      <c r="P96" s="3218"/>
      <c r="Q96" s="3218"/>
      <c r="R96" s="3218"/>
      <c r="S96" s="3218"/>
      <c r="T96" s="3218"/>
      <c r="U96" s="3218"/>
      <c r="V96" s="3218"/>
      <c r="W96" s="3218"/>
      <c r="X96" s="3218"/>
      <c r="Y96" s="3218"/>
      <c r="Z96" s="3218"/>
      <c r="AA96" s="3218"/>
      <c r="AB96" s="3218"/>
      <c r="AC96" s="3199">
        <f t="shared" si="36"/>
        <v>0</v>
      </c>
      <c r="AD96" s="3229"/>
      <c r="AE96" s="3229"/>
      <c r="AF96" s="3229"/>
      <c r="AG96" s="3229"/>
      <c r="AH96" s="3229"/>
      <c r="AI96" s="3229"/>
      <c r="AJ96" s="3229"/>
      <c r="AK96" s="3229"/>
      <c r="AL96" s="3229"/>
      <c r="AM96" s="3229"/>
      <c r="AN96" s="3229"/>
      <c r="AO96" s="3229"/>
      <c r="AP96" s="3229"/>
      <c r="AQ96" s="3229"/>
      <c r="AR96" s="3229"/>
      <c r="AS96" s="3229"/>
      <c r="AT96" s="3249"/>
      <c r="AU96" s="3250"/>
      <c r="AV96" s="475">
        <f t="shared" si="37"/>
        <v>0</v>
      </c>
      <c r="AW96" s="475">
        <f t="shared" si="38"/>
        <v>0</v>
      </c>
      <c r="AX96" s="475">
        <f t="shared" si="39"/>
        <v>0</v>
      </c>
      <c r="AY96" s="3266">
        <f t="shared" si="40"/>
        <v>0</v>
      </c>
      <c r="AZ96" s="3199">
        <f t="shared" si="41"/>
        <v>0</v>
      </c>
      <c r="BA96" s="3199">
        <f t="shared" si="42"/>
        <v>0</v>
      </c>
      <c r="BB96" s="3199">
        <f t="shared" si="43"/>
        <v>0</v>
      </c>
      <c r="BC96" s="3199">
        <f t="shared" si="44"/>
        <v>0</v>
      </c>
      <c r="BD96" s="3199">
        <f t="shared" si="45"/>
        <v>0</v>
      </c>
      <c r="BE96" s="3199">
        <f t="shared" si="46"/>
        <v>0</v>
      </c>
      <c r="BF96" s="3199">
        <f t="shared" si="47"/>
        <v>0</v>
      </c>
      <c r="BG96" s="3199">
        <f t="shared" si="48"/>
        <v>0</v>
      </c>
      <c r="BH96" s="3199">
        <f t="shared" si="49"/>
        <v>0</v>
      </c>
      <c r="BI96" s="3199">
        <f t="shared" si="50"/>
        <v>0</v>
      </c>
      <c r="BJ96" s="3199">
        <f t="shared" si="51"/>
        <v>0</v>
      </c>
      <c r="BK96" s="3199">
        <f t="shared" si="52"/>
        <v>0</v>
      </c>
      <c r="BL96" s="3199">
        <f t="shared" si="53"/>
        <v>0</v>
      </c>
      <c r="BM96" s="3199">
        <f t="shared" si="54"/>
        <v>0</v>
      </c>
      <c r="BN96" s="3199">
        <f t="shared" si="55"/>
        <v>0</v>
      </c>
      <c r="BO96" s="3199">
        <f t="shared" si="56"/>
        <v>0</v>
      </c>
      <c r="BP96" s="3199">
        <f t="shared" si="57"/>
        <v>0</v>
      </c>
      <c r="BQ96" s="3199">
        <f t="shared" si="58"/>
        <v>0</v>
      </c>
      <c r="BR96" s="3199">
        <f t="shared" si="59"/>
        <v>0</v>
      </c>
      <c r="BS96" s="3199">
        <f t="shared" si="60"/>
        <v>0</v>
      </c>
      <c r="BT96" s="3271">
        <f t="shared" si="61"/>
        <v>0</v>
      </c>
    </row>
    <row r="97" spans="1:72">
      <c r="A97" s="3197"/>
      <c r="B97" s="3198"/>
      <c r="C97" s="3198"/>
      <c r="D97" s="3193"/>
      <c r="E97" s="3199">
        <f t="shared" si="33"/>
        <v>0</v>
      </c>
      <c r="F97" s="3200"/>
      <c r="G97" s="3201">
        <f t="shared" si="34"/>
        <v>0</v>
      </c>
      <c r="H97" s="3202">
        <f t="shared" si="35"/>
        <v>0</v>
      </c>
      <c r="I97" s="3218"/>
      <c r="J97" s="3218"/>
      <c r="K97" s="3218"/>
      <c r="L97" s="3218"/>
      <c r="M97" s="3218"/>
      <c r="N97" s="3218"/>
      <c r="O97" s="3218"/>
      <c r="P97" s="3218"/>
      <c r="Q97" s="3218"/>
      <c r="R97" s="3218"/>
      <c r="S97" s="3218"/>
      <c r="T97" s="3218"/>
      <c r="U97" s="3218"/>
      <c r="V97" s="3218"/>
      <c r="W97" s="3218"/>
      <c r="X97" s="3218"/>
      <c r="Y97" s="3218"/>
      <c r="Z97" s="3218"/>
      <c r="AA97" s="3218"/>
      <c r="AB97" s="3218"/>
      <c r="AC97" s="3199">
        <f t="shared" si="36"/>
        <v>0</v>
      </c>
      <c r="AD97" s="3229"/>
      <c r="AE97" s="3229"/>
      <c r="AF97" s="3229"/>
      <c r="AG97" s="3229"/>
      <c r="AH97" s="3229"/>
      <c r="AI97" s="3229"/>
      <c r="AJ97" s="3229"/>
      <c r="AK97" s="3229"/>
      <c r="AL97" s="3229"/>
      <c r="AM97" s="3229"/>
      <c r="AN97" s="3229"/>
      <c r="AO97" s="3229"/>
      <c r="AP97" s="3229"/>
      <c r="AQ97" s="3229"/>
      <c r="AR97" s="3229"/>
      <c r="AS97" s="3229"/>
      <c r="AT97" s="3249"/>
      <c r="AU97" s="3250"/>
      <c r="AV97" s="475">
        <f t="shared" si="37"/>
        <v>0</v>
      </c>
      <c r="AW97" s="475">
        <f t="shared" si="38"/>
        <v>0</v>
      </c>
      <c r="AX97" s="475">
        <f t="shared" si="39"/>
        <v>0</v>
      </c>
      <c r="AY97" s="3266">
        <f t="shared" si="40"/>
        <v>0</v>
      </c>
      <c r="AZ97" s="3199">
        <f t="shared" si="41"/>
        <v>0</v>
      </c>
      <c r="BA97" s="3199">
        <f t="shared" si="42"/>
        <v>0</v>
      </c>
      <c r="BB97" s="3199">
        <f t="shared" si="43"/>
        <v>0</v>
      </c>
      <c r="BC97" s="3199">
        <f t="shared" si="44"/>
        <v>0</v>
      </c>
      <c r="BD97" s="3199">
        <f t="shared" si="45"/>
        <v>0</v>
      </c>
      <c r="BE97" s="3199">
        <f t="shared" si="46"/>
        <v>0</v>
      </c>
      <c r="BF97" s="3199">
        <f t="shared" si="47"/>
        <v>0</v>
      </c>
      <c r="BG97" s="3199">
        <f t="shared" si="48"/>
        <v>0</v>
      </c>
      <c r="BH97" s="3199">
        <f t="shared" si="49"/>
        <v>0</v>
      </c>
      <c r="BI97" s="3199">
        <f t="shared" si="50"/>
        <v>0</v>
      </c>
      <c r="BJ97" s="3199">
        <f t="shared" si="51"/>
        <v>0</v>
      </c>
      <c r="BK97" s="3199">
        <f t="shared" si="52"/>
        <v>0</v>
      </c>
      <c r="BL97" s="3199">
        <f t="shared" si="53"/>
        <v>0</v>
      </c>
      <c r="BM97" s="3199">
        <f t="shared" si="54"/>
        <v>0</v>
      </c>
      <c r="BN97" s="3199">
        <f t="shared" si="55"/>
        <v>0</v>
      </c>
      <c r="BO97" s="3199">
        <f t="shared" si="56"/>
        <v>0</v>
      </c>
      <c r="BP97" s="3199">
        <f t="shared" si="57"/>
        <v>0</v>
      </c>
      <c r="BQ97" s="3199">
        <f t="shared" si="58"/>
        <v>0</v>
      </c>
      <c r="BR97" s="3199">
        <f t="shared" si="59"/>
        <v>0</v>
      </c>
      <c r="BS97" s="3199">
        <f t="shared" si="60"/>
        <v>0</v>
      </c>
      <c r="BT97" s="3271">
        <f t="shared" si="61"/>
        <v>0</v>
      </c>
    </row>
    <row r="98" spans="1:72">
      <c r="A98" s="3197"/>
      <c r="B98" s="3198"/>
      <c r="C98" s="3198"/>
      <c r="D98" s="3193"/>
      <c r="E98" s="3199">
        <f t="shared" si="33"/>
        <v>0</v>
      </c>
      <c r="F98" s="3200"/>
      <c r="G98" s="3201">
        <f t="shared" si="34"/>
        <v>0</v>
      </c>
      <c r="H98" s="3202">
        <f t="shared" si="35"/>
        <v>0</v>
      </c>
      <c r="I98" s="3218"/>
      <c r="J98" s="3218"/>
      <c r="K98" s="3218"/>
      <c r="L98" s="3218"/>
      <c r="M98" s="3218"/>
      <c r="N98" s="3218"/>
      <c r="O98" s="3218"/>
      <c r="P98" s="3218"/>
      <c r="Q98" s="3218"/>
      <c r="R98" s="3218"/>
      <c r="S98" s="3218"/>
      <c r="T98" s="3218"/>
      <c r="U98" s="3218"/>
      <c r="V98" s="3218"/>
      <c r="W98" s="3218"/>
      <c r="X98" s="3218"/>
      <c r="Y98" s="3218"/>
      <c r="Z98" s="3218"/>
      <c r="AA98" s="3218"/>
      <c r="AB98" s="3218"/>
      <c r="AC98" s="3199">
        <f t="shared" si="36"/>
        <v>0</v>
      </c>
      <c r="AD98" s="3229"/>
      <c r="AE98" s="3229"/>
      <c r="AF98" s="3229"/>
      <c r="AG98" s="3229"/>
      <c r="AH98" s="3229"/>
      <c r="AI98" s="3229"/>
      <c r="AJ98" s="3229"/>
      <c r="AK98" s="3229"/>
      <c r="AL98" s="3229"/>
      <c r="AM98" s="3229"/>
      <c r="AN98" s="3229"/>
      <c r="AO98" s="3229"/>
      <c r="AP98" s="3229"/>
      <c r="AQ98" s="3229"/>
      <c r="AR98" s="3229"/>
      <c r="AS98" s="3229"/>
      <c r="AT98" s="3249"/>
      <c r="AU98" s="3250"/>
      <c r="AV98" s="475">
        <f t="shared" si="37"/>
        <v>0</v>
      </c>
      <c r="AW98" s="475">
        <f t="shared" si="38"/>
        <v>0</v>
      </c>
      <c r="AX98" s="475">
        <f t="shared" si="39"/>
        <v>0</v>
      </c>
      <c r="AY98" s="3266">
        <f t="shared" si="40"/>
        <v>0</v>
      </c>
      <c r="AZ98" s="3199">
        <f t="shared" si="41"/>
        <v>0</v>
      </c>
      <c r="BA98" s="3199">
        <f t="shared" si="42"/>
        <v>0</v>
      </c>
      <c r="BB98" s="3199">
        <f t="shared" si="43"/>
        <v>0</v>
      </c>
      <c r="BC98" s="3199">
        <f t="shared" si="44"/>
        <v>0</v>
      </c>
      <c r="BD98" s="3199">
        <f t="shared" si="45"/>
        <v>0</v>
      </c>
      <c r="BE98" s="3199">
        <f t="shared" si="46"/>
        <v>0</v>
      </c>
      <c r="BF98" s="3199">
        <f t="shared" si="47"/>
        <v>0</v>
      </c>
      <c r="BG98" s="3199">
        <f t="shared" si="48"/>
        <v>0</v>
      </c>
      <c r="BH98" s="3199">
        <f t="shared" si="49"/>
        <v>0</v>
      </c>
      <c r="BI98" s="3199">
        <f t="shared" si="50"/>
        <v>0</v>
      </c>
      <c r="BJ98" s="3199">
        <f t="shared" si="51"/>
        <v>0</v>
      </c>
      <c r="BK98" s="3199">
        <f t="shared" si="52"/>
        <v>0</v>
      </c>
      <c r="BL98" s="3199">
        <f t="shared" si="53"/>
        <v>0</v>
      </c>
      <c r="BM98" s="3199">
        <f t="shared" si="54"/>
        <v>0</v>
      </c>
      <c r="BN98" s="3199">
        <f t="shared" si="55"/>
        <v>0</v>
      </c>
      <c r="BO98" s="3199">
        <f t="shared" si="56"/>
        <v>0</v>
      </c>
      <c r="BP98" s="3199">
        <f t="shared" si="57"/>
        <v>0</v>
      </c>
      <c r="BQ98" s="3199">
        <f t="shared" si="58"/>
        <v>0</v>
      </c>
      <c r="BR98" s="3199">
        <f t="shared" si="59"/>
        <v>0</v>
      </c>
      <c r="BS98" s="3199">
        <f t="shared" si="60"/>
        <v>0</v>
      </c>
      <c r="BT98" s="3271">
        <f t="shared" si="61"/>
        <v>0</v>
      </c>
    </row>
    <row r="99" spans="1:72">
      <c r="A99" s="3197"/>
      <c r="B99" s="3198"/>
      <c r="C99" s="3198"/>
      <c r="D99" s="3193"/>
      <c r="E99" s="3199">
        <f t="shared" si="33"/>
        <v>0</v>
      </c>
      <c r="F99" s="3200"/>
      <c r="G99" s="3201">
        <f t="shared" si="34"/>
        <v>0</v>
      </c>
      <c r="H99" s="3202">
        <f t="shared" si="35"/>
        <v>0</v>
      </c>
      <c r="I99" s="3218"/>
      <c r="J99" s="3218"/>
      <c r="K99" s="3218"/>
      <c r="L99" s="3218"/>
      <c r="M99" s="3218"/>
      <c r="N99" s="3218"/>
      <c r="O99" s="3218"/>
      <c r="P99" s="3218"/>
      <c r="Q99" s="3218"/>
      <c r="R99" s="3218"/>
      <c r="S99" s="3218"/>
      <c r="T99" s="3218"/>
      <c r="U99" s="3218"/>
      <c r="V99" s="3218"/>
      <c r="W99" s="3218"/>
      <c r="X99" s="3218"/>
      <c r="Y99" s="3218"/>
      <c r="Z99" s="3218"/>
      <c r="AA99" s="3218"/>
      <c r="AB99" s="3218"/>
      <c r="AC99" s="3199">
        <f t="shared" si="36"/>
        <v>0</v>
      </c>
      <c r="AD99" s="3229"/>
      <c r="AE99" s="3229"/>
      <c r="AF99" s="3229"/>
      <c r="AG99" s="3229"/>
      <c r="AH99" s="3229"/>
      <c r="AI99" s="3229"/>
      <c r="AJ99" s="3229"/>
      <c r="AK99" s="3229"/>
      <c r="AL99" s="3229"/>
      <c r="AM99" s="3229"/>
      <c r="AN99" s="3229"/>
      <c r="AO99" s="3229"/>
      <c r="AP99" s="3229"/>
      <c r="AQ99" s="3229"/>
      <c r="AR99" s="3229"/>
      <c r="AS99" s="3229"/>
      <c r="AT99" s="3249"/>
      <c r="AU99" s="3250"/>
      <c r="AV99" s="475">
        <f t="shared" si="37"/>
        <v>0</v>
      </c>
      <c r="AW99" s="475">
        <f t="shared" si="38"/>
        <v>0</v>
      </c>
      <c r="AX99" s="475">
        <f t="shared" si="39"/>
        <v>0</v>
      </c>
      <c r="AY99" s="3266">
        <f t="shared" si="40"/>
        <v>0</v>
      </c>
      <c r="AZ99" s="3199">
        <f t="shared" si="41"/>
        <v>0</v>
      </c>
      <c r="BA99" s="3199">
        <f t="shared" si="42"/>
        <v>0</v>
      </c>
      <c r="BB99" s="3199">
        <f t="shared" si="43"/>
        <v>0</v>
      </c>
      <c r="BC99" s="3199">
        <f t="shared" si="44"/>
        <v>0</v>
      </c>
      <c r="BD99" s="3199">
        <f t="shared" si="45"/>
        <v>0</v>
      </c>
      <c r="BE99" s="3199">
        <f t="shared" si="46"/>
        <v>0</v>
      </c>
      <c r="BF99" s="3199">
        <f t="shared" si="47"/>
        <v>0</v>
      </c>
      <c r="BG99" s="3199">
        <f t="shared" si="48"/>
        <v>0</v>
      </c>
      <c r="BH99" s="3199">
        <f t="shared" si="49"/>
        <v>0</v>
      </c>
      <c r="BI99" s="3199">
        <f t="shared" si="50"/>
        <v>0</v>
      </c>
      <c r="BJ99" s="3199">
        <f t="shared" si="51"/>
        <v>0</v>
      </c>
      <c r="BK99" s="3199">
        <f t="shared" si="52"/>
        <v>0</v>
      </c>
      <c r="BL99" s="3199">
        <f t="shared" si="53"/>
        <v>0</v>
      </c>
      <c r="BM99" s="3199">
        <f t="shared" si="54"/>
        <v>0</v>
      </c>
      <c r="BN99" s="3199">
        <f t="shared" si="55"/>
        <v>0</v>
      </c>
      <c r="BO99" s="3199">
        <f t="shared" si="56"/>
        <v>0</v>
      </c>
      <c r="BP99" s="3199">
        <f t="shared" si="57"/>
        <v>0</v>
      </c>
      <c r="BQ99" s="3199">
        <f t="shared" si="58"/>
        <v>0</v>
      </c>
      <c r="BR99" s="3199">
        <f t="shared" si="59"/>
        <v>0</v>
      </c>
      <c r="BS99" s="3199">
        <f t="shared" si="60"/>
        <v>0</v>
      </c>
      <c r="BT99" s="3271">
        <f t="shared" si="61"/>
        <v>0</v>
      </c>
    </row>
    <row r="100" spans="1:72">
      <c r="A100" s="3197"/>
      <c r="B100" s="3198"/>
      <c r="C100" s="3198"/>
      <c r="D100" s="3193"/>
      <c r="E100" s="3199">
        <f t="shared" si="33"/>
        <v>0</v>
      </c>
      <c r="F100" s="3200"/>
      <c r="G100" s="3201">
        <f t="shared" si="34"/>
        <v>0</v>
      </c>
      <c r="H100" s="3202">
        <f t="shared" si="35"/>
        <v>0</v>
      </c>
      <c r="I100" s="3218"/>
      <c r="J100" s="3218"/>
      <c r="K100" s="3218"/>
      <c r="L100" s="3218"/>
      <c r="M100" s="3218"/>
      <c r="N100" s="3218"/>
      <c r="O100" s="3218"/>
      <c r="P100" s="3218"/>
      <c r="Q100" s="3218"/>
      <c r="R100" s="3218"/>
      <c r="S100" s="3218"/>
      <c r="T100" s="3218"/>
      <c r="U100" s="3218"/>
      <c r="V100" s="3218"/>
      <c r="W100" s="3218"/>
      <c r="X100" s="3218"/>
      <c r="Y100" s="3218"/>
      <c r="Z100" s="3218"/>
      <c r="AA100" s="3218"/>
      <c r="AB100" s="3218"/>
      <c r="AC100" s="3199">
        <f t="shared" si="36"/>
        <v>0</v>
      </c>
      <c r="AD100" s="3229"/>
      <c r="AE100" s="3229"/>
      <c r="AF100" s="3229"/>
      <c r="AG100" s="3229"/>
      <c r="AH100" s="3229"/>
      <c r="AI100" s="3229"/>
      <c r="AJ100" s="3229"/>
      <c r="AK100" s="3229"/>
      <c r="AL100" s="3229"/>
      <c r="AM100" s="3229"/>
      <c r="AN100" s="3229"/>
      <c r="AO100" s="3229"/>
      <c r="AP100" s="3229"/>
      <c r="AQ100" s="3229"/>
      <c r="AR100" s="3229"/>
      <c r="AS100" s="3229"/>
      <c r="AT100" s="3249"/>
      <c r="AU100" s="3250"/>
      <c r="AV100" s="475">
        <f t="shared" si="37"/>
        <v>0</v>
      </c>
      <c r="AW100" s="475">
        <f t="shared" si="38"/>
        <v>0</v>
      </c>
      <c r="AX100" s="475">
        <f t="shared" si="39"/>
        <v>0</v>
      </c>
      <c r="AY100" s="3266">
        <f t="shared" si="40"/>
        <v>0</v>
      </c>
      <c r="AZ100" s="3199">
        <f t="shared" si="41"/>
        <v>0</v>
      </c>
      <c r="BA100" s="3199">
        <f t="shared" si="42"/>
        <v>0</v>
      </c>
      <c r="BB100" s="3199">
        <f t="shared" si="43"/>
        <v>0</v>
      </c>
      <c r="BC100" s="3199">
        <f t="shared" si="44"/>
        <v>0</v>
      </c>
      <c r="BD100" s="3199">
        <f t="shared" si="45"/>
        <v>0</v>
      </c>
      <c r="BE100" s="3199">
        <f t="shared" si="46"/>
        <v>0</v>
      </c>
      <c r="BF100" s="3199">
        <f t="shared" si="47"/>
        <v>0</v>
      </c>
      <c r="BG100" s="3199">
        <f t="shared" si="48"/>
        <v>0</v>
      </c>
      <c r="BH100" s="3199">
        <f t="shared" si="49"/>
        <v>0</v>
      </c>
      <c r="BI100" s="3199">
        <f t="shared" si="50"/>
        <v>0</v>
      </c>
      <c r="BJ100" s="3199">
        <f t="shared" si="51"/>
        <v>0</v>
      </c>
      <c r="BK100" s="3199">
        <f t="shared" si="52"/>
        <v>0</v>
      </c>
      <c r="BL100" s="3199">
        <f t="shared" si="53"/>
        <v>0</v>
      </c>
      <c r="BM100" s="3199">
        <f t="shared" si="54"/>
        <v>0</v>
      </c>
      <c r="BN100" s="3199">
        <f t="shared" si="55"/>
        <v>0</v>
      </c>
      <c r="BO100" s="3199">
        <f t="shared" si="56"/>
        <v>0</v>
      </c>
      <c r="BP100" s="3199">
        <f t="shared" si="57"/>
        <v>0</v>
      </c>
      <c r="BQ100" s="3199">
        <f t="shared" si="58"/>
        <v>0</v>
      </c>
      <c r="BR100" s="3199">
        <f t="shared" si="59"/>
        <v>0</v>
      </c>
      <c r="BS100" s="3199">
        <f t="shared" si="60"/>
        <v>0</v>
      </c>
      <c r="BT100" s="3271">
        <f t="shared" si="61"/>
        <v>0</v>
      </c>
    </row>
    <row r="101" spans="1:72">
      <c r="A101" s="3197"/>
      <c r="B101" s="3198"/>
      <c r="C101" s="3198"/>
      <c r="D101" s="3193"/>
      <c r="E101" s="3199">
        <f t="shared" si="33"/>
        <v>0</v>
      </c>
      <c r="F101" s="3200"/>
      <c r="G101" s="3201">
        <f t="shared" si="34"/>
        <v>0</v>
      </c>
      <c r="H101" s="3202">
        <f t="shared" si="35"/>
        <v>0</v>
      </c>
      <c r="I101" s="3218"/>
      <c r="J101" s="3218"/>
      <c r="K101" s="3218"/>
      <c r="L101" s="3218"/>
      <c r="M101" s="3218"/>
      <c r="N101" s="3218"/>
      <c r="O101" s="3218"/>
      <c r="P101" s="3218"/>
      <c r="Q101" s="3218"/>
      <c r="R101" s="3218"/>
      <c r="S101" s="3218"/>
      <c r="T101" s="3218"/>
      <c r="U101" s="3218"/>
      <c r="V101" s="3218"/>
      <c r="W101" s="3218"/>
      <c r="X101" s="3218"/>
      <c r="Y101" s="3218"/>
      <c r="Z101" s="3218"/>
      <c r="AA101" s="3218"/>
      <c r="AB101" s="3218"/>
      <c r="AC101" s="3199">
        <f t="shared" si="36"/>
        <v>0</v>
      </c>
      <c r="AD101" s="3229"/>
      <c r="AE101" s="3229"/>
      <c r="AF101" s="3229"/>
      <c r="AG101" s="3229"/>
      <c r="AH101" s="3229"/>
      <c r="AI101" s="3229"/>
      <c r="AJ101" s="3229"/>
      <c r="AK101" s="3229"/>
      <c r="AL101" s="3229"/>
      <c r="AM101" s="3229"/>
      <c r="AN101" s="3229"/>
      <c r="AO101" s="3229"/>
      <c r="AP101" s="3229"/>
      <c r="AQ101" s="3229"/>
      <c r="AR101" s="3229"/>
      <c r="AS101" s="3229"/>
      <c r="AT101" s="3249"/>
      <c r="AU101" s="3250"/>
      <c r="AV101" s="475">
        <f t="shared" si="37"/>
        <v>0</v>
      </c>
      <c r="AW101" s="475">
        <f t="shared" si="38"/>
        <v>0</v>
      </c>
      <c r="AX101" s="475">
        <f t="shared" si="39"/>
        <v>0</v>
      </c>
      <c r="AY101" s="3266">
        <f t="shared" si="40"/>
        <v>0</v>
      </c>
      <c r="AZ101" s="3199">
        <f t="shared" si="41"/>
        <v>0</v>
      </c>
      <c r="BA101" s="3199">
        <f t="shared" si="42"/>
        <v>0</v>
      </c>
      <c r="BB101" s="3199">
        <f t="shared" si="43"/>
        <v>0</v>
      </c>
      <c r="BC101" s="3199">
        <f t="shared" si="44"/>
        <v>0</v>
      </c>
      <c r="BD101" s="3199">
        <f t="shared" si="45"/>
        <v>0</v>
      </c>
      <c r="BE101" s="3199">
        <f t="shared" si="46"/>
        <v>0</v>
      </c>
      <c r="BF101" s="3199">
        <f t="shared" si="47"/>
        <v>0</v>
      </c>
      <c r="BG101" s="3199">
        <f t="shared" si="48"/>
        <v>0</v>
      </c>
      <c r="BH101" s="3199">
        <f t="shared" si="49"/>
        <v>0</v>
      </c>
      <c r="BI101" s="3199">
        <f t="shared" si="50"/>
        <v>0</v>
      </c>
      <c r="BJ101" s="3199">
        <f t="shared" si="51"/>
        <v>0</v>
      </c>
      <c r="BK101" s="3199">
        <f t="shared" si="52"/>
        <v>0</v>
      </c>
      <c r="BL101" s="3199">
        <f t="shared" si="53"/>
        <v>0</v>
      </c>
      <c r="BM101" s="3199">
        <f t="shared" si="54"/>
        <v>0</v>
      </c>
      <c r="BN101" s="3199">
        <f t="shared" si="55"/>
        <v>0</v>
      </c>
      <c r="BO101" s="3199">
        <f t="shared" si="56"/>
        <v>0</v>
      </c>
      <c r="BP101" s="3199">
        <f t="shared" si="57"/>
        <v>0</v>
      </c>
      <c r="BQ101" s="3199">
        <f t="shared" si="58"/>
        <v>0</v>
      </c>
      <c r="BR101" s="3199">
        <f t="shared" si="59"/>
        <v>0</v>
      </c>
      <c r="BS101" s="3199">
        <f t="shared" si="60"/>
        <v>0</v>
      </c>
      <c r="BT101" s="3271">
        <f t="shared" si="61"/>
        <v>0</v>
      </c>
    </row>
    <row r="102" spans="1:72">
      <c r="A102" s="3197"/>
      <c r="B102" s="3198"/>
      <c r="C102" s="3198"/>
      <c r="D102" s="3193"/>
      <c r="E102" s="3199">
        <f t="shared" si="33"/>
        <v>0</v>
      </c>
      <c r="F102" s="3200"/>
      <c r="G102" s="3201">
        <f t="shared" si="34"/>
        <v>0</v>
      </c>
      <c r="H102" s="3202">
        <f t="shared" si="35"/>
        <v>0</v>
      </c>
      <c r="I102" s="3218"/>
      <c r="J102" s="3218"/>
      <c r="K102" s="3218"/>
      <c r="L102" s="3218"/>
      <c r="M102" s="3218"/>
      <c r="N102" s="3218"/>
      <c r="O102" s="3218"/>
      <c r="P102" s="3218"/>
      <c r="Q102" s="3218"/>
      <c r="R102" s="3218"/>
      <c r="S102" s="3218"/>
      <c r="T102" s="3218"/>
      <c r="U102" s="3218"/>
      <c r="V102" s="3218"/>
      <c r="W102" s="3218"/>
      <c r="X102" s="3218"/>
      <c r="Y102" s="3218"/>
      <c r="Z102" s="3218"/>
      <c r="AA102" s="3218"/>
      <c r="AB102" s="3218"/>
      <c r="AC102" s="3199">
        <f t="shared" si="36"/>
        <v>0</v>
      </c>
      <c r="AD102" s="3229"/>
      <c r="AE102" s="3229"/>
      <c r="AF102" s="3229"/>
      <c r="AG102" s="3229"/>
      <c r="AH102" s="3229"/>
      <c r="AI102" s="3229"/>
      <c r="AJ102" s="3229"/>
      <c r="AK102" s="3229"/>
      <c r="AL102" s="3229"/>
      <c r="AM102" s="3229"/>
      <c r="AN102" s="3229"/>
      <c r="AO102" s="3229"/>
      <c r="AP102" s="3229"/>
      <c r="AQ102" s="3229"/>
      <c r="AR102" s="3229"/>
      <c r="AS102" s="3229"/>
      <c r="AT102" s="3249"/>
      <c r="AU102" s="3250"/>
      <c r="AV102" s="475">
        <f t="shared" si="37"/>
        <v>0</v>
      </c>
      <c r="AW102" s="475">
        <f t="shared" si="38"/>
        <v>0</v>
      </c>
      <c r="AX102" s="475">
        <f t="shared" si="39"/>
        <v>0</v>
      </c>
      <c r="AY102" s="3266">
        <f t="shared" si="40"/>
        <v>0</v>
      </c>
      <c r="AZ102" s="3199">
        <f t="shared" si="41"/>
        <v>0</v>
      </c>
      <c r="BA102" s="3199">
        <f t="shared" si="42"/>
        <v>0</v>
      </c>
      <c r="BB102" s="3199">
        <f t="shared" si="43"/>
        <v>0</v>
      </c>
      <c r="BC102" s="3199">
        <f t="shared" si="44"/>
        <v>0</v>
      </c>
      <c r="BD102" s="3199">
        <f t="shared" si="45"/>
        <v>0</v>
      </c>
      <c r="BE102" s="3199">
        <f t="shared" si="46"/>
        <v>0</v>
      </c>
      <c r="BF102" s="3199">
        <f t="shared" si="47"/>
        <v>0</v>
      </c>
      <c r="BG102" s="3199">
        <f t="shared" si="48"/>
        <v>0</v>
      </c>
      <c r="BH102" s="3199">
        <f t="shared" si="49"/>
        <v>0</v>
      </c>
      <c r="BI102" s="3199">
        <f t="shared" si="50"/>
        <v>0</v>
      </c>
      <c r="BJ102" s="3199">
        <f t="shared" si="51"/>
        <v>0</v>
      </c>
      <c r="BK102" s="3199">
        <f t="shared" si="52"/>
        <v>0</v>
      </c>
      <c r="BL102" s="3199">
        <f t="shared" si="53"/>
        <v>0</v>
      </c>
      <c r="BM102" s="3199">
        <f t="shared" si="54"/>
        <v>0</v>
      </c>
      <c r="BN102" s="3199">
        <f t="shared" si="55"/>
        <v>0</v>
      </c>
      <c r="BO102" s="3199">
        <f t="shared" si="56"/>
        <v>0</v>
      </c>
      <c r="BP102" s="3199">
        <f t="shared" si="57"/>
        <v>0</v>
      </c>
      <c r="BQ102" s="3199">
        <f t="shared" si="58"/>
        <v>0</v>
      </c>
      <c r="BR102" s="3199">
        <f t="shared" si="59"/>
        <v>0</v>
      </c>
      <c r="BS102" s="3199">
        <f t="shared" si="60"/>
        <v>0</v>
      </c>
      <c r="BT102" s="3271">
        <f t="shared" si="61"/>
        <v>0</v>
      </c>
    </row>
    <row r="103" spans="1:72">
      <c r="A103" s="3197"/>
      <c r="B103" s="3198"/>
      <c r="C103" s="3198"/>
      <c r="D103" s="3193"/>
      <c r="E103" s="3199">
        <f t="shared" si="33"/>
        <v>0</v>
      </c>
      <c r="F103" s="3200"/>
      <c r="G103" s="3201">
        <f t="shared" si="34"/>
        <v>0</v>
      </c>
      <c r="H103" s="3202">
        <f t="shared" si="35"/>
        <v>0</v>
      </c>
      <c r="I103" s="3218"/>
      <c r="J103" s="3218"/>
      <c r="K103" s="3218"/>
      <c r="L103" s="3218"/>
      <c r="M103" s="3218"/>
      <c r="N103" s="3218"/>
      <c r="O103" s="3218"/>
      <c r="P103" s="3218"/>
      <c r="Q103" s="3218"/>
      <c r="R103" s="3218"/>
      <c r="S103" s="3218"/>
      <c r="T103" s="3218"/>
      <c r="U103" s="3218"/>
      <c r="V103" s="3218"/>
      <c r="W103" s="3218"/>
      <c r="X103" s="3218"/>
      <c r="Y103" s="3218"/>
      <c r="Z103" s="3218"/>
      <c r="AA103" s="3218"/>
      <c r="AB103" s="3218"/>
      <c r="AC103" s="3199">
        <f t="shared" si="36"/>
        <v>0</v>
      </c>
      <c r="AD103" s="3229"/>
      <c r="AE103" s="3229"/>
      <c r="AF103" s="3229"/>
      <c r="AG103" s="3229"/>
      <c r="AH103" s="3229"/>
      <c r="AI103" s="3229"/>
      <c r="AJ103" s="3229"/>
      <c r="AK103" s="3229"/>
      <c r="AL103" s="3229"/>
      <c r="AM103" s="3229"/>
      <c r="AN103" s="3229"/>
      <c r="AO103" s="3229"/>
      <c r="AP103" s="3229"/>
      <c r="AQ103" s="3229"/>
      <c r="AR103" s="3229"/>
      <c r="AS103" s="3229"/>
      <c r="AT103" s="3249"/>
      <c r="AU103" s="3250"/>
      <c r="AV103" s="475">
        <f t="shared" si="37"/>
        <v>0</v>
      </c>
      <c r="AW103" s="475">
        <f t="shared" si="38"/>
        <v>0</v>
      </c>
      <c r="AX103" s="475">
        <f t="shared" si="39"/>
        <v>0</v>
      </c>
      <c r="AY103" s="3266">
        <f t="shared" si="40"/>
        <v>0</v>
      </c>
      <c r="AZ103" s="3199">
        <f t="shared" si="41"/>
        <v>0</v>
      </c>
      <c r="BA103" s="3199">
        <f t="shared" si="42"/>
        <v>0</v>
      </c>
      <c r="BB103" s="3199">
        <f t="shared" si="43"/>
        <v>0</v>
      </c>
      <c r="BC103" s="3199">
        <f t="shared" si="44"/>
        <v>0</v>
      </c>
      <c r="BD103" s="3199">
        <f t="shared" si="45"/>
        <v>0</v>
      </c>
      <c r="BE103" s="3199">
        <f t="shared" si="46"/>
        <v>0</v>
      </c>
      <c r="BF103" s="3199">
        <f t="shared" si="47"/>
        <v>0</v>
      </c>
      <c r="BG103" s="3199">
        <f t="shared" si="48"/>
        <v>0</v>
      </c>
      <c r="BH103" s="3199">
        <f t="shared" si="49"/>
        <v>0</v>
      </c>
      <c r="BI103" s="3199">
        <f t="shared" si="50"/>
        <v>0</v>
      </c>
      <c r="BJ103" s="3199">
        <f t="shared" si="51"/>
        <v>0</v>
      </c>
      <c r="BK103" s="3199">
        <f t="shared" si="52"/>
        <v>0</v>
      </c>
      <c r="BL103" s="3199">
        <f t="shared" si="53"/>
        <v>0</v>
      </c>
      <c r="BM103" s="3199">
        <f t="shared" si="54"/>
        <v>0</v>
      </c>
      <c r="BN103" s="3199">
        <f t="shared" si="55"/>
        <v>0</v>
      </c>
      <c r="BO103" s="3199">
        <f t="shared" si="56"/>
        <v>0</v>
      </c>
      <c r="BP103" s="3199">
        <f t="shared" si="57"/>
        <v>0</v>
      </c>
      <c r="BQ103" s="3199">
        <f t="shared" si="58"/>
        <v>0</v>
      </c>
      <c r="BR103" s="3199">
        <f t="shared" si="59"/>
        <v>0</v>
      </c>
      <c r="BS103" s="3199">
        <f t="shared" si="60"/>
        <v>0</v>
      </c>
      <c r="BT103" s="3271">
        <f t="shared" si="61"/>
        <v>0</v>
      </c>
    </row>
    <row r="104" spans="1:72">
      <c r="A104" s="3197"/>
      <c r="B104" s="3198"/>
      <c r="C104" s="3198"/>
      <c r="D104" s="3193"/>
      <c r="E104" s="3199">
        <f t="shared" si="33"/>
        <v>0</v>
      </c>
      <c r="F104" s="3200"/>
      <c r="G104" s="3201">
        <f t="shared" si="34"/>
        <v>0</v>
      </c>
      <c r="H104" s="3202">
        <f t="shared" si="35"/>
        <v>0</v>
      </c>
      <c r="I104" s="3218"/>
      <c r="J104" s="3218"/>
      <c r="K104" s="3218"/>
      <c r="L104" s="3218"/>
      <c r="M104" s="3218"/>
      <c r="N104" s="3218"/>
      <c r="O104" s="3218"/>
      <c r="P104" s="3218"/>
      <c r="Q104" s="3218"/>
      <c r="R104" s="3218"/>
      <c r="S104" s="3218"/>
      <c r="T104" s="3218"/>
      <c r="U104" s="3218"/>
      <c r="V104" s="3218"/>
      <c r="W104" s="3218"/>
      <c r="X104" s="3218"/>
      <c r="Y104" s="3218"/>
      <c r="Z104" s="3218"/>
      <c r="AA104" s="3218"/>
      <c r="AB104" s="3218"/>
      <c r="AC104" s="3199">
        <f t="shared" si="36"/>
        <v>0</v>
      </c>
      <c r="AD104" s="3229"/>
      <c r="AE104" s="3229"/>
      <c r="AF104" s="3229"/>
      <c r="AG104" s="3229"/>
      <c r="AH104" s="3229"/>
      <c r="AI104" s="3229"/>
      <c r="AJ104" s="3229"/>
      <c r="AK104" s="3229"/>
      <c r="AL104" s="3229"/>
      <c r="AM104" s="3229"/>
      <c r="AN104" s="3229"/>
      <c r="AO104" s="3229"/>
      <c r="AP104" s="3229"/>
      <c r="AQ104" s="3229"/>
      <c r="AR104" s="3229"/>
      <c r="AS104" s="3229"/>
      <c r="AT104" s="3249"/>
      <c r="AU104" s="3250"/>
      <c r="AV104" s="475">
        <f t="shared" si="37"/>
        <v>0</v>
      </c>
      <c r="AW104" s="475">
        <f t="shared" si="38"/>
        <v>0</v>
      </c>
      <c r="AX104" s="475">
        <f t="shared" si="39"/>
        <v>0</v>
      </c>
      <c r="AY104" s="3266">
        <f t="shared" si="40"/>
        <v>0</v>
      </c>
      <c r="AZ104" s="3199">
        <f t="shared" si="41"/>
        <v>0</v>
      </c>
      <c r="BA104" s="3199">
        <f t="shared" si="42"/>
        <v>0</v>
      </c>
      <c r="BB104" s="3199">
        <f t="shared" si="43"/>
        <v>0</v>
      </c>
      <c r="BC104" s="3199">
        <f t="shared" si="44"/>
        <v>0</v>
      </c>
      <c r="BD104" s="3199">
        <f t="shared" si="45"/>
        <v>0</v>
      </c>
      <c r="BE104" s="3199">
        <f t="shared" si="46"/>
        <v>0</v>
      </c>
      <c r="BF104" s="3199">
        <f t="shared" si="47"/>
        <v>0</v>
      </c>
      <c r="BG104" s="3199">
        <f t="shared" si="48"/>
        <v>0</v>
      </c>
      <c r="BH104" s="3199">
        <f t="shared" si="49"/>
        <v>0</v>
      </c>
      <c r="BI104" s="3199">
        <f t="shared" si="50"/>
        <v>0</v>
      </c>
      <c r="BJ104" s="3199">
        <f t="shared" si="51"/>
        <v>0</v>
      </c>
      <c r="BK104" s="3199">
        <f t="shared" si="52"/>
        <v>0</v>
      </c>
      <c r="BL104" s="3199">
        <f t="shared" si="53"/>
        <v>0</v>
      </c>
      <c r="BM104" s="3199">
        <f t="shared" si="54"/>
        <v>0</v>
      </c>
      <c r="BN104" s="3199">
        <f t="shared" si="55"/>
        <v>0</v>
      </c>
      <c r="BO104" s="3199">
        <f t="shared" si="56"/>
        <v>0</v>
      </c>
      <c r="BP104" s="3199">
        <f t="shared" si="57"/>
        <v>0</v>
      </c>
      <c r="BQ104" s="3199">
        <f t="shared" si="58"/>
        <v>0</v>
      </c>
      <c r="BR104" s="3199">
        <f t="shared" si="59"/>
        <v>0</v>
      </c>
      <c r="BS104" s="3199">
        <f t="shared" si="60"/>
        <v>0</v>
      </c>
      <c r="BT104" s="3271">
        <f t="shared" si="61"/>
        <v>0</v>
      </c>
    </row>
    <row r="105" spans="1:72">
      <c r="A105" s="3197"/>
      <c r="B105" s="3198"/>
      <c r="C105" s="3198"/>
      <c r="D105" s="3193"/>
      <c r="E105" s="3199">
        <f t="shared" si="33"/>
        <v>0</v>
      </c>
      <c r="F105" s="3200"/>
      <c r="G105" s="3201">
        <f t="shared" si="34"/>
        <v>0</v>
      </c>
      <c r="H105" s="3202">
        <f t="shared" si="35"/>
        <v>0</v>
      </c>
      <c r="I105" s="3218"/>
      <c r="J105" s="3218"/>
      <c r="K105" s="3218"/>
      <c r="L105" s="3218"/>
      <c r="M105" s="3218"/>
      <c r="N105" s="3218"/>
      <c r="O105" s="3218"/>
      <c r="P105" s="3218"/>
      <c r="Q105" s="3218"/>
      <c r="R105" s="3218"/>
      <c r="S105" s="3218"/>
      <c r="T105" s="3218"/>
      <c r="U105" s="3218"/>
      <c r="V105" s="3218"/>
      <c r="W105" s="3218"/>
      <c r="X105" s="3218"/>
      <c r="Y105" s="3218"/>
      <c r="Z105" s="3218"/>
      <c r="AA105" s="3218"/>
      <c r="AB105" s="3218"/>
      <c r="AC105" s="3199">
        <f t="shared" si="36"/>
        <v>0</v>
      </c>
      <c r="AD105" s="3229"/>
      <c r="AE105" s="3229"/>
      <c r="AF105" s="3229"/>
      <c r="AG105" s="3229"/>
      <c r="AH105" s="3229"/>
      <c r="AI105" s="3229"/>
      <c r="AJ105" s="3229"/>
      <c r="AK105" s="3229"/>
      <c r="AL105" s="3229"/>
      <c r="AM105" s="3229"/>
      <c r="AN105" s="3229"/>
      <c r="AO105" s="3229"/>
      <c r="AP105" s="3229"/>
      <c r="AQ105" s="3229"/>
      <c r="AR105" s="3229"/>
      <c r="AS105" s="3229"/>
      <c r="AT105" s="3249"/>
      <c r="AU105" s="3250"/>
      <c r="AV105" s="475">
        <f t="shared" si="37"/>
        <v>0</v>
      </c>
      <c r="AW105" s="475">
        <f t="shared" si="38"/>
        <v>0</v>
      </c>
      <c r="AX105" s="475">
        <f t="shared" si="39"/>
        <v>0</v>
      </c>
      <c r="AY105" s="3266">
        <f t="shared" si="40"/>
        <v>0</v>
      </c>
      <c r="AZ105" s="3199">
        <f t="shared" si="41"/>
        <v>0</v>
      </c>
      <c r="BA105" s="3199">
        <f t="shared" si="42"/>
        <v>0</v>
      </c>
      <c r="BB105" s="3199">
        <f t="shared" si="43"/>
        <v>0</v>
      </c>
      <c r="BC105" s="3199">
        <f t="shared" si="44"/>
        <v>0</v>
      </c>
      <c r="BD105" s="3199">
        <f t="shared" si="45"/>
        <v>0</v>
      </c>
      <c r="BE105" s="3199">
        <f t="shared" si="46"/>
        <v>0</v>
      </c>
      <c r="BF105" s="3199">
        <f t="shared" si="47"/>
        <v>0</v>
      </c>
      <c r="BG105" s="3199">
        <f t="shared" si="48"/>
        <v>0</v>
      </c>
      <c r="BH105" s="3199">
        <f t="shared" si="49"/>
        <v>0</v>
      </c>
      <c r="BI105" s="3199">
        <f t="shared" si="50"/>
        <v>0</v>
      </c>
      <c r="BJ105" s="3199">
        <f t="shared" si="51"/>
        <v>0</v>
      </c>
      <c r="BK105" s="3199">
        <f t="shared" si="52"/>
        <v>0</v>
      </c>
      <c r="BL105" s="3199">
        <f t="shared" si="53"/>
        <v>0</v>
      </c>
      <c r="BM105" s="3199">
        <f t="shared" si="54"/>
        <v>0</v>
      </c>
      <c r="BN105" s="3199">
        <f t="shared" si="55"/>
        <v>0</v>
      </c>
      <c r="BO105" s="3199">
        <f t="shared" si="56"/>
        <v>0</v>
      </c>
      <c r="BP105" s="3199">
        <f t="shared" si="57"/>
        <v>0</v>
      </c>
      <c r="BQ105" s="3199">
        <f t="shared" si="58"/>
        <v>0</v>
      </c>
      <c r="BR105" s="3199">
        <f t="shared" si="59"/>
        <v>0</v>
      </c>
      <c r="BS105" s="3199">
        <f t="shared" si="60"/>
        <v>0</v>
      </c>
      <c r="BT105" s="3271">
        <f t="shared" si="61"/>
        <v>0</v>
      </c>
    </row>
    <row r="106" spans="1:72">
      <c r="A106" s="3197"/>
      <c r="B106" s="3198"/>
      <c r="C106" s="3198"/>
      <c r="D106" s="3193"/>
      <c r="E106" s="3199">
        <f t="shared" si="33"/>
        <v>0</v>
      </c>
      <c r="F106" s="3200"/>
      <c r="G106" s="3201">
        <f t="shared" si="34"/>
        <v>0</v>
      </c>
      <c r="H106" s="3202">
        <f t="shared" si="35"/>
        <v>0</v>
      </c>
      <c r="I106" s="3218"/>
      <c r="J106" s="3218"/>
      <c r="K106" s="3218"/>
      <c r="L106" s="3218"/>
      <c r="M106" s="3218"/>
      <c r="N106" s="3218"/>
      <c r="O106" s="3218"/>
      <c r="P106" s="3218"/>
      <c r="Q106" s="3218"/>
      <c r="R106" s="3218"/>
      <c r="S106" s="3218"/>
      <c r="T106" s="3218"/>
      <c r="U106" s="3218"/>
      <c r="V106" s="3218"/>
      <c r="W106" s="3218"/>
      <c r="X106" s="3218"/>
      <c r="Y106" s="3218"/>
      <c r="Z106" s="3218"/>
      <c r="AA106" s="3218"/>
      <c r="AB106" s="3218"/>
      <c r="AC106" s="3199">
        <f t="shared" si="36"/>
        <v>0</v>
      </c>
      <c r="AD106" s="3229"/>
      <c r="AE106" s="3229"/>
      <c r="AF106" s="3229"/>
      <c r="AG106" s="3229"/>
      <c r="AH106" s="3229"/>
      <c r="AI106" s="3229"/>
      <c r="AJ106" s="3229"/>
      <c r="AK106" s="3229"/>
      <c r="AL106" s="3229"/>
      <c r="AM106" s="3229"/>
      <c r="AN106" s="3229"/>
      <c r="AO106" s="3229"/>
      <c r="AP106" s="3229"/>
      <c r="AQ106" s="3229"/>
      <c r="AR106" s="3229"/>
      <c r="AS106" s="3229"/>
      <c r="AT106" s="3249"/>
      <c r="AU106" s="3250"/>
      <c r="AV106" s="475">
        <f t="shared" si="37"/>
        <v>0</v>
      </c>
      <c r="AW106" s="475">
        <f t="shared" si="38"/>
        <v>0</v>
      </c>
      <c r="AX106" s="475">
        <f t="shared" si="39"/>
        <v>0</v>
      </c>
      <c r="AY106" s="3266">
        <f t="shared" si="40"/>
        <v>0</v>
      </c>
      <c r="AZ106" s="3199">
        <f t="shared" si="41"/>
        <v>0</v>
      </c>
      <c r="BA106" s="3199">
        <f t="shared" si="42"/>
        <v>0</v>
      </c>
      <c r="BB106" s="3199">
        <f t="shared" si="43"/>
        <v>0</v>
      </c>
      <c r="BC106" s="3199">
        <f t="shared" si="44"/>
        <v>0</v>
      </c>
      <c r="BD106" s="3199">
        <f t="shared" si="45"/>
        <v>0</v>
      </c>
      <c r="BE106" s="3199">
        <f t="shared" si="46"/>
        <v>0</v>
      </c>
      <c r="BF106" s="3199">
        <f t="shared" si="47"/>
        <v>0</v>
      </c>
      <c r="BG106" s="3199">
        <f t="shared" si="48"/>
        <v>0</v>
      </c>
      <c r="BH106" s="3199">
        <f t="shared" si="49"/>
        <v>0</v>
      </c>
      <c r="BI106" s="3199">
        <f t="shared" si="50"/>
        <v>0</v>
      </c>
      <c r="BJ106" s="3199">
        <f t="shared" si="51"/>
        <v>0</v>
      </c>
      <c r="BK106" s="3199">
        <f t="shared" si="52"/>
        <v>0</v>
      </c>
      <c r="BL106" s="3199">
        <f t="shared" si="53"/>
        <v>0</v>
      </c>
      <c r="BM106" s="3199">
        <f t="shared" si="54"/>
        <v>0</v>
      </c>
      <c r="BN106" s="3199">
        <f t="shared" si="55"/>
        <v>0</v>
      </c>
      <c r="BO106" s="3199">
        <f t="shared" si="56"/>
        <v>0</v>
      </c>
      <c r="BP106" s="3199">
        <f t="shared" si="57"/>
        <v>0</v>
      </c>
      <c r="BQ106" s="3199">
        <f t="shared" si="58"/>
        <v>0</v>
      </c>
      <c r="BR106" s="3199">
        <f t="shared" si="59"/>
        <v>0</v>
      </c>
      <c r="BS106" s="3199">
        <f t="shared" si="60"/>
        <v>0</v>
      </c>
      <c r="BT106" s="3271">
        <f t="shared" si="61"/>
        <v>0</v>
      </c>
    </row>
    <row r="107" spans="1:72">
      <c r="A107" s="3197"/>
      <c r="B107" s="3198"/>
      <c r="C107" s="3198"/>
      <c r="D107" s="3193"/>
      <c r="E107" s="3199">
        <f t="shared" si="33"/>
        <v>0</v>
      </c>
      <c r="F107" s="3200"/>
      <c r="G107" s="3201">
        <f t="shared" si="34"/>
        <v>0</v>
      </c>
      <c r="H107" s="3202">
        <f t="shared" si="35"/>
        <v>0</v>
      </c>
      <c r="I107" s="3218"/>
      <c r="J107" s="3218"/>
      <c r="K107" s="3218"/>
      <c r="L107" s="3218"/>
      <c r="M107" s="3218"/>
      <c r="N107" s="3218"/>
      <c r="O107" s="3218"/>
      <c r="P107" s="3218"/>
      <c r="Q107" s="3218"/>
      <c r="R107" s="3218"/>
      <c r="S107" s="3218"/>
      <c r="T107" s="3218"/>
      <c r="U107" s="3218"/>
      <c r="V107" s="3218"/>
      <c r="W107" s="3218"/>
      <c r="X107" s="3218"/>
      <c r="Y107" s="3218"/>
      <c r="Z107" s="3218"/>
      <c r="AA107" s="3218"/>
      <c r="AB107" s="3218"/>
      <c r="AC107" s="3199">
        <f t="shared" si="36"/>
        <v>0</v>
      </c>
      <c r="AD107" s="3229"/>
      <c r="AE107" s="3229"/>
      <c r="AF107" s="3229"/>
      <c r="AG107" s="3229"/>
      <c r="AH107" s="3229"/>
      <c r="AI107" s="3229"/>
      <c r="AJ107" s="3229"/>
      <c r="AK107" s="3229"/>
      <c r="AL107" s="3229"/>
      <c r="AM107" s="3229"/>
      <c r="AN107" s="3229"/>
      <c r="AO107" s="3229"/>
      <c r="AP107" s="3229"/>
      <c r="AQ107" s="3229"/>
      <c r="AR107" s="3229"/>
      <c r="AS107" s="3229"/>
      <c r="AT107" s="3249"/>
      <c r="AU107" s="3250"/>
      <c r="AV107" s="475">
        <f t="shared" si="37"/>
        <v>0</v>
      </c>
      <c r="AW107" s="475">
        <f t="shared" si="38"/>
        <v>0</v>
      </c>
      <c r="AX107" s="475">
        <f t="shared" si="39"/>
        <v>0</v>
      </c>
      <c r="AY107" s="3266">
        <f t="shared" si="40"/>
        <v>0</v>
      </c>
      <c r="AZ107" s="3199">
        <f t="shared" si="41"/>
        <v>0</v>
      </c>
      <c r="BA107" s="3199">
        <f t="shared" si="42"/>
        <v>0</v>
      </c>
      <c r="BB107" s="3199">
        <f t="shared" si="43"/>
        <v>0</v>
      </c>
      <c r="BC107" s="3199">
        <f t="shared" si="44"/>
        <v>0</v>
      </c>
      <c r="BD107" s="3199">
        <f t="shared" si="45"/>
        <v>0</v>
      </c>
      <c r="BE107" s="3199">
        <f t="shared" si="46"/>
        <v>0</v>
      </c>
      <c r="BF107" s="3199">
        <f t="shared" si="47"/>
        <v>0</v>
      </c>
      <c r="BG107" s="3199">
        <f t="shared" si="48"/>
        <v>0</v>
      </c>
      <c r="BH107" s="3199">
        <f t="shared" si="49"/>
        <v>0</v>
      </c>
      <c r="BI107" s="3199">
        <f t="shared" si="50"/>
        <v>0</v>
      </c>
      <c r="BJ107" s="3199">
        <f t="shared" si="51"/>
        <v>0</v>
      </c>
      <c r="BK107" s="3199">
        <f t="shared" si="52"/>
        <v>0</v>
      </c>
      <c r="BL107" s="3199">
        <f t="shared" si="53"/>
        <v>0</v>
      </c>
      <c r="BM107" s="3199">
        <f t="shared" si="54"/>
        <v>0</v>
      </c>
      <c r="BN107" s="3199">
        <f t="shared" si="55"/>
        <v>0</v>
      </c>
      <c r="BO107" s="3199">
        <f t="shared" si="56"/>
        <v>0</v>
      </c>
      <c r="BP107" s="3199">
        <f t="shared" si="57"/>
        <v>0</v>
      </c>
      <c r="BQ107" s="3199">
        <f t="shared" si="58"/>
        <v>0</v>
      </c>
      <c r="BR107" s="3199">
        <f t="shared" si="59"/>
        <v>0</v>
      </c>
      <c r="BS107" s="3199">
        <f t="shared" si="60"/>
        <v>0</v>
      </c>
      <c r="BT107" s="3271">
        <f t="shared" si="61"/>
        <v>0</v>
      </c>
    </row>
    <row r="108" spans="1:72">
      <c r="A108" s="3197"/>
      <c r="B108" s="3198"/>
      <c r="C108" s="3198"/>
      <c r="D108" s="3193"/>
      <c r="E108" s="3199">
        <f t="shared" si="33"/>
        <v>0</v>
      </c>
      <c r="F108" s="3200"/>
      <c r="G108" s="3201">
        <f t="shared" si="34"/>
        <v>0</v>
      </c>
      <c r="H108" s="3202">
        <f t="shared" si="35"/>
        <v>0</v>
      </c>
      <c r="I108" s="3218"/>
      <c r="J108" s="3218"/>
      <c r="K108" s="3218"/>
      <c r="L108" s="3218"/>
      <c r="M108" s="3218"/>
      <c r="N108" s="3218"/>
      <c r="O108" s="3218"/>
      <c r="P108" s="3218"/>
      <c r="Q108" s="3218"/>
      <c r="R108" s="3218"/>
      <c r="S108" s="3218"/>
      <c r="T108" s="3218"/>
      <c r="U108" s="3218"/>
      <c r="V108" s="3218"/>
      <c r="W108" s="3218"/>
      <c r="X108" s="3218"/>
      <c r="Y108" s="3218"/>
      <c r="Z108" s="3218"/>
      <c r="AA108" s="3218"/>
      <c r="AB108" s="3218"/>
      <c r="AC108" s="3199">
        <f t="shared" si="36"/>
        <v>0</v>
      </c>
      <c r="AD108" s="3229"/>
      <c r="AE108" s="3229"/>
      <c r="AF108" s="3229"/>
      <c r="AG108" s="3229"/>
      <c r="AH108" s="3229"/>
      <c r="AI108" s="3229"/>
      <c r="AJ108" s="3229"/>
      <c r="AK108" s="3229"/>
      <c r="AL108" s="3229"/>
      <c r="AM108" s="3229"/>
      <c r="AN108" s="3229"/>
      <c r="AO108" s="3229"/>
      <c r="AP108" s="3229"/>
      <c r="AQ108" s="3229"/>
      <c r="AR108" s="3229"/>
      <c r="AS108" s="3229"/>
      <c r="AT108" s="3249"/>
      <c r="AU108" s="3250"/>
      <c r="AV108" s="475">
        <f t="shared" si="37"/>
        <v>0</v>
      </c>
      <c r="AW108" s="475">
        <f t="shared" si="38"/>
        <v>0</v>
      </c>
      <c r="AX108" s="475">
        <f t="shared" si="39"/>
        <v>0</v>
      </c>
      <c r="AY108" s="3266">
        <f t="shared" si="40"/>
        <v>0</v>
      </c>
      <c r="AZ108" s="3199">
        <f t="shared" si="41"/>
        <v>0</v>
      </c>
      <c r="BA108" s="3199">
        <f t="shared" si="42"/>
        <v>0</v>
      </c>
      <c r="BB108" s="3199">
        <f t="shared" si="43"/>
        <v>0</v>
      </c>
      <c r="BC108" s="3199">
        <f t="shared" si="44"/>
        <v>0</v>
      </c>
      <c r="BD108" s="3199">
        <f t="shared" si="45"/>
        <v>0</v>
      </c>
      <c r="BE108" s="3199">
        <f t="shared" si="46"/>
        <v>0</v>
      </c>
      <c r="BF108" s="3199">
        <f t="shared" si="47"/>
        <v>0</v>
      </c>
      <c r="BG108" s="3199">
        <f t="shared" si="48"/>
        <v>0</v>
      </c>
      <c r="BH108" s="3199">
        <f t="shared" si="49"/>
        <v>0</v>
      </c>
      <c r="BI108" s="3199">
        <f t="shared" si="50"/>
        <v>0</v>
      </c>
      <c r="BJ108" s="3199">
        <f t="shared" si="51"/>
        <v>0</v>
      </c>
      <c r="BK108" s="3199">
        <f t="shared" si="52"/>
        <v>0</v>
      </c>
      <c r="BL108" s="3199">
        <f t="shared" si="53"/>
        <v>0</v>
      </c>
      <c r="BM108" s="3199">
        <f t="shared" si="54"/>
        <v>0</v>
      </c>
      <c r="BN108" s="3199">
        <f t="shared" si="55"/>
        <v>0</v>
      </c>
      <c r="BO108" s="3199">
        <f t="shared" si="56"/>
        <v>0</v>
      </c>
      <c r="BP108" s="3199">
        <f t="shared" si="57"/>
        <v>0</v>
      </c>
      <c r="BQ108" s="3199">
        <f t="shared" si="58"/>
        <v>0</v>
      </c>
      <c r="BR108" s="3199">
        <f t="shared" si="59"/>
        <v>0</v>
      </c>
      <c r="BS108" s="3199">
        <f t="shared" si="60"/>
        <v>0</v>
      </c>
      <c r="BT108" s="3271">
        <f t="shared" si="61"/>
        <v>0</v>
      </c>
    </row>
    <row r="109" spans="1:72">
      <c r="A109" s="3197"/>
      <c r="B109" s="3198"/>
      <c r="C109" s="3198"/>
      <c r="D109" s="3193"/>
      <c r="E109" s="3199">
        <f t="shared" si="33"/>
        <v>0</v>
      </c>
      <c r="F109" s="3200"/>
      <c r="G109" s="3201">
        <f t="shared" si="34"/>
        <v>0</v>
      </c>
      <c r="H109" s="3202">
        <f t="shared" si="35"/>
        <v>0</v>
      </c>
      <c r="I109" s="3218"/>
      <c r="J109" s="3218"/>
      <c r="K109" s="3218"/>
      <c r="L109" s="3218"/>
      <c r="M109" s="3218"/>
      <c r="N109" s="3218"/>
      <c r="O109" s="3218"/>
      <c r="P109" s="3218"/>
      <c r="Q109" s="3218"/>
      <c r="R109" s="3218"/>
      <c r="S109" s="3218"/>
      <c r="T109" s="3218"/>
      <c r="U109" s="3218"/>
      <c r="V109" s="3218"/>
      <c r="W109" s="3218"/>
      <c r="X109" s="3218"/>
      <c r="Y109" s="3218"/>
      <c r="Z109" s="3218"/>
      <c r="AA109" s="3218"/>
      <c r="AB109" s="3218"/>
      <c r="AC109" s="3199">
        <f t="shared" si="36"/>
        <v>0</v>
      </c>
      <c r="AD109" s="3229"/>
      <c r="AE109" s="3229"/>
      <c r="AF109" s="3229"/>
      <c r="AG109" s="3229"/>
      <c r="AH109" s="3229"/>
      <c r="AI109" s="3229"/>
      <c r="AJ109" s="3229"/>
      <c r="AK109" s="3229"/>
      <c r="AL109" s="3229"/>
      <c r="AM109" s="3229"/>
      <c r="AN109" s="3229"/>
      <c r="AO109" s="3229"/>
      <c r="AP109" s="3229"/>
      <c r="AQ109" s="3229"/>
      <c r="AR109" s="3229"/>
      <c r="AS109" s="3229"/>
      <c r="AT109" s="3249"/>
      <c r="AU109" s="3250"/>
      <c r="AV109" s="475">
        <f t="shared" si="37"/>
        <v>0</v>
      </c>
      <c r="AW109" s="475">
        <f t="shared" si="38"/>
        <v>0</v>
      </c>
      <c r="AX109" s="475">
        <f t="shared" si="39"/>
        <v>0</v>
      </c>
      <c r="AY109" s="3266">
        <f t="shared" si="40"/>
        <v>0</v>
      </c>
      <c r="AZ109" s="3199">
        <f t="shared" si="41"/>
        <v>0</v>
      </c>
      <c r="BA109" s="3199">
        <f t="shared" si="42"/>
        <v>0</v>
      </c>
      <c r="BB109" s="3199">
        <f t="shared" si="43"/>
        <v>0</v>
      </c>
      <c r="BC109" s="3199">
        <f t="shared" si="44"/>
        <v>0</v>
      </c>
      <c r="BD109" s="3199">
        <f t="shared" si="45"/>
        <v>0</v>
      </c>
      <c r="BE109" s="3199">
        <f t="shared" si="46"/>
        <v>0</v>
      </c>
      <c r="BF109" s="3199">
        <f t="shared" si="47"/>
        <v>0</v>
      </c>
      <c r="BG109" s="3199">
        <f t="shared" si="48"/>
        <v>0</v>
      </c>
      <c r="BH109" s="3199">
        <f t="shared" si="49"/>
        <v>0</v>
      </c>
      <c r="BI109" s="3199">
        <f t="shared" si="50"/>
        <v>0</v>
      </c>
      <c r="BJ109" s="3199">
        <f t="shared" si="51"/>
        <v>0</v>
      </c>
      <c r="BK109" s="3199">
        <f t="shared" si="52"/>
        <v>0</v>
      </c>
      <c r="BL109" s="3199">
        <f t="shared" si="53"/>
        <v>0</v>
      </c>
      <c r="BM109" s="3199">
        <f t="shared" si="54"/>
        <v>0</v>
      </c>
      <c r="BN109" s="3199">
        <f t="shared" si="55"/>
        <v>0</v>
      </c>
      <c r="BO109" s="3199">
        <f t="shared" si="56"/>
        <v>0</v>
      </c>
      <c r="BP109" s="3199">
        <f t="shared" si="57"/>
        <v>0</v>
      </c>
      <c r="BQ109" s="3199">
        <f t="shared" si="58"/>
        <v>0</v>
      </c>
      <c r="BR109" s="3199">
        <f t="shared" si="59"/>
        <v>0</v>
      </c>
      <c r="BS109" s="3199">
        <f t="shared" si="60"/>
        <v>0</v>
      </c>
      <c r="BT109" s="3271">
        <f t="shared" si="61"/>
        <v>0</v>
      </c>
    </row>
    <row r="110" spans="1:72">
      <c r="A110" s="3197"/>
      <c r="B110" s="3197"/>
      <c r="C110" s="3197"/>
      <c r="D110" s="3193"/>
      <c r="E110" s="3199">
        <f t="shared" si="33"/>
        <v>0</v>
      </c>
      <c r="F110" s="3272"/>
      <c r="G110" s="3201">
        <f t="shared" ref="G110:G141" si="62">H110+AC110+AT110</f>
        <v>0</v>
      </c>
      <c r="H110" s="3202">
        <f t="shared" ref="H110:H141" si="63">SUMIF(I$12:AB$12,"总值",I110:AB110)</f>
        <v>0</v>
      </c>
      <c r="I110" s="3273"/>
      <c r="J110" s="3273"/>
      <c r="K110" s="3218"/>
      <c r="L110" s="3218"/>
      <c r="M110" s="3218"/>
      <c r="N110" s="3218"/>
      <c r="O110" s="3218"/>
      <c r="P110" s="3218"/>
      <c r="Q110" s="3218"/>
      <c r="R110" s="3218"/>
      <c r="S110" s="3218"/>
      <c r="T110" s="3218"/>
      <c r="U110" s="3218"/>
      <c r="V110" s="3218"/>
      <c r="W110" s="3218"/>
      <c r="X110" s="3218"/>
      <c r="Y110" s="3218"/>
      <c r="Z110" s="3218"/>
      <c r="AA110" s="3218"/>
      <c r="AB110" s="3218"/>
      <c r="AC110" s="3199">
        <f t="shared" ref="AC110:AC141" si="64">SUMIF(AD$12:AS$12,"总值",AD110:AS110)</f>
        <v>0</v>
      </c>
      <c r="AD110" s="3229"/>
      <c r="AE110" s="3229"/>
      <c r="AF110" s="3229"/>
      <c r="AG110" s="3229"/>
      <c r="AH110" s="3229"/>
      <c r="AI110" s="3229"/>
      <c r="AJ110" s="3229"/>
      <c r="AK110" s="3229"/>
      <c r="AL110" s="3229"/>
      <c r="AM110" s="3229"/>
      <c r="AN110" s="3229"/>
      <c r="AO110" s="3229"/>
      <c r="AP110" s="3229"/>
      <c r="AQ110" s="3229"/>
      <c r="AR110" s="3229"/>
      <c r="AS110" s="3229"/>
      <c r="AT110" s="3229"/>
      <c r="AU110" s="3274"/>
      <c r="AV110" s="475">
        <f t="shared" si="37"/>
        <v>0</v>
      </c>
      <c r="AW110" s="475">
        <f t="shared" si="38"/>
        <v>0</v>
      </c>
      <c r="AX110" s="475">
        <f t="shared" si="39"/>
        <v>0</v>
      </c>
      <c r="AY110" s="3266">
        <f t="shared" ref="AY110:AY141" si="65">ROUND($AY$6*AZ110/$AZ$5,2)</f>
        <v>0</v>
      </c>
      <c r="AZ110" s="3199">
        <f t="shared" ref="AZ110:AZ141" si="66">BA110+BL110</f>
        <v>0</v>
      </c>
      <c r="BA110" s="3199">
        <f t="shared" ref="BA110:BA141" si="67">SUM(BB110:BK110)</f>
        <v>0</v>
      </c>
      <c r="BB110" s="3199">
        <f t="shared" ref="BB110:BB141" si="68">IF($D110="是",I110-J110,0)</f>
        <v>0</v>
      </c>
      <c r="BC110" s="3199">
        <f t="shared" ref="BC110:BC141" si="69">IF($D110="是",K110-L110,0)</f>
        <v>0</v>
      </c>
      <c r="BD110" s="3199">
        <f t="shared" ref="BD110:BD141" si="70">IF($D110="是",M110-N110,0)</f>
        <v>0</v>
      </c>
      <c r="BE110" s="3199">
        <f t="shared" ref="BE110:BE141" si="71">IF($D110="是",O110-P110,0)</f>
        <v>0</v>
      </c>
      <c r="BF110" s="3199">
        <f t="shared" ref="BF110:BF141" si="72">IF($D110="是",Q110-R110,0)</f>
        <v>0</v>
      </c>
      <c r="BG110" s="3199">
        <f t="shared" ref="BG110:BG141" si="73">IF($D110="是",S110-T110,0)</f>
        <v>0</v>
      </c>
      <c r="BH110" s="3199">
        <f t="shared" ref="BH110:BH141" si="74">IF($D110="是",U110-V110,0)</f>
        <v>0</v>
      </c>
      <c r="BI110" s="3199">
        <f t="shared" ref="BI110:BI141" si="75">IF($D110="是",W110-X110,0)</f>
        <v>0</v>
      </c>
      <c r="BJ110" s="3199">
        <f t="shared" ref="BJ110:BJ141" si="76">IF($D110="是",Y110-Z110,0)</f>
        <v>0</v>
      </c>
      <c r="BK110" s="3199">
        <f t="shared" ref="BK110:BK141" si="77">IF($D110="是",AA110-AB110,0)</f>
        <v>0</v>
      </c>
      <c r="BL110" s="3199">
        <f t="shared" ref="BL110:BL141" si="78">SUM(BM110:BT110)</f>
        <v>0</v>
      </c>
      <c r="BM110" s="3199">
        <f t="shared" ref="BM110:BM141" si="79">IF($D110="是",AD110-AE110,0)</f>
        <v>0</v>
      </c>
      <c r="BN110" s="3199">
        <f t="shared" ref="BN110:BN141" si="80">IF($D110="是",AF110-AG110,0)</f>
        <v>0</v>
      </c>
      <c r="BO110" s="3199">
        <f t="shared" ref="BO110:BO141" si="81">IF($D110="是",AH110-AI110,0)</f>
        <v>0</v>
      </c>
      <c r="BP110" s="3199">
        <f t="shared" ref="BP110:BP141" si="82">IF($D110="是",AJ110-AK110,0)</f>
        <v>0</v>
      </c>
      <c r="BQ110" s="3199">
        <f t="shared" ref="BQ110:BQ141" si="83">IF($D110="是",AL110-AM110,0)</f>
        <v>0</v>
      </c>
      <c r="BR110" s="3199">
        <f t="shared" ref="BR110:BR141" si="84">IF($D110="是",AN110-AO110,0)</f>
        <v>0</v>
      </c>
      <c r="BS110" s="3199">
        <f t="shared" ref="BS110:BS141" si="85">IF($D110="是",AP110-AQ110,0)</f>
        <v>0</v>
      </c>
      <c r="BT110" s="3271">
        <f t="shared" ref="BT110:BT141" si="86">IF($D110="是",AR110-AS110,0)</f>
        <v>0</v>
      </c>
    </row>
    <row r="111" spans="1:72">
      <c r="A111" s="3197"/>
      <c r="B111" s="3197"/>
      <c r="C111" s="3197"/>
      <c r="D111" s="3193"/>
      <c r="E111" s="3199">
        <f t="shared" si="33"/>
        <v>0</v>
      </c>
      <c r="F111" s="3272"/>
      <c r="G111" s="3201">
        <f t="shared" si="62"/>
        <v>0</v>
      </c>
      <c r="H111" s="3202">
        <f t="shared" si="63"/>
        <v>0</v>
      </c>
      <c r="I111" s="3218"/>
      <c r="J111" s="3218"/>
      <c r="K111" s="3218"/>
      <c r="L111" s="3218"/>
      <c r="M111" s="3218"/>
      <c r="N111" s="3218"/>
      <c r="O111" s="3218"/>
      <c r="P111" s="3218"/>
      <c r="Q111" s="3218"/>
      <c r="R111" s="3218"/>
      <c r="S111" s="3218"/>
      <c r="T111" s="3218"/>
      <c r="U111" s="3218"/>
      <c r="V111" s="3218"/>
      <c r="W111" s="3218"/>
      <c r="X111" s="3218"/>
      <c r="Y111" s="3218"/>
      <c r="Z111" s="3218"/>
      <c r="AA111" s="3218"/>
      <c r="AB111" s="3218"/>
      <c r="AC111" s="3199">
        <f t="shared" si="64"/>
        <v>0</v>
      </c>
      <c r="AD111" s="3229"/>
      <c r="AE111" s="3229"/>
      <c r="AF111" s="3229"/>
      <c r="AG111" s="3229"/>
      <c r="AH111" s="3229"/>
      <c r="AI111" s="3229"/>
      <c r="AJ111" s="3229"/>
      <c r="AK111" s="3229"/>
      <c r="AL111" s="3229"/>
      <c r="AM111" s="3229"/>
      <c r="AN111" s="3229"/>
      <c r="AO111" s="3229"/>
      <c r="AP111" s="3229"/>
      <c r="AQ111" s="3229"/>
      <c r="AR111" s="3229"/>
      <c r="AS111" s="3229"/>
      <c r="AT111" s="3229"/>
      <c r="AU111" s="3274"/>
      <c r="AV111" s="475">
        <f t="shared" si="37"/>
        <v>0</v>
      </c>
      <c r="AW111" s="475">
        <f t="shared" si="38"/>
        <v>0</v>
      </c>
      <c r="AX111" s="475">
        <f t="shared" si="39"/>
        <v>0</v>
      </c>
      <c r="AY111" s="3266">
        <f t="shared" si="65"/>
        <v>0</v>
      </c>
      <c r="AZ111" s="3199">
        <f t="shared" si="66"/>
        <v>0</v>
      </c>
      <c r="BA111" s="3199">
        <f t="shared" si="67"/>
        <v>0</v>
      </c>
      <c r="BB111" s="3199">
        <f t="shared" si="68"/>
        <v>0</v>
      </c>
      <c r="BC111" s="3199">
        <f t="shared" si="69"/>
        <v>0</v>
      </c>
      <c r="BD111" s="3199">
        <f t="shared" si="70"/>
        <v>0</v>
      </c>
      <c r="BE111" s="3199">
        <f t="shared" si="71"/>
        <v>0</v>
      </c>
      <c r="BF111" s="3199">
        <f t="shared" si="72"/>
        <v>0</v>
      </c>
      <c r="BG111" s="3199">
        <f t="shared" si="73"/>
        <v>0</v>
      </c>
      <c r="BH111" s="3199">
        <f t="shared" si="74"/>
        <v>0</v>
      </c>
      <c r="BI111" s="3199">
        <f t="shared" si="75"/>
        <v>0</v>
      </c>
      <c r="BJ111" s="3199">
        <f t="shared" si="76"/>
        <v>0</v>
      </c>
      <c r="BK111" s="3199">
        <f t="shared" si="77"/>
        <v>0</v>
      </c>
      <c r="BL111" s="3199">
        <f t="shared" si="78"/>
        <v>0</v>
      </c>
      <c r="BM111" s="3199">
        <f t="shared" si="79"/>
        <v>0</v>
      </c>
      <c r="BN111" s="3199">
        <f t="shared" si="80"/>
        <v>0</v>
      </c>
      <c r="BO111" s="3199">
        <f t="shared" si="81"/>
        <v>0</v>
      </c>
      <c r="BP111" s="3199">
        <f t="shared" si="82"/>
        <v>0</v>
      </c>
      <c r="BQ111" s="3199">
        <f t="shared" si="83"/>
        <v>0</v>
      </c>
      <c r="BR111" s="3199">
        <f t="shared" si="84"/>
        <v>0</v>
      </c>
      <c r="BS111" s="3199">
        <f t="shared" si="85"/>
        <v>0</v>
      </c>
      <c r="BT111" s="3271">
        <f t="shared" si="86"/>
        <v>0</v>
      </c>
    </row>
    <row r="112" spans="1:72">
      <c r="A112" s="3197"/>
      <c r="B112" s="3197"/>
      <c r="C112" s="3197"/>
      <c r="D112" s="3193"/>
      <c r="E112" s="3199">
        <f t="shared" si="33"/>
        <v>0</v>
      </c>
      <c r="F112" s="3272"/>
      <c r="G112" s="3201">
        <f t="shared" si="62"/>
        <v>0</v>
      </c>
      <c r="H112" s="3202">
        <f t="shared" si="63"/>
        <v>0</v>
      </c>
      <c r="I112" s="3218"/>
      <c r="J112" s="3218"/>
      <c r="K112" s="3218"/>
      <c r="L112" s="3218"/>
      <c r="M112" s="3218"/>
      <c r="N112" s="3218"/>
      <c r="O112" s="3218"/>
      <c r="P112" s="3218"/>
      <c r="Q112" s="3218"/>
      <c r="R112" s="3218"/>
      <c r="S112" s="3218"/>
      <c r="T112" s="3218"/>
      <c r="U112" s="3218"/>
      <c r="V112" s="3218"/>
      <c r="W112" s="3218"/>
      <c r="X112" s="3218"/>
      <c r="Y112" s="3218"/>
      <c r="Z112" s="3218"/>
      <c r="AA112" s="3218"/>
      <c r="AB112" s="3218"/>
      <c r="AC112" s="3199">
        <f t="shared" si="64"/>
        <v>0</v>
      </c>
      <c r="AD112" s="3229"/>
      <c r="AE112" s="3229"/>
      <c r="AF112" s="3229"/>
      <c r="AG112" s="3229"/>
      <c r="AH112" s="3229"/>
      <c r="AI112" s="3229"/>
      <c r="AJ112" s="3229"/>
      <c r="AK112" s="3229"/>
      <c r="AL112" s="3229"/>
      <c r="AM112" s="3229"/>
      <c r="AN112" s="3229"/>
      <c r="AO112" s="3229"/>
      <c r="AP112" s="3229"/>
      <c r="AQ112" s="3229"/>
      <c r="AR112" s="3229"/>
      <c r="AS112" s="3229"/>
      <c r="AT112" s="3229"/>
      <c r="AU112" s="3274"/>
      <c r="AV112" s="475">
        <f t="shared" si="37"/>
        <v>0</v>
      </c>
      <c r="AW112" s="475">
        <f t="shared" si="38"/>
        <v>0</v>
      </c>
      <c r="AX112" s="475">
        <f t="shared" si="39"/>
        <v>0</v>
      </c>
      <c r="AY112" s="3266">
        <f t="shared" si="65"/>
        <v>0</v>
      </c>
      <c r="AZ112" s="3199">
        <f t="shared" si="66"/>
        <v>0</v>
      </c>
      <c r="BA112" s="3199">
        <f t="shared" si="67"/>
        <v>0</v>
      </c>
      <c r="BB112" s="3199">
        <f t="shared" si="68"/>
        <v>0</v>
      </c>
      <c r="BC112" s="3199">
        <f t="shared" si="69"/>
        <v>0</v>
      </c>
      <c r="BD112" s="3199">
        <f t="shared" si="70"/>
        <v>0</v>
      </c>
      <c r="BE112" s="3199">
        <f t="shared" si="71"/>
        <v>0</v>
      </c>
      <c r="BF112" s="3199">
        <f t="shared" si="72"/>
        <v>0</v>
      </c>
      <c r="BG112" s="3199">
        <f t="shared" si="73"/>
        <v>0</v>
      </c>
      <c r="BH112" s="3199">
        <f t="shared" si="74"/>
        <v>0</v>
      </c>
      <c r="BI112" s="3199">
        <f t="shared" si="75"/>
        <v>0</v>
      </c>
      <c r="BJ112" s="3199">
        <f t="shared" si="76"/>
        <v>0</v>
      </c>
      <c r="BK112" s="3199">
        <f t="shared" si="77"/>
        <v>0</v>
      </c>
      <c r="BL112" s="3199">
        <f t="shared" si="78"/>
        <v>0</v>
      </c>
      <c r="BM112" s="3199">
        <f t="shared" si="79"/>
        <v>0</v>
      </c>
      <c r="BN112" s="3199">
        <f t="shared" si="80"/>
        <v>0</v>
      </c>
      <c r="BO112" s="3199">
        <f t="shared" si="81"/>
        <v>0</v>
      </c>
      <c r="BP112" s="3199">
        <f t="shared" si="82"/>
        <v>0</v>
      </c>
      <c r="BQ112" s="3199">
        <f t="shared" si="83"/>
        <v>0</v>
      </c>
      <c r="BR112" s="3199">
        <f t="shared" si="84"/>
        <v>0</v>
      </c>
      <c r="BS112" s="3199">
        <f t="shared" si="85"/>
        <v>0</v>
      </c>
      <c r="BT112" s="3271">
        <f t="shared" si="86"/>
        <v>0</v>
      </c>
    </row>
    <row r="113" spans="1:72">
      <c r="A113" s="3197"/>
      <c r="B113" s="3205"/>
      <c r="C113" s="3204"/>
      <c r="D113" s="3193"/>
      <c r="E113" s="3199">
        <f t="shared" ref="E113:E144" si="87">IF($C$3="是",ROUND($A$3*G113/$B$3,2),ROUND($A$3*(G113-AT113)/$B$3,2))</f>
        <v>0</v>
      </c>
      <c r="F113" s="3200"/>
      <c r="G113" s="3201">
        <f t="shared" si="62"/>
        <v>0</v>
      </c>
      <c r="H113" s="3202">
        <f t="shared" si="63"/>
        <v>0</v>
      </c>
      <c r="I113" s="3207"/>
      <c r="J113" s="3218"/>
      <c r="K113" s="3207"/>
      <c r="L113" s="3218"/>
      <c r="M113" s="3218"/>
      <c r="N113" s="3218"/>
      <c r="O113" s="3218"/>
      <c r="P113" s="3218"/>
      <c r="Q113" s="3218"/>
      <c r="R113" s="3218"/>
      <c r="S113" s="3218"/>
      <c r="T113" s="3218"/>
      <c r="U113" s="3218"/>
      <c r="V113" s="3218"/>
      <c r="W113" s="3218"/>
      <c r="X113" s="3218"/>
      <c r="Y113" s="3218"/>
      <c r="Z113" s="3218"/>
      <c r="AA113" s="3218"/>
      <c r="AB113" s="3218"/>
      <c r="AC113" s="3199">
        <f t="shared" si="64"/>
        <v>0</v>
      </c>
      <c r="AD113" s="3229"/>
      <c r="AE113" s="3229"/>
      <c r="AF113" s="3230"/>
      <c r="AG113" s="3229"/>
      <c r="AH113" s="3229"/>
      <c r="AI113" s="3229"/>
      <c r="AJ113" s="3229"/>
      <c r="AK113" s="3229"/>
      <c r="AL113" s="3229"/>
      <c r="AM113" s="3229"/>
      <c r="AN113" s="3219"/>
      <c r="AO113" s="3229"/>
      <c r="AP113" s="3229"/>
      <c r="AQ113" s="3229"/>
      <c r="AR113" s="3229"/>
      <c r="AS113" s="3229"/>
      <c r="AT113" s="3249"/>
      <c r="AU113" s="3250"/>
      <c r="AV113" s="475">
        <f t="shared" ref="AV113:AV144" si="88">A113</f>
        <v>0</v>
      </c>
      <c r="AW113" s="475">
        <f t="shared" ref="AW113:AW144" si="89">B113</f>
        <v>0</v>
      </c>
      <c r="AX113" s="475">
        <f t="shared" ref="AX113:AX144" si="90">C113</f>
        <v>0</v>
      </c>
      <c r="AY113" s="3266">
        <f t="shared" si="65"/>
        <v>0</v>
      </c>
      <c r="AZ113" s="3199">
        <f t="shared" si="66"/>
        <v>0</v>
      </c>
      <c r="BA113" s="3199">
        <f t="shared" si="67"/>
        <v>0</v>
      </c>
      <c r="BB113" s="3199">
        <f t="shared" si="68"/>
        <v>0</v>
      </c>
      <c r="BC113" s="3199">
        <f t="shared" si="69"/>
        <v>0</v>
      </c>
      <c r="BD113" s="3199">
        <f t="shared" si="70"/>
        <v>0</v>
      </c>
      <c r="BE113" s="3199">
        <f t="shared" si="71"/>
        <v>0</v>
      </c>
      <c r="BF113" s="3199">
        <f t="shared" si="72"/>
        <v>0</v>
      </c>
      <c r="BG113" s="3199">
        <f t="shared" si="73"/>
        <v>0</v>
      </c>
      <c r="BH113" s="3199">
        <f t="shared" si="74"/>
        <v>0</v>
      </c>
      <c r="BI113" s="3199">
        <f t="shared" si="75"/>
        <v>0</v>
      </c>
      <c r="BJ113" s="3199">
        <f t="shared" si="76"/>
        <v>0</v>
      </c>
      <c r="BK113" s="3199">
        <f t="shared" si="77"/>
        <v>0</v>
      </c>
      <c r="BL113" s="3199">
        <f t="shared" si="78"/>
        <v>0</v>
      </c>
      <c r="BM113" s="3199">
        <f t="shared" si="79"/>
        <v>0</v>
      </c>
      <c r="BN113" s="3199">
        <f t="shared" si="80"/>
        <v>0</v>
      </c>
      <c r="BO113" s="3199">
        <f t="shared" si="81"/>
        <v>0</v>
      </c>
      <c r="BP113" s="3199">
        <f t="shared" si="82"/>
        <v>0</v>
      </c>
      <c r="BQ113" s="3199">
        <f t="shared" si="83"/>
        <v>0</v>
      </c>
      <c r="BR113" s="3199">
        <f t="shared" si="84"/>
        <v>0</v>
      </c>
      <c r="BS113" s="3199">
        <f t="shared" si="85"/>
        <v>0</v>
      </c>
      <c r="BT113" s="3271">
        <f t="shared" si="86"/>
        <v>0</v>
      </c>
    </row>
    <row r="114" spans="1:72">
      <c r="A114" s="3197"/>
      <c r="B114" s="3205"/>
      <c r="C114" s="3204"/>
      <c r="D114" s="3193"/>
      <c r="E114" s="3199">
        <f t="shared" si="87"/>
        <v>0</v>
      </c>
      <c r="F114" s="3200"/>
      <c r="G114" s="3201">
        <f t="shared" si="62"/>
        <v>0</v>
      </c>
      <c r="H114" s="3202">
        <f t="shared" si="63"/>
        <v>0</v>
      </c>
      <c r="I114" s="3207"/>
      <c r="J114" s="3218"/>
      <c r="K114" s="3207"/>
      <c r="L114" s="3218"/>
      <c r="M114" s="3219"/>
      <c r="N114" s="3218"/>
      <c r="O114" s="3218"/>
      <c r="P114" s="3218"/>
      <c r="Q114" s="3218"/>
      <c r="R114" s="3218"/>
      <c r="S114" s="3218"/>
      <c r="T114" s="3218"/>
      <c r="U114" s="3218"/>
      <c r="V114" s="3218"/>
      <c r="W114" s="3218"/>
      <c r="X114" s="3218"/>
      <c r="Y114" s="3218"/>
      <c r="Z114" s="3218"/>
      <c r="AA114" s="3218"/>
      <c r="AB114" s="3218"/>
      <c r="AC114" s="3199">
        <f t="shared" si="64"/>
        <v>0</v>
      </c>
      <c r="AD114" s="3219"/>
      <c r="AE114" s="3229"/>
      <c r="AF114" s="3230"/>
      <c r="AG114" s="3229"/>
      <c r="AH114" s="3229"/>
      <c r="AI114" s="3229"/>
      <c r="AJ114" s="3229"/>
      <c r="AK114" s="3229"/>
      <c r="AL114" s="3219"/>
      <c r="AM114" s="3229"/>
      <c r="AN114" s="3219"/>
      <c r="AO114" s="3229"/>
      <c r="AP114" s="3229"/>
      <c r="AQ114" s="3229"/>
      <c r="AR114" s="3229"/>
      <c r="AS114" s="3229"/>
      <c r="AT114" s="3249"/>
      <c r="AU114" s="3250"/>
      <c r="AV114" s="475">
        <f t="shared" si="88"/>
        <v>0</v>
      </c>
      <c r="AW114" s="475">
        <f t="shared" si="89"/>
        <v>0</v>
      </c>
      <c r="AX114" s="475">
        <f t="shared" si="90"/>
        <v>0</v>
      </c>
      <c r="AY114" s="3266">
        <f t="shared" si="65"/>
        <v>0</v>
      </c>
      <c r="AZ114" s="3199">
        <f t="shared" si="66"/>
        <v>0</v>
      </c>
      <c r="BA114" s="3199">
        <f t="shared" si="67"/>
        <v>0</v>
      </c>
      <c r="BB114" s="3199">
        <f t="shared" si="68"/>
        <v>0</v>
      </c>
      <c r="BC114" s="3199">
        <f t="shared" si="69"/>
        <v>0</v>
      </c>
      <c r="BD114" s="3199">
        <f t="shared" si="70"/>
        <v>0</v>
      </c>
      <c r="BE114" s="3199">
        <f t="shared" si="71"/>
        <v>0</v>
      </c>
      <c r="BF114" s="3199">
        <f t="shared" si="72"/>
        <v>0</v>
      </c>
      <c r="BG114" s="3199">
        <f t="shared" si="73"/>
        <v>0</v>
      </c>
      <c r="BH114" s="3199">
        <f t="shared" si="74"/>
        <v>0</v>
      </c>
      <c r="BI114" s="3199">
        <f t="shared" si="75"/>
        <v>0</v>
      </c>
      <c r="BJ114" s="3199">
        <f t="shared" si="76"/>
        <v>0</v>
      </c>
      <c r="BK114" s="3199">
        <f t="shared" si="77"/>
        <v>0</v>
      </c>
      <c r="BL114" s="3199">
        <f t="shared" si="78"/>
        <v>0</v>
      </c>
      <c r="BM114" s="3199">
        <f t="shared" si="79"/>
        <v>0</v>
      </c>
      <c r="BN114" s="3199">
        <f t="shared" si="80"/>
        <v>0</v>
      </c>
      <c r="BO114" s="3199">
        <f t="shared" si="81"/>
        <v>0</v>
      </c>
      <c r="BP114" s="3199">
        <f t="shared" si="82"/>
        <v>0</v>
      </c>
      <c r="BQ114" s="3199">
        <f t="shared" si="83"/>
        <v>0</v>
      </c>
      <c r="BR114" s="3199">
        <f t="shared" si="84"/>
        <v>0</v>
      </c>
      <c r="BS114" s="3199">
        <f t="shared" si="85"/>
        <v>0</v>
      </c>
      <c r="BT114" s="3271">
        <f t="shared" si="86"/>
        <v>0</v>
      </c>
    </row>
    <row r="115" spans="1:72">
      <c r="A115" s="3197"/>
      <c r="B115" s="3205"/>
      <c r="C115" s="3204"/>
      <c r="D115" s="3193"/>
      <c r="E115" s="3199">
        <f t="shared" si="87"/>
        <v>0</v>
      </c>
      <c r="F115" s="3200"/>
      <c r="G115" s="3201">
        <f t="shared" si="62"/>
        <v>0</v>
      </c>
      <c r="H115" s="3202">
        <f t="shared" si="63"/>
        <v>0</v>
      </c>
      <c r="I115" s="3207"/>
      <c r="J115" s="3218"/>
      <c r="K115" s="3207"/>
      <c r="L115" s="3218"/>
      <c r="M115" s="3219"/>
      <c r="N115" s="3218"/>
      <c r="O115" s="3218"/>
      <c r="P115" s="3218"/>
      <c r="Q115" s="3218"/>
      <c r="R115" s="3218"/>
      <c r="S115" s="3218"/>
      <c r="T115" s="3218"/>
      <c r="U115" s="3218"/>
      <c r="V115" s="3218"/>
      <c r="W115" s="3218"/>
      <c r="X115" s="3218"/>
      <c r="Y115" s="3218"/>
      <c r="Z115" s="3218"/>
      <c r="AA115" s="3218"/>
      <c r="AB115" s="3218"/>
      <c r="AC115" s="3199">
        <f t="shared" si="64"/>
        <v>0</v>
      </c>
      <c r="AD115" s="3229"/>
      <c r="AE115" s="3229"/>
      <c r="AF115" s="3230"/>
      <c r="AG115" s="3229"/>
      <c r="AH115" s="3229"/>
      <c r="AI115" s="3229"/>
      <c r="AJ115" s="3229"/>
      <c r="AK115" s="3229"/>
      <c r="AL115" s="3219"/>
      <c r="AM115" s="3229"/>
      <c r="AN115" s="3219"/>
      <c r="AO115" s="3229"/>
      <c r="AP115" s="3229"/>
      <c r="AQ115" s="3229"/>
      <c r="AR115" s="3229"/>
      <c r="AS115" s="3229"/>
      <c r="AT115" s="3249"/>
      <c r="AU115" s="3250"/>
      <c r="AV115" s="475">
        <f t="shared" si="88"/>
        <v>0</v>
      </c>
      <c r="AW115" s="475">
        <f t="shared" si="89"/>
        <v>0</v>
      </c>
      <c r="AX115" s="475">
        <f t="shared" si="90"/>
        <v>0</v>
      </c>
      <c r="AY115" s="3266">
        <f t="shared" si="65"/>
        <v>0</v>
      </c>
      <c r="AZ115" s="3199">
        <f t="shared" si="66"/>
        <v>0</v>
      </c>
      <c r="BA115" s="3199">
        <f t="shared" si="67"/>
        <v>0</v>
      </c>
      <c r="BB115" s="3199">
        <f t="shared" si="68"/>
        <v>0</v>
      </c>
      <c r="BC115" s="3199">
        <f t="shared" si="69"/>
        <v>0</v>
      </c>
      <c r="BD115" s="3199">
        <f t="shared" si="70"/>
        <v>0</v>
      </c>
      <c r="BE115" s="3199">
        <f t="shared" si="71"/>
        <v>0</v>
      </c>
      <c r="BF115" s="3199">
        <f t="shared" si="72"/>
        <v>0</v>
      </c>
      <c r="BG115" s="3199">
        <f t="shared" si="73"/>
        <v>0</v>
      </c>
      <c r="BH115" s="3199">
        <f t="shared" si="74"/>
        <v>0</v>
      </c>
      <c r="BI115" s="3199">
        <f t="shared" si="75"/>
        <v>0</v>
      </c>
      <c r="BJ115" s="3199">
        <f t="shared" si="76"/>
        <v>0</v>
      </c>
      <c r="BK115" s="3199">
        <f t="shared" si="77"/>
        <v>0</v>
      </c>
      <c r="BL115" s="3199">
        <f t="shared" si="78"/>
        <v>0</v>
      </c>
      <c r="BM115" s="3199">
        <f t="shared" si="79"/>
        <v>0</v>
      </c>
      <c r="BN115" s="3199">
        <f t="shared" si="80"/>
        <v>0</v>
      </c>
      <c r="BO115" s="3199">
        <f t="shared" si="81"/>
        <v>0</v>
      </c>
      <c r="BP115" s="3199">
        <f t="shared" si="82"/>
        <v>0</v>
      </c>
      <c r="BQ115" s="3199">
        <f t="shared" si="83"/>
        <v>0</v>
      </c>
      <c r="BR115" s="3199">
        <f t="shared" si="84"/>
        <v>0</v>
      </c>
      <c r="BS115" s="3199">
        <f t="shared" si="85"/>
        <v>0</v>
      </c>
      <c r="BT115" s="3271">
        <f t="shared" si="86"/>
        <v>0</v>
      </c>
    </row>
    <row r="116" spans="1:72">
      <c r="A116" s="3197"/>
      <c r="B116" s="3205"/>
      <c r="C116" s="3204"/>
      <c r="D116" s="3193"/>
      <c r="E116" s="3199">
        <f t="shared" si="87"/>
        <v>0</v>
      </c>
      <c r="F116" s="3200"/>
      <c r="G116" s="3201">
        <f t="shared" si="62"/>
        <v>0</v>
      </c>
      <c r="H116" s="3202">
        <f t="shared" si="63"/>
        <v>0</v>
      </c>
      <c r="I116" s="3207"/>
      <c r="J116" s="3218"/>
      <c r="K116" s="3207"/>
      <c r="L116" s="3218"/>
      <c r="M116" s="3218"/>
      <c r="N116" s="3218"/>
      <c r="O116" s="3219"/>
      <c r="P116" s="3218"/>
      <c r="Q116" s="3218"/>
      <c r="R116" s="3218"/>
      <c r="S116" s="3218"/>
      <c r="T116" s="3218"/>
      <c r="U116" s="3218"/>
      <c r="V116" s="3218"/>
      <c r="W116" s="3218"/>
      <c r="X116" s="3218"/>
      <c r="Y116" s="3218"/>
      <c r="Z116" s="3218"/>
      <c r="AA116" s="3218"/>
      <c r="AB116" s="3218"/>
      <c r="AC116" s="3199">
        <f t="shared" si="64"/>
        <v>0</v>
      </c>
      <c r="AD116" s="3229"/>
      <c r="AE116" s="3229"/>
      <c r="AF116" s="3230"/>
      <c r="AG116" s="3229"/>
      <c r="AH116" s="3229"/>
      <c r="AI116" s="3229"/>
      <c r="AJ116" s="3229"/>
      <c r="AK116" s="3229"/>
      <c r="AL116" s="3229"/>
      <c r="AM116" s="3229"/>
      <c r="AN116" s="3219"/>
      <c r="AO116" s="3229"/>
      <c r="AP116" s="3229"/>
      <c r="AQ116" s="3229"/>
      <c r="AR116" s="3229"/>
      <c r="AS116" s="3229"/>
      <c r="AT116" s="3249"/>
      <c r="AU116" s="3250"/>
      <c r="AV116" s="475">
        <f t="shared" si="88"/>
        <v>0</v>
      </c>
      <c r="AW116" s="475">
        <f t="shared" si="89"/>
        <v>0</v>
      </c>
      <c r="AX116" s="475">
        <f t="shared" si="90"/>
        <v>0</v>
      </c>
      <c r="AY116" s="3266">
        <f t="shared" si="65"/>
        <v>0</v>
      </c>
      <c r="AZ116" s="3199">
        <f t="shared" si="66"/>
        <v>0</v>
      </c>
      <c r="BA116" s="3199">
        <f t="shared" si="67"/>
        <v>0</v>
      </c>
      <c r="BB116" s="3199">
        <f t="shared" si="68"/>
        <v>0</v>
      </c>
      <c r="BC116" s="3199">
        <f t="shared" si="69"/>
        <v>0</v>
      </c>
      <c r="BD116" s="3199">
        <f t="shared" si="70"/>
        <v>0</v>
      </c>
      <c r="BE116" s="3199">
        <f t="shared" si="71"/>
        <v>0</v>
      </c>
      <c r="BF116" s="3199">
        <f t="shared" si="72"/>
        <v>0</v>
      </c>
      <c r="BG116" s="3199">
        <f t="shared" si="73"/>
        <v>0</v>
      </c>
      <c r="BH116" s="3199">
        <f t="shared" si="74"/>
        <v>0</v>
      </c>
      <c r="BI116" s="3199">
        <f t="shared" si="75"/>
        <v>0</v>
      </c>
      <c r="BJ116" s="3199">
        <f t="shared" si="76"/>
        <v>0</v>
      </c>
      <c r="BK116" s="3199">
        <f t="shared" si="77"/>
        <v>0</v>
      </c>
      <c r="BL116" s="3199">
        <f t="shared" si="78"/>
        <v>0</v>
      </c>
      <c r="BM116" s="3199">
        <f t="shared" si="79"/>
        <v>0</v>
      </c>
      <c r="BN116" s="3199">
        <f t="shared" si="80"/>
        <v>0</v>
      </c>
      <c r="BO116" s="3199">
        <f t="shared" si="81"/>
        <v>0</v>
      </c>
      <c r="BP116" s="3199">
        <f t="shared" si="82"/>
        <v>0</v>
      </c>
      <c r="BQ116" s="3199">
        <f t="shared" si="83"/>
        <v>0</v>
      </c>
      <c r="BR116" s="3199">
        <f t="shared" si="84"/>
        <v>0</v>
      </c>
      <c r="BS116" s="3199">
        <f t="shared" si="85"/>
        <v>0</v>
      </c>
      <c r="BT116" s="3271">
        <f t="shared" si="86"/>
        <v>0</v>
      </c>
    </row>
    <row r="117" spans="1:72">
      <c r="A117" s="3197"/>
      <c r="B117" s="3205"/>
      <c r="C117" s="3204"/>
      <c r="D117" s="3193"/>
      <c r="E117" s="3199">
        <f t="shared" si="87"/>
        <v>0</v>
      </c>
      <c r="F117" s="3200"/>
      <c r="G117" s="3201">
        <f t="shared" si="62"/>
        <v>0</v>
      </c>
      <c r="H117" s="3202">
        <f t="shared" si="63"/>
        <v>0</v>
      </c>
      <c r="I117" s="3207"/>
      <c r="J117" s="3218"/>
      <c r="K117" s="3207"/>
      <c r="L117" s="3218"/>
      <c r="M117" s="3218"/>
      <c r="N117" s="3218"/>
      <c r="O117" s="3218"/>
      <c r="P117" s="3218"/>
      <c r="Q117" s="3218"/>
      <c r="R117" s="3218"/>
      <c r="S117" s="3218"/>
      <c r="T117" s="3218"/>
      <c r="U117" s="3218"/>
      <c r="V117" s="3218"/>
      <c r="W117" s="3218"/>
      <c r="X117" s="3218"/>
      <c r="Y117" s="3218"/>
      <c r="Z117" s="3218"/>
      <c r="AA117" s="3218"/>
      <c r="AB117" s="3218"/>
      <c r="AC117" s="3199">
        <f t="shared" si="64"/>
        <v>0</v>
      </c>
      <c r="AD117" s="3229"/>
      <c r="AE117" s="3229"/>
      <c r="AF117" s="3230"/>
      <c r="AG117" s="3229"/>
      <c r="AH117" s="3229"/>
      <c r="AI117" s="3229"/>
      <c r="AJ117" s="3229"/>
      <c r="AK117" s="3229"/>
      <c r="AL117" s="3229"/>
      <c r="AM117" s="3229"/>
      <c r="AN117" s="3229"/>
      <c r="AO117" s="3229"/>
      <c r="AP117" s="3229"/>
      <c r="AQ117" s="3229"/>
      <c r="AR117" s="3229"/>
      <c r="AS117" s="3229"/>
      <c r="AT117" s="3249"/>
      <c r="AU117" s="3250"/>
      <c r="AV117" s="475">
        <f t="shared" si="88"/>
        <v>0</v>
      </c>
      <c r="AW117" s="475">
        <f t="shared" si="89"/>
        <v>0</v>
      </c>
      <c r="AX117" s="475">
        <f t="shared" si="90"/>
        <v>0</v>
      </c>
      <c r="AY117" s="3266">
        <f t="shared" si="65"/>
        <v>0</v>
      </c>
      <c r="AZ117" s="3199">
        <f t="shared" si="66"/>
        <v>0</v>
      </c>
      <c r="BA117" s="3199">
        <f t="shared" si="67"/>
        <v>0</v>
      </c>
      <c r="BB117" s="3199">
        <f t="shared" si="68"/>
        <v>0</v>
      </c>
      <c r="BC117" s="3199">
        <f t="shared" si="69"/>
        <v>0</v>
      </c>
      <c r="BD117" s="3199">
        <f t="shared" si="70"/>
        <v>0</v>
      </c>
      <c r="BE117" s="3199">
        <f t="shared" si="71"/>
        <v>0</v>
      </c>
      <c r="BF117" s="3199">
        <f t="shared" si="72"/>
        <v>0</v>
      </c>
      <c r="BG117" s="3199">
        <f t="shared" si="73"/>
        <v>0</v>
      </c>
      <c r="BH117" s="3199">
        <f t="shared" si="74"/>
        <v>0</v>
      </c>
      <c r="BI117" s="3199">
        <f t="shared" si="75"/>
        <v>0</v>
      </c>
      <c r="BJ117" s="3199">
        <f t="shared" si="76"/>
        <v>0</v>
      </c>
      <c r="BK117" s="3199">
        <f t="shared" si="77"/>
        <v>0</v>
      </c>
      <c r="BL117" s="3199">
        <f t="shared" si="78"/>
        <v>0</v>
      </c>
      <c r="BM117" s="3199">
        <f t="shared" si="79"/>
        <v>0</v>
      </c>
      <c r="BN117" s="3199">
        <f t="shared" si="80"/>
        <v>0</v>
      </c>
      <c r="BO117" s="3199">
        <f t="shared" si="81"/>
        <v>0</v>
      </c>
      <c r="BP117" s="3199">
        <f t="shared" si="82"/>
        <v>0</v>
      </c>
      <c r="BQ117" s="3199">
        <f t="shared" si="83"/>
        <v>0</v>
      </c>
      <c r="BR117" s="3199">
        <f t="shared" si="84"/>
        <v>0</v>
      </c>
      <c r="BS117" s="3199">
        <f t="shared" si="85"/>
        <v>0</v>
      </c>
      <c r="BT117" s="3271">
        <f t="shared" si="86"/>
        <v>0</v>
      </c>
    </row>
    <row r="118" spans="1:72">
      <c r="A118" s="3197"/>
      <c r="B118" s="3205"/>
      <c r="C118" s="3204"/>
      <c r="D118" s="3193"/>
      <c r="E118" s="3199">
        <f t="shared" si="87"/>
        <v>0</v>
      </c>
      <c r="F118" s="3200"/>
      <c r="G118" s="3201">
        <f t="shared" si="62"/>
        <v>0</v>
      </c>
      <c r="H118" s="3202">
        <f t="shared" si="63"/>
        <v>0</v>
      </c>
      <c r="I118" s="3207"/>
      <c r="J118" s="3218"/>
      <c r="K118" s="3207"/>
      <c r="L118" s="3218"/>
      <c r="M118" s="3218"/>
      <c r="N118" s="3218"/>
      <c r="O118" s="3218"/>
      <c r="P118" s="3218"/>
      <c r="Q118" s="3218"/>
      <c r="R118" s="3218"/>
      <c r="S118" s="3218"/>
      <c r="T118" s="3218"/>
      <c r="U118" s="3218"/>
      <c r="V118" s="3218"/>
      <c r="W118" s="3218"/>
      <c r="X118" s="3218"/>
      <c r="Y118" s="3218"/>
      <c r="Z118" s="3218"/>
      <c r="AA118" s="3218"/>
      <c r="AB118" s="3218"/>
      <c r="AC118" s="3199">
        <f t="shared" si="64"/>
        <v>0</v>
      </c>
      <c r="AD118" s="3229"/>
      <c r="AE118" s="3229"/>
      <c r="AF118" s="3230"/>
      <c r="AG118" s="3229"/>
      <c r="AH118" s="3229"/>
      <c r="AI118" s="3229"/>
      <c r="AJ118" s="3229"/>
      <c r="AK118" s="3229"/>
      <c r="AL118" s="3229"/>
      <c r="AM118" s="3229"/>
      <c r="AN118" s="3229"/>
      <c r="AO118" s="3229"/>
      <c r="AP118" s="3229"/>
      <c r="AQ118" s="3229"/>
      <c r="AR118" s="3229"/>
      <c r="AS118" s="3229"/>
      <c r="AT118" s="3249"/>
      <c r="AU118" s="3250"/>
      <c r="AV118" s="475">
        <f t="shared" si="88"/>
        <v>0</v>
      </c>
      <c r="AW118" s="475">
        <f t="shared" si="89"/>
        <v>0</v>
      </c>
      <c r="AX118" s="475">
        <f t="shared" si="90"/>
        <v>0</v>
      </c>
      <c r="AY118" s="3266">
        <f t="shared" si="65"/>
        <v>0</v>
      </c>
      <c r="AZ118" s="3199">
        <f t="shared" si="66"/>
        <v>0</v>
      </c>
      <c r="BA118" s="3199">
        <f t="shared" si="67"/>
        <v>0</v>
      </c>
      <c r="BB118" s="3199">
        <f t="shared" si="68"/>
        <v>0</v>
      </c>
      <c r="BC118" s="3199">
        <f t="shared" si="69"/>
        <v>0</v>
      </c>
      <c r="BD118" s="3199">
        <f t="shared" si="70"/>
        <v>0</v>
      </c>
      <c r="BE118" s="3199">
        <f t="shared" si="71"/>
        <v>0</v>
      </c>
      <c r="BF118" s="3199">
        <f t="shared" si="72"/>
        <v>0</v>
      </c>
      <c r="BG118" s="3199">
        <f t="shared" si="73"/>
        <v>0</v>
      </c>
      <c r="BH118" s="3199">
        <f t="shared" si="74"/>
        <v>0</v>
      </c>
      <c r="BI118" s="3199">
        <f t="shared" si="75"/>
        <v>0</v>
      </c>
      <c r="BJ118" s="3199">
        <f t="shared" si="76"/>
        <v>0</v>
      </c>
      <c r="BK118" s="3199">
        <f t="shared" si="77"/>
        <v>0</v>
      </c>
      <c r="BL118" s="3199">
        <f t="shared" si="78"/>
        <v>0</v>
      </c>
      <c r="BM118" s="3199">
        <f t="shared" si="79"/>
        <v>0</v>
      </c>
      <c r="BN118" s="3199">
        <f t="shared" si="80"/>
        <v>0</v>
      </c>
      <c r="BO118" s="3199">
        <f t="shared" si="81"/>
        <v>0</v>
      </c>
      <c r="BP118" s="3199">
        <f t="shared" si="82"/>
        <v>0</v>
      </c>
      <c r="BQ118" s="3199">
        <f t="shared" si="83"/>
        <v>0</v>
      </c>
      <c r="BR118" s="3199">
        <f t="shared" si="84"/>
        <v>0</v>
      </c>
      <c r="BS118" s="3199">
        <f t="shared" si="85"/>
        <v>0</v>
      </c>
      <c r="BT118" s="3271">
        <f t="shared" si="86"/>
        <v>0</v>
      </c>
    </row>
    <row r="119" spans="1:72">
      <c r="A119" s="3197"/>
      <c r="B119" s="3205"/>
      <c r="C119" s="3204"/>
      <c r="D119" s="3193"/>
      <c r="E119" s="3199">
        <f t="shared" si="87"/>
        <v>0</v>
      </c>
      <c r="F119" s="3200"/>
      <c r="G119" s="3201">
        <f t="shared" si="62"/>
        <v>0</v>
      </c>
      <c r="H119" s="3202">
        <f t="shared" si="63"/>
        <v>0</v>
      </c>
      <c r="I119" s="3207"/>
      <c r="J119" s="3218"/>
      <c r="K119" s="3207"/>
      <c r="L119" s="3218"/>
      <c r="M119" s="3218"/>
      <c r="N119" s="3218"/>
      <c r="O119" s="3218"/>
      <c r="P119" s="3218"/>
      <c r="Q119" s="3218"/>
      <c r="R119" s="3218"/>
      <c r="S119" s="3218"/>
      <c r="T119" s="3218"/>
      <c r="U119" s="3218"/>
      <c r="V119" s="3218"/>
      <c r="W119" s="3218"/>
      <c r="X119" s="3218"/>
      <c r="Y119" s="3218"/>
      <c r="Z119" s="3218"/>
      <c r="AA119" s="3218"/>
      <c r="AB119" s="3218"/>
      <c r="AC119" s="3199">
        <f t="shared" si="64"/>
        <v>0</v>
      </c>
      <c r="AD119" s="3229"/>
      <c r="AE119" s="3229"/>
      <c r="AF119" s="3230"/>
      <c r="AG119" s="3229"/>
      <c r="AH119" s="3229"/>
      <c r="AI119" s="3229"/>
      <c r="AJ119" s="3229"/>
      <c r="AK119" s="3229"/>
      <c r="AL119" s="3229"/>
      <c r="AM119" s="3229"/>
      <c r="AN119" s="3229"/>
      <c r="AO119" s="3229"/>
      <c r="AP119" s="3229"/>
      <c r="AQ119" s="3229"/>
      <c r="AR119" s="3229"/>
      <c r="AS119" s="3229"/>
      <c r="AT119" s="3249"/>
      <c r="AU119" s="3250"/>
      <c r="AV119" s="475">
        <f t="shared" si="88"/>
        <v>0</v>
      </c>
      <c r="AW119" s="475">
        <f t="shared" si="89"/>
        <v>0</v>
      </c>
      <c r="AX119" s="475">
        <f t="shared" si="90"/>
        <v>0</v>
      </c>
      <c r="AY119" s="3266">
        <f t="shared" si="65"/>
        <v>0</v>
      </c>
      <c r="AZ119" s="3199">
        <f t="shared" si="66"/>
        <v>0</v>
      </c>
      <c r="BA119" s="3199">
        <f t="shared" si="67"/>
        <v>0</v>
      </c>
      <c r="BB119" s="3199">
        <f t="shared" si="68"/>
        <v>0</v>
      </c>
      <c r="BC119" s="3199">
        <f t="shared" si="69"/>
        <v>0</v>
      </c>
      <c r="BD119" s="3199">
        <f t="shared" si="70"/>
        <v>0</v>
      </c>
      <c r="BE119" s="3199">
        <f t="shared" si="71"/>
        <v>0</v>
      </c>
      <c r="BF119" s="3199">
        <f t="shared" si="72"/>
        <v>0</v>
      </c>
      <c r="BG119" s="3199">
        <f t="shared" si="73"/>
        <v>0</v>
      </c>
      <c r="BH119" s="3199">
        <f t="shared" si="74"/>
        <v>0</v>
      </c>
      <c r="BI119" s="3199">
        <f t="shared" si="75"/>
        <v>0</v>
      </c>
      <c r="BJ119" s="3199">
        <f t="shared" si="76"/>
        <v>0</v>
      </c>
      <c r="BK119" s="3199">
        <f t="shared" si="77"/>
        <v>0</v>
      </c>
      <c r="BL119" s="3199">
        <f t="shared" si="78"/>
        <v>0</v>
      </c>
      <c r="BM119" s="3199">
        <f t="shared" si="79"/>
        <v>0</v>
      </c>
      <c r="BN119" s="3199">
        <f t="shared" si="80"/>
        <v>0</v>
      </c>
      <c r="BO119" s="3199">
        <f t="shared" si="81"/>
        <v>0</v>
      </c>
      <c r="BP119" s="3199">
        <f t="shared" si="82"/>
        <v>0</v>
      </c>
      <c r="BQ119" s="3199">
        <f t="shared" si="83"/>
        <v>0</v>
      </c>
      <c r="BR119" s="3199">
        <f t="shared" si="84"/>
        <v>0</v>
      </c>
      <c r="BS119" s="3199">
        <f t="shared" si="85"/>
        <v>0</v>
      </c>
      <c r="BT119" s="3271">
        <f t="shared" si="86"/>
        <v>0</v>
      </c>
    </row>
    <row r="120" spans="1:72">
      <c r="A120" s="3197"/>
      <c r="B120" s="3205"/>
      <c r="C120" s="3204"/>
      <c r="D120" s="3193"/>
      <c r="E120" s="3199">
        <f t="shared" si="87"/>
        <v>0</v>
      </c>
      <c r="F120" s="3200"/>
      <c r="G120" s="3201">
        <f t="shared" si="62"/>
        <v>0</v>
      </c>
      <c r="H120" s="3202">
        <f t="shared" si="63"/>
        <v>0</v>
      </c>
      <c r="I120" s="3207"/>
      <c r="J120" s="3218"/>
      <c r="K120" s="3207"/>
      <c r="L120" s="3218"/>
      <c r="M120" s="3218"/>
      <c r="N120" s="3218"/>
      <c r="O120" s="3218"/>
      <c r="P120" s="3218"/>
      <c r="Q120" s="3218"/>
      <c r="R120" s="3218"/>
      <c r="S120" s="3218"/>
      <c r="T120" s="3218"/>
      <c r="U120" s="3218"/>
      <c r="V120" s="3218"/>
      <c r="W120" s="3218"/>
      <c r="X120" s="3218"/>
      <c r="Y120" s="3218"/>
      <c r="Z120" s="3218"/>
      <c r="AA120" s="3218"/>
      <c r="AB120" s="3218"/>
      <c r="AC120" s="3199">
        <f t="shared" si="64"/>
        <v>0</v>
      </c>
      <c r="AD120" s="3229"/>
      <c r="AE120" s="3229"/>
      <c r="AF120" s="3207"/>
      <c r="AG120" s="3229"/>
      <c r="AH120" s="3229"/>
      <c r="AI120" s="3229"/>
      <c r="AJ120" s="3229"/>
      <c r="AK120" s="3229"/>
      <c r="AL120" s="3229"/>
      <c r="AM120" s="3229"/>
      <c r="AN120" s="3229"/>
      <c r="AO120" s="3229"/>
      <c r="AP120" s="3229"/>
      <c r="AQ120" s="3229"/>
      <c r="AR120" s="3229"/>
      <c r="AS120" s="3229"/>
      <c r="AT120" s="3249"/>
      <c r="AU120" s="3250"/>
      <c r="AV120" s="475">
        <f t="shared" si="88"/>
        <v>0</v>
      </c>
      <c r="AW120" s="475">
        <f t="shared" si="89"/>
        <v>0</v>
      </c>
      <c r="AX120" s="475">
        <f t="shared" si="90"/>
        <v>0</v>
      </c>
      <c r="AY120" s="3266">
        <f t="shared" si="65"/>
        <v>0</v>
      </c>
      <c r="AZ120" s="3199">
        <f t="shared" si="66"/>
        <v>0</v>
      </c>
      <c r="BA120" s="3199">
        <f t="shared" si="67"/>
        <v>0</v>
      </c>
      <c r="BB120" s="3199">
        <f t="shared" si="68"/>
        <v>0</v>
      </c>
      <c r="BC120" s="3199">
        <f t="shared" si="69"/>
        <v>0</v>
      </c>
      <c r="BD120" s="3199">
        <f t="shared" si="70"/>
        <v>0</v>
      </c>
      <c r="BE120" s="3199">
        <f t="shared" si="71"/>
        <v>0</v>
      </c>
      <c r="BF120" s="3199">
        <f t="shared" si="72"/>
        <v>0</v>
      </c>
      <c r="BG120" s="3199">
        <f t="shared" si="73"/>
        <v>0</v>
      </c>
      <c r="BH120" s="3199">
        <f t="shared" si="74"/>
        <v>0</v>
      </c>
      <c r="BI120" s="3199">
        <f t="shared" si="75"/>
        <v>0</v>
      </c>
      <c r="BJ120" s="3199">
        <f t="shared" si="76"/>
        <v>0</v>
      </c>
      <c r="BK120" s="3199">
        <f t="shared" si="77"/>
        <v>0</v>
      </c>
      <c r="BL120" s="3199">
        <f t="shared" si="78"/>
        <v>0</v>
      </c>
      <c r="BM120" s="3199">
        <f t="shared" si="79"/>
        <v>0</v>
      </c>
      <c r="BN120" s="3199">
        <f t="shared" si="80"/>
        <v>0</v>
      </c>
      <c r="BO120" s="3199">
        <f t="shared" si="81"/>
        <v>0</v>
      </c>
      <c r="BP120" s="3199">
        <f t="shared" si="82"/>
        <v>0</v>
      </c>
      <c r="BQ120" s="3199">
        <f t="shared" si="83"/>
        <v>0</v>
      </c>
      <c r="BR120" s="3199">
        <f t="shared" si="84"/>
        <v>0</v>
      </c>
      <c r="BS120" s="3199">
        <f t="shared" si="85"/>
        <v>0</v>
      </c>
      <c r="BT120" s="3271">
        <f t="shared" si="86"/>
        <v>0</v>
      </c>
    </row>
    <row r="121" spans="1:72">
      <c r="A121" s="3197"/>
      <c r="B121" s="3206"/>
      <c r="C121" s="3207"/>
      <c r="D121" s="3193"/>
      <c r="E121" s="3199">
        <f t="shared" si="87"/>
        <v>0</v>
      </c>
      <c r="F121" s="3200"/>
      <c r="G121" s="3201">
        <f t="shared" si="62"/>
        <v>0</v>
      </c>
      <c r="H121" s="3202">
        <f t="shared" si="63"/>
        <v>0</v>
      </c>
      <c r="I121" s="3207"/>
      <c r="J121" s="3218"/>
      <c r="K121" s="3207"/>
      <c r="L121" s="3218"/>
      <c r="M121" s="3218"/>
      <c r="N121" s="3218"/>
      <c r="O121" s="3218"/>
      <c r="P121" s="3218"/>
      <c r="Q121" s="3218"/>
      <c r="R121" s="3218"/>
      <c r="S121" s="3218"/>
      <c r="T121" s="3218"/>
      <c r="U121" s="3218"/>
      <c r="V121" s="3218"/>
      <c r="W121" s="3218"/>
      <c r="X121" s="3218"/>
      <c r="Y121" s="3218"/>
      <c r="Z121" s="3218"/>
      <c r="AA121" s="3218"/>
      <c r="AB121" s="3218"/>
      <c r="AC121" s="3199">
        <f t="shared" si="64"/>
        <v>0</v>
      </c>
      <c r="AD121" s="3229"/>
      <c r="AE121" s="3229"/>
      <c r="AF121" s="3207"/>
      <c r="AG121" s="3229"/>
      <c r="AH121" s="3229"/>
      <c r="AI121" s="3229"/>
      <c r="AJ121" s="3229"/>
      <c r="AK121" s="3229"/>
      <c r="AL121" s="3229"/>
      <c r="AM121" s="3229"/>
      <c r="AN121" s="3229"/>
      <c r="AO121" s="3229"/>
      <c r="AP121" s="3229"/>
      <c r="AQ121" s="3229"/>
      <c r="AR121" s="3229"/>
      <c r="AS121" s="3229"/>
      <c r="AT121" s="3249"/>
      <c r="AU121" s="3250"/>
      <c r="AV121" s="475">
        <f t="shared" si="88"/>
        <v>0</v>
      </c>
      <c r="AW121" s="475">
        <f t="shared" si="89"/>
        <v>0</v>
      </c>
      <c r="AX121" s="475">
        <f t="shared" si="90"/>
        <v>0</v>
      </c>
      <c r="AY121" s="3266">
        <f t="shared" si="65"/>
        <v>0</v>
      </c>
      <c r="AZ121" s="3199">
        <f t="shared" si="66"/>
        <v>0</v>
      </c>
      <c r="BA121" s="3199">
        <f t="shared" si="67"/>
        <v>0</v>
      </c>
      <c r="BB121" s="3199">
        <f t="shared" si="68"/>
        <v>0</v>
      </c>
      <c r="BC121" s="3199">
        <f t="shared" si="69"/>
        <v>0</v>
      </c>
      <c r="BD121" s="3199">
        <f t="shared" si="70"/>
        <v>0</v>
      </c>
      <c r="BE121" s="3199">
        <f t="shared" si="71"/>
        <v>0</v>
      </c>
      <c r="BF121" s="3199">
        <f t="shared" si="72"/>
        <v>0</v>
      </c>
      <c r="BG121" s="3199">
        <f t="shared" si="73"/>
        <v>0</v>
      </c>
      <c r="BH121" s="3199">
        <f t="shared" si="74"/>
        <v>0</v>
      </c>
      <c r="BI121" s="3199">
        <f t="shared" si="75"/>
        <v>0</v>
      </c>
      <c r="BJ121" s="3199">
        <f t="shared" si="76"/>
        <v>0</v>
      </c>
      <c r="BK121" s="3199">
        <f t="shared" si="77"/>
        <v>0</v>
      </c>
      <c r="BL121" s="3199">
        <f t="shared" si="78"/>
        <v>0</v>
      </c>
      <c r="BM121" s="3199">
        <f t="shared" si="79"/>
        <v>0</v>
      </c>
      <c r="BN121" s="3199">
        <f t="shared" si="80"/>
        <v>0</v>
      </c>
      <c r="BO121" s="3199">
        <f t="shared" si="81"/>
        <v>0</v>
      </c>
      <c r="BP121" s="3199">
        <f t="shared" si="82"/>
        <v>0</v>
      </c>
      <c r="BQ121" s="3199">
        <f t="shared" si="83"/>
        <v>0</v>
      </c>
      <c r="BR121" s="3199">
        <f t="shared" si="84"/>
        <v>0</v>
      </c>
      <c r="BS121" s="3199">
        <f t="shared" si="85"/>
        <v>0</v>
      </c>
      <c r="BT121" s="3271">
        <f t="shared" si="86"/>
        <v>0</v>
      </c>
    </row>
    <row r="122" spans="1:72">
      <c r="A122" s="3197"/>
      <c r="B122" s="3205"/>
      <c r="C122" s="3204"/>
      <c r="D122" s="3193"/>
      <c r="E122" s="3199">
        <f t="shared" si="87"/>
        <v>0</v>
      </c>
      <c r="F122" s="3200"/>
      <c r="G122" s="3201">
        <f t="shared" si="62"/>
        <v>0</v>
      </c>
      <c r="H122" s="3202">
        <f t="shared" si="63"/>
        <v>0</v>
      </c>
      <c r="I122" s="3207"/>
      <c r="J122" s="3218"/>
      <c r="K122" s="3207"/>
      <c r="L122" s="3218"/>
      <c r="M122" s="3218"/>
      <c r="N122" s="3218"/>
      <c r="O122" s="3218"/>
      <c r="P122" s="3218"/>
      <c r="Q122" s="3218"/>
      <c r="R122" s="3218"/>
      <c r="S122" s="3218"/>
      <c r="T122" s="3218"/>
      <c r="U122" s="3218"/>
      <c r="V122" s="3218"/>
      <c r="W122" s="3218"/>
      <c r="X122" s="3218"/>
      <c r="Y122" s="3218"/>
      <c r="Z122" s="3218"/>
      <c r="AA122" s="3218"/>
      <c r="AB122" s="3218"/>
      <c r="AC122" s="3199">
        <f t="shared" si="64"/>
        <v>0</v>
      </c>
      <c r="AD122" s="3229"/>
      <c r="AE122" s="3229"/>
      <c r="AF122" s="3207"/>
      <c r="AG122" s="3229"/>
      <c r="AH122" s="3229"/>
      <c r="AI122" s="3229"/>
      <c r="AJ122" s="3229"/>
      <c r="AK122" s="3229"/>
      <c r="AL122" s="3229"/>
      <c r="AM122" s="3229"/>
      <c r="AN122" s="3229"/>
      <c r="AO122" s="3229"/>
      <c r="AP122" s="3229"/>
      <c r="AQ122" s="3229"/>
      <c r="AR122" s="3229"/>
      <c r="AS122" s="3229"/>
      <c r="AT122" s="3249"/>
      <c r="AU122" s="3250"/>
      <c r="AV122" s="475">
        <f t="shared" si="88"/>
        <v>0</v>
      </c>
      <c r="AW122" s="475">
        <f t="shared" si="89"/>
        <v>0</v>
      </c>
      <c r="AX122" s="475">
        <f t="shared" si="90"/>
        <v>0</v>
      </c>
      <c r="AY122" s="3266">
        <f t="shared" si="65"/>
        <v>0</v>
      </c>
      <c r="AZ122" s="3199">
        <f t="shared" si="66"/>
        <v>0</v>
      </c>
      <c r="BA122" s="3199">
        <f t="shared" si="67"/>
        <v>0</v>
      </c>
      <c r="BB122" s="3199">
        <f t="shared" si="68"/>
        <v>0</v>
      </c>
      <c r="BC122" s="3199">
        <f t="shared" si="69"/>
        <v>0</v>
      </c>
      <c r="BD122" s="3199">
        <f t="shared" si="70"/>
        <v>0</v>
      </c>
      <c r="BE122" s="3199">
        <f t="shared" si="71"/>
        <v>0</v>
      </c>
      <c r="BF122" s="3199">
        <f t="shared" si="72"/>
        <v>0</v>
      </c>
      <c r="BG122" s="3199">
        <f t="shared" si="73"/>
        <v>0</v>
      </c>
      <c r="BH122" s="3199">
        <f t="shared" si="74"/>
        <v>0</v>
      </c>
      <c r="BI122" s="3199">
        <f t="shared" si="75"/>
        <v>0</v>
      </c>
      <c r="BJ122" s="3199">
        <f t="shared" si="76"/>
        <v>0</v>
      </c>
      <c r="BK122" s="3199">
        <f t="shared" si="77"/>
        <v>0</v>
      </c>
      <c r="BL122" s="3199">
        <f t="shared" si="78"/>
        <v>0</v>
      </c>
      <c r="BM122" s="3199">
        <f t="shared" si="79"/>
        <v>0</v>
      </c>
      <c r="BN122" s="3199">
        <f t="shared" si="80"/>
        <v>0</v>
      </c>
      <c r="BO122" s="3199">
        <f t="shared" si="81"/>
        <v>0</v>
      </c>
      <c r="BP122" s="3199">
        <f t="shared" si="82"/>
        <v>0</v>
      </c>
      <c r="BQ122" s="3199">
        <f t="shared" si="83"/>
        <v>0</v>
      </c>
      <c r="BR122" s="3199">
        <f t="shared" si="84"/>
        <v>0</v>
      </c>
      <c r="BS122" s="3199">
        <f t="shared" si="85"/>
        <v>0</v>
      </c>
      <c r="BT122" s="3271">
        <f t="shared" si="86"/>
        <v>0</v>
      </c>
    </row>
    <row r="123" spans="1:72">
      <c r="A123" s="3197"/>
      <c r="B123" s="3205"/>
      <c r="C123" s="3204"/>
      <c r="D123" s="3193"/>
      <c r="E123" s="3199">
        <f t="shared" si="87"/>
        <v>0</v>
      </c>
      <c r="F123" s="3200"/>
      <c r="G123" s="3201">
        <f t="shared" si="62"/>
        <v>0</v>
      </c>
      <c r="H123" s="3202">
        <f t="shared" si="63"/>
        <v>0</v>
      </c>
      <c r="I123" s="3207"/>
      <c r="J123" s="3218"/>
      <c r="K123" s="3207"/>
      <c r="L123" s="3218"/>
      <c r="M123" s="3218"/>
      <c r="N123" s="3218"/>
      <c r="O123" s="3218"/>
      <c r="P123" s="3218"/>
      <c r="Q123" s="3218"/>
      <c r="R123" s="3218"/>
      <c r="S123" s="3218"/>
      <c r="T123" s="3218"/>
      <c r="U123" s="3218"/>
      <c r="V123" s="3218"/>
      <c r="W123" s="3218"/>
      <c r="X123" s="3218"/>
      <c r="Y123" s="3218"/>
      <c r="Z123" s="3218"/>
      <c r="AA123" s="3218"/>
      <c r="AB123" s="3218"/>
      <c r="AC123" s="3199">
        <f t="shared" si="64"/>
        <v>0</v>
      </c>
      <c r="AD123" s="3229"/>
      <c r="AE123" s="3229"/>
      <c r="AF123" s="3207"/>
      <c r="AG123" s="3229"/>
      <c r="AH123" s="3229"/>
      <c r="AI123" s="3229"/>
      <c r="AJ123" s="3229"/>
      <c r="AK123" s="3229"/>
      <c r="AL123" s="3229"/>
      <c r="AM123" s="3229"/>
      <c r="AN123" s="3229"/>
      <c r="AO123" s="3229"/>
      <c r="AP123" s="3229"/>
      <c r="AQ123" s="3229"/>
      <c r="AR123" s="3229"/>
      <c r="AS123" s="3229"/>
      <c r="AT123" s="3249"/>
      <c r="AU123" s="3250"/>
      <c r="AV123" s="475">
        <f t="shared" si="88"/>
        <v>0</v>
      </c>
      <c r="AW123" s="475">
        <f t="shared" si="89"/>
        <v>0</v>
      </c>
      <c r="AX123" s="475">
        <f t="shared" si="90"/>
        <v>0</v>
      </c>
      <c r="AY123" s="3266">
        <f t="shared" si="65"/>
        <v>0</v>
      </c>
      <c r="AZ123" s="3199">
        <f t="shared" si="66"/>
        <v>0</v>
      </c>
      <c r="BA123" s="3199">
        <f t="shared" si="67"/>
        <v>0</v>
      </c>
      <c r="BB123" s="3199">
        <f t="shared" si="68"/>
        <v>0</v>
      </c>
      <c r="BC123" s="3199">
        <f t="shared" si="69"/>
        <v>0</v>
      </c>
      <c r="BD123" s="3199">
        <f t="shared" si="70"/>
        <v>0</v>
      </c>
      <c r="BE123" s="3199">
        <f t="shared" si="71"/>
        <v>0</v>
      </c>
      <c r="BF123" s="3199">
        <f t="shared" si="72"/>
        <v>0</v>
      </c>
      <c r="BG123" s="3199">
        <f t="shared" si="73"/>
        <v>0</v>
      </c>
      <c r="BH123" s="3199">
        <f t="shared" si="74"/>
        <v>0</v>
      </c>
      <c r="BI123" s="3199">
        <f t="shared" si="75"/>
        <v>0</v>
      </c>
      <c r="BJ123" s="3199">
        <f t="shared" si="76"/>
        <v>0</v>
      </c>
      <c r="BK123" s="3199">
        <f t="shared" si="77"/>
        <v>0</v>
      </c>
      <c r="BL123" s="3199">
        <f t="shared" si="78"/>
        <v>0</v>
      </c>
      <c r="BM123" s="3199">
        <f t="shared" si="79"/>
        <v>0</v>
      </c>
      <c r="BN123" s="3199">
        <f t="shared" si="80"/>
        <v>0</v>
      </c>
      <c r="BO123" s="3199">
        <f t="shared" si="81"/>
        <v>0</v>
      </c>
      <c r="BP123" s="3199">
        <f t="shared" si="82"/>
        <v>0</v>
      </c>
      <c r="BQ123" s="3199">
        <f t="shared" si="83"/>
        <v>0</v>
      </c>
      <c r="BR123" s="3199">
        <f t="shared" si="84"/>
        <v>0</v>
      </c>
      <c r="BS123" s="3199">
        <f t="shared" si="85"/>
        <v>0</v>
      </c>
      <c r="BT123" s="3271">
        <f t="shared" si="86"/>
        <v>0</v>
      </c>
    </row>
    <row r="124" spans="1:72">
      <c r="A124" s="3197"/>
      <c r="B124" s="3205"/>
      <c r="C124" s="3204"/>
      <c r="D124" s="3193"/>
      <c r="E124" s="3199">
        <f t="shared" si="87"/>
        <v>0</v>
      </c>
      <c r="F124" s="3200"/>
      <c r="G124" s="3201">
        <f t="shared" si="62"/>
        <v>0</v>
      </c>
      <c r="H124" s="3202">
        <f t="shared" si="63"/>
        <v>0</v>
      </c>
      <c r="I124" s="3207"/>
      <c r="J124" s="3218"/>
      <c r="K124" s="3207"/>
      <c r="L124" s="3218"/>
      <c r="M124" s="3218"/>
      <c r="N124" s="3218"/>
      <c r="O124" s="3218"/>
      <c r="P124" s="3218"/>
      <c r="Q124" s="3218"/>
      <c r="R124" s="3218"/>
      <c r="S124" s="3218"/>
      <c r="T124" s="3218"/>
      <c r="U124" s="3218"/>
      <c r="V124" s="3218"/>
      <c r="W124" s="3218"/>
      <c r="X124" s="3218"/>
      <c r="Y124" s="3218"/>
      <c r="Z124" s="3218"/>
      <c r="AA124" s="3218"/>
      <c r="AB124" s="3218"/>
      <c r="AC124" s="3199">
        <f t="shared" si="64"/>
        <v>0</v>
      </c>
      <c r="AD124" s="3229"/>
      <c r="AE124" s="3229"/>
      <c r="AF124" s="3207"/>
      <c r="AG124" s="3229"/>
      <c r="AH124" s="3229"/>
      <c r="AI124" s="3229"/>
      <c r="AJ124" s="3229"/>
      <c r="AK124" s="3229"/>
      <c r="AL124" s="3229"/>
      <c r="AM124" s="3229"/>
      <c r="AN124" s="3229"/>
      <c r="AO124" s="3229"/>
      <c r="AP124" s="3229"/>
      <c r="AQ124" s="3229"/>
      <c r="AR124" s="3229"/>
      <c r="AS124" s="3229"/>
      <c r="AT124" s="3249"/>
      <c r="AU124" s="3250"/>
      <c r="AV124" s="475">
        <f t="shared" si="88"/>
        <v>0</v>
      </c>
      <c r="AW124" s="475">
        <f t="shared" si="89"/>
        <v>0</v>
      </c>
      <c r="AX124" s="475">
        <f t="shared" si="90"/>
        <v>0</v>
      </c>
      <c r="AY124" s="3266">
        <f t="shared" si="65"/>
        <v>0</v>
      </c>
      <c r="AZ124" s="3199">
        <f t="shared" si="66"/>
        <v>0</v>
      </c>
      <c r="BA124" s="3199">
        <f t="shared" si="67"/>
        <v>0</v>
      </c>
      <c r="BB124" s="3199">
        <f t="shared" si="68"/>
        <v>0</v>
      </c>
      <c r="BC124" s="3199">
        <f t="shared" si="69"/>
        <v>0</v>
      </c>
      <c r="BD124" s="3199">
        <f t="shared" si="70"/>
        <v>0</v>
      </c>
      <c r="BE124" s="3199">
        <f t="shared" si="71"/>
        <v>0</v>
      </c>
      <c r="BF124" s="3199">
        <f t="shared" si="72"/>
        <v>0</v>
      </c>
      <c r="BG124" s="3199">
        <f t="shared" si="73"/>
        <v>0</v>
      </c>
      <c r="BH124" s="3199">
        <f t="shared" si="74"/>
        <v>0</v>
      </c>
      <c r="BI124" s="3199">
        <f t="shared" si="75"/>
        <v>0</v>
      </c>
      <c r="BJ124" s="3199">
        <f t="shared" si="76"/>
        <v>0</v>
      </c>
      <c r="BK124" s="3199">
        <f t="shared" si="77"/>
        <v>0</v>
      </c>
      <c r="BL124" s="3199">
        <f t="shared" si="78"/>
        <v>0</v>
      </c>
      <c r="BM124" s="3199">
        <f t="shared" si="79"/>
        <v>0</v>
      </c>
      <c r="BN124" s="3199">
        <f t="shared" si="80"/>
        <v>0</v>
      </c>
      <c r="BO124" s="3199">
        <f t="shared" si="81"/>
        <v>0</v>
      </c>
      <c r="BP124" s="3199">
        <f t="shared" si="82"/>
        <v>0</v>
      </c>
      <c r="BQ124" s="3199">
        <f t="shared" si="83"/>
        <v>0</v>
      </c>
      <c r="BR124" s="3199">
        <f t="shared" si="84"/>
        <v>0</v>
      </c>
      <c r="BS124" s="3199">
        <f t="shared" si="85"/>
        <v>0</v>
      </c>
      <c r="BT124" s="3271">
        <f t="shared" si="86"/>
        <v>0</v>
      </c>
    </row>
    <row r="125" spans="1:72">
      <c r="A125" s="3197"/>
      <c r="B125" s="3205"/>
      <c r="C125" s="3204"/>
      <c r="D125" s="3193"/>
      <c r="E125" s="3199">
        <f t="shared" si="87"/>
        <v>0</v>
      </c>
      <c r="F125" s="3200"/>
      <c r="G125" s="3201">
        <f t="shared" si="62"/>
        <v>0</v>
      </c>
      <c r="H125" s="3202">
        <f t="shared" si="63"/>
        <v>0</v>
      </c>
      <c r="I125" s="3207"/>
      <c r="J125" s="3218"/>
      <c r="K125" s="3207"/>
      <c r="L125" s="3218"/>
      <c r="M125" s="3218"/>
      <c r="N125" s="3218"/>
      <c r="O125" s="3218"/>
      <c r="P125" s="3218"/>
      <c r="Q125" s="3218"/>
      <c r="R125" s="3218"/>
      <c r="S125" s="3218"/>
      <c r="T125" s="3218"/>
      <c r="U125" s="3218"/>
      <c r="V125" s="3218"/>
      <c r="W125" s="3218"/>
      <c r="X125" s="3218"/>
      <c r="Y125" s="3218"/>
      <c r="Z125" s="3218"/>
      <c r="AA125" s="3218"/>
      <c r="AB125" s="3218"/>
      <c r="AC125" s="3199">
        <f t="shared" si="64"/>
        <v>0</v>
      </c>
      <c r="AD125" s="3229"/>
      <c r="AE125" s="3229"/>
      <c r="AF125" s="3207"/>
      <c r="AG125" s="3229"/>
      <c r="AH125" s="3229"/>
      <c r="AI125" s="3229"/>
      <c r="AJ125" s="3229"/>
      <c r="AK125" s="3229"/>
      <c r="AL125" s="3229"/>
      <c r="AM125" s="3229"/>
      <c r="AN125" s="3229"/>
      <c r="AO125" s="3229"/>
      <c r="AP125" s="3229"/>
      <c r="AQ125" s="3229"/>
      <c r="AR125" s="3229"/>
      <c r="AS125" s="3229"/>
      <c r="AT125" s="3249"/>
      <c r="AU125" s="3250"/>
      <c r="AV125" s="475">
        <f t="shared" si="88"/>
        <v>0</v>
      </c>
      <c r="AW125" s="475">
        <f t="shared" si="89"/>
        <v>0</v>
      </c>
      <c r="AX125" s="475">
        <f t="shared" si="90"/>
        <v>0</v>
      </c>
      <c r="AY125" s="3266">
        <f t="shared" si="65"/>
        <v>0</v>
      </c>
      <c r="AZ125" s="3199">
        <f t="shared" si="66"/>
        <v>0</v>
      </c>
      <c r="BA125" s="3199">
        <f t="shared" si="67"/>
        <v>0</v>
      </c>
      <c r="BB125" s="3199">
        <f t="shared" si="68"/>
        <v>0</v>
      </c>
      <c r="BC125" s="3199">
        <f t="shared" si="69"/>
        <v>0</v>
      </c>
      <c r="BD125" s="3199">
        <f t="shared" si="70"/>
        <v>0</v>
      </c>
      <c r="BE125" s="3199">
        <f t="shared" si="71"/>
        <v>0</v>
      </c>
      <c r="BF125" s="3199">
        <f t="shared" si="72"/>
        <v>0</v>
      </c>
      <c r="BG125" s="3199">
        <f t="shared" si="73"/>
        <v>0</v>
      </c>
      <c r="BH125" s="3199">
        <f t="shared" si="74"/>
        <v>0</v>
      </c>
      <c r="BI125" s="3199">
        <f t="shared" si="75"/>
        <v>0</v>
      </c>
      <c r="BJ125" s="3199">
        <f t="shared" si="76"/>
        <v>0</v>
      </c>
      <c r="BK125" s="3199">
        <f t="shared" si="77"/>
        <v>0</v>
      </c>
      <c r="BL125" s="3199">
        <f t="shared" si="78"/>
        <v>0</v>
      </c>
      <c r="BM125" s="3199">
        <f t="shared" si="79"/>
        <v>0</v>
      </c>
      <c r="BN125" s="3199">
        <f t="shared" si="80"/>
        <v>0</v>
      </c>
      <c r="BO125" s="3199">
        <f t="shared" si="81"/>
        <v>0</v>
      </c>
      <c r="BP125" s="3199">
        <f t="shared" si="82"/>
        <v>0</v>
      </c>
      <c r="BQ125" s="3199">
        <f t="shared" si="83"/>
        <v>0</v>
      </c>
      <c r="BR125" s="3199">
        <f t="shared" si="84"/>
        <v>0</v>
      </c>
      <c r="BS125" s="3199">
        <f t="shared" si="85"/>
        <v>0</v>
      </c>
      <c r="BT125" s="3271">
        <f t="shared" si="86"/>
        <v>0</v>
      </c>
    </row>
    <row r="126" spans="1:72">
      <c r="A126" s="3197"/>
      <c r="B126" s="3205"/>
      <c r="C126" s="3204"/>
      <c r="D126" s="3193"/>
      <c r="E126" s="3199">
        <f t="shared" si="87"/>
        <v>0</v>
      </c>
      <c r="F126" s="3200"/>
      <c r="G126" s="3201">
        <f t="shared" si="62"/>
        <v>0</v>
      </c>
      <c r="H126" s="3202">
        <f t="shared" si="63"/>
        <v>0</v>
      </c>
      <c r="I126" s="3207"/>
      <c r="J126" s="3218"/>
      <c r="K126" s="3207"/>
      <c r="L126" s="3218"/>
      <c r="M126" s="3218"/>
      <c r="N126" s="3218"/>
      <c r="O126" s="3218"/>
      <c r="P126" s="3218"/>
      <c r="Q126" s="3218"/>
      <c r="R126" s="3218"/>
      <c r="S126" s="3218"/>
      <c r="T126" s="3218"/>
      <c r="U126" s="3218"/>
      <c r="V126" s="3218"/>
      <c r="W126" s="3218"/>
      <c r="X126" s="3218"/>
      <c r="Y126" s="3218"/>
      <c r="Z126" s="3218"/>
      <c r="AA126" s="3218"/>
      <c r="AB126" s="3218"/>
      <c r="AC126" s="3199">
        <f t="shared" si="64"/>
        <v>0</v>
      </c>
      <c r="AD126" s="3229"/>
      <c r="AE126" s="3229"/>
      <c r="AF126" s="3207"/>
      <c r="AG126" s="3229"/>
      <c r="AH126" s="3229"/>
      <c r="AI126" s="3229"/>
      <c r="AJ126" s="3229"/>
      <c r="AK126" s="3229"/>
      <c r="AL126" s="3229"/>
      <c r="AM126" s="3229"/>
      <c r="AN126" s="3229"/>
      <c r="AO126" s="3229"/>
      <c r="AP126" s="3229"/>
      <c r="AQ126" s="3229"/>
      <c r="AR126" s="3229"/>
      <c r="AS126" s="3229"/>
      <c r="AT126" s="3249"/>
      <c r="AU126" s="3250"/>
      <c r="AV126" s="475">
        <f t="shared" si="88"/>
        <v>0</v>
      </c>
      <c r="AW126" s="475">
        <f t="shared" si="89"/>
        <v>0</v>
      </c>
      <c r="AX126" s="475">
        <f t="shared" si="90"/>
        <v>0</v>
      </c>
      <c r="AY126" s="3266">
        <f t="shared" si="65"/>
        <v>0</v>
      </c>
      <c r="AZ126" s="3199">
        <f t="shared" si="66"/>
        <v>0</v>
      </c>
      <c r="BA126" s="3199">
        <f t="shared" si="67"/>
        <v>0</v>
      </c>
      <c r="BB126" s="3199">
        <f t="shared" si="68"/>
        <v>0</v>
      </c>
      <c r="BC126" s="3199">
        <f t="shared" si="69"/>
        <v>0</v>
      </c>
      <c r="BD126" s="3199">
        <f t="shared" si="70"/>
        <v>0</v>
      </c>
      <c r="BE126" s="3199">
        <f t="shared" si="71"/>
        <v>0</v>
      </c>
      <c r="BF126" s="3199">
        <f t="shared" si="72"/>
        <v>0</v>
      </c>
      <c r="BG126" s="3199">
        <f t="shared" si="73"/>
        <v>0</v>
      </c>
      <c r="BH126" s="3199">
        <f t="shared" si="74"/>
        <v>0</v>
      </c>
      <c r="BI126" s="3199">
        <f t="shared" si="75"/>
        <v>0</v>
      </c>
      <c r="BJ126" s="3199">
        <f t="shared" si="76"/>
        <v>0</v>
      </c>
      <c r="BK126" s="3199">
        <f t="shared" si="77"/>
        <v>0</v>
      </c>
      <c r="BL126" s="3199">
        <f t="shared" si="78"/>
        <v>0</v>
      </c>
      <c r="BM126" s="3199">
        <f t="shared" si="79"/>
        <v>0</v>
      </c>
      <c r="BN126" s="3199">
        <f t="shared" si="80"/>
        <v>0</v>
      </c>
      <c r="BO126" s="3199">
        <f t="shared" si="81"/>
        <v>0</v>
      </c>
      <c r="BP126" s="3199">
        <f t="shared" si="82"/>
        <v>0</v>
      </c>
      <c r="BQ126" s="3199">
        <f t="shared" si="83"/>
        <v>0</v>
      </c>
      <c r="BR126" s="3199">
        <f t="shared" si="84"/>
        <v>0</v>
      </c>
      <c r="BS126" s="3199">
        <f t="shared" si="85"/>
        <v>0</v>
      </c>
      <c r="BT126" s="3271">
        <f t="shared" si="86"/>
        <v>0</v>
      </c>
    </row>
    <row r="127" spans="1:72">
      <c r="A127" s="3197"/>
      <c r="B127" s="3205"/>
      <c r="C127" s="3204"/>
      <c r="D127" s="3193"/>
      <c r="E127" s="3199">
        <f t="shared" si="87"/>
        <v>0</v>
      </c>
      <c r="F127" s="3200"/>
      <c r="G127" s="3201">
        <f t="shared" si="62"/>
        <v>0</v>
      </c>
      <c r="H127" s="3202">
        <f t="shared" si="63"/>
        <v>0</v>
      </c>
      <c r="I127" s="3207"/>
      <c r="J127" s="3218"/>
      <c r="K127" s="3207"/>
      <c r="L127" s="3218"/>
      <c r="M127" s="3218"/>
      <c r="N127" s="3218"/>
      <c r="O127" s="3218"/>
      <c r="P127" s="3218"/>
      <c r="Q127" s="3218"/>
      <c r="R127" s="3218"/>
      <c r="S127" s="3218"/>
      <c r="T127" s="3218"/>
      <c r="U127" s="3218"/>
      <c r="V127" s="3218"/>
      <c r="W127" s="3218"/>
      <c r="X127" s="3218"/>
      <c r="Y127" s="3218"/>
      <c r="Z127" s="3218"/>
      <c r="AA127" s="3218"/>
      <c r="AB127" s="3218"/>
      <c r="AC127" s="3199">
        <f t="shared" si="64"/>
        <v>0</v>
      </c>
      <c r="AD127" s="3229"/>
      <c r="AE127" s="3229"/>
      <c r="AF127" s="3207"/>
      <c r="AG127" s="3229"/>
      <c r="AH127" s="3229"/>
      <c r="AI127" s="3229"/>
      <c r="AJ127" s="3229"/>
      <c r="AK127" s="3229"/>
      <c r="AL127" s="3229"/>
      <c r="AM127" s="3229"/>
      <c r="AN127" s="3229"/>
      <c r="AO127" s="3229"/>
      <c r="AP127" s="3229"/>
      <c r="AQ127" s="3229"/>
      <c r="AR127" s="3229"/>
      <c r="AS127" s="3229"/>
      <c r="AT127" s="3249"/>
      <c r="AU127" s="3250"/>
      <c r="AV127" s="475">
        <f t="shared" si="88"/>
        <v>0</v>
      </c>
      <c r="AW127" s="475">
        <f t="shared" si="89"/>
        <v>0</v>
      </c>
      <c r="AX127" s="475">
        <f t="shared" si="90"/>
        <v>0</v>
      </c>
      <c r="AY127" s="3266">
        <f t="shared" si="65"/>
        <v>0</v>
      </c>
      <c r="AZ127" s="3199">
        <f t="shared" si="66"/>
        <v>0</v>
      </c>
      <c r="BA127" s="3199">
        <f t="shared" si="67"/>
        <v>0</v>
      </c>
      <c r="BB127" s="3199">
        <f t="shared" si="68"/>
        <v>0</v>
      </c>
      <c r="BC127" s="3199">
        <f t="shared" si="69"/>
        <v>0</v>
      </c>
      <c r="BD127" s="3199">
        <f t="shared" si="70"/>
        <v>0</v>
      </c>
      <c r="BE127" s="3199">
        <f t="shared" si="71"/>
        <v>0</v>
      </c>
      <c r="BF127" s="3199">
        <f t="shared" si="72"/>
        <v>0</v>
      </c>
      <c r="BG127" s="3199">
        <f t="shared" si="73"/>
        <v>0</v>
      </c>
      <c r="BH127" s="3199">
        <f t="shared" si="74"/>
        <v>0</v>
      </c>
      <c r="BI127" s="3199">
        <f t="shared" si="75"/>
        <v>0</v>
      </c>
      <c r="BJ127" s="3199">
        <f t="shared" si="76"/>
        <v>0</v>
      </c>
      <c r="BK127" s="3199">
        <f t="shared" si="77"/>
        <v>0</v>
      </c>
      <c r="BL127" s="3199">
        <f t="shared" si="78"/>
        <v>0</v>
      </c>
      <c r="BM127" s="3199">
        <f t="shared" si="79"/>
        <v>0</v>
      </c>
      <c r="BN127" s="3199">
        <f t="shared" si="80"/>
        <v>0</v>
      </c>
      <c r="BO127" s="3199">
        <f t="shared" si="81"/>
        <v>0</v>
      </c>
      <c r="BP127" s="3199">
        <f t="shared" si="82"/>
        <v>0</v>
      </c>
      <c r="BQ127" s="3199">
        <f t="shared" si="83"/>
        <v>0</v>
      </c>
      <c r="BR127" s="3199">
        <f t="shared" si="84"/>
        <v>0</v>
      </c>
      <c r="BS127" s="3199">
        <f t="shared" si="85"/>
        <v>0</v>
      </c>
      <c r="BT127" s="3271">
        <f t="shared" si="86"/>
        <v>0</v>
      </c>
    </row>
    <row r="128" spans="1:72">
      <c r="A128" s="3197"/>
      <c r="B128" s="3205"/>
      <c r="C128" s="3204"/>
      <c r="D128" s="3193"/>
      <c r="E128" s="3199">
        <f t="shared" si="87"/>
        <v>0</v>
      </c>
      <c r="F128" s="3200"/>
      <c r="G128" s="3201">
        <f t="shared" si="62"/>
        <v>0</v>
      </c>
      <c r="H128" s="3202">
        <f t="shared" si="63"/>
        <v>0</v>
      </c>
      <c r="I128" s="3207"/>
      <c r="J128" s="3218"/>
      <c r="K128" s="3207"/>
      <c r="L128" s="3218"/>
      <c r="M128" s="3218"/>
      <c r="N128" s="3218"/>
      <c r="O128" s="3218"/>
      <c r="P128" s="3218"/>
      <c r="Q128" s="3218"/>
      <c r="R128" s="3218"/>
      <c r="S128" s="3218"/>
      <c r="T128" s="3218"/>
      <c r="U128" s="3218"/>
      <c r="V128" s="3218"/>
      <c r="W128" s="3218"/>
      <c r="X128" s="3218"/>
      <c r="Y128" s="3218"/>
      <c r="Z128" s="3218"/>
      <c r="AA128" s="3218"/>
      <c r="AB128" s="3218"/>
      <c r="AC128" s="3199">
        <f t="shared" si="64"/>
        <v>0</v>
      </c>
      <c r="AD128" s="3229"/>
      <c r="AE128" s="3229"/>
      <c r="AF128" s="3207"/>
      <c r="AG128" s="3229"/>
      <c r="AH128" s="3229"/>
      <c r="AI128" s="3229"/>
      <c r="AJ128" s="3229"/>
      <c r="AK128" s="3229"/>
      <c r="AL128" s="3229"/>
      <c r="AM128" s="3229"/>
      <c r="AN128" s="3229"/>
      <c r="AO128" s="3229"/>
      <c r="AP128" s="3229"/>
      <c r="AQ128" s="3229"/>
      <c r="AR128" s="3229"/>
      <c r="AS128" s="3229"/>
      <c r="AT128" s="3249"/>
      <c r="AU128" s="3250"/>
      <c r="AV128" s="475">
        <f t="shared" si="88"/>
        <v>0</v>
      </c>
      <c r="AW128" s="475">
        <f t="shared" si="89"/>
        <v>0</v>
      </c>
      <c r="AX128" s="475">
        <f t="shared" si="90"/>
        <v>0</v>
      </c>
      <c r="AY128" s="3266">
        <f t="shared" si="65"/>
        <v>0</v>
      </c>
      <c r="AZ128" s="3199">
        <f t="shared" si="66"/>
        <v>0</v>
      </c>
      <c r="BA128" s="3199">
        <f t="shared" si="67"/>
        <v>0</v>
      </c>
      <c r="BB128" s="3199">
        <f t="shared" si="68"/>
        <v>0</v>
      </c>
      <c r="BC128" s="3199">
        <f t="shared" si="69"/>
        <v>0</v>
      </c>
      <c r="BD128" s="3199">
        <f t="shared" si="70"/>
        <v>0</v>
      </c>
      <c r="BE128" s="3199">
        <f t="shared" si="71"/>
        <v>0</v>
      </c>
      <c r="BF128" s="3199">
        <f t="shared" si="72"/>
        <v>0</v>
      </c>
      <c r="BG128" s="3199">
        <f t="shared" si="73"/>
        <v>0</v>
      </c>
      <c r="BH128" s="3199">
        <f t="shared" si="74"/>
        <v>0</v>
      </c>
      <c r="BI128" s="3199">
        <f t="shared" si="75"/>
        <v>0</v>
      </c>
      <c r="BJ128" s="3199">
        <f t="shared" si="76"/>
        <v>0</v>
      </c>
      <c r="BK128" s="3199">
        <f t="shared" si="77"/>
        <v>0</v>
      </c>
      <c r="BL128" s="3199">
        <f t="shared" si="78"/>
        <v>0</v>
      </c>
      <c r="BM128" s="3199">
        <f t="shared" si="79"/>
        <v>0</v>
      </c>
      <c r="BN128" s="3199">
        <f t="shared" si="80"/>
        <v>0</v>
      </c>
      <c r="BO128" s="3199">
        <f t="shared" si="81"/>
        <v>0</v>
      </c>
      <c r="BP128" s="3199">
        <f t="shared" si="82"/>
        <v>0</v>
      </c>
      <c r="BQ128" s="3199">
        <f t="shared" si="83"/>
        <v>0</v>
      </c>
      <c r="BR128" s="3199">
        <f t="shared" si="84"/>
        <v>0</v>
      </c>
      <c r="BS128" s="3199">
        <f t="shared" si="85"/>
        <v>0</v>
      </c>
      <c r="BT128" s="3271">
        <f t="shared" si="86"/>
        <v>0</v>
      </c>
    </row>
    <row r="129" spans="1:72">
      <c r="A129" s="3197"/>
      <c r="B129" s="3205"/>
      <c r="C129" s="3204"/>
      <c r="D129" s="3193"/>
      <c r="E129" s="3199">
        <f t="shared" si="87"/>
        <v>0</v>
      </c>
      <c r="F129" s="3200"/>
      <c r="G129" s="3201">
        <f t="shared" si="62"/>
        <v>0</v>
      </c>
      <c r="H129" s="3202">
        <f t="shared" si="63"/>
        <v>0</v>
      </c>
      <c r="I129" s="3207"/>
      <c r="J129" s="3218"/>
      <c r="K129" s="3207"/>
      <c r="L129" s="3218"/>
      <c r="M129" s="3218"/>
      <c r="N129" s="3218"/>
      <c r="O129" s="3218"/>
      <c r="P129" s="3218"/>
      <c r="Q129" s="3218"/>
      <c r="R129" s="3218"/>
      <c r="S129" s="3218"/>
      <c r="T129" s="3218"/>
      <c r="U129" s="3218"/>
      <c r="V129" s="3218"/>
      <c r="W129" s="3218"/>
      <c r="X129" s="3218"/>
      <c r="Y129" s="3218"/>
      <c r="Z129" s="3218"/>
      <c r="AA129" s="3218"/>
      <c r="AB129" s="3218"/>
      <c r="AC129" s="3199">
        <f t="shared" si="64"/>
        <v>0</v>
      </c>
      <c r="AD129" s="3229"/>
      <c r="AE129" s="3229"/>
      <c r="AF129" s="3207"/>
      <c r="AG129" s="3229"/>
      <c r="AH129" s="3229"/>
      <c r="AI129" s="3229"/>
      <c r="AJ129" s="3229"/>
      <c r="AK129" s="3229"/>
      <c r="AL129" s="3229"/>
      <c r="AM129" s="3229"/>
      <c r="AN129" s="3229"/>
      <c r="AO129" s="3229"/>
      <c r="AP129" s="3229"/>
      <c r="AQ129" s="3229"/>
      <c r="AR129" s="3229"/>
      <c r="AS129" s="3229"/>
      <c r="AT129" s="3249"/>
      <c r="AU129" s="3250"/>
      <c r="AV129" s="475">
        <f t="shared" si="88"/>
        <v>0</v>
      </c>
      <c r="AW129" s="475">
        <f t="shared" si="89"/>
        <v>0</v>
      </c>
      <c r="AX129" s="475">
        <f t="shared" si="90"/>
        <v>0</v>
      </c>
      <c r="AY129" s="3266">
        <f t="shared" si="65"/>
        <v>0</v>
      </c>
      <c r="AZ129" s="3199">
        <f t="shared" si="66"/>
        <v>0</v>
      </c>
      <c r="BA129" s="3199">
        <f t="shared" si="67"/>
        <v>0</v>
      </c>
      <c r="BB129" s="3199">
        <f t="shared" si="68"/>
        <v>0</v>
      </c>
      <c r="BC129" s="3199">
        <f t="shared" si="69"/>
        <v>0</v>
      </c>
      <c r="BD129" s="3199">
        <f t="shared" si="70"/>
        <v>0</v>
      </c>
      <c r="BE129" s="3199">
        <f t="shared" si="71"/>
        <v>0</v>
      </c>
      <c r="BF129" s="3199">
        <f t="shared" si="72"/>
        <v>0</v>
      </c>
      <c r="BG129" s="3199">
        <f t="shared" si="73"/>
        <v>0</v>
      </c>
      <c r="BH129" s="3199">
        <f t="shared" si="74"/>
        <v>0</v>
      </c>
      <c r="BI129" s="3199">
        <f t="shared" si="75"/>
        <v>0</v>
      </c>
      <c r="BJ129" s="3199">
        <f t="shared" si="76"/>
        <v>0</v>
      </c>
      <c r="BK129" s="3199">
        <f t="shared" si="77"/>
        <v>0</v>
      </c>
      <c r="BL129" s="3199">
        <f t="shared" si="78"/>
        <v>0</v>
      </c>
      <c r="BM129" s="3199">
        <f t="shared" si="79"/>
        <v>0</v>
      </c>
      <c r="BN129" s="3199">
        <f t="shared" si="80"/>
        <v>0</v>
      </c>
      <c r="BO129" s="3199">
        <f t="shared" si="81"/>
        <v>0</v>
      </c>
      <c r="BP129" s="3199">
        <f t="shared" si="82"/>
        <v>0</v>
      </c>
      <c r="BQ129" s="3199">
        <f t="shared" si="83"/>
        <v>0</v>
      </c>
      <c r="BR129" s="3199">
        <f t="shared" si="84"/>
        <v>0</v>
      </c>
      <c r="BS129" s="3199">
        <f t="shared" si="85"/>
        <v>0</v>
      </c>
      <c r="BT129" s="3271">
        <f t="shared" si="86"/>
        <v>0</v>
      </c>
    </row>
    <row r="130" spans="1:72">
      <c r="A130" s="3197"/>
      <c r="B130" s="3205"/>
      <c r="C130" s="3204"/>
      <c r="D130" s="3193"/>
      <c r="E130" s="3199">
        <f t="shared" si="87"/>
        <v>0</v>
      </c>
      <c r="F130" s="3200"/>
      <c r="G130" s="3201">
        <f t="shared" si="62"/>
        <v>0</v>
      </c>
      <c r="H130" s="3202">
        <f t="shared" si="63"/>
        <v>0</v>
      </c>
      <c r="I130" s="3207"/>
      <c r="J130" s="3218"/>
      <c r="K130" s="3207"/>
      <c r="L130" s="3218"/>
      <c r="M130" s="3218"/>
      <c r="N130" s="3218"/>
      <c r="O130" s="3218"/>
      <c r="P130" s="3218"/>
      <c r="Q130" s="3218"/>
      <c r="R130" s="3218"/>
      <c r="S130" s="3218"/>
      <c r="T130" s="3218"/>
      <c r="U130" s="3218"/>
      <c r="V130" s="3218"/>
      <c r="W130" s="3218"/>
      <c r="X130" s="3218"/>
      <c r="Y130" s="3218"/>
      <c r="Z130" s="3218"/>
      <c r="AA130" s="3218"/>
      <c r="AB130" s="3218"/>
      <c r="AC130" s="3199">
        <f t="shared" si="64"/>
        <v>0</v>
      </c>
      <c r="AD130" s="3229"/>
      <c r="AE130" s="3229"/>
      <c r="AF130" s="3207"/>
      <c r="AG130" s="3229"/>
      <c r="AH130" s="3229"/>
      <c r="AI130" s="3229"/>
      <c r="AJ130" s="3229"/>
      <c r="AK130" s="3229"/>
      <c r="AL130" s="3229"/>
      <c r="AM130" s="3229"/>
      <c r="AN130" s="3229"/>
      <c r="AO130" s="3229"/>
      <c r="AP130" s="3229"/>
      <c r="AQ130" s="3229"/>
      <c r="AR130" s="3229"/>
      <c r="AS130" s="3229"/>
      <c r="AT130" s="3249"/>
      <c r="AU130" s="3250"/>
      <c r="AV130" s="475">
        <f t="shared" si="88"/>
        <v>0</v>
      </c>
      <c r="AW130" s="475">
        <f t="shared" si="89"/>
        <v>0</v>
      </c>
      <c r="AX130" s="475">
        <f t="shared" si="90"/>
        <v>0</v>
      </c>
      <c r="AY130" s="3266">
        <f t="shared" si="65"/>
        <v>0</v>
      </c>
      <c r="AZ130" s="3199">
        <f t="shared" si="66"/>
        <v>0</v>
      </c>
      <c r="BA130" s="3199">
        <f t="shared" si="67"/>
        <v>0</v>
      </c>
      <c r="BB130" s="3199">
        <f t="shared" si="68"/>
        <v>0</v>
      </c>
      <c r="BC130" s="3199">
        <f t="shared" si="69"/>
        <v>0</v>
      </c>
      <c r="BD130" s="3199">
        <f t="shared" si="70"/>
        <v>0</v>
      </c>
      <c r="BE130" s="3199">
        <f t="shared" si="71"/>
        <v>0</v>
      </c>
      <c r="BF130" s="3199">
        <f t="shared" si="72"/>
        <v>0</v>
      </c>
      <c r="BG130" s="3199">
        <f t="shared" si="73"/>
        <v>0</v>
      </c>
      <c r="BH130" s="3199">
        <f t="shared" si="74"/>
        <v>0</v>
      </c>
      <c r="BI130" s="3199">
        <f t="shared" si="75"/>
        <v>0</v>
      </c>
      <c r="BJ130" s="3199">
        <f t="shared" si="76"/>
        <v>0</v>
      </c>
      <c r="BK130" s="3199">
        <f t="shared" si="77"/>
        <v>0</v>
      </c>
      <c r="BL130" s="3199">
        <f t="shared" si="78"/>
        <v>0</v>
      </c>
      <c r="BM130" s="3199">
        <f t="shared" si="79"/>
        <v>0</v>
      </c>
      <c r="BN130" s="3199">
        <f t="shared" si="80"/>
        <v>0</v>
      </c>
      <c r="BO130" s="3199">
        <f t="shared" si="81"/>
        <v>0</v>
      </c>
      <c r="BP130" s="3199">
        <f t="shared" si="82"/>
        <v>0</v>
      </c>
      <c r="BQ130" s="3199">
        <f t="shared" si="83"/>
        <v>0</v>
      </c>
      <c r="BR130" s="3199">
        <f t="shared" si="84"/>
        <v>0</v>
      </c>
      <c r="BS130" s="3199">
        <f t="shared" si="85"/>
        <v>0</v>
      </c>
      <c r="BT130" s="3271">
        <f t="shared" si="86"/>
        <v>0</v>
      </c>
    </row>
    <row r="131" spans="1:72">
      <c r="A131" s="3197"/>
      <c r="B131" s="3205"/>
      <c r="C131" s="3204"/>
      <c r="D131" s="3193"/>
      <c r="E131" s="3199">
        <f t="shared" si="87"/>
        <v>0</v>
      </c>
      <c r="F131" s="3200"/>
      <c r="G131" s="3201">
        <f t="shared" si="62"/>
        <v>0</v>
      </c>
      <c r="H131" s="3202">
        <f t="shared" si="63"/>
        <v>0</v>
      </c>
      <c r="I131" s="3207"/>
      <c r="J131" s="3218"/>
      <c r="K131" s="3207"/>
      <c r="L131" s="3218"/>
      <c r="M131" s="3218"/>
      <c r="N131" s="3218"/>
      <c r="O131" s="3218"/>
      <c r="P131" s="3218"/>
      <c r="Q131" s="3218"/>
      <c r="R131" s="3218"/>
      <c r="S131" s="3218"/>
      <c r="T131" s="3218"/>
      <c r="U131" s="3218"/>
      <c r="V131" s="3218"/>
      <c r="W131" s="3218"/>
      <c r="X131" s="3218"/>
      <c r="Y131" s="3218"/>
      <c r="Z131" s="3218"/>
      <c r="AA131" s="3218"/>
      <c r="AB131" s="3218"/>
      <c r="AC131" s="3199">
        <f t="shared" si="64"/>
        <v>0</v>
      </c>
      <c r="AD131" s="3229"/>
      <c r="AE131" s="3229"/>
      <c r="AF131" s="3207"/>
      <c r="AG131" s="3229"/>
      <c r="AH131" s="3229"/>
      <c r="AI131" s="3229"/>
      <c r="AJ131" s="3229"/>
      <c r="AK131" s="3229"/>
      <c r="AL131" s="3229"/>
      <c r="AM131" s="3229"/>
      <c r="AN131" s="3229"/>
      <c r="AO131" s="3229"/>
      <c r="AP131" s="3229"/>
      <c r="AQ131" s="3229"/>
      <c r="AR131" s="3229"/>
      <c r="AS131" s="3229"/>
      <c r="AT131" s="3249"/>
      <c r="AU131" s="3250"/>
      <c r="AV131" s="475">
        <f t="shared" si="88"/>
        <v>0</v>
      </c>
      <c r="AW131" s="475">
        <f t="shared" si="89"/>
        <v>0</v>
      </c>
      <c r="AX131" s="475">
        <f t="shared" si="90"/>
        <v>0</v>
      </c>
      <c r="AY131" s="3266">
        <f t="shared" si="65"/>
        <v>0</v>
      </c>
      <c r="AZ131" s="3199">
        <f t="shared" si="66"/>
        <v>0</v>
      </c>
      <c r="BA131" s="3199">
        <f t="shared" si="67"/>
        <v>0</v>
      </c>
      <c r="BB131" s="3199">
        <f t="shared" si="68"/>
        <v>0</v>
      </c>
      <c r="BC131" s="3199">
        <f t="shared" si="69"/>
        <v>0</v>
      </c>
      <c r="BD131" s="3199">
        <f t="shared" si="70"/>
        <v>0</v>
      </c>
      <c r="BE131" s="3199">
        <f t="shared" si="71"/>
        <v>0</v>
      </c>
      <c r="BF131" s="3199">
        <f t="shared" si="72"/>
        <v>0</v>
      </c>
      <c r="BG131" s="3199">
        <f t="shared" si="73"/>
        <v>0</v>
      </c>
      <c r="BH131" s="3199">
        <f t="shared" si="74"/>
        <v>0</v>
      </c>
      <c r="BI131" s="3199">
        <f t="shared" si="75"/>
        <v>0</v>
      </c>
      <c r="BJ131" s="3199">
        <f t="shared" si="76"/>
        <v>0</v>
      </c>
      <c r="BK131" s="3199">
        <f t="shared" si="77"/>
        <v>0</v>
      </c>
      <c r="BL131" s="3199">
        <f t="shared" si="78"/>
        <v>0</v>
      </c>
      <c r="BM131" s="3199">
        <f t="shared" si="79"/>
        <v>0</v>
      </c>
      <c r="BN131" s="3199">
        <f t="shared" si="80"/>
        <v>0</v>
      </c>
      <c r="BO131" s="3199">
        <f t="shared" si="81"/>
        <v>0</v>
      </c>
      <c r="BP131" s="3199">
        <f t="shared" si="82"/>
        <v>0</v>
      </c>
      <c r="BQ131" s="3199">
        <f t="shared" si="83"/>
        <v>0</v>
      </c>
      <c r="BR131" s="3199">
        <f t="shared" si="84"/>
        <v>0</v>
      </c>
      <c r="BS131" s="3199">
        <f t="shared" si="85"/>
        <v>0</v>
      </c>
      <c r="BT131" s="3271">
        <f t="shared" si="86"/>
        <v>0</v>
      </c>
    </row>
    <row r="132" spans="1:72">
      <c r="A132" s="3197"/>
      <c r="B132" s="3205"/>
      <c r="C132" s="3204"/>
      <c r="D132" s="3193"/>
      <c r="E132" s="3199">
        <f t="shared" si="87"/>
        <v>0</v>
      </c>
      <c r="F132" s="3200"/>
      <c r="G132" s="3201">
        <f t="shared" si="62"/>
        <v>0</v>
      </c>
      <c r="H132" s="3202">
        <f t="shared" si="63"/>
        <v>0</v>
      </c>
      <c r="I132" s="3207"/>
      <c r="J132" s="3218"/>
      <c r="K132" s="3207"/>
      <c r="L132" s="3218"/>
      <c r="M132" s="3218"/>
      <c r="N132" s="3218"/>
      <c r="O132" s="3218"/>
      <c r="P132" s="3218"/>
      <c r="Q132" s="3218"/>
      <c r="R132" s="3218"/>
      <c r="S132" s="3218"/>
      <c r="T132" s="3218"/>
      <c r="U132" s="3218"/>
      <c r="V132" s="3218"/>
      <c r="W132" s="3218"/>
      <c r="X132" s="3218"/>
      <c r="Y132" s="3218"/>
      <c r="Z132" s="3218"/>
      <c r="AA132" s="3218"/>
      <c r="AB132" s="3218"/>
      <c r="AC132" s="3199">
        <f t="shared" si="64"/>
        <v>0</v>
      </c>
      <c r="AD132" s="3229"/>
      <c r="AE132" s="3229"/>
      <c r="AF132" s="3207"/>
      <c r="AG132" s="3229"/>
      <c r="AH132" s="3229"/>
      <c r="AI132" s="3229"/>
      <c r="AJ132" s="3229"/>
      <c r="AK132" s="3229"/>
      <c r="AL132" s="3229"/>
      <c r="AM132" s="3229"/>
      <c r="AN132" s="3229"/>
      <c r="AO132" s="3229"/>
      <c r="AP132" s="3229"/>
      <c r="AQ132" s="3229"/>
      <c r="AR132" s="3229"/>
      <c r="AS132" s="3229"/>
      <c r="AT132" s="3249"/>
      <c r="AU132" s="3250"/>
      <c r="AV132" s="475">
        <f t="shared" si="88"/>
        <v>0</v>
      </c>
      <c r="AW132" s="475">
        <f t="shared" si="89"/>
        <v>0</v>
      </c>
      <c r="AX132" s="475">
        <f t="shared" si="90"/>
        <v>0</v>
      </c>
      <c r="AY132" s="3266">
        <f t="shared" si="65"/>
        <v>0</v>
      </c>
      <c r="AZ132" s="3199">
        <f t="shared" si="66"/>
        <v>0</v>
      </c>
      <c r="BA132" s="3199">
        <f t="shared" si="67"/>
        <v>0</v>
      </c>
      <c r="BB132" s="3199">
        <f t="shared" si="68"/>
        <v>0</v>
      </c>
      <c r="BC132" s="3199">
        <f t="shared" si="69"/>
        <v>0</v>
      </c>
      <c r="BD132" s="3199">
        <f t="shared" si="70"/>
        <v>0</v>
      </c>
      <c r="BE132" s="3199">
        <f t="shared" si="71"/>
        <v>0</v>
      </c>
      <c r="BF132" s="3199">
        <f t="shared" si="72"/>
        <v>0</v>
      </c>
      <c r="BG132" s="3199">
        <f t="shared" si="73"/>
        <v>0</v>
      </c>
      <c r="BH132" s="3199">
        <f t="shared" si="74"/>
        <v>0</v>
      </c>
      <c r="BI132" s="3199">
        <f t="shared" si="75"/>
        <v>0</v>
      </c>
      <c r="BJ132" s="3199">
        <f t="shared" si="76"/>
        <v>0</v>
      </c>
      <c r="BK132" s="3199">
        <f t="shared" si="77"/>
        <v>0</v>
      </c>
      <c r="BL132" s="3199">
        <f t="shared" si="78"/>
        <v>0</v>
      </c>
      <c r="BM132" s="3199">
        <f t="shared" si="79"/>
        <v>0</v>
      </c>
      <c r="BN132" s="3199">
        <f t="shared" si="80"/>
        <v>0</v>
      </c>
      <c r="BO132" s="3199">
        <f t="shared" si="81"/>
        <v>0</v>
      </c>
      <c r="BP132" s="3199">
        <f t="shared" si="82"/>
        <v>0</v>
      </c>
      <c r="BQ132" s="3199">
        <f t="shared" si="83"/>
        <v>0</v>
      </c>
      <c r="BR132" s="3199">
        <f t="shared" si="84"/>
        <v>0</v>
      </c>
      <c r="BS132" s="3199">
        <f t="shared" si="85"/>
        <v>0</v>
      </c>
      <c r="BT132" s="3271">
        <f t="shared" si="86"/>
        <v>0</v>
      </c>
    </row>
    <row r="133" spans="1:72">
      <c r="A133" s="3197"/>
      <c r="B133" s="3205"/>
      <c r="C133" s="3204"/>
      <c r="D133" s="3193"/>
      <c r="E133" s="3199">
        <f t="shared" si="87"/>
        <v>0</v>
      </c>
      <c r="F133" s="3200"/>
      <c r="G133" s="3201">
        <f t="shared" si="62"/>
        <v>0</v>
      </c>
      <c r="H133" s="3202">
        <f t="shared" si="63"/>
        <v>0</v>
      </c>
      <c r="I133" s="3207"/>
      <c r="J133" s="3218"/>
      <c r="K133" s="3207"/>
      <c r="L133" s="3218"/>
      <c r="M133" s="3218"/>
      <c r="N133" s="3218"/>
      <c r="O133" s="3218"/>
      <c r="P133" s="3218"/>
      <c r="Q133" s="3218"/>
      <c r="R133" s="3218"/>
      <c r="S133" s="3218"/>
      <c r="T133" s="3218"/>
      <c r="U133" s="3218"/>
      <c r="V133" s="3218"/>
      <c r="W133" s="3218"/>
      <c r="X133" s="3218"/>
      <c r="Y133" s="3218"/>
      <c r="Z133" s="3218"/>
      <c r="AA133" s="3218"/>
      <c r="AB133" s="3218"/>
      <c r="AC133" s="3199">
        <f t="shared" si="64"/>
        <v>0</v>
      </c>
      <c r="AD133" s="3229"/>
      <c r="AE133" s="3229"/>
      <c r="AF133" s="3207"/>
      <c r="AG133" s="3229"/>
      <c r="AH133" s="3229"/>
      <c r="AI133" s="3229"/>
      <c r="AJ133" s="3229"/>
      <c r="AK133" s="3229"/>
      <c r="AL133" s="3229"/>
      <c r="AM133" s="3229"/>
      <c r="AN133" s="3229"/>
      <c r="AO133" s="3229"/>
      <c r="AP133" s="3229"/>
      <c r="AQ133" s="3229"/>
      <c r="AR133" s="3229"/>
      <c r="AS133" s="3229"/>
      <c r="AT133" s="3249"/>
      <c r="AU133" s="3250"/>
      <c r="AV133" s="475">
        <f t="shared" si="88"/>
        <v>0</v>
      </c>
      <c r="AW133" s="475">
        <f t="shared" si="89"/>
        <v>0</v>
      </c>
      <c r="AX133" s="475">
        <f t="shared" si="90"/>
        <v>0</v>
      </c>
      <c r="AY133" s="3266">
        <f t="shared" si="65"/>
        <v>0</v>
      </c>
      <c r="AZ133" s="3199">
        <f t="shared" si="66"/>
        <v>0</v>
      </c>
      <c r="BA133" s="3199">
        <f t="shared" si="67"/>
        <v>0</v>
      </c>
      <c r="BB133" s="3199">
        <f t="shared" si="68"/>
        <v>0</v>
      </c>
      <c r="BC133" s="3199">
        <f t="shared" si="69"/>
        <v>0</v>
      </c>
      <c r="BD133" s="3199">
        <f t="shared" si="70"/>
        <v>0</v>
      </c>
      <c r="BE133" s="3199">
        <f t="shared" si="71"/>
        <v>0</v>
      </c>
      <c r="BF133" s="3199">
        <f t="shared" si="72"/>
        <v>0</v>
      </c>
      <c r="BG133" s="3199">
        <f t="shared" si="73"/>
        <v>0</v>
      </c>
      <c r="BH133" s="3199">
        <f t="shared" si="74"/>
        <v>0</v>
      </c>
      <c r="BI133" s="3199">
        <f t="shared" si="75"/>
        <v>0</v>
      </c>
      <c r="BJ133" s="3199">
        <f t="shared" si="76"/>
        <v>0</v>
      </c>
      <c r="BK133" s="3199">
        <f t="shared" si="77"/>
        <v>0</v>
      </c>
      <c r="BL133" s="3199">
        <f t="shared" si="78"/>
        <v>0</v>
      </c>
      <c r="BM133" s="3199">
        <f t="shared" si="79"/>
        <v>0</v>
      </c>
      <c r="BN133" s="3199">
        <f t="shared" si="80"/>
        <v>0</v>
      </c>
      <c r="BO133" s="3199">
        <f t="shared" si="81"/>
        <v>0</v>
      </c>
      <c r="BP133" s="3199">
        <f t="shared" si="82"/>
        <v>0</v>
      </c>
      <c r="BQ133" s="3199">
        <f t="shared" si="83"/>
        <v>0</v>
      </c>
      <c r="BR133" s="3199">
        <f t="shared" si="84"/>
        <v>0</v>
      </c>
      <c r="BS133" s="3199">
        <f t="shared" si="85"/>
        <v>0</v>
      </c>
      <c r="BT133" s="3271">
        <f t="shared" si="86"/>
        <v>0</v>
      </c>
    </row>
    <row r="134" spans="1:72">
      <c r="A134" s="3197"/>
      <c r="B134" s="3205"/>
      <c r="C134" s="3204"/>
      <c r="D134" s="3193"/>
      <c r="E134" s="3199">
        <f t="shared" si="87"/>
        <v>0</v>
      </c>
      <c r="F134" s="3200"/>
      <c r="G134" s="3201">
        <f t="shared" si="62"/>
        <v>0</v>
      </c>
      <c r="H134" s="3202">
        <f t="shared" si="63"/>
        <v>0</v>
      </c>
      <c r="I134" s="3207"/>
      <c r="J134" s="3218"/>
      <c r="K134" s="3207"/>
      <c r="L134" s="3218"/>
      <c r="M134" s="3218"/>
      <c r="N134" s="3218"/>
      <c r="O134" s="3218"/>
      <c r="P134" s="3218"/>
      <c r="Q134" s="3218"/>
      <c r="R134" s="3218"/>
      <c r="S134" s="3218"/>
      <c r="T134" s="3218"/>
      <c r="U134" s="3218"/>
      <c r="V134" s="3218"/>
      <c r="W134" s="3218"/>
      <c r="X134" s="3218"/>
      <c r="Y134" s="3218"/>
      <c r="Z134" s="3218"/>
      <c r="AA134" s="3218"/>
      <c r="AB134" s="3218"/>
      <c r="AC134" s="3199">
        <f t="shared" si="64"/>
        <v>0</v>
      </c>
      <c r="AD134" s="3229"/>
      <c r="AE134" s="3229"/>
      <c r="AF134" s="3207"/>
      <c r="AG134" s="3229"/>
      <c r="AH134" s="3229"/>
      <c r="AI134" s="3229"/>
      <c r="AJ134" s="3229"/>
      <c r="AK134" s="3229"/>
      <c r="AL134" s="3229"/>
      <c r="AM134" s="3229"/>
      <c r="AN134" s="3229"/>
      <c r="AO134" s="3229"/>
      <c r="AP134" s="3229"/>
      <c r="AQ134" s="3229"/>
      <c r="AR134" s="3229"/>
      <c r="AS134" s="3229"/>
      <c r="AT134" s="3249"/>
      <c r="AU134" s="3250"/>
      <c r="AV134" s="475">
        <f t="shared" si="88"/>
        <v>0</v>
      </c>
      <c r="AW134" s="475">
        <f t="shared" si="89"/>
        <v>0</v>
      </c>
      <c r="AX134" s="475">
        <f t="shared" si="90"/>
        <v>0</v>
      </c>
      <c r="AY134" s="3266">
        <f t="shared" si="65"/>
        <v>0</v>
      </c>
      <c r="AZ134" s="3199">
        <f t="shared" si="66"/>
        <v>0</v>
      </c>
      <c r="BA134" s="3199">
        <f t="shared" si="67"/>
        <v>0</v>
      </c>
      <c r="BB134" s="3199">
        <f t="shared" si="68"/>
        <v>0</v>
      </c>
      <c r="BC134" s="3199">
        <f t="shared" si="69"/>
        <v>0</v>
      </c>
      <c r="BD134" s="3199">
        <f t="shared" si="70"/>
        <v>0</v>
      </c>
      <c r="BE134" s="3199">
        <f t="shared" si="71"/>
        <v>0</v>
      </c>
      <c r="BF134" s="3199">
        <f t="shared" si="72"/>
        <v>0</v>
      </c>
      <c r="BG134" s="3199">
        <f t="shared" si="73"/>
        <v>0</v>
      </c>
      <c r="BH134" s="3199">
        <f t="shared" si="74"/>
        <v>0</v>
      </c>
      <c r="BI134" s="3199">
        <f t="shared" si="75"/>
        <v>0</v>
      </c>
      <c r="BJ134" s="3199">
        <f t="shared" si="76"/>
        <v>0</v>
      </c>
      <c r="BK134" s="3199">
        <f t="shared" si="77"/>
        <v>0</v>
      </c>
      <c r="BL134" s="3199">
        <f t="shared" si="78"/>
        <v>0</v>
      </c>
      <c r="BM134" s="3199">
        <f t="shared" si="79"/>
        <v>0</v>
      </c>
      <c r="BN134" s="3199">
        <f t="shared" si="80"/>
        <v>0</v>
      </c>
      <c r="BO134" s="3199">
        <f t="shared" si="81"/>
        <v>0</v>
      </c>
      <c r="BP134" s="3199">
        <f t="shared" si="82"/>
        <v>0</v>
      </c>
      <c r="BQ134" s="3199">
        <f t="shared" si="83"/>
        <v>0</v>
      </c>
      <c r="BR134" s="3199">
        <f t="shared" si="84"/>
        <v>0</v>
      </c>
      <c r="BS134" s="3199">
        <f t="shared" si="85"/>
        <v>0</v>
      </c>
      <c r="BT134" s="3271">
        <f t="shared" si="86"/>
        <v>0</v>
      </c>
    </row>
    <row r="135" spans="1:72">
      <c r="A135" s="3197"/>
      <c r="B135" s="3205"/>
      <c r="C135" s="3204"/>
      <c r="D135" s="3193"/>
      <c r="E135" s="3199">
        <f t="shared" si="87"/>
        <v>0</v>
      </c>
      <c r="F135" s="3200"/>
      <c r="G135" s="3201">
        <f t="shared" si="62"/>
        <v>0</v>
      </c>
      <c r="H135" s="3202">
        <f t="shared" si="63"/>
        <v>0</v>
      </c>
      <c r="I135" s="3207"/>
      <c r="J135" s="3218"/>
      <c r="K135" s="3207"/>
      <c r="L135" s="3218"/>
      <c r="M135" s="3218"/>
      <c r="N135" s="3218"/>
      <c r="O135" s="3218"/>
      <c r="P135" s="3218"/>
      <c r="Q135" s="3218"/>
      <c r="R135" s="3218"/>
      <c r="S135" s="3218"/>
      <c r="T135" s="3218"/>
      <c r="U135" s="3218"/>
      <c r="V135" s="3218"/>
      <c r="W135" s="3218"/>
      <c r="X135" s="3218"/>
      <c r="Y135" s="3218"/>
      <c r="Z135" s="3218"/>
      <c r="AA135" s="3218"/>
      <c r="AB135" s="3218"/>
      <c r="AC135" s="3199">
        <f t="shared" si="64"/>
        <v>0</v>
      </c>
      <c r="AD135" s="3229"/>
      <c r="AE135" s="3229"/>
      <c r="AF135" s="3207"/>
      <c r="AG135" s="3229"/>
      <c r="AH135" s="3229"/>
      <c r="AI135" s="3229"/>
      <c r="AJ135" s="3229"/>
      <c r="AK135" s="3229"/>
      <c r="AL135" s="3229"/>
      <c r="AM135" s="3229"/>
      <c r="AN135" s="3229"/>
      <c r="AO135" s="3229"/>
      <c r="AP135" s="3229"/>
      <c r="AQ135" s="3229"/>
      <c r="AR135" s="3229"/>
      <c r="AS135" s="3229"/>
      <c r="AT135" s="3249"/>
      <c r="AU135" s="3250"/>
      <c r="AV135" s="475">
        <f t="shared" si="88"/>
        <v>0</v>
      </c>
      <c r="AW135" s="475">
        <f t="shared" si="89"/>
        <v>0</v>
      </c>
      <c r="AX135" s="475">
        <f t="shared" si="90"/>
        <v>0</v>
      </c>
      <c r="AY135" s="3266">
        <f t="shared" si="65"/>
        <v>0</v>
      </c>
      <c r="AZ135" s="3199">
        <f t="shared" si="66"/>
        <v>0</v>
      </c>
      <c r="BA135" s="3199">
        <f t="shared" si="67"/>
        <v>0</v>
      </c>
      <c r="BB135" s="3199">
        <f t="shared" si="68"/>
        <v>0</v>
      </c>
      <c r="BC135" s="3199">
        <f t="shared" si="69"/>
        <v>0</v>
      </c>
      <c r="BD135" s="3199">
        <f t="shared" si="70"/>
        <v>0</v>
      </c>
      <c r="BE135" s="3199">
        <f t="shared" si="71"/>
        <v>0</v>
      </c>
      <c r="BF135" s="3199">
        <f t="shared" si="72"/>
        <v>0</v>
      </c>
      <c r="BG135" s="3199">
        <f t="shared" si="73"/>
        <v>0</v>
      </c>
      <c r="BH135" s="3199">
        <f t="shared" si="74"/>
        <v>0</v>
      </c>
      <c r="BI135" s="3199">
        <f t="shared" si="75"/>
        <v>0</v>
      </c>
      <c r="BJ135" s="3199">
        <f t="shared" si="76"/>
        <v>0</v>
      </c>
      <c r="BK135" s="3199">
        <f t="shared" si="77"/>
        <v>0</v>
      </c>
      <c r="BL135" s="3199">
        <f t="shared" si="78"/>
        <v>0</v>
      </c>
      <c r="BM135" s="3199">
        <f t="shared" si="79"/>
        <v>0</v>
      </c>
      <c r="BN135" s="3199">
        <f t="shared" si="80"/>
        <v>0</v>
      </c>
      <c r="BO135" s="3199">
        <f t="shared" si="81"/>
        <v>0</v>
      </c>
      <c r="BP135" s="3199">
        <f t="shared" si="82"/>
        <v>0</v>
      </c>
      <c r="BQ135" s="3199">
        <f t="shared" si="83"/>
        <v>0</v>
      </c>
      <c r="BR135" s="3199">
        <f t="shared" si="84"/>
        <v>0</v>
      </c>
      <c r="BS135" s="3199">
        <f t="shared" si="85"/>
        <v>0</v>
      </c>
      <c r="BT135" s="3271">
        <f t="shared" si="86"/>
        <v>0</v>
      </c>
    </row>
    <row r="136" spans="1:72">
      <c r="A136" s="3197"/>
      <c r="B136" s="3205"/>
      <c r="C136" s="3204"/>
      <c r="D136" s="3193"/>
      <c r="E136" s="3199">
        <f t="shared" si="87"/>
        <v>0</v>
      </c>
      <c r="F136" s="3200"/>
      <c r="G136" s="3201">
        <f t="shared" si="62"/>
        <v>0</v>
      </c>
      <c r="H136" s="3202">
        <f t="shared" si="63"/>
        <v>0</v>
      </c>
      <c r="I136" s="3207"/>
      <c r="J136" s="3218"/>
      <c r="K136" s="3207"/>
      <c r="L136" s="3218"/>
      <c r="M136" s="3218"/>
      <c r="N136" s="3218"/>
      <c r="O136" s="3218"/>
      <c r="P136" s="3218"/>
      <c r="Q136" s="3218"/>
      <c r="R136" s="3218"/>
      <c r="S136" s="3218"/>
      <c r="T136" s="3218"/>
      <c r="U136" s="3218"/>
      <c r="V136" s="3218"/>
      <c r="W136" s="3218"/>
      <c r="X136" s="3218"/>
      <c r="Y136" s="3218"/>
      <c r="Z136" s="3218"/>
      <c r="AA136" s="3218"/>
      <c r="AB136" s="3218"/>
      <c r="AC136" s="3199">
        <f t="shared" si="64"/>
        <v>0</v>
      </c>
      <c r="AD136" s="3229"/>
      <c r="AE136" s="3229"/>
      <c r="AF136" s="3207"/>
      <c r="AG136" s="3229"/>
      <c r="AH136" s="3229"/>
      <c r="AI136" s="3229"/>
      <c r="AJ136" s="3229"/>
      <c r="AK136" s="3229"/>
      <c r="AL136" s="3229"/>
      <c r="AM136" s="3229"/>
      <c r="AN136" s="3229"/>
      <c r="AO136" s="3229"/>
      <c r="AP136" s="3229"/>
      <c r="AQ136" s="3229"/>
      <c r="AR136" s="3229"/>
      <c r="AS136" s="3229"/>
      <c r="AT136" s="3249"/>
      <c r="AU136" s="3250"/>
      <c r="AV136" s="475">
        <f t="shared" si="88"/>
        <v>0</v>
      </c>
      <c r="AW136" s="475">
        <f t="shared" si="89"/>
        <v>0</v>
      </c>
      <c r="AX136" s="475">
        <f t="shared" si="90"/>
        <v>0</v>
      </c>
      <c r="AY136" s="3266">
        <f t="shared" si="65"/>
        <v>0</v>
      </c>
      <c r="AZ136" s="3199">
        <f t="shared" si="66"/>
        <v>0</v>
      </c>
      <c r="BA136" s="3199">
        <f t="shared" si="67"/>
        <v>0</v>
      </c>
      <c r="BB136" s="3199">
        <f t="shared" si="68"/>
        <v>0</v>
      </c>
      <c r="BC136" s="3199">
        <f t="shared" si="69"/>
        <v>0</v>
      </c>
      <c r="BD136" s="3199">
        <f t="shared" si="70"/>
        <v>0</v>
      </c>
      <c r="BE136" s="3199">
        <f t="shared" si="71"/>
        <v>0</v>
      </c>
      <c r="BF136" s="3199">
        <f t="shared" si="72"/>
        <v>0</v>
      </c>
      <c r="BG136" s="3199">
        <f t="shared" si="73"/>
        <v>0</v>
      </c>
      <c r="BH136" s="3199">
        <f t="shared" si="74"/>
        <v>0</v>
      </c>
      <c r="BI136" s="3199">
        <f t="shared" si="75"/>
        <v>0</v>
      </c>
      <c r="BJ136" s="3199">
        <f t="shared" si="76"/>
        <v>0</v>
      </c>
      <c r="BK136" s="3199">
        <f t="shared" si="77"/>
        <v>0</v>
      </c>
      <c r="BL136" s="3199">
        <f t="shared" si="78"/>
        <v>0</v>
      </c>
      <c r="BM136" s="3199">
        <f t="shared" si="79"/>
        <v>0</v>
      </c>
      <c r="BN136" s="3199">
        <f t="shared" si="80"/>
        <v>0</v>
      </c>
      <c r="BO136" s="3199">
        <f t="shared" si="81"/>
        <v>0</v>
      </c>
      <c r="BP136" s="3199">
        <f t="shared" si="82"/>
        <v>0</v>
      </c>
      <c r="BQ136" s="3199">
        <f t="shared" si="83"/>
        <v>0</v>
      </c>
      <c r="BR136" s="3199">
        <f t="shared" si="84"/>
        <v>0</v>
      </c>
      <c r="BS136" s="3199">
        <f t="shared" si="85"/>
        <v>0</v>
      </c>
      <c r="BT136" s="3271">
        <f t="shared" si="86"/>
        <v>0</v>
      </c>
    </row>
    <row r="137" spans="1:72">
      <c r="A137" s="3197"/>
      <c r="B137" s="3205"/>
      <c r="C137" s="3204"/>
      <c r="D137" s="3193"/>
      <c r="E137" s="3199">
        <f t="shared" si="87"/>
        <v>0</v>
      </c>
      <c r="F137" s="3200"/>
      <c r="G137" s="3201">
        <f t="shared" si="62"/>
        <v>0</v>
      </c>
      <c r="H137" s="3202">
        <f t="shared" si="63"/>
        <v>0</v>
      </c>
      <c r="I137" s="3207"/>
      <c r="J137" s="3218"/>
      <c r="K137" s="3207"/>
      <c r="L137" s="3218"/>
      <c r="M137" s="3218"/>
      <c r="N137" s="3218"/>
      <c r="O137" s="3218"/>
      <c r="P137" s="3218"/>
      <c r="Q137" s="3218"/>
      <c r="R137" s="3218"/>
      <c r="S137" s="3218"/>
      <c r="T137" s="3218"/>
      <c r="U137" s="3218"/>
      <c r="V137" s="3218"/>
      <c r="W137" s="3218"/>
      <c r="X137" s="3218"/>
      <c r="Y137" s="3218"/>
      <c r="Z137" s="3218"/>
      <c r="AA137" s="3218"/>
      <c r="AB137" s="3218"/>
      <c r="AC137" s="3199">
        <f t="shared" si="64"/>
        <v>0</v>
      </c>
      <c r="AD137" s="3229"/>
      <c r="AE137" s="3229"/>
      <c r="AF137" s="3207"/>
      <c r="AG137" s="3229"/>
      <c r="AH137" s="3229"/>
      <c r="AI137" s="3229"/>
      <c r="AJ137" s="3229"/>
      <c r="AK137" s="3229"/>
      <c r="AL137" s="3229"/>
      <c r="AM137" s="3229"/>
      <c r="AN137" s="3229"/>
      <c r="AO137" s="3229"/>
      <c r="AP137" s="3229"/>
      <c r="AQ137" s="3229"/>
      <c r="AR137" s="3229"/>
      <c r="AS137" s="3229"/>
      <c r="AT137" s="3249"/>
      <c r="AU137" s="3250"/>
      <c r="AV137" s="475">
        <f t="shared" si="88"/>
        <v>0</v>
      </c>
      <c r="AW137" s="475">
        <f t="shared" si="89"/>
        <v>0</v>
      </c>
      <c r="AX137" s="475">
        <f t="shared" si="90"/>
        <v>0</v>
      </c>
      <c r="AY137" s="3266">
        <f t="shared" si="65"/>
        <v>0</v>
      </c>
      <c r="AZ137" s="3199">
        <f t="shared" si="66"/>
        <v>0</v>
      </c>
      <c r="BA137" s="3199">
        <f t="shared" si="67"/>
        <v>0</v>
      </c>
      <c r="BB137" s="3199">
        <f t="shared" si="68"/>
        <v>0</v>
      </c>
      <c r="BC137" s="3199">
        <f t="shared" si="69"/>
        <v>0</v>
      </c>
      <c r="BD137" s="3199">
        <f t="shared" si="70"/>
        <v>0</v>
      </c>
      <c r="BE137" s="3199">
        <f t="shared" si="71"/>
        <v>0</v>
      </c>
      <c r="BF137" s="3199">
        <f t="shared" si="72"/>
        <v>0</v>
      </c>
      <c r="BG137" s="3199">
        <f t="shared" si="73"/>
        <v>0</v>
      </c>
      <c r="BH137" s="3199">
        <f t="shared" si="74"/>
        <v>0</v>
      </c>
      <c r="BI137" s="3199">
        <f t="shared" si="75"/>
        <v>0</v>
      </c>
      <c r="BJ137" s="3199">
        <f t="shared" si="76"/>
        <v>0</v>
      </c>
      <c r="BK137" s="3199">
        <f t="shared" si="77"/>
        <v>0</v>
      </c>
      <c r="BL137" s="3199">
        <f t="shared" si="78"/>
        <v>0</v>
      </c>
      <c r="BM137" s="3199">
        <f t="shared" si="79"/>
        <v>0</v>
      </c>
      <c r="BN137" s="3199">
        <f t="shared" si="80"/>
        <v>0</v>
      </c>
      <c r="BO137" s="3199">
        <f t="shared" si="81"/>
        <v>0</v>
      </c>
      <c r="BP137" s="3199">
        <f t="shared" si="82"/>
        <v>0</v>
      </c>
      <c r="BQ137" s="3199">
        <f t="shared" si="83"/>
        <v>0</v>
      </c>
      <c r="BR137" s="3199">
        <f t="shared" si="84"/>
        <v>0</v>
      </c>
      <c r="BS137" s="3199">
        <f t="shared" si="85"/>
        <v>0</v>
      </c>
      <c r="BT137" s="3271">
        <f t="shared" si="86"/>
        <v>0</v>
      </c>
    </row>
    <row r="138" spans="1:72">
      <c r="A138" s="3197"/>
      <c r="B138" s="3205"/>
      <c r="C138" s="3204"/>
      <c r="D138" s="3193"/>
      <c r="E138" s="3199">
        <f t="shared" si="87"/>
        <v>0</v>
      </c>
      <c r="F138" s="3200"/>
      <c r="G138" s="3201">
        <f t="shared" si="62"/>
        <v>0</v>
      </c>
      <c r="H138" s="3202">
        <f t="shared" si="63"/>
        <v>0</v>
      </c>
      <c r="I138" s="3207"/>
      <c r="J138" s="3218"/>
      <c r="K138" s="3207"/>
      <c r="L138" s="3218"/>
      <c r="M138" s="3218"/>
      <c r="N138" s="3218"/>
      <c r="O138" s="3218"/>
      <c r="P138" s="3218"/>
      <c r="Q138" s="3218"/>
      <c r="R138" s="3218"/>
      <c r="S138" s="3218"/>
      <c r="T138" s="3218"/>
      <c r="U138" s="3218"/>
      <c r="V138" s="3218"/>
      <c r="W138" s="3218"/>
      <c r="X138" s="3218"/>
      <c r="Y138" s="3218"/>
      <c r="Z138" s="3218"/>
      <c r="AA138" s="3218"/>
      <c r="AB138" s="3218"/>
      <c r="AC138" s="3199">
        <f t="shared" si="64"/>
        <v>0</v>
      </c>
      <c r="AD138" s="3229"/>
      <c r="AE138" s="3229"/>
      <c r="AF138" s="3207"/>
      <c r="AG138" s="3229"/>
      <c r="AH138" s="3229"/>
      <c r="AI138" s="3229"/>
      <c r="AJ138" s="3229"/>
      <c r="AK138" s="3229"/>
      <c r="AL138" s="3229"/>
      <c r="AM138" s="3229"/>
      <c r="AN138" s="3229"/>
      <c r="AO138" s="3229"/>
      <c r="AP138" s="3229"/>
      <c r="AQ138" s="3229"/>
      <c r="AR138" s="3229"/>
      <c r="AS138" s="3229"/>
      <c r="AT138" s="3249"/>
      <c r="AU138" s="3250"/>
      <c r="AV138" s="475">
        <f t="shared" si="88"/>
        <v>0</v>
      </c>
      <c r="AW138" s="475">
        <f t="shared" si="89"/>
        <v>0</v>
      </c>
      <c r="AX138" s="475">
        <f t="shared" si="90"/>
        <v>0</v>
      </c>
      <c r="AY138" s="3266">
        <f t="shared" si="65"/>
        <v>0</v>
      </c>
      <c r="AZ138" s="3199">
        <f t="shared" si="66"/>
        <v>0</v>
      </c>
      <c r="BA138" s="3199">
        <f t="shared" si="67"/>
        <v>0</v>
      </c>
      <c r="BB138" s="3199">
        <f t="shared" si="68"/>
        <v>0</v>
      </c>
      <c r="BC138" s="3199">
        <f t="shared" si="69"/>
        <v>0</v>
      </c>
      <c r="BD138" s="3199">
        <f t="shared" si="70"/>
        <v>0</v>
      </c>
      <c r="BE138" s="3199">
        <f t="shared" si="71"/>
        <v>0</v>
      </c>
      <c r="BF138" s="3199">
        <f t="shared" si="72"/>
        <v>0</v>
      </c>
      <c r="BG138" s="3199">
        <f t="shared" si="73"/>
        <v>0</v>
      </c>
      <c r="BH138" s="3199">
        <f t="shared" si="74"/>
        <v>0</v>
      </c>
      <c r="BI138" s="3199">
        <f t="shared" si="75"/>
        <v>0</v>
      </c>
      <c r="BJ138" s="3199">
        <f t="shared" si="76"/>
        <v>0</v>
      </c>
      <c r="BK138" s="3199">
        <f t="shared" si="77"/>
        <v>0</v>
      </c>
      <c r="BL138" s="3199">
        <f t="shared" si="78"/>
        <v>0</v>
      </c>
      <c r="BM138" s="3199">
        <f t="shared" si="79"/>
        <v>0</v>
      </c>
      <c r="BN138" s="3199">
        <f t="shared" si="80"/>
        <v>0</v>
      </c>
      <c r="BO138" s="3199">
        <f t="shared" si="81"/>
        <v>0</v>
      </c>
      <c r="BP138" s="3199">
        <f t="shared" si="82"/>
        <v>0</v>
      </c>
      <c r="BQ138" s="3199">
        <f t="shared" si="83"/>
        <v>0</v>
      </c>
      <c r="BR138" s="3199">
        <f t="shared" si="84"/>
        <v>0</v>
      </c>
      <c r="BS138" s="3199">
        <f t="shared" si="85"/>
        <v>0</v>
      </c>
      <c r="BT138" s="3271">
        <f t="shared" si="86"/>
        <v>0</v>
      </c>
    </row>
    <row r="139" spans="1:72">
      <c r="A139" s="3197"/>
      <c r="B139" s="3205"/>
      <c r="C139" s="3204"/>
      <c r="D139" s="3193"/>
      <c r="E139" s="3199">
        <f t="shared" si="87"/>
        <v>0</v>
      </c>
      <c r="F139" s="3200"/>
      <c r="G139" s="3201">
        <f t="shared" si="62"/>
        <v>0</v>
      </c>
      <c r="H139" s="3202">
        <f t="shared" si="63"/>
        <v>0</v>
      </c>
      <c r="I139" s="3207"/>
      <c r="J139" s="3218"/>
      <c r="K139" s="3207"/>
      <c r="L139" s="3218"/>
      <c r="M139" s="3218"/>
      <c r="N139" s="3218"/>
      <c r="O139" s="3218"/>
      <c r="P139" s="3218"/>
      <c r="Q139" s="3218"/>
      <c r="R139" s="3218"/>
      <c r="S139" s="3218"/>
      <c r="T139" s="3218"/>
      <c r="U139" s="3218"/>
      <c r="V139" s="3218"/>
      <c r="W139" s="3218"/>
      <c r="X139" s="3218"/>
      <c r="Y139" s="3218"/>
      <c r="Z139" s="3218"/>
      <c r="AA139" s="3218"/>
      <c r="AB139" s="3218"/>
      <c r="AC139" s="3199">
        <f t="shared" si="64"/>
        <v>0</v>
      </c>
      <c r="AD139" s="3229"/>
      <c r="AE139" s="3229"/>
      <c r="AF139" s="3204"/>
      <c r="AG139" s="3229"/>
      <c r="AH139" s="3229"/>
      <c r="AI139" s="3229"/>
      <c r="AJ139" s="3229"/>
      <c r="AK139" s="3229"/>
      <c r="AL139" s="3229"/>
      <c r="AM139" s="3229"/>
      <c r="AN139" s="3229"/>
      <c r="AO139" s="3229"/>
      <c r="AP139" s="3229"/>
      <c r="AQ139" s="3229"/>
      <c r="AR139" s="3229"/>
      <c r="AS139" s="3229"/>
      <c r="AT139" s="3249"/>
      <c r="AU139" s="3250"/>
      <c r="AV139" s="475">
        <f t="shared" si="88"/>
        <v>0</v>
      </c>
      <c r="AW139" s="475">
        <f t="shared" si="89"/>
        <v>0</v>
      </c>
      <c r="AX139" s="475">
        <f t="shared" si="90"/>
        <v>0</v>
      </c>
      <c r="AY139" s="3266">
        <f t="shared" si="65"/>
        <v>0</v>
      </c>
      <c r="AZ139" s="3199">
        <f t="shared" si="66"/>
        <v>0</v>
      </c>
      <c r="BA139" s="3199">
        <f t="shared" si="67"/>
        <v>0</v>
      </c>
      <c r="BB139" s="3199">
        <f t="shared" si="68"/>
        <v>0</v>
      </c>
      <c r="BC139" s="3199">
        <f t="shared" si="69"/>
        <v>0</v>
      </c>
      <c r="BD139" s="3199">
        <f t="shared" si="70"/>
        <v>0</v>
      </c>
      <c r="BE139" s="3199">
        <f t="shared" si="71"/>
        <v>0</v>
      </c>
      <c r="BF139" s="3199">
        <f t="shared" si="72"/>
        <v>0</v>
      </c>
      <c r="BG139" s="3199">
        <f t="shared" si="73"/>
        <v>0</v>
      </c>
      <c r="BH139" s="3199">
        <f t="shared" si="74"/>
        <v>0</v>
      </c>
      <c r="BI139" s="3199">
        <f t="shared" si="75"/>
        <v>0</v>
      </c>
      <c r="BJ139" s="3199">
        <f t="shared" si="76"/>
        <v>0</v>
      </c>
      <c r="BK139" s="3199">
        <f t="shared" si="77"/>
        <v>0</v>
      </c>
      <c r="BL139" s="3199">
        <f t="shared" si="78"/>
        <v>0</v>
      </c>
      <c r="BM139" s="3199">
        <f t="shared" si="79"/>
        <v>0</v>
      </c>
      <c r="BN139" s="3199">
        <f t="shared" si="80"/>
        <v>0</v>
      </c>
      <c r="BO139" s="3199">
        <f t="shared" si="81"/>
        <v>0</v>
      </c>
      <c r="BP139" s="3199">
        <f t="shared" si="82"/>
        <v>0</v>
      </c>
      <c r="BQ139" s="3199">
        <f t="shared" si="83"/>
        <v>0</v>
      </c>
      <c r="BR139" s="3199">
        <f t="shared" si="84"/>
        <v>0</v>
      </c>
      <c r="BS139" s="3199">
        <f t="shared" si="85"/>
        <v>0</v>
      </c>
      <c r="BT139" s="3271">
        <f t="shared" si="86"/>
        <v>0</v>
      </c>
    </row>
    <row r="140" spans="1:72">
      <c r="A140" s="3197"/>
      <c r="B140" s="3205"/>
      <c r="C140" s="3204"/>
      <c r="D140" s="3193"/>
      <c r="E140" s="3199">
        <f t="shared" si="87"/>
        <v>0</v>
      </c>
      <c r="F140" s="3200"/>
      <c r="G140" s="3201">
        <f t="shared" si="62"/>
        <v>0</v>
      </c>
      <c r="H140" s="3202">
        <f t="shared" si="63"/>
        <v>0</v>
      </c>
      <c r="I140" s="3204"/>
      <c r="J140" s="3218"/>
      <c r="K140" s="3204"/>
      <c r="L140" s="3218"/>
      <c r="M140" s="3218"/>
      <c r="N140" s="3218"/>
      <c r="O140" s="3218"/>
      <c r="P140" s="3218"/>
      <c r="Q140" s="3218"/>
      <c r="R140" s="3218"/>
      <c r="S140" s="3218"/>
      <c r="T140" s="3218"/>
      <c r="U140" s="3218"/>
      <c r="V140" s="3218"/>
      <c r="W140" s="3218"/>
      <c r="X140" s="3218"/>
      <c r="Y140" s="3218"/>
      <c r="Z140" s="3218"/>
      <c r="AA140" s="3218"/>
      <c r="AB140" s="3218"/>
      <c r="AC140" s="3199">
        <f t="shared" si="64"/>
        <v>0</v>
      </c>
      <c r="AD140" s="3229"/>
      <c r="AE140" s="3229"/>
      <c r="AF140" s="3204"/>
      <c r="AG140" s="3229"/>
      <c r="AH140" s="3229"/>
      <c r="AI140" s="3229"/>
      <c r="AJ140" s="3229"/>
      <c r="AK140" s="3229"/>
      <c r="AL140" s="3229"/>
      <c r="AM140" s="3229"/>
      <c r="AN140" s="3229"/>
      <c r="AO140" s="3229"/>
      <c r="AP140" s="3229"/>
      <c r="AQ140" s="3229"/>
      <c r="AR140" s="3229"/>
      <c r="AS140" s="3229"/>
      <c r="AT140" s="3249"/>
      <c r="AU140" s="3250"/>
      <c r="AV140" s="475">
        <f t="shared" si="88"/>
        <v>0</v>
      </c>
      <c r="AW140" s="475">
        <f t="shared" si="89"/>
        <v>0</v>
      </c>
      <c r="AX140" s="475">
        <f t="shared" si="90"/>
        <v>0</v>
      </c>
      <c r="AY140" s="3266">
        <f t="shared" si="65"/>
        <v>0</v>
      </c>
      <c r="AZ140" s="3199">
        <f t="shared" si="66"/>
        <v>0</v>
      </c>
      <c r="BA140" s="3199">
        <f t="shared" si="67"/>
        <v>0</v>
      </c>
      <c r="BB140" s="3199">
        <f t="shared" si="68"/>
        <v>0</v>
      </c>
      <c r="BC140" s="3199">
        <f t="shared" si="69"/>
        <v>0</v>
      </c>
      <c r="BD140" s="3199">
        <f t="shared" si="70"/>
        <v>0</v>
      </c>
      <c r="BE140" s="3199">
        <f t="shared" si="71"/>
        <v>0</v>
      </c>
      <c r="BF140" s="3199">
        <f t="shared" si="72"/>
        <v>0</v>
      </c>
      <c r="BG140" s="3199">
        <f t="shared" si="73"/>
        <v>0</v>
      </c>
      <c r="BH140" s="3199">
        <f t="shared" si="74"/>
        <v>0</v>
      </c>
      <c r="BI140" s="3199">
        <f t="shared" si="75"/>
        <v>0</v>
      </c>
      <c r="BJ140" s="3199">
        <f t="shared" si="76"/>
        <v>0</v>
      </c>
      <c r="BK140" s="3199">
        <f t="shared" si="77"/>
        <v>0</v>
      </c>
      <c r="BL140" s="3199">
        <f t="shared" si="78"/>
        <v>0</v>
      </c>
      <c r="BM140" s="3199">
        <f t="shared" si="79"/>
        <v>0</v>
      </c>
      <c r="BN140" s="3199">
        <f t="shared" si="80"/>
        <v>0</v>
      </c>
      <c r="BO140" s="3199">
        <f t="shared" si="81"/>
        <v>0</v>
      </c>
      <c r="BP140" s="3199">
        <f t="shared" si="82"/>
        <v>0</v>
      </c>
      <c r="BQ140" s="3199">
        <f t="shared" si="83"/>
        <v>0</v>
      </c>
      <c r="BR140" s="3199">
        <f t="shared" si="84"/>
        <v>0</v>
      </c>
      <c r="BS140" s="3199">
        <f t="shared" si="85"/>
        <v>0</v>
      </c>
      <c r="BT140" s="3271">
        <f t="shared" si="86"/>
        <v>0</v>
      </c>
    </row>
    <row r="141" spans="1:72">
      <c r="A141" s="3197"/>
      <c r="B141" s="3205"/>
      <c r="C141" s="3204"/>
      <c r="D141" s="3193"/>
      <c r="E141" s="3199">
        <f t="shared" si="87"/>
        <v>0</v>
      </c>
      <c r="F141" s="3200"/>
      <c r="G141" s="3201">
        <f t="shared" si="62"/>
        <v>0</v>
      </c>
      <c r="H141" s="3202">
        <f t="shared" si="63"/>
        <v>0</v>
      </c>
      <c r="I141" s="3204"/>
      <c r="J141" s="3218"/>
      <c r="K141" s="3204"/>
      <c r="L141" s="3218"/>
      <c r="M141" s="3218"/>
      <c r="N141" s="3218"/>
      <c r="O141" s="3218"/>
      <c r="P141" s="3218"/>
      <c r="Q141" s="3218"/>
      <c r="R141" s="3218"/>
      <c r="S141" s="3218"/>
      <c r="T141" s="3218"/>
      <c r="U141" s="3218"/>
      <c r="V141" s="3218"/>
      <c r="W141" s="3218"/>
      <c r="X141" s="3218"/>
      <c r="Y141" s="3218"/>
      <c r="Z141" s="3218"/>
      <c r="AA141" s="3218"/>
      <c r="AB141" s="3218"/>
      <c r="AC141" s="3199">
        <f t="shared" si="64"/>
        <v>0</v>
      </c>
      <c r="AD141" s="3229"/>
      <c r="AE141" s="3229"/>
      <c r="AF141" s="3204"/>
      <c r="AG141" s="3229"/>
      <c r="AH141" s="3229"/>
      <c r="AI141" s="3229"/>
      <c r="AJ141" s="3229"/>
      <c r="AK141" s="3229"/>
      <c r="AL141" s="3229"/>
      <c r="AM141" s="3229"/>
      <c r="AN141" s="3229"/>
      <c r="AO141" s="3229"/>
      <c r="AP141" s="3229"/>
      <c r="AQ141" s="3229"/>
      <c r="AR141" s="3229"/>
      <c r="AS141" s="3229"/>
      <c r="AT141" s="3249"/>
      <c r="AU141" s="3250"/>
      <c r="AV141" s="475">
        <f t="shared" si="88"/>
        <v>0</v>
      </c>
      <c r="AW141" s="475">
        <f t="shared" si="89"/>
        <v>0</v>
      </c>
      <c r="AX141" s="475">
        <f t="shared" si="90"/>
        <v>0</v>
      </c>
      <c r="AY141" s="3266">
        <f t="shared" si="65"/>
        <v>0</v>
      </c>
      <c r="AZ141" s="3199">
        <f t="shared" si="66"/>
        <v>0</v>
      </c>
      <c r="BA141" s="3199">
        <f t="shared" si="67"/>
        <v>0</v>
      </c>
      <c r="BB141" s="3199">
        <f t="shared" si="68"/>
        <v>0</v>
      </c>
      <c r="BC141" s="3199">
        <f t="shared" si="69"/>
        <v>0</v>
      </c>
      <c r="BD141" s="3199">
        <f t="shared" si="70"/>
        <v>0</v>
      </c>
      <c r="BE141" s="3199">
        <f t="shared" si="71"/>
        <v>0</v>
      </c>
      <c r="BF141" s="3199">
        <f t="shared" si="72"/>
        <v>0</v>
      </c>
      <c r="BG141" s="3199">
        <f t="shared" si="73"/>
        <v>0</v>
      </c>
      <c r="BH141" s="3199">
        <f t="shared" si="74"/>
        <v>0</v>
      </c>
      <c r="BI141" s="3199">
        <f t="shared" si="75"/>
        <v>0</v>
      </c>
      <c r="BJ141" s="3199">
        <f t="shared" si="76"/>
        <v>0</v>
      </c>
      <c r="BK141" s="3199">
        <f t="shared" si="77"/>
        <v>0</v>
      </c>
      <c r="BL141" s="3199">
        <f t="shared" si="78"/>
        <v>0</v>
      </c>
      <c r="BM141" s="3199">
        <f t="shared" si="79"/>
        <v>0</v>
      </c>
      <c r="BN141" s="3199">
        <f t="shared" si="80"/>
        <v>0</v>
      </c>
      <c r="BO141" s="3199">
        <f t="shared" si="81"/>
        <v>0</v>
      </c>
      <c r="BP141" s="3199">
        <f t="shared" si="82"/>
        <v>0</v>
      </c>
      <c r="BQ141" s="3199">
        <f t="shared" si="83"/>
        <v>0</v>
      </c>
      <c r="BR141" s="3199">
        <f t="shared" si="84"/>
        <v>0</v>
      </c>
      <c r="BS141" s="3199">
        <f t="shared" si="85"/>
        <v>0</v>
      </c>
      <c r="BT141" s="3271">
        <f t="shared" si="86"/>
        <v>0</v>
      </c>
    </row>
    <row r="142" spans="1:72">
      <c r="A142" s="3197"/>
      <c r="B142" s="3205"/>
      <c r="C142" s="3204"/>
      <c r="D142" s="3193"/>
      <c r="E142" s="3199">
        <f t="shared" si="87"/>
        <v>0</v>
      </c>
      <c r="F142" s="3200"/>
      <c r="G142" s="3201">
        <f t="shared" ref="G142:G173" si="91">H142+AC142+AT142</f>
        <v>0</v>
      </c>
      <c r="H142" s="3202">
        <f t="shared" ref="H142:H173" si="92">SUMIF(I$12:AB$12,"总值",I142:AB142)</f>
        <v>0</v>
      </c>
      <c r="I142" s="3204"/>
      <c r="J142" s="3218"/>
      <c r="K142" s="3204"/>
      <c r="L142" s="3218"/>
      <c r="M142" s="3218"/>
      <c r="N142" s="3218"/>
      <c r="O142" s="3218"/>
      <c r="P142" s="3218"/>
      <c r="Q142" s="3218"/>
      <c r="R142" s="3218"/>
      <c r="S142" s="3218"/>
      <c r="T142" s="3218"/>
      <c r="U142" s="3218"/>
      <c r="V142" s="3218"/>
      <c r="W142" s="3218"/>
      <c r="X142" s="3218"/>
      <c r="Y142" s="3218"/>
      <c r="Z142" s="3218"/>
      <c r="AA142" s="3218"/>
      <c r="AB142" s="3218"/>
      <c r="AC142" s="3199">
        <f t="shared" ref="AC142:AC173" si="93">SUMIF(AD$12:AS$12,"总值",AD142:AS142)</f>
        <v>0</v>
      </c>
      <c r="AD142" s="3229"/>
      <c r="AE142" s="3229"/>
      <c r="AF142" s="3204"/>
      <c r="AG142" s="3229"/>
      <c r="AH142" s="3229"/>
      <c r="AI142" s="3229"/>
      <c r="AJ142" s="3229"/>
      <c r="AK142" s="3229"/>
      <c r="AL142" s="3229"/>
      <c r="AM142" s="3229"/>
      <c r="AN142" s="3229"/>
      <c r="AO142" s="3229"/>
      <c r="AP142" s="3229"/>
      <c r="AQ142" s="3229"/>
      <c r="AR142" s="3229"/>
      <c r="AS142" s="3229"/>
      <c r="AT142" s="3249"/>
      <c r="AU142" s="3250"/>
      <c r="AV142" s="475">
        <f t="shared" si="88"/>
        <v>0</v>
      </c>
      <c r="AW142" s="475">
        <f t="shared" si="89"/>
        <v>0</v>
      </c>
      <c r="AX142" s="475">
        <f t="shared" si="90"/>
        <v>0</v>
      </c>
      <c r="AY142" s="3266">
        <f t="shared" ref="AY142:AY173" si="94">ROUND($AY$6*AZ142/$AZ$5,2)</f>
        <v>0</v>
      </c>
      <c r="AZ142" s="3199">
        <f t="shared" ref="AZ142:AZ173" si="95">BA142+BL142</f>
        <v>0</v>
      </c>
      <c r="BA142" s="3199">
        <f t="shared" ref="BA142:BA173" si="96">SUM(BB142:BK142)</f>
        <v>0</v>
      </c>
      <c r="BB142" s="3199">
        <f t="shared" ref="BB142:BB173" si="97">IF($D142="是",I142-J142,0)</f>
        <v>0</v>
      </c>
      <c r="BC142" s="3199">
        <f t="shared" ref="BC142:BC173" si="98">IF($D142="是",K142-L142,0)</f>
        <v>0</v>
      </c>
      <c r="BD142" s="3199">
        <f t="shared" ref="BD142:BD173" si="99">IF($D142="是",M142-N142,0)</f>
        <v>0</v>
      </c>
      <c r="BE142" s="3199">
        <f t="shared" ref="BE142:BE173" si="100">IF($D142="是",O142-P142,0)</f>
        <v>0</v>
      </c>
      <c r="BF142" s="3199">
        <f t="shared" ref="BF142:BF173" si="101">IF($D142="是",Q142-R142,0)</f>
        <v>0</v>
      </c>
      <c r="BG142" s="3199">
        <f t="shared" ref="BG142:BG173" si="102">IF($D142="是",S142-T142,0)</f>
        <v>0</v>
      </c>
      <c r="BH142" s="3199">
        <f t="shared" ref="BH142:BH173" si="103">IF($D142="是",U142-V142,0)</f>
        <v>0</v>
      </c>
      <c r="BI142" s="3199">
        <f t="shared" ref="BI142:BI173" si="104">IF($D142="是",W142-X142,0)</f>
        <v>0</v>
      </c>
      <c r="BJ142" s="3199">
        <f t="shared" ref="BJ142:BJ173" si="105">IF($D142="是",Y142-Z142,0)</f>
        <v>0</v>
      </c>
      <c r="BK142" s="3199">
        <f t="shared" ref="BK142:BK173" si="106">IF($D142="是",AA142-AB142,0)</f>
        <v>0</v>
      </c>
      <c r="BL142" s="3199">
        <f t="shared" ref="BL142:BL173" si="107">SUM(BM142:BT142)</f>
        <v>0</v>
      </c>
      <c r="BM142" s="3199">
        <f t="shared" ref="BM142:BM173" si="108">IF($D142="是",AD142-AE142,0)</f>
        <v>0</v>
      </c>
      <c r="BN142" s="3199">
        <f t="shared" ref="BN142:BN173" si="109">IF($D142="是",AF142-AG142,0)</f>
        <v>0</v>
      </c>
      <c r="BO142" s="3199">
        <f t="shared" ref="BO142:BO173" si="110">IF($D142="是",AH142-AI142,0)</f>
        <v>0</v>
      </c>
      <c r="BP142" s="3199">
        <f t="shared" ref="BP142:BP173" si="111">IF($D142="是",AJ142-AK142,0)</f>
        <v>0</v>
      </c>
      <c r="BQ142" s="3199">
        <f t="shared" ref="BQ142:BQ173" si="112">IF($D142="是",AL142-AM142,0)</f>
        <v>0</v>
      </c>
      <c r="BR142" s="3199">
        <f t="shared" ref="BR142:BR173" si="113">IF($D142="是",AN142-AO142,0)</f>
        <v>0</v>
      </c>
      <c r="BS142" s="3199">
        <f t="shared" ref="BS142:BS173" si="114">IF($D142="是",AP142-AQ142,0)</f>
        <v>0</v>
      </c>
      <c r="BT142" s="3271">
        <f t="shared" ref="BT142:BT173" si="115">IF($D142="是",AR142-AS142,0)</f>
        <v>0</v>
      </c>
    </row>
    <row r="143" spans="1:72">
      <c r="A143" s="3197"/>
      <c r="B143" s="3205"/>
      <c r="C143" s="3204"/>
      <c r="D143" s="3193"/>
      <c r="E143" s="3199">
        <f t="shared" si="87"/>
        <v>0</v>
      </c>
      <c r="F143" s="3200"/>
      <c r="G143" s="3201">
        <f t="shared" si="91"/>
        <v>0</v>
      </c>
      <c r="H143" s="3202">
        <f t="shared" si="92"/>
        <v>0</v>
      </c>
      <c r="I143" s="3204"/>
      <c r="J143" s="3218"/>
      <c r="K143" s="3204"/>
      <c r="L143" s="3218"/>
      <c r="M143" s="3218"/>
      <c r="N143" s="3218"/>
      <c r="O143" s="3218"/>
      <c r="P143" s="3218"/>
      <c r="Q143" s="3218"/>
      <c r="R143" s="3218"/>
      <c r="S143" s="3218"/>
      <c r="T143" s="3218"/>
      <c r="U143" s="3218"/>
      <c r="V143" s="3218"/>
      <c r="W143" s="3218"/>
      <c r="X143" s="3218"/>
      <c r="Y143" s="3218"/>
      <c r="Z143" s="3218"/>
      <c r="AA143" s="3218"/>
      <c r="AB143" s="3218"/>
      <c r="AC143" s="3199">
        <f t="shared" si="93"/>
        <v>0</v>
      </c>
      <c r="AD143" s="3229"/>
      <c r="AE143" s="3229"/>
      <c r="AF143" s="3204"/>
      <c r="AG143" s="3229"/>
      <c r="AH143" s="3229"/>
      <c r="AI143" s="3229"/>
      <c r="AJ143" s="3229"/>
      <c r="AK143" s="3229"/>
      <c r="AL143" s="3229"/>
      <c r="AM143" s="3229"/>
      <c r="AN143" s="3229"/>
      <c r="AO143" s="3229"/>
      <c r="AP143" s="3229"/>
      <c r="AQ143" s="3229"/>
      <c r="AR143" s="3229"/>
      <c r="AS143" s="3229"/>
      <c r="AT143" s="3249"/>
      <c r="AU143" s="3250"/>
      <c r="AV143" s="475">
        <f t="shared" si="88"/>
        <v>0</v>
      </c>
      <c r="AW143" s="475">
        <f t="shared" si="89"/>
        <v>0</v>
      </c>
      <c r="AX143" s="475">
        <f t="shared" si="90"/>
        <v>0</v>
      </c>
      <c r="AY143" s="3266">
        <f t="shared" si="94"/>
        <v>0</v>
      </c>
      <c r="AZ143" s="3199">
        <f t="shared" si="95"/>
        <v>0</v>
      </c>
      <c r="BA143" s="3199">
        <f t="shared" si="96"/>
        <v>0</v>
      </c>
      <c r="BB143" s="3199">
        <f t="shared" si="97"/>
        <v>0</v>
      </c>
      <c r="BC143" s="3199">
        <f t="shared" si="98"/>
        <v>0</v>
      </c>
      <c r="BD143" s="3199">
        <f t="shared" si="99"/>
        <v>0</v>
      </c>
      <c r="BE143" s="3199">
        <f t="shared" si="100"/>
        <v>0</v>
      </c>
      <c r="BF143" s="3199">
        <f t="shared" si="101"/>
        <v>0</v>
      </c>
      <c r="BG143" s="3199">
        <f t="shared" si="102"/>
        <v>0</v>
      </c>
      <c r="BH143" s="3199">
        <f t="shared" si="103"/>
        <v>0</v>
      </c>
      <c r="BI143" s="3199">
        <f t="shared" si="104"/>
        <v>0</v>
      </c>
      <c r="BJ143" s="3199">
        <f t="shared" si="105"/>
        <v>0</v>
      </c>
      <c r="BK143" s="3199">
        <f t="shared" si="106"/>
        <v>0</v>
      </c>
      <c r="BL143" s="3199">
        <f t="shared" si="107"/>
        <v>0</v>
      </c>
      <c r="BM143" s="3199">
        <f t="shared" si="108"/>
        <v>0</v>
      </c>
      <c r="BN143" s="3199">
        <f t="shared" si="109"/>
        <v>0</v>
      </c>
      <c r="BO143" s="3199">
        <f t="shared" si="110"/>
        <v>0</v>
      </c>
      <c r="BP143" s="3199">
        <f t="shared" si="111"/>
        <v>0</v>
      </c>
      <c r="BQ143" s="3199">
        <f t="shared" si="112"/>
        <v>0</v>
      </c>
      <c r="BR143" s="3199">
        <f t="shared" si="113"/>
        <v>0</v>
      </c>
      <c r="BS143" s="3199">
        <f t="shared" si="114"/>
        <v>0</v>
      </c>
      <c r="BT143" s="3271">
        <f t="shared" si="115"/>
        <v>0</v>
      </c>
    </row>
    <row r="144" spans="1:72">
      <c r="A144" s="3197"/>
      <c r="B144" s="3205"/>
      <c r="C144" s="3204"/>
      <c r="D144" s="3193"/>
      <c r="E144" s="3199">
        <f t="shared" si="87"/>
        <v>0</v>
      </c>
      <c r="F144" s="3200"/>
      <c r="G144" s="3201">
        <f t="shared" si="91"/>
        <v>0</v>
      </c>
      <c r="H144" s="3202">
        <f t="shared" si="92"/>
        <v>0</v>
      </c>
      <c r="I144" s="3204"/>
      <c r="J144" s="3218"/>
      <c r="K144" s="3204"/>
      <c r="L144" s="3218"/>
      <c r="M144" s="3218"/>
      <c r="N144" s="3218"/>
      <c r="O144" s="3218"/>
      <c r="P144" s="3218"/>
      <c r="Q144" s="3218"/>
      <c r="R144" s="3218"/>
      <c r="S144" s="3218"/>
      <c r="T144" s="3218"/>
      <c r="U144" s="3218"/>
      <c r="V144" s="3218"/>
      <c r="W144" s="3218"/>
      <c r="X144" s="3218"/>
      <c r="Y144" s="3218"/>
      <c r="Z144" s="3218"/>
      <c r="AA144" s="3218"/>
      <c r="AB144" s="3218"/>
      <c r="AC144" s="3199">
        <f t="shared" si="93"/>
        <v>0</v>
      </c>
      <c r="AD144" s="3229"/>
      <c r="AE144" s="3229"/>
      <c r="AF144" s="3204"/>
      <c r="AG144" s="3229"/>
      <c r="AH144" s="3229"/>
      <c r="AI144" s="3229"/>
      <c r="AJ144" s="3229"/>
      <c r="AK144" s="3229"/>
      <c r="AL144" s="3229"/>
      <c r="AM144" s="3229"/>
      <c r="AN144" s="3229"/>
      <c r="AO144" s="3229"/>
      <c r="AP144" s="3229"/>
      <c r="AQ144" s="3229"/>
      <c r="AR144" s="3229"/>
      <c r="AS144" s="3229"/>
      <c r="AT144" s="3249"/>
      <c r="AU144" s="3250"/>
      <c r="AV144" s="475">
        <f t="shared" si="88"/>
        <v>0</v>
      </c>
      <c r="AW144" s="475">
        <f t="shared" si="89"/>
        <v>0</v>
      </c>
      <c r="AX144" s="475">
        <f t="shared" si="90"/>
        <v>0</v>
      </c>
      <c r="AY144" s="3266">
        <f t="shared" si="94"/>
        <v>0</v>
      </c>
      <c r="AZ144" s="3199">
        <f t="shared" si="95"/>
        <v>0</v>
      </c>
      <c r="BA144" s="3199">
        <f t="shared" si="96"/>
        <v>0</v>
      </c>
      <c r="BB144" s="3199">
        <f t="shared" si="97"/>
        <v>0</v>
      </c>
      <c r="BC144" s="3199">
        <f t="shared" si="98"/>
        <v>0</v>
      </c>
      <c r="BD144" s="3199">
        <f t="shared" si="99"/>
        <v>0</v>
      </c>
      <c r="BE144" s="3199">
        <f t="shared" si="100"/>
        <v>0</v>
      </c>
      <c r="BF144" s="3199">
        <f t="shared" si="101"/>
        <v>0</v>
      </c>
      <c r="BG144" s="3199">
        <f t="shared" si="102"/>
        <v>0</v>
      </c>
      <c r="BH144" s="3199">
        <f t="shared" si="103"/>
        <v>0</v>
      </c>
      <c r="BI144" s="3199">
        <f t="shared" si="104"/>
        <v>0</v>
      </c>
      <c r="BJ144" s="3199">
        <f t="shared" si="105"/>
        <v>0</v>
      </c>
      <c r="BK144" s="3199">
        <f t="shared" si="106"/>
        <v>0</v>
      </c>
      <c r="BL144" s="3199">
        <f t="shared" si="107"/>
        <v>0</v>
      </c>
      <c r="BM144" s="3199">
        <f t="shared" si="108"/>
        <v>0</v>
      </c>
      <c r="BN144" s="3199">
        <f t="shared" si="109"/>
        <v>0</v>
      </c>
      <c r="BO144" s="3199">
        <f t="shared" si="110"/>
        <v>0</v>
      </c>
      <c r="BP144" s="3199">
        <f t="shared" si="111"/>
        <v>0</v>
      </c>
      <c r="BQ144" s="3199">
        <f t="shared" si="112"/>
        <v>0</v>
      </c>
      <c r="BR144" s="3199">
        <f t="shared" si="113"/>
        <v>0</v>
      </c>
      <c r="BS144" s="3199">
        <f t="shared" si="114"/>
        <v>0</v>
      </c>
      <c r="BT144" s="3271">
        <f t="shared" si="115"/>
        <v>0</v>
      </c>
    </row>
    <row r="145" spans="1:72">
      <c r="A145" s="3197"/>
      <c r="B145" s="3205"/>
      <c r="C145" s="3204"/>
      <c r="D145" s="3193"/>
      <c r="E145" s="3199">
        <f t="shared" ref="E145:E176" si="116">IF($C$3="是",ROUND($A$3*G145/$B$3,2),ROUND($A$3*(G145-AT145)/$B$3,2))</f>
        <v>0</v>
      </c>
      <c r="F145" s="3200"/>
      <c r="G145" s="3201">
        <f t="shared" si="91"/>
        <v>0</v>
      </c>
      <c r="H145" s="3202">
        <f t="shared" si="92"/>
        <v>0</v>
      </c>
      <c r="I145" s="3204"/>
      <c r="J145" s="3218"/>
      <c r="K145" s="3204"/>
      <c r="L145" s="3218"/>
      <c r="M145" s="3218"/>
      <c r="N145" s="3218"/>
      <c r="O145" s="3218"/>
      <c r="P145" s="3218"/>
      <c r="Q145" s="3218"/>
      <c r="R145" s="3218"/>
      <c r="S145" s="3218"/>
      <c r="T145" s="3218"/>
      <c r="U145" s="3218"/>
      <c r="V145" s="3218"/>
      <c r="W145" s="3218"/>
      <c r="X145" s="3218"/>
      <c r="Y145" s="3218"/>
      <c r="Z145" s="3218"/>
      <c r="AA145" s="3218"/>
      <c r="AB145" s="3218"/>
      <c r="AC145" s="3199">
        <f t="shared" si="93"/>
        <v>0</v>
      </c>
      <c r="AD145" s="3229"/>
      <c r="AE145" s="3229"/>
      <c r="AF145" s="3204"/>
      <c r="AG145" s="3229"/>
      <c r="AH145" s="3229"/>
      <c r="AI145" s="3229"/>
      <c r="AJ145" s="3229"/>
      <c r="AK145" s="3229"/>
      <c r="AL145" s="3229"/>
      <c r="AM145" s="3229"/>
      <c r="AN145" s="3229"/>
      <c r="AO145" s="3229"/>
      <c r="AP145" s="3229"/>
      <c r="AQ145" s="3229"/>
      <c r="AR145" s="3229"/>
      <c r="AS145" s="3229"/>
      <c r="AT145" s="3249"/>
      <c r="AU145" s="3250"/>
      <c r="AV145" s="475">
        <f t="shared" ref="AV145:AV176" si="117">A145</f>
        <v>0</v>
      </c>
      <c r="AW145" s="475">
        <f t="shared" ref="AW145:AW176" si="118">B145</f>
        <v>0</v>
      </c>
      <c r="AX145" s="475">
        <f t="shared" ref="AX145:AX176" si="119">C145</f>
        <v>0</v>
      </c>
      <c r="AY145" s="3266">
        <f t="shared" si="94"/>
        <v>0</v>
      </c>
      <c r="AZ145" s="3199">
        <f t="shared" si="95"/>
        <v>0</v>
      </c>
      <c r="BA145" s="3199">
        <f t="shared" si="96"/>
        <v>0</v>
      </c>
      <c r="BB145" s="3199">
        <f t="shared" si="97"/>
        <v>0</v>
      </c>
      <c r="BC145" s="3199">
        <f t="shared" si="98"/>
        <v>0</v>
      </c>
      <c r="BD145" s="3199">
        <f t="shared" si="99"/>
        <v>0</v>
      </c>
      <c r="BE145" s="3199">
        <f t="shared" si="100"/>
        <v>0</v>
      </c>
      <c r="BF145" s="3199">
        <f t="shared" si="101"/>
        <v>0</v>
      </c>
      <c r="BG145" s="3199">
        <f t="shared" si="102"/>
        <v>0</v>
      </c>
      <c r="BH145" s="3199">
        <f t="shared" si="103"/>
        <v>0</v>
      </c>
      <c r="BI145" s="3199">
        <f t="shared" si="104"/>
        <v>0</v>
      </c>
      <c r="BJ145" s="3199">
        <f t="shared" si="105"/>
        <v>0</v>
      </c>
      <c r="BK145" s="3199">
        <f t="shared" si="106"/>
        <v>0</v>
      </c>
      <c r="BL145" s="3199">
        <f t="shared" si="107"/>
        <v>0</v>
      </c>
      <c r="BM145" s="3199">
        <f t="shared" si="108"/>
        <v>0</v>
      </c>
      <c r="BN145" s="3199">
        <f t="shared" si="109"/>
        <v>0</v>
      </c>
      <c r="BO145" s="3199">
        <f t="shared" si="110"/>
        <v>0</v>
      </c>
      <c r="BP145" s="3199">
        <f t="shared" si="111"/>
        <v>0</v>
      </c>
      <c r="BQ145" s="3199">
        <f t="shared" si="112"/>
        <v>0</v>
      </c>
      <c r="BR145" s="3199">
        <f t="shared" si="113"/>
        <v>0</v>
      </c>
      <c r="BS145" s="3199">
        <f t="shared" si="114"/>
        <v>0</v>
      </c>
      <c r="BT145" s="3271">
        <f t="shared" si="115"/>
        <v>0</v>
      </c>
    </row>
    <row r="146" spans="1:72">
      <c r="A146" s="3197"/>
      <c r="B146" s="3205"/>
      <c r="C146" s="3204"/>
      <c r="D146" s="3193"/>
      <c r="E146" s="3199">
        <f t="shared" si="116"/>
        <v>0</v>
      </c>
      <c r="F146" s="3200"/>
      <c r="G146" s="3201">
        <f t="shared" si="91"/>
        <v>0</v>
      </c>
      <c r="H146" s="3202">
        <f t="shared" si="92"/>
        <v>0</v>
      </c>
      <c r="I146" s="3204"/>
      <c r="J146" s="3218"/>
      <c r="K146" s="3204"/>
      <c r="L146" s="3218"/>
      <c r="M146" s="3218"/>
      <c r="N146" s="3218"/>
      <c r="O146" s="3218"/>
      <c r="P146" s="3218"/>
      <c r="Q146" s="3218"/>
      <c r="R146" s="3218"/>
      <c r="S146" s="3218"/>
      <c r="T146" s="3218"/>
      <c r="U146" s="3218"/>
      <c r="V146" s="3218"/>
      <c r="W146" s="3218"/>
      <c r="X146" s="3218"/>
      <c r="Y146" s="3218"/>
      <c r="Z146" s="3218"/>
      <c r="AA146" s="3218"/>
      <c r="AB146" s="3218"/>
      <c r="AC146" s="3199">
        <f t="shared" si="93"/>
        <v>0</v>
      </c>
      <c r="AD146" s="3229"/>
      <c r="AE146" s="3229"/>
      <c r="AF146" s="3204"/>
      <c r="AG146" s="3229"/>
      <c r="AH146" s="3229"/>
      <c r="AI146" s="3229"/>
      <c r="AJ146" s="3229"/>
      <c r="AK146" s="3229"/>
      <c r="AL146" s="3229"/>
      <c r="AM146" s="3229"/>
      <c r="AN146" s="3229"/>
      <c r="AO146" s="3229"/>
      <c r="AP146" s="3229"/>
      <c r="AQ146" s="3229"/>
      <c r="AR146" s="3229"/>
      <c r="AS146" s="3229"/>
      <c r="AT146" s="3249"/>
      <c r="AU146" s="3250"/>
      <c r="AV146" s="475">
        <f t="shared" si="117"/>
        <v>0</v>
      </c>
      <c r="AW146" s="475">
        <f t="shared" si="118"/>
        <v>0</v>
      </c>
      <c r="AX146" s="475">
        <f t="shared" si="119"/>
        <v>0</v>
      </c>
      <c r="AY146" s="3266">
        <f t="shared" si="94"/>
        <v>0</v>
      </c>
      <c r="AZ146" s="3199">
        <f t="shared" si="95"/>
        <v>0</v>
      </c>
      <c r="BA146" s="3199">
        <f t="shared" si="96"/>
        <v>0</v>
      </c>
      <c r="BB146" s="3199">
        <f t="shared" si="97"/>
        <v>0</v>
      </c>
      <c r="BC146" s="3199">
        <f t="shared" si="98"/>
        <v>0</v>
      </c>
      <c r="BD146" s="3199">
        <f t="shared" si="99"/>
        <v>0</v>
      </c>
      <c r="BE146" s="3199">
        <f t="shared" si="100"/>
        <v>0</v>
      </c>
      <c r="BF146" s="3199">
        <f t="shared" si="101"/>
        <v>0</v>
      </c>
      <c r="BG146" s="3199">
        <f t="shared" si="102"/>
        <v>0</v>
      </c>
      <c r="BH146" s="3199">
        <f t="shared" si="103"/>
        <v>0</v>
      </c>
      <c r="BI146" s="3199">
        <f t="shared" si="104"/>
        <v>0</v>
      </c>
      <c r="BJ146" s="3199">
        <f t="shared" si="105"/>
        <v>0</v>
      </c>
      <c r="BK146" s="3199">
        <f t="shared" si="106"/>
        <v>0</v>
      </c>
      <c r="BL146" s="3199">
        <f t="shared" si="107"/>
        <v>0</v>
      </c>
      <c r="BM146" s="3199">
        <f t="shared" si="108"/>
        <v>0</v>
      </c>
      <c r="BN146" s="3199">
        <f t="shared" si="109"/>
        <v>0</v>
      </c>
      <c r="BO146" s="3199">
        <f t="shared" si="110"/>
        <v>0</v>
      </c>
      <c r="BP146" s="3199">
        <f t="shared" si="111"/>
        <v>0</v>
      </c>
      <c r="BQ146" s="3199">
        <f t="shared" si="112"/>
        <v>0</v>
      </c>
      <c r="BR146" s="3199">
        <f t="shared" si="113"/>
        <v>0</v>
      </c>
      <c r="BS146" s="3199">
        <f t="shared" si="114"/>
        <v>0</v>
      </c>
      <c r="BT146" s="3271">
        <f t="shared" si="115"/>
        <v>0</v>
      </c>
    </row>
    <row r="147" spans="1:72">
      <c r="A147" s="3197"/>
      <c r="B147" s="3206"/>
      <c r="C147" s="3207"/>
      <c r="D147" s="3193"/>
      <c r="E147" s="3199">
        <f t="shared" si="116"/>
        <v>0</v>
      </c>
      <c r="F147" s="3200"/>
      <c r="G147" s="3201">
        <f t="shared" si="91"/>
        <v>0</v>
      </c>
      <c r="H147" s="3202">
        <f t="shared" si="92"/>
        <v>0</v>
      </c>
      <c r="I147" s="3204"/>
      <c r="J147" s="3218"/>
      <c r="K147" s="3204"/>
      <c r="L147" s="3218"/>
      <c r="M147" s="3204"/>
      <c r="N147" s="3218"/>
      <c r="O147" s="3218"/>
      <c r="P147" s="3218"/>
      <c r="Q147" s="3218"/>
      <c r="R147" s="3218"/>
      <c r="S147" s="3218"/>
      <c r="T147" s="3218"/>
      <c r="U147" s="3218"/>
      <c r="V147" s="3218"/>
      <c r="W147" s="3218"/>
      <c r="X147" s="3218"/>
      <c r="Y147" s="3218"/>
      <c r="Z147" s="3218"/>
      <c r="AA147" s="3218"/>
      <c r="AB147" s="3218"/>
      <c r="AC147" s="3199">
        <f t="shared" si="93"/>
        <v>0</v>
      </c>
      <c r="AD147" s="3229"/>
      <c r="AE147" s="3229"/>
      <c r="AF147" s="3204"/>
      <c r="AG147" s="3229"/>
      <c r="AH147" s="3229"/>
      <c r="AI147" s="3229"/>
      <c r="AJ147" s="3229"/>
      <c r="AK147" s="3229"/>
      <c r="AL147" s="3229"/>
      <c r="AM147" s="3229"/>
      <c r="AN147" s="3229"/>
      <c r="AO147" s="3229"/>
      <c r="AP147" s="3229"/>
      <c r="AQ147" s="3229"/>
      <c r="AR147" s="3229"/>
      <c r="AS147" s="3229"/>
      <c r="AT147" s="3249"/>
      <c r="AU147" s="3250"/>
      <c r="AV147" s="475">
        <f t="shared" si="117"/>
        <v>0</v>
      </c>
      <c r="AW147" s="475">
        <f t="shared" si="118"/>
        <v>0</v>
      </c>
      <c r="AX147" s="475">
        <f t="shared" si="119"/>
        <v>0</v>
      </c>
      <c r="AY147" s="3266">
        <f t="shared" si="94"/>
        <v>0</v>
      </c>
      <c r="AZ147" s="3199">
        <f t="shared" si="95"/>
        <v>0</v>
      </c>
      <c r="BA147" s="3199">
        <f t="shared" si="96"/>
        <v>0</v>
      </c>
      <c r="BB147" s="3199">
        <f t="shared" si="97"/>
        <v>0</v>
      </c>
      <c r="BC147" s="3199">
        <f t="shared" si="98"/>
        <v>0</v>
      </c>
      <c r="BD147" s="3199">
        <f t="shared" si="99"/>
        <v>0</v>
      </c>
      <c r="BE147" s="3199">
        <f t="shared" si="100"/>
        <v>0</v>
      </c>
      <c r="BF147" s="3199">
        <f t="shared" si="101"/>
        <v>0</v>
      </c>
      <c r="BG147" s="3199">
        <f t="shared" si="102"/>
        <v>0</v>
      </c>
      <c r="BH147" s="3199">
        <f t="shared" si="103"/>
        <v>0</v>
      </c>
      <c r="BI147" s="3199">
        <f t="shared" si="104"/>
        <v>0</v>
      </c>
      <c r="BJ147" s="3199">
        <f t="shared" si="105"/>
        <v>0</v>
      </c>
      <c r="BK147" s="3199">
        <f t="shared" si="106"/>
        <v>0</v>
      </c>
      <c r="BL147" s="3199">
        <f t="shared" si="107"/>
        <v>0</v>
      </c>
      <c r="BM147" s="3199">
        <f t="shared" si="108"/>
        <v>0</v>
      </c>
      <c r="BN147" s="3199">
        <f t="shared" si="109"/>
        <v>0</v>
      </c>
      <c r="BO147" s="3199">
        <f t="shared" si="110"/>
        <v>0</v>
      </c>
      <c r="BP147" s="3199">
        <f t="shared" si="111"/>
        <v>0</v>
      </c>
      <c r="BQ147" s="3199">
        <f t="shared" si="112"/>
        <v>0</v>
      </c>
      <c r="BR147" s="3199">
        <f t="shared" si="113"/>
        <v>0</v>
      </c>
      <c r="BS147" s="3199">
        <f t="shared" si="114"/>
        <v>0</v>
      </c>
      <c r="BT147" s="3271">
        <f t="shared" si="115"/>
        <v>0</v>
      </c>
    </row>
    <row r="148" spans="1:72">
      <c r="A148" s="3197"/>
      <c r="B148" s="3198"/>
      <c r="C148" s="3198"/>
      <c r="D148" s="3193"/>
      <c r="E148" s="3199">
        <f t="shared" si="116"/>
        <v>0</v>
      </c>
      <c r="F148" s="3200"/>
      <c r="G148" s="3201">
        <f t="shared" si="91"/>
        <v>0</v>
      </c>
      <c r="H148" s="3202">
        <f t="shared" si="92"/>
        <v>0</v>
      </c>
      <c r="I148" s="3218"/>
      <c r="J148" s="3218"/>
      <c r="K148" s="3218"/>
      <c r="L148" s="3218"/>
      <c r="M148" s="3218"/>
      <c r="N148" s="3218"/>
      <c r="O148" s="3218"/>
      <c r="P148" s="3218"/>
      <c r="Q148" s="3218"/>
      <c r="R148" s="3218"/>
      <c r="S148" s="3218"/>
      <c r="T148" s="3218"/>
      <c r="U148" s="3218"/>
      <c r="V148" s="3218"/>
      <c r="W148" s="3218"/>
      <c r="X148" s="3218"/>
      <c r="Y148" s="3218"/>
      <c r="Z148" s="3218"/>
      <c r="AA148" s="3218"/>
      <c r="AB148" s="3218"/>
      <c r="AC148" s="3199">
        <f t="shared" si="93"/>
        <v>0</v>
      </c>
      <c r="AD148" s="3229"/>
      <c r="AE148" s="3229"/>
      <c r="AF148" s="3229"/>
      <c r="AG148" s="3229"/>
      <c r="AH148" s="3229"/>
      <c r="AI148" s="3229"/>
      <c r="AJ148" s="3229"/>
      <c r="AK148" s="3229"/>
      <c r="AL148" s="3229"/>
      <c r="AM148" s="3229"/>
      <c r="AN148" s="3229"/>
      <c r="AO148" s="3229"/>
      <c r="AP148" s="3229"/>
      <c r="AQ148" s="3229"/>
      <c r="AR148" s="3229"/>
      <c r="AS148" s="3229"/>
      <c r="AT148" s="3249"/>
      <c r="AU148" s="3250"/>
      <c r="AV148" s="475">
        <f t="shared" si="117"/>
        <v>0</v>
      </c>
      <c r="AW148" s="475">
        <f t="shared" si="118"/>
        <v>0</v>
      </c>
      <c r="AX148" s="475">
        <f t="shared" si="119"/>
        <v>0</v>
      </c>
      <c r="AY148" s="3266">
        <f t="shared" si="94"/>
        <v>0</v>
      </c>
      <c r="AZ148" s="3199">
        <f t="shared" si="95"/>
        <v>0</v>
      </c>
      <c r="BA148" s="3199">
        <f t="shared" si="96"/>
        <v>0</v>
      </c>
      <c r="BB148" s="3199">
        <f t="shared" si="97"/>
        <v>0</v>
      </c>
      <c r="BC148" s="3199">
        <f t="shared" si="98"/>
        <v>0</v>
      </c>
      <c r="BD148" s="3199">
        <f t="shared" si="99"/>
        <v>0</v>
      </c>
      <c r="BE148" s="3199">
        <f t="shared" si="100"/>
        <v>0</v>
      </c>
      <c r="BF148" s="3199">
        <f t="shared" si="101"/>
        <v>0</v>
      </c>
      <c r="BG148" s="3199">
        <f t="shared" si="102"/>
        <v>0</v>
      </c>
      <c r="BH148" s="3199">
        <f t="shared" si="103"/>
        <v>0</v>
      </c>
      <c r="BI148" s="3199">
        <f t="shared" si="104"/>
        <v>0</v>
      </c>
      <c r="BJ148" s="3199">
        <f t="shared" si="105"/>
        <v>0</v>
      </c>
      <c r="BK148" s="3199">
        <f t="shared" si="106"/>
        <v>0</v>
      </c>
      <c r="BL148" s="3199">
        <f t="shared" si="107"/>
        <v>0</v>
      </c>
      <c r="BM148" s="3199">
        <f t="shared" si="108"/>
        <v>0</v>
      </c>
      <c r="BN148" s="3199">
        <f t="shared" si="109"/>
        <v>0</v>
      </c>
      <c r="BO148" s="3199">
        <f t="shared" si="110"/>
        <v>0</v>
      </c>
      <c r="BP148" s="3199">
        <f t="shared" si="111"/>
        <v>0</v>
      </c>
      <c r="BQ148" s="3199">
        <f t="shared" si="112"/>
        <v>0</v>
      </c>
      <c r="BR148" s="3199">
        <f t="shared" si="113"/>
        <v>0</v>
      </c>
      <c r="BS148" s="3199">
        <f t="shared" si="114"/>
        <v>0</v>
      </c>
      <c r="BT148" s="3271">
        <f t="shared" si="115"/>
        <v>0</v>
      </c>
    </row>
    <row r="149" spans="1:72">
      <c r="A149" s="3197"/>
      <c r="B149" s="3198"/>
      <c r="C149" s="3198"/>
      <c r="D149" s="3193"/>
      <c r="E149" s="3199">
        <f t="shared" si="116"/>
        <v>0</v>
      </c>
      <c r="F149" s="3200"/>
      <c r="G149" s="3201">
        <f t="shared" si="91"/>
        <v>0</v>
      </c>
      <c r="H149" s="3202">
        <f t="shared" si="92"/>
        <v>0</v>
      </c>
      <c r="I149" s="3218"/>
      <c r="J149" s="3218"/>
      <c r="K149" s="3218"/>
      <c r="L149" s="3218"/>
      <c r="M149" s="3218"/>
      <c r="N149" s="3218"/>
      <c r="O149" s="3218"/>
      <c r="P149" s="3218"/>
      <c r="Q149" s="3218"/>
      <c r="R149" s="3218"/>
      <c r="S149" s="3218"/>
      <c r="T149" s="3218"/>
      <c r="U149" s="3218"/>
      <c r="V149" s="3218"/>
      <c r="W149" s="3218"/>
      <c r="X149" s="3218"/>
      <c r="Y149" s="3218"/>
      <c r="Z149" s="3218"/>
      <c r="AA149" s="3218"/>
      <c r="AB149" s="3218"/>
      <c r="AC149" s="3199">
        <f t="shared" si="93"/>
        <v>0</v>
      </c>
      <c r="AD149" s="3229"/>
      <c r="AE149" s="3229"/>
      <c r="AF149" s="3229"/>
      <c r="AG149" s="3229"/>
      <c r="AH149" s="3229"/>
      <c r="AI149" s="3229"/>
      <c r="AJ149" s="3229"/>
      <c r="AK149" s="3229"/>
      <c r="AL149" s="3229"/>
      <c r="AM149" s="3229"/>
      <c r="AN149" s="3229"/>
      <c r="AO149" s="3229"/>
      <c r="AP149" s="3229"/>
      <c r="AQ149" s="3229"/>
      <c r="AR149" s="3229"/>
      <c r="AS149" s="3229"/>
      <c r="AT149" s="3249"/>
      <c r="AU149" s="3250"/>
      <c r="AV149" s="475">
        <f t="shared" si="117"/>
        <v>0</v>
      </c>
      <c r="AW149" s="475">
        <f t="shared" si="118"/>
        <v>0</v>
      </c>
      <c r="AX149" s="475">
        <f t="shared" si="119"/>
        <v>0</v>
      </c>
      <c r="AY149" s="3266">
        <f t="shared" si="94"/>
        <v>0</v>
      </c>
      <c r="AZ149" s="3199">
        <f t="shared" si="95"/>
        <v>0</v>
      </c>
      <c r="BA149" s="3199">
        <f t="shared" si="96"/>
        <v>0</v>
      </c>
      <c r="BB149" s="3199">
        <f t="shared" si="97"/>
        <v>0</v>
      </c>
      <c r="BC149" s="3199">
        <f t="shared" si="98"/>
        <v>0</v>
      </c>
      <c r="BD149" s="3199">
        <f t="shared" si="99"/>
        <v>0</v>
      </c>
      <c r="BE149" s="3199">
        <f t="shared" si="100"/>
        <v>0</v>
      </c>
      <c r="BF149" s="3199">
        <f t="shared" si="101"/>
        <v>0</v>
      </c>
      <c r="BG149" s="3199">
        <f t="shared" si="102"/>
        <v>0</v>
      </c>
      <c r="BH149" s="3199">
        <f t="shared" si="103"/>
        <v>0</v>
      </c>
      <c r="BI149" s="3199">
        <f t="shared" si="104"/>
        <v>0</v>
      </c>
      <c r="BJ149" s="3199">
        <f t="shared" si="105"/>
        <v>0</v>
      </c>
      <c r="BK149" s="3199">
        <f t="shared" si="106"/>
        <v>0</v>
      </c>
      <c r="BL149" s="3199">
        <f t="shared" si="107"/>
        <v>0</v>
      </c>
      <c r="BM149" s="3199">
        <f t="shared" si="108"/>
        <v>0</v>
      </c>
      <c r="BN149" s="3199">
        <f t="shared" si="109"/>
        <v>0</v>
      </c>
      <c r="BO149" s="3199">
        <f t="shared" si="110"/>
        <v>0</v>
      </c>
      <c r="BP149" s="3199">
        <f t="shared" si="111"/>
        <v>0</v>
      </c>
      <c r="BQ149" s="3199">
        <f t="shared" si="112"/>
        <v>0</v>
      </c>
      <c r="BR149" s="3199">
        <f t="shared" si="113"/>
        <v>0</v>
      </c>
      <c r="BS149" s="3199">
        <f t="shared" si="114"/>
        <v>0</v>
      </c>
      <c r="BT149" s="3271">
        <f t="shared" si="115"/>
        <v>0</v>
      </c>
    </row>
    <row r="150" spans="1:72">
      <c r="A150" s="3197"/>
      <c r="B150" s="3198"/>
      <c r="C150" s="3198"/>
      <c r="D150" s="3193"/>
      <c r="E150" s="3199">
        <f t="shared" si="116"/>
        <v>0</v>
      </c>
      <c r="F150" s="3200"/>
      <c r="G150" s="3201">
        <f t="shared" si="91"/>
        <v>0</v>
      </c>
      <c r="H150" s="3202">
        <f t="shared" si="92"/>
        <v>0</v>
      </c>
      <c r="I150" s="3218"/>
      <c r="J150" s="3218"/>
      <c r="K150" s="3218"/>
      <c r="L150" s="3218"/>
      <c r="M150" s="3218"/>
      <c r="N150" s="3218"/>
      <c r="O150" s="3218"/>
      <c r="P150" s="3218"/>
      <c r="Q150" s="3218"/>
      <c r="R150" s="3218"/>
      <c r="S150" s="3218"/>
      <c r="T150" s="3218"/>
      <c r="U150" s="3218"/>
      <c r="V150" s="3218"/>
      <c r="W150" s="3218"/>
      <c r="X150" s="3218"/>
      <c r="Y150" s="3218"/>
      <c r="Z150" s="3218"/>
      <c r="AA150" s="3218"/>
      <c r="AB150" s="3218"/>
      <c r="AC150" s="3199">
        <f t="shared" si="93"/>
        <v>0</v>
      </c>
      <c r="AD150" s="3229"/>
      <c r="AE150" s="3229"/>
      <c r="AF150" s="3229"/>
      <c r="AG150" s="3229"/>
      <c r="AH150" s="3229"/>
      <c r="AI150" s="3229"/>
      <c r="AJ150" s="3229"/>
      <c r="AK150" s="3229"/>
      <c r="AL150" s="3229"/>
      <c r="AM150" s="3229"/>
      <c r="AN150" s="3229"/>
      <c r="AO150" s="3229"/>
      <c r="AP150" s="3229"/>
      <c r="AQ150" s="3229"/>
      <c r="AR150" s="3229"/>
      <c r="AS150" s="3229"/>
      <c r="AT150" s="3249"/>
      <c r="AU150" s="3250"/>
      <c r="AV150" s="475">
        <f t="shared" si="117"/>
        <v>0</v>
      </c>
      <c r="AW150" s="475">
        <f t="shared" si="118"/>
        <v>0</v>
      </c>
      <c r="AX150" s="475">
        <f t="shared" si="119"/>
        <v>0</v>
      </c>
      <c r="AY150" s="3266">
        <f t="shared" si="94"/>
        <v>0</v>
      </c>
      <c r="AZ150" s="3199">
        <f t="shared" si="95"/>
        <v>0</v>
      </c>
      <c r="BA150" s="3199">
        <f t="shared" si="96"/>
        <v>0</v>
      </c>
      <c r="BB150" s="3199">
        <f t="shared" si="97"/>
        <v>0</v>
      </c>
      <c r="BC150" s="3199">
        <f t="shared" si="98"/>
        <v>0</v>
      </c>
      <c r="BD150" s="3199">
        <f t="shared" si="99"/>
        <v>0</v>
      </c>
      <c r="BE150" s="3199">
        <f t="shared" si="100"/>
        <v>0</v>
      </c>
      <c r="BF150" s="3199">
        <f t="shared" si="101"/>
        <v>0</v>
      </c>
      <c r="BG150" s="3199">
        <f t="shared" si="102"/>
        <v>0</v>
      </c>
      <c r="BH150" s="3199">
        <f t="shared" si="103"/>
        <v>0</v>
      </c>
      <c r="BI150" s="3199">
        <f t="shared" si="104"/>
        <v>0</v>
      </c>
      <c r="BJ150" s="3199">
        <f t="shared" si="105"/>
        <v>0</v>
      </c>
      <c r="BK150" s="3199">
        <f t="shared" si="106"/>
        <v>0</v>
      </c>
      <c r="BL150" s="3199">
        <f t="shared" si="107"/>
        <v>0</v>
      </c>
      <c r="BM150" s="3199">
        <f t="shared" si="108"/>
        <v>0</v>
      </c>
      <c r="BN150" s="3199">
        <f t="shared" si="109"/>
        <v>0</v>
      </c>
      <c r="BO150" s="3199">
        <f t="shared" si="110"/>
        <v>0</v>
      </c>
      <c r="BP150" s="3199">
        <f t="shared" si="111"/>
        <v>0</v>
      </c>
      <c r="BQ150" s="3199">
        <f t="shared" si="112"/>
        <v>0</v>
      </c>
      <c r="BR150" s="3199">
        <f t="shared" si="113"/>
        <v>0</v>
      </c>
      <c r="BS150" s="3199">
        <f t="shared" si="114"/>
        <v>0</v>
      </c>
      <c r="BT150" s="3271">
        <f t="shared" si="115"/>
        <v>0</v>
      </c>
    </row>
    <row r="151" spans="1:72">
      <c r="A151" s="3197"/>
      <c r="B151" s="3198"/>
      <c r="C151" s="3198"/>
      <c r="D151" s="3193"/>
      <c r="E151" s="3199">
        <f t="shared" si="116"/>
        <v>0</v>
      </c>
      <c r="F151" s="3200"/>
      <c r="G151" s="3201">
        <f t="shared" si="91"/>
        <v>0</v>
      </c>
      <c r="H151" s="3202">
        <f t="shared" si="92"/>
        <v>0</v>
      </c>
      <c r="I151" s="3218"/>
      <c r="J151" s="3218"/>
      <c r="K151" s="3218"/>
      <c r="L151" s="3218"/>
      <c r="M151" s="3218"/>
      <c r="N151" s="3218"/>
      <c r="O151" s="3218"/>
      <c r="P151" s="3218"/>
      <c r="Q151" s="3218"/>
      <c r="R151" s="3218"/>
      <c r="S151" s="3218"/>
      <c r="T151" s="3218"/>
      <c r="U151" s="3218"/>
      <c r="V151" s="3218"/>
      <c r="W151" s="3218"/>
      <c r="X151" s="3218"/>
      <c r="Y151" s="3218"/>
      <c r="Z151" s="3218"/>
      <c r="AA151" s="3218"/>
      <c r="AB151" s="3218"/>
      <c r="AC151" s="3199">
        <f t="shared" si="93"/>
        <v>0</v>
      </c>
      <c r="AD151" s="3229"/>
      <c r="AE151" s="3229"/>
      <c r="AF151" s="3229"/>
      <c r="AG151" s="3229"/>
      <c r="AH151" s="3229"/>
      <c r="AI151" s="3229"/>
      <c r="AJ151" s="3229"/>
      <c r="AK151" s="3229"/>
      <c r="AL151" s="3229"/>
      <c r="AM151" s="3229"/>
      <c r="AN151" s="3229"/>
      <c r="AO151" s="3229"/>
      <c r="AP151" s="3229"/>
      <c r="AQ151" s="3229"/>
      <c r="AR151" s="3229"/>
      <c r="AS151" s="3229"/>
      <c r="AT151" s="3249"/>
      <c r="AU151" s="3250"/>
      <c r="AV151" s="475">
        <f t="shared" si="117"/>
        <v>0</v>
      </c>
      <c r="AW151" s="475">
        <f t="shared" si="118"/>
        <v>0</v>
      </c>
      <c r="AX151" s="475">
        <f t="shared" si="119"/>
        <v>0</v>
      </c>
      <c r="AY151" s="3266">
        <f t="shared" si="94"/>
        <v>0</v>
      </c>
      <c r="AZ151" s="3199">
        <f t="shared" si="95"/>
        <v>0</v>
      </c>
      <c r="BA151" s="3199">
        <f t="shared" si="96"/>
        <v>0</v>
      </c>
      <c r="BB151" s="3199">
        <f t="shared" si="97"/>
        <v>0</v>
      </c>
      <c r="BC151" s="3199">
        <f t="shared" si="98"/>
        <v>0</v>
      </c>
      <c r="BD151" s="3199">
        <f t="shared" si="99"/>
        <v>0</v>
      </c>
      <c r="BE151" s="3199">
        <f t="shared" si="100"/>
        <v>0</v>
      </c>
      <c r="BF151" s="3199">
        <f t="shared" si="101"/>
        <v>0</v>
      </c>
      <c r="BG151" s="3199">
        <f t="shared" si="102"/>
        <v>0</v>
      </c>
      <c r="BH151" s="3199">
        <f t="shared" si="103"/>
        <v>0</v>
      </c>
      <c r="BI151" s="3199">
        <f t="shared" si="104"/>
        <v>0</v>
      </c>
      <c r="BJ151" s="3199">
        <f t="shared" si="105"/>
        <v>0</v>
      </c>
      <c r="BK151" s="3199">
        <f t="shared" si="106"/>
        <v>0</v>
      </c>
      <c r="BL151" s="3199">
        <f t="shared" si="107"/>
        <v>0</v>
      </c>
      <c r="BM151" s="3199">
        <f t="shared" si="108"/>
        <v>0</v>
      </c>
      <c r="BN151" s="3199">
        <f t="shared" si="109"/>
        <v>0</v>
      </c>
      <c r="BO151" s="3199">
        <f t="shared" si="110"/>
        <v>0</v>
      </c>
      <c r="BP151" s="3199">
        <f t="shared" si="111"/>
        <v>0</v>
      </c>
      <c r="BQ151" s="3199">
        <f t="shared" si="112"/>
        <v>0</v>
      </c>
      <c r="BR151" s="3199">
        <f t="shared" si="113"/>
        <v>0</v>
      </c>
      <c r="BS151" s="3199">
        <f t="shared" si="114"/>
        <v>0</v>
      </c>
      <c r="BT151" s="3271">
        <f t="shared" si="115"/>
        <v>0</v>
      </c>
    </row>
    <row r="152" spans="1:72">
      <c r="A152" s="3197"/>
      <c r="B152" s="3198"/>
      <c r="C152" s="3198"/>
      <c r="D152" s="3193"/>
      <c r="E152" s="3199">
        <f t="shared" si="116"/>
        <v>0</v>
      </c>
      <c r="F152" s="3200"/>
      <c r="G152" s="3201">
        <f t="shared" si="91"/>
        <v>0</v>
      </c>
      <c r="H152" s="3202">
        <f t="shared" si="92"/>
        <v>0</v>
      </c>
      <c r="I152" s="3218"/>
      <c r="J152" s="3218"/>
      <c r="K152" s="3218"/>
      <c r="L152" s="3218"/>
      <c r="M152" s="3218"/>
      <c r="N152" s="3218"/>
      <c r="O152" s="3218"/>
      <c r="P152" s="3218"/>
      <c r="Q152" s="3218"/>
      <c r="R152" s="3218"/>
      <c r="S152" s="3218"/>
      <c r="T152" s="3218"/>
      <c r="U152" s="3218"/>
      <c r="V152" s="3218"/>
      <c r="W152" s="3218"/>
      <c r="X152" s="3218"/>
      <c r="Y152" s="3218"/>
      <c r="Z152" s="3218"/>
      <c r="AA152" s="3218"/>
      <c r="AB152" s="3218"/>
      <c r="AC152" s="3199">
        <f t="shared" si="93"/>
        <v>0</v>
      </c>
      <c r="AD152" s="3229"/>
      <c r="AE152" s="3229"/>
      <c r="AF152" s="3229"/>
      <c r="AG152" s="3229"/>
      <c r="AH152" s="3229"/>
      <c r="AI152" s="3229"/>
      <c r="AJ152" s="3229"/>
      <c r="AK152" s="3229"/>
      <c r="AL152" s="3229"/>
      <c r="AM152" s="3229"/>
      <c r="AN152" s="3229"/>
      <c r="AO152" s="3229"/>
      <c r="AP152" s="3229"/>
      <c r="AQ152" s="3229"/>
      <c r="AR152" s="3229"/>
      <c r="AS152" s="3229"/>
      <c r="AT152" s="3249"/>
      <c r="AU152" s="3250"/>
      <c r="AV152" s="475">
        <f t="shared" si="117"/>
        <v>0</v>
      </c>
      <c r="AW152" s="475">
        <f t="shared" si="118"/>
        <v>0</v>
      </c>
      <c r="AX152" s="475">
        <f t="shared" si="119"/>
        <v>0</v>
      </c>
      <c r="AY152" s="3266">
        <f t="shared" si="94"/>
        <v>0</v>
      </c>
      <c r="AZ152" s="3199">
        <f t="shared" si="95"/>
        <v>0</v>
      </c>
      <c r="BA152" s="3199">
        <f t="shared" si="96"/>
        <v>0</v>
      </c>
      <c r="BB152" s="3199">
        <f t="shared" si="97"/>
        <v>0</v>
      </c>
      <c r="BC152" s="3199">
        <f t="shared" si="98"/>
        <v>0</v>
      </c>
      <c r="BD152" s="3199">
        <f t="shared" si="99"/>
        <v>0</v>
      </c>
      <c r="BE152" s="3199">
        <f t="shared" si="100"/>
        <v>0</v>
      </c>
      <c r="BF152" s="3199">
        <f t="shared" si="101"/>
        <v>0</v>
      </c>
      <c r="BG152" s="3199">
        <f t="shared" si="102"/>
        <v>0</v>
      </c>
      <c r="BH152" s="3199">
        <f t="shared" si="103"/>
        <v>0</v>
      </c>
      <c r="BI152" s="3199">
        <f t="shared" si="104"/>
        <v>0</v>
      </c>
      <c r="BJ152" s="3199">
        <f t="shared" si="105"/>
        <v>0</v>
      </c>
      <c r="BK152" s="3199">
        <f t="shared" si="106"/>
        <v>0</v>
      </c>
      <c r="BL152" s="3199">
        <f t="shared" si="107"/>
        <v>0</v>
      </c>
      <c r="BM152" s="3199">
        <f t="shared" si="108"/>
        <v>0</v>
      </c>
      <c r="BN152" s="3199">
        <f t="shared" si="109"/>
        <v>0</v>
      </c>
      <c r="BO152" s="3199">
        <f t="shared" si="110"/>
        <v>0</v>
      </c>
      <c r="BP152" s="3199">
        <f t="shared" si="111"/>
        <v>0</v>
      </c>
      <c r="BQ152" s="3199">
        <f t="shared" si="112"/>
        <v>0</v>
      </c>
      <c r="BR152" s="3199">
        <f t="shared" si="113"/>
        <v>0</v>
      </c>
      <c r="BS152" s="3199">
        <f t="shared" si="114"/>
        <v>0</v>
      </c>
      <c r="BT152" s="3271">
        <f t="shared" si="115"/>
        <v>0</v>
      </c>
    </row>
    <row r="153" spans="1:72">
      <c r="A153" s="3197"/>
      <c r="B153" s="3198"/>
      <c r="C153" s="3198"/>
      <c r="D153" s="3193"/>
      <c r="E153" s="3199">
        <f t="shared" si="116"/>
        <v>0</v>
      </c>
      <c r="F153" s="3200"/>
      <c r="G153" s="3201">
        <f t="shared" si="91"/>
        <v>0</v>
      </c>
      <c r="H153" s="3202">
        <f t="shared" si="92"/>
        <v>0</v>
      </c>
      <c r="I153" s="3218"/>
      <c r="J153" s="3218"/>
      <c r="K153" s="3218"/>
      <c r="L153" s="3218"/>
      <c r="M153" s="3218"/>
      <c r="N153" s="3218"/>
      <c r="O153" s="3218"/>
      <c r="P153" s="3218"/>
      <c r="Q153" s="3218"/>
      <c r="R153" s="3218"/>
      <c r="S153" s="3218"/>
      <c r="T153" s="3218"/>
      <c r="U153" s="3218"/>
      <c r="V153" s="3218"/>
      <c r="W153" s="3218"/>
      <c r="X153" s="3218"/>
      <c r="Y153" s="3218"/>
      <c r="Z153" s="3218"/>
      <c r="AA153" s="3218"/>
      <c r="AB153" s="3218"/>
      <c r="AC153" s="3199">
        <f t="shared" si="93"/>
        <v>0</v>
      </c>
      <c r="AD153" s="3229"/>
      <c r="AE153" s="3229"/>
      <c r="AF153" s="3229"/>
      <c r="AG153" s="3229"/>
      <c r="AH153" s="3229"/>
      <c r="AI153" s="3229"/>
      <c r="AJ153" s="3229"/>
      <c r="AK153" s="3229"/>
      <c r="AL153" s="3229"/>
      <c r="AM153" s="3229"/>
      <c r="AN153" s="3229"/>
      <c r="AO153" s="3229"/>
      <c r="AP153" s="3229"/>
      <c r="AQ153" s="3229"/>
      <c r="AR153" s="3229"/>
      <c r="AS153" s="3229"/>
      <c r="AT153" s="3249"/>
      <c r="AU153" s="3250"/>
      <c r="AV153" s="475">
        <f t="shared" si="117"/>
        <v>0</v>
      </c>
      <c r="AW153" s="475">
        <f t="shared" si="118"/>
        <v>0</v>
      </c>
      <c r="AX153" s="475">
        <f t="shared" si="119"/>
        <v>0</v>
      </c>
      <c r="AY153" s="3266">
        <f t="shared" si="94"/>
        <v>0</v>
      </c>
      <c r="AZ153" s="3199">
        <f t="shared" si="95"/>
        <v>0</v>
      </c>
      <c r="BA153" s="3199">
        <f t="shared" si="96"/>
        <v>0</v>
      </c>
      <c r="BB153" s="3199">
        <f t="shared" si="97"/>
        <v>0</v>
      </c>
      <c r="BC153" s="3199">
        <f t="shared" si="98"/>
        <v>0</v>
      </c>
      <c r="BD153" s="3199">
        <f t="shared" si="99"/>
        <v>0</v>
      </c>
      <c r="BE153" s="3199">
        <f t="shared" si="100"/>
        <v>0</v>
      </c>
      <c r="BF153" s="3199">
        <f t="shared" si="101"/>
        <v>0</v>
      </c>
      <c r="BG153" s="3199">
        <f t="shared" si="102"/>
        <v>0</v>
      </c>
      <c r="BH153" s="3199">
        <f t="shared" si="103"/>
        <v>0</v>
      </c>
      <c r="BI153" s="3199">
        <f t="shared" si="104"/>
        <v>0</v>
      </c>
      <c r="BJ153" s="3199">
        <f t="shared" si="105"/>
        <v>0</v>
      </c>
      <c r="BK153" s="3199">
        <f t="shared" si="106"/>
        <v>0</v>
      </c>
      <c r="BL153" s="3199">
        <f t="shared" si="107"/>
        <v>0</v>
      </c>
      <c r="BM153" s="3199">
        <f t="shared" si="108"/>
        <v>0</v>
      </c>
      <c r="BN153" s="3199">
        <f t="shared" si="109"/>
        <v>0</v>
      </c>
      <c r="BO153" s="3199">
        <f t="shared" si="110"/>
        <v>0</v>
      </c>
      <c r="BP153" s="3199">
        <f t="shared" si="111"/>
        <v>0</v>
      </c>
      <c r="BQ153" s="3199">
        <f t="shared" si="112"/>
        <v>0</v>
      </c>
      <c r="BR153" s="3199">
        <f t="shared" si="113"/>
        <v>0</v>
      </c>
      <c r="BS153" s="3199">
        <f t="shared" si="114"/>
        <v>0</v>
      </c>
      <c r="BT153" s="3271">
        <f t="shared" si="115"/>
        <v>0</v>
      </c>
    </row>
    <row r="154" spans="1:72">
      <c r="A154" s="3197"/>
      <c r="B154" s="3198"/>
      <c r="C154" s="3198"/>
      <c r="D154" s="3193"/>
      <c r="E154" s="3199">
        <f t="shared" si="116"/>
        <v>0</v>
      </c>
      <c r="F154" s="3200"/>
      <c r="G154" s="3201">
        <f t="shared" si="91"/>
        <v>0</v>
      </c>
      <c r="H154" s="3202">
        <f t="shared" si="92"/>
        <v>0</v>
      </c>
      <c r="I154" s="3218"/>
      <c r="J154" s="3218"/>
      <c r="K154" s="3218"/>
      <c r="L154" s="3218"/>
      <c r="M154" s="3218"/>
      <c r="N154" s="3218"/>
      <c r="O154" s="3218"/>
      <c r="P154" s="3218"/>
      <c r="Q154" s="3218"/>
      <c r="R154" s="3218"/>
      <c r="S154" s="3218"/>
      <c r="T154" s="3218"/>
      <c r="U154" s="3218"/>
      <c r="V154" s="3218"/>
      <c r="W154" s="3218"/>
      <c r="X154" s="3218"/>
      <c r="Y154" s="3218"/>
      <c r="Z154" s="3218"/>
      <c r="AA154" s="3218"/>
      <c r="AB154" s="3218"/>
      <c r="AC154" s="3199">
        <f t="shared" si="93"/>
        <v>0</v>
      </c>
      <c r="AD154" s="3229"/>
      <c r="AE154" s="3229"/>
      <c r="AF154" s="3229"/>
      <c r="AG154" s="3229"/>
      <c r="AH154" s="3229"/>
      <c r="AI154" s="3229"/>
      <c r="AJ154" s="3229"/>
      <c r="AK154" s="3229"/>
      <c r="AL154" s="3229"/>
      <c r="AM154" s="3229"/>
      <c r="AN154" s="3229"/>
      <c r="AO154" s="3229"/>
      <c r="AP154" s="3229"/>
      <c r="AQ154" s="3229"/>
      <c r="AR154" s="3229"/>
      <c r="AS154" s="3229"/>
      <c r="AT154" s="3249"/>
      <c r="AU154" s="3250"/>
      <c r="AV154" s="475">
        <f t="shared" si="117"/>
        <v>0</v>
      </c>
      <c r="AW154" s="475">
        <f t="shared" si="118"/>
        <v>0</v>
      </c>
      <c r="AX154" s="475">
        <f t="shared" si="119"/>
        <v>0</v>
      </c>
      <c r="AY154" s="3266">
        <f t="shared" si="94"/>
        <v>0</v>
      </c>
      <c r="AZ154" s="3199">
        <f t="shared" si="95"/>
        <v>0</v>
      </c>
      <c r="BA154" s="3199">
        <f t="shared" si="96"/>
        <v>0</v>
      </c>
      <c r="BB154" s="3199">
        <f t="shared" si="97"/>
        <v>0</v>
      </c>
      <c r="BC154" s="3199">
        <f t="shared" si="98"/>
        <v>0</v>
      </c>
      <c r="BD154" s="3199">
        <f t="shared" si="99"/>
        <v>0</v>
      </c>
      <c r="BE154" s="3199">
        <f t="shared" si="100"/>
        <v>0</v>
      </c>
      <c r="BF154" s="3199">
        <f t="shared" si="101"/>
        <v>0</v>
      </c>
      <c r="BG154" s="3199">
        <f t="shared" si="102"/>
        <v>0</v>
      </c>
      <c r="BH154" s="3199">
        <f t="shared" si="103"/>
        <v>0</v>
      </c>
      <c r="BI154" s="3199">
        <f t="shared" si="104"/>
        <v>0</v>
      </c>
      <c r="BJ154" s="3199">
        <f t="shared" si="105"/>
        <v>0</v>
      </c>
      <c r="BK154" s="3199">
        <f t="shared" si="106"/>
        <v>0</v>
      </c>
      <c r="BL154" s="3199">
        <f t="shared" si="107"/>
        <v>0</v>
      </c>
      <c r="BM154" s="3199">
        <f t="shared" si="108"/>
        <v>0</v>
      </c>
      <c r="BN154" s="3199">
        <f t="shared" si="109"/>
        <v>0</v>
      </c>
      <c r="BO154" s="3199">
        <f t="shared" si="110"/>
        <v>0</v>
      </c>
      <c r="BP154" s="3199">
        <f t="shared" si="111"/>
        <v>0</v>
      </c>
      <c r="BQ154" s="3199">
        <f t="shared" si="112"/>
        <v>0</v>
      </c>
      <c r="BR154" s="3199">
        <f t="shared" si="113"/>
        <v>0</v>
      </c>
      <c r="BS154" s="3199">
        <f t="shared" si="114"/>
        <v>0</v>
      </c>
      <c r="BT154" s="3271">
        <f t="shared" si="115"/>
        <v>0</v>
      </c>
    </row>
    <row r="155" spans="1:72">
      <c r="A155" s="3197"/>
      <c r="B155" s="3198"/>
      <c r="C155" s="3198"/>
      <c r="D155" s="3193"/>
      <c r="E155" s="3199">
        <f t="shared" si="116"/>
        <v>0</v>
      </c>
      <c r="F155" s="3200"/>
      <c r="G155" s="3201">
        <f t="shared" si="91"/>
        <v>0</v>
      </c>
      <c r="H155" s="3202">
        <f t="shared" si="92"/>
        <v>0</v>
      </c>
      <c r="I155" s="3218"/>
      <c r="J155" s="3218"/>
      <c r="K155" s="3218"/>
      <c r="L155" s="3218"/>
      <c r="M155" s="3218"/>
      <c r="N155" s="3218"/>
      <c r="O155" s="3218"/>
      <c r="P155" s="3218"/>
      <c r="Q155" s="3218"/>
      <c r="R155" s="3218"/>
      <c r="S155" s="3218"/>
      <c r="T155" s="3218"/>
      <c r="U155" s="3218"/>
      <c r="V155" s="3218"/>
      <c r="W155" s="3218"/>
      <c r="X155" s="3218"/>
      <c r="Y155" s="3218"/>
      <c r="Z155" s="3218"/>
      <c r="AA155" s="3218"/>
      <c r="AB155" s="3218"/>
      <c r="AC155" s="3199">
        <f t="shared" si="93"/>
        <v>0</v>
      </c>
      <c r="AD155" s="3229"/>
      <c r="AE155" s="3229"/>
      <c r="AF155" s="3229"/>
      <c r="AG155" s="3229"/>
      <c r="AH155" s="3229"/>
      <c r="AI155" s="3229"/>
      <c r="AJ155" s="3229"/>
      <c r="AK155" s="3229"/>
      <c r="AL155" s="3229"/>
      <c r="AM155" s="3229"/>
      <c r="AN155" s="3229"/>
      <c r="AO155" s="3229"/>
      <c r="AP155" s="3229"/>
      <c r="AQ155" s="3229"/>
      <c r="AR155" s="3229"/>
      <c r="AS155" s="3229"/>
      <c r="AT155" s="3249"/>
      <c r="AU155" s="3250"/>
      <c r="AV155" s="475">
        <f t="shared" si="117"/>
        <v>0</v>
      </c>
      <c r="AW155" s="475">
        <f t="shared" si="118"/>
        <v>0</v>
      </c>
      <c r="AX155" s="475">
        <f t="shared" si="119"/>
        <v>0</v>
      </c>
      <c r="AY155" s="3266">
        <f t="shared" si="94"/>
        <v>0</v>
      </c>
      <c r="AZ155" s="3199">
        <f t="shared" si="95"/>
        <v>0</v>
      </c>
      <c r="BA155" s="3199">
        <f t="shared" si="96"/>
        <v>0</v>
      </c>
      <c r="BB155" s="3199">
        <f t="shared" si="97"/>
        <v>0</v>
      </c>
      <c r="BC155" s="3199">
        <f t="shared" si="98"/>
        <v>0</v>
      </c>
      <c r="BD155" s="3199">
        <f t="shared" si="99"/>
        <v>0</v>
      </c>
      <c r="BE155" s="3199">
        <f t="shared" si="100"/>
        <v>0</v>
      </c>
      <c r="BF155" s="3199">
        <f t="shared" si="101"/>
        <v>0</v>
      </c>
      <c r="BG155" s="3199">
        <f t="shared" si="102"/>
        <v>0</v>
      </c>
      <c r="BH155" s="3199">
        <f t="shared" si="103"/>
        <v>0</v>
      </c>
      <c r="BI155" s="3199">
        <f t="shared" si="104"/>
        <v>0</v>
      </c>
      <c r="BJ155" s="3199">
        <f t="shared" si="105"/>
        <v>0</v>
      </c>
      <c r="BK155" s="3199">
        <f t="shared" si="106"/>
        <v>0</v>
      </c>
      <c r="BL155" s="3199">
        <f t="shared" si="107"/>
        <v>0</v>
      </c>
      <c r="BM155" s="3199">
        <f t="shared" si="108"/>
        <v>0</v>
      </c>
      <c r="BN155" s="3199">
        <f t="shared" si="109"/>
        <v>0</v>
      </c>
      <c r="BO155" s="3199">
        <f t="shared" si="110"/>
        <v>0</v>
      </c>
      <c r="BP155" s="3199">
        <f t="shared" si="111"/>
        <v>0</v>
      </c>
      <c r="BQ155" s="3199">
        <f t="shared" si="112"/>
        <v>0</v>
      </c>
      <c r="BR155" s="3199">
        <f t="shared" si="113"/>
        <v>0</v>
      </c>
      <c r="BS155" s="3199">
        <f t="shared" si="114"/>
        <v>0</v>
      </c>
      <c r="BT155" s="3271">
        <f t="shared" si="115"/>
        <v>0</v>
      </c>
    </row>
    <row r="156" spans="1:72">
      <c r="A156" s="3197"/>
      <c r="B156" s="3198"/>
      <c r="C156" s="3198"/>
      <c r="D156" s="3193"/>
      <c r="E156" s="3199">
        <f t="shared" si="116"/>
        <v>0</v>
      </c>
      <c r="F156" s="3200"/>
      <c r="G156" s="3201">
        <f t="shared" si="91"/>
        <v>0</v>
      </c>
      <c r="H156" s="3202">
        <f t="shared" si="92"/>
        <v>0</v>
      </c>
      <c r="I156" s="3218"/>
      <c r="J156" s="3218"/>
      <c r="K156" s="3218"/>
      <c r="L156" s="3218"/>
      <c r="M156" s="3218"/>
      <c r="N156" s="3218"/>
      <c r="O156" s="3218"/>
      <c r="P156" s="3218"/>
      <c r="Q156" s="3218"/>
      <c r="R156" s="3218"/>
      <c r="S156" s="3218"/>
      <c r="T156" s="3218"/>
      <c r="U156" s="3218"/>
      <c r="V156" s="3218"/>
      <c r="W156" s="3218"/>
      <c r="X156" s="3218"/>
      <c r="Y156" s="3218"/>
      <c r="Z156" s="3218"/>
      <c r="AA156" s="3218"/>
      <c r="AB156" s="3218"/>
      <c r="AC156" s="3199">
        <f t="shared" si="93"/>
        <v>0</v>
      </c>
      <c r="AD156" s="3229"/>
      <c r="AE156" s="3229"/>
      <c r="AF156" s="3229"/>
      <c r="AG156" s="3229"/>
      <c r="AH156" s="3229"/>
      <c r="AI156" s="3229"/>
      <c r="AJ156" s="3229"/>
      <c r="AK156" s="3229"/>
      <c r="AL156" s="3229"/>
      <c r="AM156" s="3229"/>
      <c r="AN156" s="3229"/>
      <c r="AO156" s="3229"/>
      <c r="AP156" s="3229"/>
      <c r="AQ156" s="3229"/>
      <c r="AR156" s="3229"/>
      <c r="AS156" s="3229"/>
      <c r="AT156" s="3249"/>
      <c r="AU156" s="3250"/>
      <c r="AV156" s="475">
        <f t="shared" si="117"/>
        <v>0</v>
      </c>
      <c r="AW156" s="475">
        <f t="shared" si="118"/>
        <v>0</v>
      </c>
      <c r="AX156" s="475">
        <f t="shared" si="119"/>
        <v>0</v>
      </c>
      <c r="AY156" s="3266">
        <f t="shared" si="94"/>
        <v>0</v>
      </c>
      <c r="AZ156" s="3199">
        <f t="shared" si="95"/>
        <v>0</v>
      </c>
      <c r="BA156" s="3199">
        <f t="shared" si="96"/>
        <v>0</v>
      </c>
      <c r="BB156" s="3199">
        <f t="shared" si="97"/>
        <v>0</v>
      </c>
      <c r="BC156" s="3199">
        <f t="shared" si="98"/>
        <v>0</v>
      </c>
      <c r="BD156" s="3199">
        <f t="shared" si="99"/>
        <v>0</v>
      </c>
      <c r="BE156" s="3199">
        <f t="shared" si="100"/>
        <v>0</v>
      </c>
      <c r="BF156" s="3199">
        <f t="shared" si="101"/>
        <v>0</v>
      </c>
      <c r="BG156" s="3199">
        <f t="shared" si="102"/>
        <v>0</v>
      </c>
      <c r="BH156" s="3199">
        <f t="shared" si="103"/>
        <v>0</v>
      </c>
      <c r="BI156" s="3199">
        <f t="shared" si="104"/>
        <v>0</v>
      </c>
      <c r="BJ156" s="3199">
        <f t="shared" si="105"/>
        <v>0</v>
      </c>
      <c r="BK156" s="3199">
        <f t="shared" si="106"/>
        <v>0</v>
      </c>
      <c r="BL156" s="3199">
        <f t="shared" si="107"/>
        <v>0</v>
      </c>
      <c r="BM156" s="3199">
        <f t="shared" si="108"/>
        <v>0</v>
      </c>
      <c r="BN156" s="3199">
        <f t="shared" si="109"/>
        <v>0</v>
      </c>
      <c r="BO156" s="3199">
        <f t="shared" si="110"/>
        <v>0</v>
      </c>
      <c r="BP156" s="3199">
        <f t="shared" si="111"/>
        <v>0</v>
      </c>
      <c r="BQ156" s="3199">
        <f t="shared" si="112"/>
        <v>0</v>
      </c>
      <c r="BR156" s="3199">
        <f t="shared" si="113"/>
        <v>0</v>
      </c>
      <c r="BS156" s="3199">
        <f t="shared" si="114"/>
        <v>0</v>
      </c>
      <c r="BT156" s="3271">
        <f t="shared" si="115"/>
        <v>0</v>
      </c>
    </row>
    <row r="157" spans="1:72">
      <c r="A157" s="3197"/>
      <c r="B157" s="3198"/>
      <c r="C157" s="3198"/>
      <c r="D157" s="3193"/>
      <c r="E157" s="3199">
        <f t="shared" si="116"/>
        <v>0</v>
      </c>
      <c r="F157" s="3200"/>
      <c r="G157" s="3201">
        <f t="shared" si="91"/>
        <v>0</v>
      </c>
      <c r="H157" s="3202">
        <f t="shared" si="92"/>
        <v>0</v>
      </c>
      <c r="I157" s="3218"/>
      <c r="J157" s="3218"/>
      <c r="K157" s="3218"/>
      <c r="L157" s="3218"/>
      <c r="M157" s="3218"/>
      <c r="N157" s="3218"/>
      <c r="O157" s="3218"/>
      <c r="P157" s="3218"/>
      <c r="Q157" s="3218"/>
      <c r="R157" s="3218"/>
      <c r="S157" s="3218"/>
      <c r="T157" s="3218"/>
      <c r="U157" s="3218"/>
      <c r="V157" s="3218"/>
      <c r="W157" s="3218"/>
      <c r="X157" s="3218"/>
      <c r="Y157" s="3218"/>
      <c r="Z157" s="3218"/>
      <c r="AA157" s="3218"/>
      <c r="AB157" s="3218"/>
      <c r="AC157" s="3199">
        <f t="shared" si="93"/>
        <v>0</v>
      </c>
      <c r="AD157" s="3229"/>
      <c r="AE157" s="3229"/>
      <c r="AF157" s="3229"/>
      <c r="AG157" s="3229"/>
      <c r="AH157" s="3229"/>
      <c r="AI157" s="3229"/>
      <c r="AJ157" s="3229"/>
      <c r="AK157" s="3229"/>
      <c r="AL157" s="3229"/>
      <c r="AM157" s="3229"/>
      <c r="AN157" s="3229"/>
      <c r="AO157" s="3229"/>
      <c r="AP157" s="3229"/>
      <c r="AQ157" s="3229"/>
      <c r="AR157" s="3229"/>
      <c r="AS157" s="3229"/>
      <c r="AT157" s="3249"/>
      <c r="AU157" s="3250"/>
      <c r="AV157" s="475">
        <f t="shared" si="117"/>
        <v>0</v>
      </c>
      <c r="AW157" s="475">
        <f t="shared" si="118"/>
        <v>0</v>
      </c>
      <c r="AX157" s="475">
        <f t="shared" si="119"/>
        <v>0</v>
      </c>
      <c r="AY157" s="3266">
        <f t="shared" si="94"/>
        <v>0</v>
      </c>
      <c r="AZ157" s="3199">
        <f t="shared" si="95"/>
        <v>0</v>
      </c>
      <c r="BA157" s="3199">
        <f t="shared" si="96"/>
        <v>0</v>
      </c>
      <c r="BB157" s="3199">
        <f t="shared" si="97"/>
        <v>0</v>
      </c>
      <c r="BC157" s="3199">
        <f t="shared" si="98"/>
        <v>0</v>
      </c>
      <c r="BD157" s="3199">
        <f t="shared" si="99"/>
        <v>0</v>
      </c>
      <c r="BE157" s="3199">
        <f t="shared" si="100"/>
        <v>0</v>
      </c>
      <c r="BF157" s="3199">
        <f t="shared" si="101"/>
        <v>0</v>
      </c>
      <c r="BG157" s="3199">
        <f t="shared" si="102"/>
        <v>0</v>
      </c>
      <c r="BH157" s="3199">
        <f t="shared" si="103"/>
        <v>0</v>
      </c>
      <c r="BI157" s="3199">
        <f t="shared" si="104"/>
        <v>0</v>
      </c>
      <c r="BJ157" s="3199">
        <f t="shared" si="105"/>
        <v>0</v>
      </c>
      <c r="BK157" s="3199">
        <f t="shared" si="106"/>
        <v>0</v>
      </c>
      <c r="BL157" s="3199">
        <f t="shared" si="107"/>
        <v>0</v>
      </c>
      <c r="BM157" s="3199">
        <f t="shared" si="108"/>
        <v>0</v>
      </c>
      <c r="BN157" s="3199">
        <f t="shared" si="109"/>
        <v>0</v>
      </c>
      <c r="BO157" s="3199">
        <f t="shared" si="110"/>
        <v>0</v>
      </c>
      <c r="BP157" s="3199">
        <f t="shared" si="111"/>
        <v>0</v>
      </c>
      <c r="BQ157" s="3199">
        <f t="shared" si="112"/>
        <v>0</v>
      </c>
      <c r="BR157" s="3199">
        <f t="shared" si="113"/>
        <v>0</v>
      </c>
      <c r="BS157" s="3199">
        <f t="shared" si="114"/>
        <v>0</v>
      </c>
      <c r="BT157" s="3271">
        <f t="shared" si="115"/>
        <v>0</v>
      </c>
    </row>
    <row r="158" spans="1:72">
      <c r="A158" s="3197"/>
      <c r="B158" s="3198"/>
      <c r="C158" s="3198"/>
      <c r="D158" s="3193"/>
      <c r="E158" s="3199">
        <f t="shared" si="116"/>
        <v>0</v>
      </c>
      <c r="F158" s="3200"/>
      <c r="G158" s="3201">
        <f t="shared" si="91"/>
        <v>0</v>
      </c>
      <c r="H158" s="3202">
        <f t="shared" si="92"/>
        <v>0</v>
      </c>
      <c r="I158" s="3218"/>
      <c r="J158" s="3218"/>
      <c r="K158" s="3218"/>
      <c r="L158" s="3218"/>
      <c r="M158" s="3218"/>
      <c r="N158" s="3218"/>
      <c r="O158" s="3218"/>
      <c r="P158" s="3218"/>
      <c r="Q158" s="3218"/>
      <c r="R158" s="3218"/>
      <c r="S158" s="3218"/>
      <c r="T158" s="3218"/>
      <c r="U158" s="3218"/>
      <c r="V158" s="3218"/>
      <c r="W158" s="3218"/>
      <c r="X158" s="3218"/>
      <c r="Y158" s="3218"/>
      <c r="Z158" s="3218"/>
      <c r="AA158" s="3218"/>
      <c r="AB158" s="3218"/>
      <c r="AC158" s="3199">
        <f t="shared" si="93"/>
        <v>0</v>
      </c>
      <c r="AD158" s="3229"/>
      <c r="AE158" s="3229"/>
      <c r="AF158" s="3229"/>
      <c r="AG158" s="3229"/>
      <c r="AH158" s="3229"/>
      <c r="AI158" s="3229"/>
      <c r="AJ158" s="3229"/>
      <c r="AK158" s="3229"/>
      <c r="AL158" s="3229"/>
      <c r="AM158" s="3229"/>
      <c r="AN158" s="3229"/>
      <c r="AO158" s="3229"/>
      <c r="AP158" s="3229"/>
      <c r="AQ158" s="3229"/>
      <c r="AR158" s="3229"/>
      <c r="AS158" s="3229"/>
      <c r="AT158" s="3249"/>
      <c r="AU158" s="3250"/>
      <c r="AV158" s="475">
        <f t="shared" si="117"/>
        <v>0</v>
      </c>
      <c r="AW158" s="475">
        <f t="shared" si="118"/>
        <v>0</v>
      </c>
      <c r="AX158" s="475">
        <f t="shared" si="119"/>
        <v>0</v>
      </c>
      <c r="AY158" s="3266">
        <f t="shared" si="94"/>
        <v>0</v>
      </c>
      <c r="AZ158" s="3199">
        <f t="shared" si="95"/>
        <v>0</v>
      </c>
      <c r="BA158" s="3199">
        <f t="shared" si="96"/>
        <v>0</v>
      </c>
      <c r="BB158" s="3199">
        <f t="shared" si="97"/>
        <v>0</v>
      </c>
      <c r="BC158" s="3199">
        <f t="shared" si="98"/>
        <v>0</v>
      </c>
      <c r="BD158" s="3199">
        <f t="shared" si="99"/>
        <v>0</v>
      </c>
      <c r="BE158" s="3199">
        <f t="shared" si="100"/>
        <v>0</v>
      </c>
      <c r="BF158" s="3199">
        <f t="shared" si="101"/>
        <v>0</v>
      </c>
      <c r="BG158" s="3199">
        <f t="shared" si="102"/>
        <v>0</v>
      </c>
      <c r="BH158" s="3199">
        <f t="shared" si="103"/>
        <v>0</v>
      </c>
      <c r="BI158" s="3199">
        <f t="shared" si="104"/>
        <v>0</v>
      </c>
      <c r="BJ158" s="3199">
        <f t="shared" si="105"/>
        <v>0</v>
      </c>
      <c r="BK158" s="3199">
        <f t="shared" si="106"/>
        <v>0</v>
      </c>
      <c r="BL158" s="3199">
        <f t="shared" si="107"/>
        <v>0</v>
      </c>
      <c r="BM158" s="3199">
        <f t="shared" si="108"/>
        <v>0</v>
      </c>
      <c r="BN158" s="3199">
        <f t="shared" si="109"/>
        <v>0</v>
      </c>
      <c r="BO158" s="3199">
        <f t="shared" si="110"/>
        <v>0</v>
      </c>
      <c r="BP158" s="3199">
        <f t="shared" si="111"/>
        <v>0</v>
      </c>
      <c r="BQ158" s="3199">
        <f t="shared" si="112"/>
        <v>0</v>
      </c>
      <c r="BR158" s="3199">
        <f t="shared" si="113"/>
        <v>0</v>
      </c>
      <c r="BS158" s="3199">
        <f t="shared" si="114"/>
        <v>0</v>
      </c>
      <c r="BT158" s="3271">
        <f t="shared" si="115"/>
        <v>0</v>
      </c>
    </row>
    <row r="159" spans="1:72">
      <c r="A159" s="3197"/>
      <c r="B159" s="3198"/>
      <c r="C159" s="3198"/>
      <c r="D159" s="3193"/>
      <c r="E159" s="3199">
        <f t="shared" si="116"/>
        <v>0</v>
      </c>
      <c r="F159" s="3200"/>
      <c r="G159" s="3201">
        <f t="shared" si="91"/>
        <v>0</v>
      </c>
      <c r="H159" s="3202">
        <f t="shared" si="92"/>
        <v>0</v>
      </c>
      <c r="I159" s="3218"/>
      <c r="J159" s="3218"/>
      <c r="K159" s="3218"/>
      <c r="L159" s="3218"/>
      <c r="M159" s="3218"/>
      <c r="N159" s="3218"/>
      <c r="O159" s="3218"/>
      <c r="P159" s="3218"/>
      <c r="Q159" s="3218"/>
      <c r="R159" s="3218"/>
      <c r="S159" s="3218"/>
      <c r="T159" s="3218"/>
      <c r="U159" s="3218"/>
      <c r="V159" s="3218"/>
      <c r="W159" s="3218"/>
      <c r="X159" s="3218"/>
      <c r="Y159" s="3218"/>
      <c r="Z159" s="3218"/>
      <c r="AA159" s="3218"/>
      <c r="AB159" s="3218"/>
      <c r="AC159" s="3199">
        <f t="shared" si="93"/>
        <v>0</v>
      </c>
      <c r="AD159" s="3229"/>
      <c r="AE159" s="3229"/>
      <c r="AF159" s="3229"/>
      <c r="AG159" s="3229"/>
      <c r="AH159" s="3229"/>
      <c r="AI159" s="3229"/>
      <c r="AJ159" s="3229"/>
      <c r="AK159" s="3229"/>
      <c r="AL159" s="3229"/>
      <c r="AM159" s="3229"/>
      <c r="AN159" s="3229"/>
      <c r="AO159" s="3229"/>
      <c r="AP159" s="3229"/>
      <c r="AQ159" s="3229"/>
      <c r="AR159" s="3229"/>
      <c r="AS159" s="3229"/>
      <c r="AT159" s="3249"/>
      <c r="AU159" s="3250"/>
      <c r="AV159" s="475">
        <f t="shared" si="117"/>
        <v>0</v>
      </c>
      <c r="AW159" s="475">
        <f t="shared" si="118"/>
        <v>0</v>
      </c>
      <c r="AX159" s="475">
        <f t="shared" si="119"/>
        <v>0</v>
      </c>
      <c r="AY159" s="3266">
        <f t="shared" si="94"/>
        <v>0</v>
      </c>
      <c r="AZ159" s="3199">
        <f t="shared" si="95"/>
        <v>0</v>
      </c>
      <c r="BA159" s="3199">
        <f t="shared" si="96"/>
        <v>0</v>
      </c>
      <c r="BB159" s="3199">
        <f t="shared" si="97"/>
        <v>0</v>
      </c>
      <c r="BC159" s="3199">
        <f t="shared" si="98"/>
        <v>0</v>
      </c>
      <c r="BD159" s="3199">
        <f t="shared" si="99"/>
        <v>0</v>
      </c>
      <c r="BE159" s="3199">
        <f t="shared" si="100"/>
        <v>0</v>
      </c>
      <c r="BF159" s="3199">
        <f t="shared" si="101"/>
        <v>0</v>
      </c>
      <c r="BG159" s="3199">
        <f t="shared" si="102"/>
        <v>0</v>
      </c>
      <c r="BH159" s="3199">
        <f t="shared" si="103"/>
        <v>0</v>
      </c>
      <c r="BI159" s="3199">
        <f t="shared" si="104"/>
        <v>0</v>
      </c>
      <c r="BJ159" s="3199">
        <f t="shared" si="105"/>
        <v>0</v>
      </c>
      <c r="BK159" s="3199">
        <f t="shared" si="106"/>
        <v>0</v>
      </c>
      <c r="BL159" s="3199">
        <f t="shared" si="107"/>
        <v>0</v>
      </c>
      <c r="BM159" s="3199">
        <f t="shared" si="108"/>
        <v>0</v>
      </c>
      <c r="BN159" s="3199">
        <f t="shared" si="109"/>
        <v>0</v>
      </c>
      <c r="BO159" s="3199">
        <f t="shared" si="110"/>
        <v>0</v>
      </c>
      <c r="BP159" s="3199">
        <f t="shared" si="111"/>
        <v>0</v>
      </c>
      <c r="BQ159" s="3199">
        <f t="shared" si="112"/>
        <v>0</v>
      </c>
      <c r="BR159" s="3199">
        <f t="shared" si="113"/>
        <v>0</v>
      </c>
      <c r="BS159" s="3199">
        <f t="shared" si="114"/>
        <v>0</v>
      </c>
      <c r="BT159" s="3271">
        <f t="shared" si="115"/>
        <v>0</v>
      </c>
    </row>
    <row r="160" spans="1:72">
      <c r="A160" s="3197"/>
      <c r="B160" s="3198"/>
      <c r="C160" s="3198"/>
      <c r="D160" s="3193"/>
      <c r="E160" s="3199">
        <f t="shared" si="116"/>
        <v>0</v>
      </c>
      <c r="F160" s="3200"/>
      <c r="G160" s="3201">
        <f t="shared" si="91"/>
        <v>0</v>
      </c>
      <c r="H160" s="3202">
        <f t="shared" si="92"/>
        <v>0</v>
      </c>
      <c r="I160" s="3218"/>
      <c r="J160" s="3218"/>
      <c r="K160" s="3218"/>
      <c r="L160" s="3218"/>
      <c r="M160" s="3218"/>
      <c r="N160" s="3218"/>
      <c r="O160" s="3218"/>
      <c r="P160" s="3218"/>
      <c r="Q160" s="3218"/>
      <c r="R160" s="3218"/>
      <c r="S160" s="3218"/>
      <c r="T160" s="3218"/>
      <c r="U160" s="3218"/>
      <c r="V160" s="3218"/>
      <c r="W160" s="3218"/>
      <c r="X160" s="3218"/>
      <c r="Y160" s="3218"/>
      <c r="Z160" s="3218"/>
      <c r="AA160" s="3218"/>
      <c r="AB160" s="3218"/>
      <c r="AC160" s="3199">
        <f t="shared" si="93"/>
        <v>0</v>
      </c>
      <c r="AD160" s="3229"/>
      <c r="AE160" s="3229"/>
      <c r="AF160" s="3229"/>
      <c r="AG160" s="3229"/>
      <c r="AH160" s="3229"/>
      <c r="AI160" s="3229"/>
      <c r="AJ160" s="3229"/>
      <c r="AK160" s="3229"/>
      <c r="AL160" s="3229"/>
      <c r="AM160" s="3229"/>
      <c r="AN160" s="3229"/>
      <c r="AO160" s="3229"/>
      <c r="AP160" s="3229"/>
      <c r="AQ160" s="3229"/>
      <c r="AR160" s="3229"/>
      <c r="AS160" s="3229"/>
      <c r="AT160" s="3249"/>
      <c r="AU160" s="3250"/>
      <c r="AV160" s="475">
        <f t="shared" si="117"/>
        <v>0</v>
      </c>
      <c r="AW160" s="475">
        <f t="shared" si="118"/>
        <v>0</v>
      </c>
      <c r="AX160" s="475">
        <f t="shared" si="119"/>
        <v>0</v>
      </c>
      <c r="AY160" s="3266">
        <f t="shared" si="94"/>
        <v>0</v>
      </c>
      <c r="AZ160" s="3199">
        <f t="shared" si="95"/>
        <v>0</v>
      </c>
      <c r="BA160" s="3199">
        <f t="shared" si="96"/>
        <v>0</v>
      </c>
      <c r="BB160" s="3199">
        <f t="shared" si="97"/>
        <v>0</v>
      </c>
      <c r="BC160" s="3199">
        <f t="shared" si="98"/>
        <v>0</v>
      </c>
      <c r="BD160" s="3199">
        <f t="shared" si="99"/>
        <v>0</v>
      </c>
      <c r="BE160" s="3199">
        <f t="shared" si="100"/>
        <v>0</v>
      </c>
      <c r="BF160" s="3199">
        <f t="shared" si="101"/>
        <v>0</v>
      </c>
      <c r="BG160" s="3199">
        <f t="shared" si="102"/>
        <v>0</v>
      </c>
      <c r="BH160" s="3199">
        <f t="shared" si="103"/>
        <v>0</v>
      </c>
      <c r="BI160" s="3199">
        <f t="shared" si="104"/>
        <v>0</v>
      </c>
      <c r="BJ160" s="3199">
        <f t="shared" si="105"/>
        <v>0</v>
      </c>
      <c r="BK160" s="3199">
        <f t="shared" si="106"/>
        <v>0</v>
      </c>
      <c r="BL160" s="3199">
        <f t="shared" si="107"/>
        <v>0</v>
      </c>
      <c r="BM160" s="3199">
        <f t="shared" si="108"/>
        <v>0</v>
      </c>
      <c r="BN160" s="3199">
        <f t="shared" si="109"/>
        <v>0</v>
      </c>
      <c r="BO160" s="3199">
        <f t="shared" si="110"/>
        <v>0</v>
      </c>
      <c r="BP160" s="3199">
        <f t="shared" si="111"/>
        <v>0</v>
      </c>
      <c r="BQ160" s="3199">
        <f t="shared" si="112"/>
        <v>0</v>
      </c>
      <c r="BR160" s="3199">
        <f t="shared" si="113"/>
        <v>0</v>
      </c>
      <c r="BS160" s="3199">
        <f t="shared" si="114"/>
        <v>0</v>
      </c>
      <c r="BT160" s="3271">
        <f t="shared" si="115"/>
        <v>0</v>
      </c>
    </row>
    <row r="161" spans="1:72">
      <c r="A161" s="3197"/>
      <c r="B161" s="3198"/>
      <c r="C161" s="3198"/>
      <c r="D161" s="3193"/>
      <c r="E161" s="3199">
        <f t="shared" si="116"/>
        <v>0</v>
      </c>
      <c r="F161" s="3200"/>
      <c r="G161" s="3201">
        <f t="shared" si="91"/>
        <v>0</v>
      </c>
      <c r="H161" s="3202">
        <f t="shared" si="92"/>
        <v>0</v>
      </c>
      <c r="I161" s="3218"/>
      <c r="J161" s="3218"/>
      <c r="K161" s="3218"/>
      <c r="L161" s="3218"/>
      <c r="M161" s="3218"/>
      <c r="N161" s="3218"/>
      <c r="O161" s="3218"/>
      <c r="P161" s="3218"/>
      <c r="Q161" s="3218"/>
      <c r="R161" s="3218"/>
      <c r="S161" s="3218"/>
      <c r="T161" s="3218"/>
      <c r="U161" s="3218"/>
      <c r="V161" s="3218"/>
      <c r="W161" s="3218"/>
      <c r="X161" s="3218"/>
      <c r="Y161" s="3218"/>
      <c r="Z161" s="3218"/>
      <c r="AA161" s="3218"/>
      <c r="AB161" s="3218"/>
      <c r="AC161" s="3199">
        <f t="shared" si="93"/>
        <v>0</v>
      </c>
      <c r="AD161" s="3229"/>
      <c r="AE161" s="3229"/>
      <c r="AF161" s="3229"/>
      <c r="AG161" s="3229"/>
      <c r="AH161" s="3229"/>
      <c r="AI161" s="3229"/>
      <c r="AJ161" s="3229"/>
      <c r="AK161" s="3229"/>
      <c r="AL161" s="3229"/>
      <c r="AM161" s="3229"/>
      <c r="AN161" s="3229"/>
      <c r="AO161" s="3229"/>
      <c r="AP161" s="3229"/>
      <c r="AQ161" s="3229"/>
      <c r="AR161" s="3229"/>
      <c r="AS161" s="3229"/>
      <c r="AT161" s="3249"/>
      <c r="AU161" s="3250"/>
      <c r="AV161" s="475">
        <f t="shared" si="117"/>
        <v>0</v>
      </c>
      <c r="AW161" s="475">
        <f t="shared" si="118"/>
        <v>0</v>
      </c>
      <c r="AX161" s="475">
        <f t="shared" si="119"/>
        <v>0</v>
      </c>
      <c r="AY161" s="3266">
        <f t="shared" si="94"/>
        <v>0</v>
      </c>
      <c r="AZ161" s="3199">
        <f t="shared" si="95"/>
        <v>0</v>
      </c>
      <c r="BA161" s="3199">
        <f t="shared" si="96"/>
        <v>0</v>
      </c>
      <c r="BB161" s="3199">
        <f t="shared" si="97"/>
        <v>0</v>
      </c>
      <c r="BC161" s="3199">
        <f t="shared" si="98"/>
        <v>0</v>
      </c>
      <c r="BD161" s="3199">
        <f t="shared" si="99"/>
        <v>0</v>
      </c>
      <c r="BE161" s="3199">
        <f t="shared" si="100"/>
        <v>0</v>
      </c>
      <c r="BF161" s="3199">
        <f t="shared" si="101"/>
        <v>0</v>
      </c>
      <c r="BG161" s="3199">
        <f t="shared" si="102"/>
        <v>0</v>
      </c>
      <c r="BH161" s="3199">
        <f t="shared" si="103"/>
        <v>0</v>
      </c>
      <c r="BI161" s="3199">
        <f t="shared" si="104"/>
        <v>0</v>
      </c>
      <c r="BJ161" s="3199">
        <f t="shared" si="105"/>
        <v>0</v>
      </c>
      <c r="BK161" s="3199">
        <f t="shared" si="106"/>
        <v>0</v>
      </c>
      <c r="BL161" s="3199">
        <f t="shared" si="107"/>
        <v>0</v>
      </c>
      <c r="BM161" s="3199">
        <f t="shared" si="108"/>
        <v>0</v>
      </c>
      <c r="BN161" s="3199">
        <f t="shared" si="109"/>
        <v>0</v>
      </c>
      <c r="BO161" s="3199">
        <f t="shared" si="110"/>
        <v>0</v>
      </c>
      <c r="BP161" s="3199">
        <f t="shared" si="111"/>
        <v>0</v>
      </c>
      <c r="BQ161" s="3199">
        <f t="shared" si="112"/>
        <v>0</v>
      </c>
      <c r="BR161" s="3199">
        <f t="shared" si="113"/>
        <v>0</v>
      </c>
      <c r="BS161" s="3199">
        <f t="shared" si="114"/>
        <v>0</v>
      </c>
      <c r="BT161" s="3271">
        <f t="shared" si="115"/>
        <v>0</v>
      </c>
    </row>
    <row r="162" spans="1:72">
      <c r="A162" s="3197"/>
      <c r="B162" s="3198"/>
      <c r="C162" s="3198"/>
      <c r="D162" s="3193"/>
      <c r="E162" s="3199">
        <f t="shared" si="116"/>
        <v>0</v>
      </c>
      <c r="F162" s="3200"/>
      <c r="G162" s="3201">
        <f t="shared" si="91"/>
        <v>0</v>
      </c>
      <c r="H162" s="3202">
        <f t="shared" si="92"/>
        <v>0</v>
      </c>
      <c r="I162" s="3218"/>
      <c r="J162" s="3218"/>
      <c r="K162" s="3218"/>
      <c r="L162" s="3218"/>
      <c r="M162" s="3218"/>
      <c r="N162" s="3218"/>
      <c r="O162" s="3218"/>
      <c r="P162" s="3218"/>
      <c r="Q162" s="3218"/>
      <c r="R162" s="3218"/>
      <c r="S162" s="3218"/>
      <c r="T162" s="3218"/>
      <c r="U162" s="3218"/>
      <c r="V162" s="3218"/>
      <c r="W162" s="3218"/>
      <c r="X162" s="3218"/>
      <c r="Y162" s="3218"/>
      <c r="Z162" s="3218"/>
      <c r="AA162" s="3218"/>
      <c r="AB162" s="3218"/>
      <c r="AC162" s="3199">
        <f t="shared" si="93"/>
        <v>0</v>
      </c>
      <c r="AD162" s="3229"/>
      <c r="AE162" s="3229"/>
      <c r="AF162" s="3229"/>
      <c r="AG162" s="3229"/>
      <c r="AH162" s="3229"/>
      <c r="AI162" s="3229"/>
      <c r="AJ162" s="3229"/>
      <c r="AK162" s="3229"/>
      <c r="AL162" s="3229"/>
      <c r="AM162" s="3229"/>
      <c r="AN162" s="3229"/>
      <c r="AO162" s="3229"/>
      <c r="AP162" s="3229"/>
      <c r="AQ162" s="3229"/>
      <c r="AR162" s="3229"/>
      <c r="AS162" s="3229"/>
      <c r="AT162" s="3249"/>
      <c r="AU162" s="3250"/>
      <c r="AV162" s="475">
        <f t="shared" si="117"/>
        <v>0</v>
      </c>
      <c r="AW162" s="475">
        <f t="shared" si="118"/>
        <v>0</v>
      </c>
      <c r="AX162" s="475">
        <f t="shared" si="119"/>
        <v>0</v>
      </c>
      <c r="AY162" s="3266">
        <f t="shared" si="94"/>
        <v>0</v>
      </c>
      <c r="AZ162" s="3199">
        <f t="shared" si="95"/>
        <v>0</v>
      </c>
      <c r="BA162" s="3199">
        <f t="shared" si="96"/>
        <v>0</v>
      </c>
      <c r="BB162" s="3199">
        <f t="shared" si="97"/>
        <v>0</v>
      </c>
      <c r="BC162" s="3199">
        <f t="shared" si="98"/>
        <v>0</v>
      </c>
      <c r="BD162" s="3199">
        <f t="shared" si="99"/>
        <v>0</v>
      </c>
      <c r="BE162" s="3199">
        <f t="shared" si="100"/>
        <v>0</v>
      </c>
      <c r="BF162" s="3199">
        <f t="shared" si="101"/>
        <v>0</v>
      </c>
      <c r="BG162" s="3199">
        <f t="shared" si="102"/>
        <v>0</v>
      </c>
      <c r="BH162" s="3199">
        <f t="shared" si="103"/>
        <v>0</v>
      </c>
      <c r="BI162" s="3199">
        <f t="shared" si="104"/>
        <v>0</v>
      </c>
      <c r="BJ162" s="3199">
        <f t="shared" si="105"/>
        <v>0</v>
      </c>
      <c r="BK162" s="3199">
        <f t="shared" si="106"/>
        <v>0</v>
      </c>
      <c r="BL162" s="3199">
        <f t="shared" si="107"/>
        <v>0</v>
      </c>
      <c r="BM162" s="3199">
        <f t="shared" si="108"/>
        <v>0</v>
      </c>
      <c r="BN162" s="3199">
        <f t="shared" si="109"/>
        <v>0</v>
      </c>
      <c r="BO162" s="3199">
        <f t="shared" si="110"/>
        <v>0</v>
      </c>
      <c r="BP162" s="3199">
        <f t="shared" si="111"/>
        <v>0</v>
      </c>
      <c r="BQ162" s="3199">
        <f t="shared" si="112"/>
        <v>0</v>
      </c>
      <c r="BR162" s="3199">
        <f t="shared" si="113"/>
        <v>0</v>
      </c>
      <c r="BS162" s="3199">
        <f t="shared" si="114"/>
        <v>0</v>
      </c>
      <c r="BT162" s="3271">
        <f t="shared" si="115"/>
        <v>0</v>
      </c>
    </row>
    <row r="163" spans="1:72">
      <c r="A163" s="3197"/>
      <c r="B163" s="3198"/>
      <c r="C163" s="3198"/>
      <c r="D163" s="3193"/>
      <c r="E163" s="3199">
        <f t="shared" si="116"/>
        <v>0</v>
      </c>
      <c r="F163" s="3200"/>
      <c r="G163" s="3201">
        <f t="shared" si="91"/>
        <v>0</v>
      </c>
      <c r="H163" s="3202">
        <f t="shared" si="92"/>
        <v>0</v>
      </c>
      <c r="I163" s="3218"/>
      <c r="J163" s="3218"/>
      <c r="K163" s="3218"/>
      <c r="L163" s="3218"/>
      <c r="M163" s="3218"/>
      <c r="N163" s="3218"/>
      <c r="O163" s="3218"/>
      <c r="P163" s="3218"/>
      <c r="Q163" s="3218"/>
      <c r="R163" s="3218"/>
      <c r="S163" s="3218"/>
      <c r="T163" s="3218"/>
      <c r="U163" s="3218"/>
      <c r="V163" s="3218"/>
      <c r="W163" s="3218"/>
      <c r="X163" s="3218"/>
      <c r="Y163" s="3218"/>
      <c r="Z163" s="3218"/>
      <c r="AA163" s="3218"/>
      <c r="AB163" s="3218"/>
      <c r="AC163" s="3199">
        <f t="shared" si="93"/>
        <v>0</v>
      </c>
      <c r="AD163" s="3229"/>
      <c r="AE163" s="3229"/>
      <c r="AF163" s="3229"/>
      <c r="AG163" s="3229"/>
      <c r="AH163" s="3229"/>
      <c r="AI163" s="3229"/>
      <c r="AJ163" s="3229"/>
      <c r="AK163" s="3229"/>
      <c r="AL163" s="3229"/>
      <c r="AM163" s="3229"/>
      <c r="AN163" s="3229"/>
      <c r="AO163" s="3229"/>
      <c r="AP163" s="3229"/>
      <c r="AQ163" s="3229"/>
      <c r="AR163" s="3229"/>
      <c r="AS163" s="3229"/>
      <c r="AT163" s="3249"/>
      <c r="AU163" s="3250"/>
      <c r="AV163" s="475">
        <f t="shared" si="117"/>
        <v>0</v>
      </c>
      <c r="AW163" s="475">
        <f t="shared" si="118"/>
        <v>0</v>
      </c>
      <c r="AX163" s="475">
        <f t="shared" si="119"/>
        <v>0</v>
      </c>
      <c r="AY163" s="3266">
        <f t="shared" si="94"/>
        <v>0</v>
      </c>
      <c r="AZ163" s="3199">
        <f t="shared" si="95"/>
        <v>0</v>
      </c>
      <c r="BA163" s="3199">
        <f t="shared" si="96"/>
        <v>0</v>
      </c>
      <c r="BB163" s="3199">
        <f t="shared" si="97"/>
        <v>0</v>
      </c>
      <c r="BC163" s="3199">
        <f t="shared" si="98"/>
        <v>0</v>
      </c>
      <c r="BD163" s="3199">
        <f t="shared" si="99"/>
        <v>0</v>
      </c>
      <c r="BE163" s="3199">
        <f t="shared" si="100"/>
        <v>0</v>
      </c>
      <c r="BF163" s="3199">
        <f t="shared" si="101"/>
        <v>0</v>
      </c>
      <c r="BG163" s="3199">
        <f t="shared" si="102"/>
        <v>0</v>
      </c>
      <c r="BH163" s="3199">
        <f t="shared" si="103"/>
        <v>0</v>
      </c>
      <c r="BI163" s="3199">
        <f t="shared" si="104"/>
        <v>0</v>
      </c>
      <c r="BJ163" s="3199">
        <f t="shared" si="105"/>
        <v>0</v>
      </c>
      <c r="BK163" s="3199">
        <f t="shared" si="106"/>
        <v>0</v>
      </c>
      <c r="BL163" s="3199">
        <f t="shared" si="107"/>
        <v>0</v>
      </c>
      <c r="BM163" s="3199">
        <f t="shared" si="108"/>
        <v>0</v>
      </c>
      <c r="BN163" s="3199">
        <f t="shared" si="109"/>
        <v>0</v>
      </c>
      <c r="BO163" s="3199">
        <f t="shared" si="110"/>
        <v>0</v>
      </c>
      <c r="BP163" s="3199">
        <f t="shared" si="111"/>
        <v>0</v>
      </c>
      <c r="BQ163" s="3199">
        <f t="shared" si="112"/>
        <v>0</v>
      </c>
      <c r="BR163" s="3199">
        <f t="shared" si="113"/>
        <v>0</v>
      </c>
      <c r="BS163" s="3199">
        <f t="shared" si="114"/>
        <v>0</v>
      </c>
      <c r="BT163" s="3271">
        <f t="shared" si="115"/>
        <v>0</v>
      </c>
    </row>
    <row r="164" spans="1:72">
      <c r="A164" s="3197"/>
      <c r="B164" s="3198"/>
      <c r="C164" s="3198"/>
      <c r="D164" s="3193"/>
      <c r="E164" s="3199">
        <f t="shared" si="116"/>
        <v>0</v>
      </c>
      <c r="F164" s="3200"/>
      <c r="G164" s="3201">
        <f t="shared" si="91"/>
        <v>0</v>
      </c>
      <c r="H164" s="3202">
        <f t="shared" si="92"/>
        <v>0</v>
      </c>
      <c r="I164" s="3218"/>
      <c r="J164" s="3218"/>
      <c r="K164" s="3218"/>
      <c r="L164" s="3218"/>
      <c r="M164" s="3218"/>
      <c r="N164" s="3218"/>
      <c r="O164" s="3218"/>
      <c r="P164" s="3218"/>
      <c r="Q164" s="3218"/>
      <c r="R164" s="3218"/>
      <c r="S164" s="3218"/>
      <c r="T164" s="3218"/>
      <c r="U164" s="3218"/>
      <c r="V164" s="3218"/>
      <c r="W164" s="3218"/>
      <c r="X164" s="3218"/>
      <c r="Y164" s="3218"/>
      <c r="Z164" s="3218"/>
      <c r="AA164" s="3218"/>
      <c r="AB164" s="3218"/>
      <c r="AC164" s="3199">
        <f t="shared" si="93"/>
        <v>0</v>
      </c>
      <c r="AD164" s="3229"/>
      <c r="AE164" s="3229"/>
      <c r="AF164" s="3229"/>
      <c r="AG164" s="3229"/>
      <c r="AH164" s="3229"/>
      <c r="AI164" s="3229"/>
      <c r="AJ164" s="3229"/>
      <c r="AK164" s="3229"/>
      <c r="AL164" s="3229"/>
      <c r="AM164" s="3229"/>
      <c r="AN164" s="3229"/>
      <c r="AO164" s="3229"/>
      <c r="AP164" s="3229"/>
      <c r="AQ164" s="3229"/>
      <c r="AR164" s="3229"/>
      <c r="AS164" s="3229"/>
      <c r="AT164" s="3249"/>
      <c r="AU164" s="3250"/>
      <c r="AV164" s="475">
        <f t="shared" si="117"/>
        <v>0</v>
      </c>
      <c r="AW164" s="475">
        <f t="shared" si="118"/>
        <v>0</v>
      </c>
      <c r="AX164" s="475">
        <f t="shared" si="119"/>
        <v>0</v>
      </c>
      <c r="AY164" s="3266">
        <f t="shared" si="94"/>
        <v>0</v>
      </c>
      <c r="AZ164" s="3199">
        <f t="shared" si="95"/>
        <v>0</v>
      </c>
      <c r="BA164" s="3199">
        <f t="shared" si="96"/>
        <v>0</v>
      </c>
      <c r="BB164" s="3199">
        <f t="shared" si="97"/>
        <v>0</v>
      </c>
      <c r="BC164" s="3199">
        <f t="shared" si="98"/>
        <v>0</v>
      </c>
      <c r="BD164" s="3199">
        <f t="shared" si="99"/>
        <v>0</v>
      </c>
      <c r="BE164" s="3199">
        <f t="shared" si="100"/>
        <v>0</v>
      </c>
      <c r="BF164" s="3199">
        <f t="shared" si="101"/>
        <v>0</v>
      </c>
      <c r="BG164" s="3199">
        <f t="shared" si="102"/>
        <v>0</v>
      </c>
      <c r="BH164" s="3199">
        <f t="shared" si="103"/>
        <v>0</v>
      </c>
      <c r="BI164" s="3199">
        <f t="shared" si="104"/>
        <v>0</v>
      </c>
      <c r="BJ164" s="3199">
        <f t="shared" si="105"/>
        <v>0</v>
      </c>
      <c r="BK164" s="3199">
        <f t="shared" si="106"/>
        <v>0</v>
      </c>
      <c r="BL164" s="3199">
        <f t="shared" si="107"/>
        <v>0</v>
      </c>
      <c r="BM164" s="3199">
        <f t="shared" si="108"/>
        <v>0</v>
      </c>
      <c r="BN164" s="3199">
        <f t="shared" si="109"/>
        <v>0</v>
      </c>
      <c r="BO164" s="3199">
        <f t="shared" si="110"/>
        <v>0</v>
      </c>
      <c r="BP164" s="3199">
        <f t="shared" si="111"/>
        <v>0</v>
      </c>
      <c r="BQ164" s="3199">
        <f t="shared" si="112"/>
        <v>0</v>
      </c>
      <c r="BR164" s="3199">
        <f t="shared" si="113"/>
        <v>0</v>
      </c>
      <c r="BS164" s="3199">
        <f t="shared" si="114"/>
        <v>0</v>
      </c>
      <c r="BT164" s="3271">
        <f t="shared" si="115"/>
        <v>0</v>
      </c>
    </row>
    <row r="165" spans="1:72">
      <c r="A165" s="3197"/>
      <c r="B165" s="3198"/>
      <c r="C165" s="3198"/>
      <c r="D165" s="3193"/>
      <c r="E165" s="3199">
        <f t="shared" si="116"/>
        <v>0</v>
      </c>
      <c r="F165" s="3200"/>
      <c r="G165" s="3201">
        <f t="shared" si="91"/>
        <v>0</v>
      </c>
      <c r="H165" s="3202">
        <f t="shared" si="92"/>
        <v>0</v>
      </c>
      <c r="I165" s="3218"/>
      <c r="J165" s="3218"/>
      <c r="K165" s="3218"/>
      <c r="L165" s="3218"/>
      <c r="M165" s="3218"/>
      <c r="N165" s="3218"/>
      <c r="O165" s="3218"/>
      <c r="P165" s="3218"/>
      <c r="Q165" s="3218"/>
      <c r="R165" s="3218"/>
      <c r="S165" s="3218"/>
      <c r="T165" s="3218"/>
      <c r="U165" s="3218"/>
      <c r="V165" s="3218"/>
      <c r="W165" s="3218"/>
      <c r="X165" s="3218"/>
      <c r="Y165" s="3218"/>
      <c r="Z165" s="3218"/>
      <c r="AA165" s="3218"/>
      <c r="AB165" s="3218"/>
      <c r="AC165" s="3199">
        <f t="shared" si="93"/>
        <v>0</v>
      </c>
      <c r="AD165" s="3229"/>
      <c r="AE165" s="3229"/>
      <c r="AF165" s="3229"/>
      <c r="AG165" s="3229"/>
      <c r="AH165" s="3229"/>
      <c r="AI165" s="3229"/>
      <c r="AJ165" s="3229"/>
      <c r="AK165" s="3229"/>
      <c r="AL165" s="3229"/>
      <c r="AM165" s="3229"/>
      <c r="AN165" s="3229"/>
      <c r="AO165" s="3229"/>
      <c r="AP165" s="3229"/>
      <c r="AQ165" s="3229"/>
      <c r="AR165" s="3229"/>
      <c r="AS165" s="3229"/>
      <c r="AT165" s="3249"/>
      <c r="AU165" s="3250"/>
      <c r="AV165" s="475">
        <f t="shared" si="117"/>
        <v>0</v>
      </c>
      <c r="AW165" s="475">
        <f t="shared" si="118"/>
        <v>0</v>
      </c>
      <c r="AX165" s="475">
        <f t="shared" si="119"/>
        <v>0</v>
      </c>
      <c r="AY165" s="3266">
        <f t="shared" si="94"/>
        <v>0</v>
      </c>
      <c r="AZ165" s="3199">
        <f t="shared" si="95"/>
        <v>0</v>
      </c>
      <c r="BA165" s="3199">
        <f t="shared" si="96"/>
        <v>0</v>
      </c>
      <c r="BB165" s="3199">
        <f t="shared" si="97"/>
        <v>0</v>
      </c>
      <c r="BC165" s="3199">
        <f t="shared" si="98"/>
        <v>0</v>
      </c>
      <c r="BD165" s="3199">
        <f t="shared" si="99"/>
        <v>0</v>
      </c>
      <c r="BE165" s="3199">
        <f t="shared" si="100"/>
        <v>0</v>
      </c>
      <c r="BF165" s="3199">
        <f t="shared" si="101"/>
        <v>0</v>
      </c>
      <c r="BG165" s="3199">
        <f t="shared" si="102"/>
        <v>0</v>
      </c>
      <c r="BH165" s="3199">
        <f t="shared" si="103"/>
        <v>0</v>
      </c>
      <c r="BI165" s="3199">
        <f t="shared" si="104"/>
        <v>0</v>
      </c>
      <c r="BJ165" s="3199">
        <f t="shared" si="105"/>
        <v>0</v>
      </c>
      <c r="BK165" s="3199">
        <f t="shared" si="106"/>
        <v>0</v>
      </c>
      <c r="BL165" s="3199">
        <f t="shared" si="107"/>
        <v>0</v>
      </c>
      <c r="BM165" s="3199">
        <f t="shared" si="108"/>
        <v>0</v>
      </c>
      <c r="BN165" s="3199">
        <f t="shared" si="109"/>
        <v>0</v>
      </c>
      <c r="BO165" s="3199">
        <f t="shared" si="110"/>
        <v>0</v>
      </c>
      <c r="BP165" s="3199">
        <f t="shared" si="111"/>
        <v>0</v>
      </c>
      <c r="BQ165" s="3199">
        <f t="shared" si="112"/>
        <v>0</v>
      </c>
      <c r="BR165" s="3199">
        <f t="shared" si="113"/>
        <v>0</v>
      </c>
      <c r="BS165" s="3199">
        <f t="shared" si="114"/>
        <v>0</v>
      </c>
      <c r="BT165" s="3271">
        <f t="shared" si="115"/>
        <v>0</v>
      </c>
    </row>
    <row r="166" spans="1:72">
      <c r="A166" s="3197"/>
      <c r="B166" s="3198"/>
      <c r="C166" s="3198"/>
      <c r="D166" s="3193"/>
      <c r="E166" s="3199">
        <f t="shared" si="116"/>
        <v>0</v>
      </c>
      <c r="F166" s="3200"/>
      <c r="G166" s="3201">
        <f t="shared" si="91"/>
        <v>0</v>
      </c>
      <c r="H166" s="3202">
        <f t="shared" si="92"/>
        <v>0</v>
      </c>
      <c r="I166" s="3218"/>
      <c r="J166" s="3218"/>
      <c r="K166" s="3218"/>
      <c r="L166" s="3218"/>
      <c r="M166" s="3218"/>
      <c r="N166" s="3218"/>
      <c r="O166" s="3218"/>
      <c r="P166" s="3218"/>
      <c r="Q166" s="3218"/>
      <c r="R166" s="3218"/>
      <c r="S166" s="3218"/>
      <c r="T166" s="3218"/>
      <c r="U166" s="3218"/>
      <c r="V166" s="3218"/>
      <c r="W166" s="3218"/>
      <c r="X166" s="3218"/>
      <c r="Y166" s="3218"/>
      <c r="Z166" s="3218"/>
      <c r="AA166" s="3218"/>
      <c r="AB166" s="3218"/>
      <c r="AC166" s="3199">
        <f t="shared" si="93"/>
        <v>0</v>
      </c>
      <c r="AD166" s="3229"/>
      <c r="AE166" s="3229"/>
      <c r="AF166" s="3229"/>
      <c r="AG166" s="3229"/>
      <c r="AH166" s="3229"/>
      <c r="AI166" s="3229"/>
      <c r="AJ166" s="3229"/>
      <c r="AK166" s="3229"/>
      <c r="AL166" s="3229"/>
      <c r="AM166" s="3229"/>
      <c r="AN166" s="3229"/>
      <c r="AO166" s="3229"/>
      <c r="AP166" s="3229"/>
      <c r="AQ166" s="3229"/>
      <c r="AR166" s="3229"/>
      <c r="AS166" s="3229"/>
      <c r="AT166" s="3249"/>
      <c r="AU166" s="3250"/>
      <c r="AV166" s="475">
        <f t="shared" si="117"/>
        <v>0</v>
      </c>
      <c r="AW166" s="475">
        <f t="shared" si="118"/>
        <v>0</v>
      </c>
      <c r="AX166" s="475">
        <f t="shared" si="119"/>
        <v>0</v>
      </c>
      <c r="AY166" s="3266">
        <f t="shared" si="94"/>
        <v>0</v>
      </c>
      <c r="AZ166" s="3199">
        <f t="shared" si="95"/>
        <v>0</v>
      </c>
      <c r="BA166" s="3199">
        <f t="shared" si="96"/>
        <v>0</v>
      </c>
      <c r="BB166" s="3199">
        <f t="shared" si="97"/>
        <v>0</v>
      </c>
      <c r="BC166" s="3199">
        <f t="shared" si="98"/>
        <v>0</v>
      </c>
      <c r="BD166" s="3199">
        <f t="shared" si="99"/>
        <v>0</v>
      </c>
      <c r="BE166" s="3199">
        <f t="shared" si="100"/>
        <v>0</v>
      </c>
      <c r="BF166" s="3199">
        <f t="shared" si="101"/>
        <v>0</v>
      </c>
      <c r="BG166" s="3199">
        <f t="shared" si="102"/>
        <v>0</v>
      </c>
      <c r="BH166" s="3199">
        <f t="shared" si="103"/>
        <v>0</v>
      </c>
      <c r="BI166" s="3199">
        <f t="shared" si="104"/>
        <v>0</v>
      </c>
      <c r="BJ166" s="3199">
        <f t="shared" si="105"/>
        <v>0</v>
      </c>
      <c r="BK166" s="3199">
        <f t="shared" si="106"/>
        <v>0</v>
      </c>
      <c r="BL166" s="3199">
        <f t="shared" si="107"/>
        <v>0</v>
      </c>
      <c r="BM166" s="3199">
        <f t="shared" si="108"/>
        <v>0</v>
      </c>
      <c r="BN166" s="3199">
        <f t="shared" si="109"/>
        <v>0</v>
      </c>
      <c r="BO166" s="3199">
        <f t="shared" si="110"/>
        <v>0</v>
      </c>
      <c r="BP166" s="3199">
        <f t="shared" si="111"/>
        <v>0</v>
      </c>
      <c r="BQ166" s="3199">
        <f t="shared" si="112"/>
        <v>0</v>
      </c>
      <c r="BR166" s="3199">
        <f t="shared" si="113"/>
        <v>0</v>
      </c>
      <c r="BS166" s="3199">
        <f t="shared" si="114"/>
        <v>0</v>
      </c>
      <c r="BT166" s="3271">
        <f t="shared" si="115"/>
        <v>0</v>
      </c>
    </row>
    <row r="167" spans="1:72">
      <c r="A167" s="3197"/>
      <c r="B167" s="3198"/>
      <c r="C167" s="3198"/>
      <c r="D167" s="3193"/>
      <c r="E167" s="3199">
        <f t="shared" si="116"/>
        <v>0</v>
      </c>
      <c r="F167" s="3200"/>
      <c r="G167" s="3201">
        <f t="shared" si="91"/>
        <v>0</v>
      </c>
      <c r="H167" s="3202">
        <f t="shared" si="92"/>
        <v>0</v>
      </c>
      <c r="I167" s="3218"/>
      <c r="J167" s="3218"/>
      <c r="K167" s="3218"/>
      <c r="L167" s="3218"/>
      <c r="M167" s="3218"/>
      <c r="N167" s="3218"/>
      <c r="O167" s="3218"/>
      <c r="P167" s="3218"/>
      <c r="Q167" s="3218"/>
      <c r="R167" s="3218"/>
      <c r="S167" s="3218"/>
      <c r="T167" s="3218"/>
      <c r="U167" s="3218"/>
      <c r="V167" s="3218"/>
      <c r="W167" s="3218"/>
      <c r="X167" s="3218"/>
      <c r="Y167" s="3218"/>
      <c r="Z167" s="3218"/>
      <c r="AA167" s="3218"/>
      <c r="AB167" s="3218"/>
      <c r="AC167" s="3199">
        <f t="shared" si="93"/>
        <v>0</v>
      </c>
      <c r="AD167" s="3229"/>
      <c r="AE167" s="3229"/>
      <c r="AF167" s="3229"/>
      <c r="AG167" s="3229"/>
      <c r="AH167" s="3229"/>
      <c r="AI167" s="3229"/>
      <c r="AJ167" s="3229"/>
      <c r="AK167" s="3229"/>
      <c r="AL167" s="3229"/>
      <c r="AM167" s="3229"/>
      <c r="AN167" s="3229"/>
      <c r="AO167" s="3229"/>
      <c r="AP167" s="3229"/>
      <c r="AQ167" s="3229"/>
      <c r="AR167" s="3229"/>
      <c r="AS167" s="3229"/>
      <c r="AT167" s="3249"/>
      <c r="AU167" s="3250"/>
      <c r="AV167" s="475">
        <f t="shared" si="117"/>
        <v>0</v>
      </c>
      <c r="AW167" s="475">
        <f t="shared" si="118"/>
        <v>0</v>
      </c>
      <c r="AX167" s="475">
        <f t="shared" si="119"/>
        <v>0</v>
      </c>
      <c r="AY167" s="3266">
        <f t="shared" si="94"/>
        <v>0</v>
      </c>
      <c r="AZ167" s="3199">
        <f t="shared" si="95"/>
        <v>0</v>
      </c>
      <c r="BA167" s="3199">
        <f t="shared" si="96"/>
        <v>0</v>
      </c>
      <c r="BB167" s="3199">
        <f t="shared" si="97"/>
        <v>0</v>
      </c>
      <c r="BC167" s="3199">
        <f t="shared" si="98"/>
        <v>0</v>
      </c>
      <c r="BD167" s="3199">
        <f t="shared" si="99"/>
        <v>0</v>
      </c>
      <c r="BE167" s="3199">
        <f t="shared" si="100"/>
        <v>0</v>
      </c>
      <c r="BF167" s="3199">
        <f t="shared" si="101"/>
        <v>0</v>
      </c>
      <c r="BG167" s="3199">
        <f t="shared" si="102"/>
        <v>0</v>
      </c>
      <c r="BH167" s="3199">
        <f t="shared" si="103"/>
        <v>0</v>
      </c>
      <c r="BI167" s="3199">
        <f t="shared" si="104"/>
        <v>0</v>
      </c>
      <c r="BJ167" s="3199">
        <f t="shared" si="105"/>
        <v>0</v>
      </c>
      <c r="BK167" s="3199">
        <f t="shared" si="106"/>
        <v>0</v>
      </c>
      <c r="BL167" s="3199">
        <f t="shared" si="107"/>
        <v>0</v>
      </c>
      <c r="BM167" s="3199">
        <f t="shared" si="108"/>
        <v>0</v>
      </c>
      <c r="BN167" s="3199">
        <f t="shared" si="109"/>
        <v>0</v>
      </c>
      <c r="BO167" s="3199">
        <f t="shared" si="110"/>
        <v>0</v>
      </c>
      <c r="BP167" s="3199">
        <f t="shared" si="111"/>
        <v>0</v>
      </c>
      <c r="BQ167" s="3199">
        <f t="shared" si="112"/>
        <v>0</v>
      </c>
      <c r="BR167" s="3199">
        <f t="shared" si="113"/>
        <v>0</v>
      </c>
      <c r="BS167" s="3199">
        <f t="shared" si="114"/>
        <v>0</v>
      </c>
      <c r="BT167" s="3271">
        <f t="shared" si="115"/>
        <v>0</v>
      </c>
    </row>
    <row r="168" spans="1:72">
      <c r="A168" s="3197"/>
      <c r="B168" s="3198"/>
      <c r="C168" s="3198"/>
      <c r="D168" s="3193"/>
      <c r="E168" s="3199">
        <f t="shared" si="116"/>
        <v>0</v>
      </c>
      <c r="F168" s="3200"/>
      <c r="G168" s="3201">
        <f t="shared" si="91"/>
        <v>0</v>
      </c>
      <c r="H168" s="3202">
        <f t="shared" si="92"/>
        <v>0</v>
      </c>
      <c r="I168" s="3218"/>
      <c r="J168" s="3218"/>
      <c r="K168" s="3218"/>
      <c r="L168" s="3218"/>
      <c r="M168" s="3218"/>
      <c r="N168" s="3218"/>
      <c r="O168" s="3218"/>
      <c r="P168" s="3218"/>
      <c r="Q168" s="3218"/>
      <c r="R168" s="3218"/>
      <c r="S168" s="3218"/>
      <c r="T168" s="3218"/>
      <c r="U168" s="3218"/>
      <c r="V168" s="3218"/>
      <c r="W168" s="3218"/>
      <c r="X168" s="3218"/>
      <c r="Y168" s="3218"/>
      <c r="Z168" s="3218"/>
      <c r="AA168" s="3218"/>
      <c r="AB168" s="3218"/>
      <c r="AC168" s="3199">
        <f t="shared" si="93"/>
        <v>0</v>
      </c>
      <c r="AD168" s="3229"/>
      <c r="AE168" s="3229"/>
      <c r="AF168" s="3229"/>
      <c r="AG168" s="3229"/>
      <c r="AH168" s="3229"/>
      <c r="AI168" s="3229"/>
      <c r="AJ168" s="3229"/>
      <c r="AK168" s="3229"/>
      <c r="AL168" s="3229"/>
      <c r="AM168" s="3229"/>
      <c r="AN168" s="3229"/>
      <c r="AO168" s="3229"/>
      <c r="AP168" s="3229"/>
      <c r="AQ168" s="3229"/>
      <c r="AR168" s="3229"/>
      <c r="AS168" s="3229"/>
      <c r="AT168" s="3249"/>
      <c r="AU168" s="3250"/>
      <c r="AV168" s="475">
        <f t="shared" si="117"/>
        <v>0</v>
      </c>
      <c r="AW168" s="475">
        <f t="shared" si="118"/>
        <v>0</v>
      </c>
      <c r="AX168" s="475">
        <f t="shared" si="119"/>
        <v>0</v>
      </c>
      <c r="AY168" s="3266">
        <f t="shared" si="94"/>
        <v>0</v>
      </c>
      <c r="AZ168" s="3199">
        <f t="shared" si="95"/>
        <v>0</v>
      </c>
      <c r="BA168" s="3199">
        <f t="shared" si="96"/>
        <v>0</v>
      </c>
      <c r="BB168" s="3199">
        <f t="shared" si="97"/>
        <v>0</v>
      </c>
      <c r="BC168" s="3199">
        <f t="shared" si="98"/>
        <v>0</v>
      </c>
      <c r="BD168" s="3199">
        <f t="shared" si="99"/>
        <v>0</v>
      </c>
      <c r="BE168" s="3199">
        <f t="shared" si="100"/>
        <v>0</v>
      </c>
      <c r="BF168" s="3199">
        <f t="shared" si="101"/>
        <v>0</v>
      </c>
      <c r="BG168" s="3199">
        <f t="shared" si="102"/>
        <v>0</v>
      </c>
      <c r="BH168" s="3199">
        <f t="shared" si="103"/>
        <v>0</v>
      </c>
      <c r="BI168" s="3199">
        <f t="shared" si="104"/>
        <v>0</v>
      </c>
      <c r="BJ168" s="3199">
        <f t="shared" si="105"/>
        <v>0</v>
      </c>
      <c r="BK168" s="3199">
        <f t="shared" si="106"/>
        <v>0</v>
      </c>
      <c r="BL168" s="3199">
        <f t="shared" si="107"/>
        <v>0</v>
      </c>
      <c r="BM168" s="3199">
        <f t="shared" si="108"/>
        <v>0</v>
      </c>
      <c r="BN168" s="3199">
        <f t="shared" si="109"/>
        <v>0</v>
      </c>
      <c r="BO168" s="3199">
        <f t="shared" si="110"/>
        <v>0</v>
      </c>
      <c r="BP168" s="3199">
        <f t="shared" si="111"/>
        <v>0</v>
      </c>
      <c r="BQ168" s="3199">
        <f t="shared" si="112"/>
        <v>0</v>
      </c>
      <c r="BR168" s="3199">
        <f t="shared" si="113"/>
        <v>0</v>
      </c>
      <c r="BS168" s="3199">
        <f t="shared" si="114"/>
        <v>0</v>
      </c>
      <c r="BT168" s="3271">
        <f t="shared" si="115"/>
        <v>0</v>
      </c>
    </row>
    <row r="169" spans="1:72">
      <c r="A169" s="3197"/>
      <c r="B169" s="3198"/>
      <c r="C169" s="3198"/>
      <c r="D169" s="3193"/>
      <c r="E169" s="3199">
        <f t="shared" si="116"/>
        <v>0</v>
      </c>
      <c r="F169" s="3200"/>
      <c r="G169" s="3201">
        <f t="shared" si="91"/>
        <v>0</v>
      </c>
      <c r="H169" s="3202">
        <f t="shared" si="92"/>
        <v>0</v>
      </c>
      <c r="I169" s="3218"/>
      <c r="J169" s="3218"/>
      <c r="K169" s="3218"/>
      <c r="L169" s="3218"/>
      <c r="M169" s="3218"/>
      <c r="N169" s="3218"/>
      <c r="O169" s="3218"/>
      <c r="P169" s="3218"/>
      <c r="Q169" s="3218"/>
      <c r="R169" s="3218"/>
      <c r="S169" s="3218"/>
      <c r="T169" s="3218"/>
      <c r="U169" s="3218"/>
      <c r="V169" s="3218"/>
      <c r="W169" s="3218"/>
      <c r="X169" s="3218"/>
      <c r="Y169" s="3218"/>
      <c r="Z169" s="3218"/>
      <c r="AA169" s="3218"/>
      <c r="AB169" s="3218"/>
      <c r="AC169" s="3199">
        <f t="shared" si="93"/>
        <v>0</v>
      </c>
      <c r="AD169" s="3229"/>
      <c r="AE169" s="3229"/>
      <c r="AF169" s="3229"/>
      <c r="AG169" s="3229"/>
      <c r="AH169" s="3229"/>
      <c r="AI169" s="3229"/>
      <c r="AJ169" s="3229"/>
      <c r="AK169" s="3229"/>
      <c r="AL169" s="3229"/>
      <c r="AM169" s="3229"/>
      <c r="AN169" s="3229"/>
      <c r="AO169" s="3229"/>
      <c r="AP169" s="3229"/>
      <c r="AQ169" s="3229"/>
      <c r="AR169" s="3229"/>
      <c r="AS169" s="3229"/>
      <c r="AT169" s="3249"/>
      <c r="AU169" s="3250"/>
      <c r="AV169" s="475">
        <f t="shared" si="117"/>
        <v>0</v>
      </c>
      <c r="AW169" s="475">
        <f t="shared" si="118"/>
        <v>0</v>
      </c>
      <c r="AX169" s="475">
        <f t="shared" si="119"/>
        <v>0</v>
      </c>
      <c r="AY169" s="3266">
        <f t="shared" si="94"/>
        <v>0</v>
      </c>
      <c r="AZ169" s="3199">
        <f t="shared" si="95"/>
        <v>0</v>
      </c>
      <c r="BA169" s="3199">
        <f t="shared" si="96"/>
        <v>0</v>
      </c>
      <c r="BB169" s="3199">
        <f t="shared" si="97"/>
        <v>0</v>
      </c>
      <c r="BC169" s="3199">
        <f t="shared" si="98"/>
        <v>0</v>
      </c>
      <c r="BD169" s="3199">
        <f t="shared" si="99"/>
        <v>0</v>
      </c>
      <c r="BE169" s="3199">
        <f t="shared" si="100"/>
        <v>0</v>
      </c>
      <c r="BF169" s="3199">
        <f t="shared" si="101"/>
        <v>0</v>
      </c>
      <c r="BG169" s="3199">
        <f t="shared" si="102"/>
        <v>0</v>
      </c>
      <c r="BH169" s="3199">
        <f t="shared" si="103"/>
        <v>0</v>
      </c>
      <c r="BI169" s="3199">
        <f t="shared" si="104"/>
        <v>0</v>
      </c>
      <c r="BJ169" s="3199">
        <f t="shared" si="105"/>
        <v>0</v>
      </c>
      <c r="BK169" s="3199">
        <f t="shared" si="106"/>
        <v>0</v>
      </c>
      <c r="BL169" s="3199">
        <f t="shared" si="107"/>
        <v>0</v>
      </c>
      <c r="BM169" s="3199">
        <f t="shared" si="108"/>
        <v>0</v>
      </c>
      <c r="BN169" s="3199">
        <f t="shared" si="109"/>
        <v>0</v>
      </c>
      <c r="BO169" s="3199">
        <f t="shared" si="110"/>
        <v>0</v>
      </c>
      <c r="BP169" s="3199">
        <f t="shared" si="111"/>
        <v>0</v>
      </c>
      <c r="BQ169" s="3199">
        <f t="shared" si="112"/>
        <v>0</v>
      </c>
      <c r="BR169" s="3199">
        <f t="shared" si="113"/>
        <v>0</v>
      </c>
      <c r="BS169" s="3199">
        <f t="shared" si="114"/>
        <v>0</v>
      </c>
      <c r="BT169" s="3271">
        <f t="shared" si="115"/>
        <v>0</v>
      </c>
    </row>
    <row r="170" spans="1:72">
      <c r="A170" s="3197"/>
      <c r="B170" s="3198"/>
      <c r="C170" s="3198"/>
      <c r="D170" s="3193"/>
      <c r="E170" s="3199">
        <f t="shared" si="116"/>
        <v>0</v>
      </c>
      <c r="F170" s="3200"/>
      <c r="G170" s="3201">
        <f t="shared" si="91"/>
        <v>0</v>
      </c>
      <c r="H170" s="3202">
        <f t="shared" si="92"/>
        <v>0</v>
      </c>
      <c r="I170" s="3218"/>
      <c r="J170" s="3218"/>
      <c r="K170" s="3218"/>
      <c r="L170" s="3218"/>
      <c r="M170" s="3218"/>
      <c r="N170" s="3218"/>
      <c r="O170" s="3218"/>
      <c r="P170" s="3218"/>
      <c r="Q170" s="3218"/>
      <c r="R170" s="3218"/>
      <c r="S170" s="3218"/>
      <c r="T170" s="3218"/>
      <c r="U170" s="3218"/>
      <c r="V170" s="3218"/>
      <c r="W170" s="3218"/>
      <c r="X170" s="3218"/>
      <c r="Y170" s="3218"/>
      <c r="Z170" s="3218"/>
      <c r="AA170" s="3218"/>
      <c r="AB170" s="3218"/>
      <c r="AC170" s="3199">
        <f t="shared" si="93"/>
        <v>0</v>
      </c>
      <c r="AD170" s="3229"/>
      <c r="AE170" s="3229"/>
      <c r="AF170" s="3229"/>
      <c r="AG170" s="3229"/>
      <c r="AH170" s="3229"/>
      <c r="AI170" s="3229"/>
      <c r="AJ170" s="3229"/>
      <c r="AK170" s="3229"/>
      <c r="AL170" s="3229"/>
      <c r="AM170" s="3229"/>
      <c r="AN170" s="3229"/>
      <c r="AO170" s="3229"/>
      <c r="AP170" s="3229"/>
      <c r="AQ170" s="3229"/>
      <c r="AR170" s="3229"/>
      <c r="AS170" s="3229"/>
      <c r="AT170" s="3249"/>
      <c r="AU170" s="3250"/>
      <c r="AV170" s="475">
        <f t="shared" si="117"/>
        <v>0</v>
      </c>
      <c r="AW170" s="475">
        <f t="shared" si="118"/>
        <v>0</v>
      </c>
      <c r="AX170" s="475">
        <f t="shared" si="119"/>
        <v>0</v>
      </c>
      <c r="AY170" s="3266">
        <f t="shared" si="94"/>
        <v>0</v>
      </c>
      <c r="AZ170" s="3199">
        <f t="shared" si="95"/>
        <v>0</v>
      </c>
      <c r="BA170" s="3199">
        <f t="shared" si="96"/>
        <v>0</v>
      </c>
      <c r="BB170" s="3199">
        <f t="shared" si="97"/>
        <v>0</v>
      </c>
      <c r="BC170" s="3199">
        <f t="shared" si="98"/>
        <v>0</v>
      </c>
      <c r="BD170" s="3199">
        <f t="shared" si="99"/>
        <v>0</v>
      </c>
      <c r="BE170" s="3199">
        <f t="shared" si="100"/>
        <v>0</v>
      </c>
      <c r="BF170" s="3199">
        <f t="shared" si="101"/>
        <v>0</v>
      </c>
      <c r="BG170" s="3199">
        <f t="shared" si="102"/>
        <v>0</v>
      </c>
      <c r="BH170" s="3199">
        <f t="shared" si="103"/>
        <v>0</v>
      </c>
      <c r="BI170" s="3199">
        <f t="shared" si="104"/>
        <v>0</v>
      </c>
      <c r="BJ170" s="3199">
        <f t="shared" si="105"/>
        <v>0</v>
      </c>
      <c r="BK170" s="3199">
        <f t="shared" si="106"/>
        <v>0</v>
      </c>
      <c r="BL170" s="3199">
        <f t="shared" si="107"/>
        <v>0</v>
      </c>
      <c r="BM170" s="3199">
        <f t="shared" si="108"/>
        <v>0</v>
      </c>
      <c r="BN170" s="3199">
        <f t="shared" si="109"/>
        <v>0</v>
      </c>
      <c r="BO170" s="3199">
        <f t="shared" si="110"/>
        <v>0</v>
      </c>
      <c r="BP170" s="3199">
        <f t="shared" si="111"/>
        <v>0</v>
      </c>
      <c r="BQ170" s="3199">
        <f t="shared" si="112"/>
        <v>0</v>
      </c>
      <c r="BR170" s="3199">
        <f t="shared" si="113"/>
        <v>0</v>
      </c>
      <c r="BS170" s="3199">
        <f t="shared" si="114"/>
        <v>0</v>
      </c>
      <c r="BT170" s="3271">
        <f t="shared" si="115"/>
        <v>0</v>
      </c>
    </row>
    <row r="171" spans="1:72">
      <c r="A171" s="3197"/>
      <c r="B171" s="3198"/>
      <c r="C171" s="3198"/>
      <c r="D171" s="3193"/>
      <c r="E171" s="3199">
        <f t="shared" si="116"/>
        <v>0</v>
      </c>
      <c r="F171" s="3200"/>
      <c r="G171" s="3201">
        <f t="shared" si="91"/>
        <v>0</v>
      </c>
      <c r="H171" s="3202">
        <f t="shared" si="92"/>
        <v>0</v>
      </c>
      <c r="I171" s="3218"/>
      <c r="J171" s="3218"/>
      <c r="K171" s="3218"/>
      <c r="L171" s="3218"/>
      <c r="M171" s="3218"/>
      <c r="N171" s="3218"/>
      <c r="O171" s="3218"/>
      <c r="P171" s="3218"/>
      <c r="Q171" s="3218"/>
      <c r="R171" s="3218"/>
      <c r="S171" s="3218"/>
      <c r="T171" s="3218"/>
      <c r="U171" s="3218"/>
      <c r="V171" s="3218"/>
      <c r="W171" s="3218"/>
      <c r="X171" s="3218"/>
      <c r="Y171" s="3218"/>
      <c r="Z171" s="3218"/>
      <c r="AA171" s="3218"/>
      <c r="AB171" s="3218"/>
      <c r="AC171" s="3199">
        <f t="shared" si="93"/>
        <v>0</v>
      </c>
      <c r="AD171" s="3229"/>
      <c r="AE171" s="3229"/>
      <c r="AF171" s="3229"/>
      <c r="AG171" s="3229"/>
      <c r="AH171" s="3229"/>
      <c r="AI171" s="3229"/>
      <c r="AJ171" s="3229"/>
      <c r="AK171" s="3229"/>
      <c r="AL171" s="3229"/>
      <c r="AM171" s="3229"/>
      <c r="AN171" s="3229"/>
      <c r="AO171" s="3229"/>
      <c r="AP171" s="3229"/>
      <c r="AQ171" s="3229"/>
      <c r="AR171" s="3229"/>
      <c r="AS171" s="3229"/>
      <c r="AT171" s="3249"/>
      <c r="AU171" s="3250"/>
      <c r="AV171" s="475">
        <f t="shared" si="117"/>
        <v>0</v>
      </c>
      <c r="AW171" s="475">
        <f t="shared" si="118"/>
        <v>0</v>
      </c>
      <c r="AX171" s="475">
        <f t="shared" si="119"/>
        <v>0</v>
      </c>
      <c r="AY171" s="3266">
        <f t="shared" si="94"/>
        <v>0</v>
      </c>
      <c r="AZ171" s="3199">
        <f t="shared" si="95"/>
        <v>0</v>
      </c>
      <c r="BA171" s="3199">
        <f t="shared" si="96"/>
        <v>0</v>
      </c>
      <c r="BB171" s="3199">
        <f t="shared" si="97"/>
        <v>0</v>
      </c>
      <c r="BC171" s="3199">
        <f t="shared" si="98"/>
        <v>0</v>
      </c>
      <c r="BD171" s="3199">
        <f t="shared" si="99"/>
        <v>0</v>
      </c>
      <c r="BE171" s="3199">
        <f t="shared" si="100"/>
        <v>0</v>
      </c>
      <c r="BF171" s="3199">
        <f t="shared" si="101"/>
        <v>0</v>
      </c>
      <c r="BG171" s="3199">
        <f t="shared" si="102"/>
        <v>0</v>
      </c>
      <c r="BH171" s="3199">
        <f t="shared" si="103"/>
        <v>0</v>
      </c>
      <c r="BI171" s="3199">
        <f t="shared" si="104"/>
        <v>0</v>
      </c>
      <c r="BJ171" s="3199">
        <f t="shared" si="105"/>
        <v>0</v>
      </c>
      <c r="BK171" s="3199">
        <f t="shared" si="106"/>
        <v>0</v>
      </c>
      <c r="BL171" s="3199">
        <f t="shared" si="107"/>
        <v>0</v>
      </c>
      <c r="BM171" s="3199">
        <f t="shared" si="108"/>
        <v>0</v>
      </c>
      <c r="BN171" s="3199">
        <f t="shared" si="109"/>
        <v>0</v>
      </c>
      <c r="BO171" s="3199">
        <f t="shared" si="110"/>
        <v>0</v>
      </c>
      <c r="BP171" s="3199">
        <f t="shared" si="111"/>
        <v>0</v>
      </c>
      <c r="BQ171" s="3199">
        <f t="shared" si="112"/>
        <v>0</v>
      </c>
      <c r="BR171" s="3199">
        <f t="shared" si="113"/>
        <v>0</v>
      </c>
      <c r="BS171" s="3199">
        <f t="shared" si="114"/>
        <v>0</v>
      </c>
      <c r="BT171" s="3271">
        <f t="shared" si="115"/>
        <v>0</v>
      </c>
    </row>
    <row r="172" spans="1:72">
      <c r="A172" s="3197"/>
      <c r="B172" s="3198"/>
      <c r="C172" s="3198"/>
      <c r="D172" s="3193"/>
      <c r="E172" s="3199">
        <f t="shared" si="116"/>
        <v>0</v>
      </c>
      <c r="F172" s="3200"/>
      <c r="G172" s="3201">
        <f t="shared" si="91"/>
        <v>0</v>
      </c>
      <c r="H172" s="3202">
        <f t="shared" si="92"/>
        <v>0</v>
      </c>
      <c r="I172" s="3218"/>
      <c r="J172" s="3218"/>
      <c r="K172" s="3218"/>
      <c r="L172" s="3218"/>
      <c r="M172" s="3218"/>
      <c r="N172" s="3218"/>
      <c r="O172" s="3218"/>
      <c r="P172" s="3218"/>
      <c r="Q172" s="3218"/>
      <c r="R172" s="3218"/>
      <c r="S172" s="3218"/>
      <c r="T172" s="3218"/>
      <c r="U172" s="3218"/>
      <c r="V172" s="3218"/>
      <c r="W172" s="3218"/>
      <c r="X172" s="3218"/>
      <c r="Y172" s="3218"/>
      <c r="Z172" s="3218"/>
      <c r="AA172" s="3218"/>
      <c r="AB172" s="3218"/>
      <c r="AC172" s="3199">
        <f t="shared" si="93"/>
        <v>0</v>
      </c>
      <c r="AD172" s="3229"/>
      <c r="AE172" s="3229"/>
      <c r="AF172" s="3229"/>
      <c r="AG172" s="3229"/>
      <c r="AH172" s="3229"/>
      <c r="AI172" s="3229"/>
      <c r="AJ172" s="3229"/>
      <c r="AK172" s="3229"/>
      <c r="AL172" s="3229"/>
      <c r="AM172" s="3229"/>
      <c r="AN172" s="3229"/>
      <c r="AO172" s="3229"/>
      <c r="AP172" s="3229"/>
      <c r="AQ172" s="3229"/>
      <c r="AR172" s="3229"/>
      <c r="AS172" s="3229"/>
      <c r="AT172" s="3249"/>
      <c r="AU172" s="3250"/>
      <c r="AV172" s="475">
        <f t="shared" si="117"/>
        <v>0</v>
      </c>
      <c r="AW172" s="475">
        <f t="shared" si="118"/>
        <v>0</v>
      </c>
      <c r="AX172" s="475">
        <f t="shared" si="119"/>
        <v>0</v>
      </c>
      <c r="AY172" s="3266">
        <f t="shared" si="94"/>
        <v>0</v>
      </c>
      <c r="AZ172" s="3199">
        <f t="shared" si="95"/>
        <v>0</v>
      </c>
      <c r="BA172" s="3199">
        <f t="shared" si="96"/>
        <v>0</v>
      </c>
      <c r="BB172" s="3199">
        <f t="shared" si="97"/>
        <v>0</v>
      </c>
      <c r="BC172" s="3199">
        <f t="shared" si="98"/>
        <v>0</v>
      </c>
      <c r="BD172" s="3199">
        <f t="shared" si="99"/>
        <v>0</v>
      </c>
      <c r="BE172" s="3199">
        <f t="shared" si="100"/>
        <v>0</v>
      </c>
      <c r="BF172" s="3199">
        <f t="shared" si="101"/>
        <v>0</v>
      </c>
      <c r="BG172" s="3199">
        <f t="shared" si="102"/>
        <v>0</v>
      </c>
      <c r="BH172" s="3199">
        <f t="shared" si="103"/>
        <v>0</v>
      </c>
      <c r="BI172" s="3199">
        <f t="shared" si="104"/>
        <v>0</v>
      </c>
      <c r="BJ172" s="3199">
        <f t="shared" si="105"/>
        <v>0</v>
      </c>
      <c r="BK172" s="3199">
        <f t="shared" si="106"/>
        <v>0</v>
      </c>
      <c r="BL172" s="3199">
        <f t="shared" si="107"/>
        <v>0</v>
      </c>
      <c r="BM172" s="3199">
        <f t="shared" si="108"/>
        <v>0</v>
      </c>
      <c r="BN172" s="3199">
        <f t="shared" si="109"/>
        <v>0</v>
      </c>
      <c r="BO172" s="3199">
        <f t="shared" si="110"/>
        <v>0</v>
      </c>
      <c r="BP172" s="3199">
        <f t="shared" si="111"/>
        <v>0</v>
      </c>
      <c r="BQ172" s="3199">
        <f t="shared" si="112"/>
        <v>0</v>
      </c>
      <c r="BR172" s="3199">
        <f t="shared" si="113"/>
        <v>0</v>
      </c>
      <c r="BS172" s="3199">
        <f t="shared" si="114"/>
        <v>0</v>
      </c>
      <c r="BT172" s="3271">
        <f t="shared" si="115"/>
        <v>0</v>
      </c>
    </row>
    <row r="173" spans="1:72">
      <c r="A173" s="3197"/>
      <c r="B173" s="3198"/>
      <c r="C173" s="3198"/>
      <c r="D173" s="3193"/>
      <c r="E173" s="3199">
        <f t="shared" si="116"/>
        <v>0</v>
      </c>
      <c r="F173" s="3200"/>
      <c r="G173" s="3201">
        <f t="shared" si="91"/>
        <v>0</v>
      </c>
      <c r="H173" s="3202">
        <f t="shared" si="92"/>
        <v>0</v>
      </c>
      <c r="I173" s="3218"/>
      <c r="J173" s="3218"/>
      <c r="K173" s="3218"/>
      <c r="L173" s="3218"/>
      <c r="M173" s="3218"/>
      <c r="N173" s="3218"/>
      <c r="O173" s="3218"/>
      <c r="P173" s="3218"/>
      <c r="Q173" s="3218"/>
      <c r="R173" s="3218"/>
      <c r="S173" s="3218"/>
      <c r="T173" s="3218"/>
      <c r="U173" s="3218"/>
      <c r="V173" s="3218"/>
      <c r="W173" s="3218"/>
      <c r="X173" s="3218"/>
      <c r="Y173" s="3218"/>
      <c r="Z173" s="3218"/>
      <c r="AA173" s="3218"/>
      <c r="AB173" s="3218"/>
      <c r="AC173" s="3199">
        <f t="shared" si="93"/>
        <v>0</v>
      </c>
      <c r="AD173" s="3229"/>
      <c r="AE173" s="3229"/>
      <c r="AF173" s="3229"/>
      <c r="AG173" s="3229"/>
      <c r="AH173" s="3229"/>
      <c r="AI173" s="3229"/>
      <c r="AJ173" s="3229"/>
      <c r="AK173" s="3229"/>
      <c r="AL173" s="3229"/>
      <c r="AM173" s="3229"/>
      <c r="AN173" s="3229"/>
      <c r="AO173" s="3229"/>
      <c r="AP173" s="3229"/>
      <c r="AQ173" s="3229"/>
      <c r="AR173" s="3229"/>
      <c r="AS173" s="3229"/>
      <c r="AT173" s="3249"/>
      <c r="AU173" s="3250"/>
      <c r="AV173" s="475">
        <f t="shared" si="117"/>
        <v>0</v>
      </c>
      <c r="AW173" s="475">
        <f t="shared" si="118"/>
        <v>0</v>
      </c>
      <c r="AX173" s="475">
        <f t="shared" si="119"/>
        <v>0</v>
      </c>
      <c r="AY173" s="3266">
        <f t="shared" si="94"/>
        <v>0</v>
      </c>
      <c r="AZ173" s="3199">
        <f t="shared" si="95"/>
        <v>0</v>
      </c>
      <c r="BA173" s="3199">
        <f t="shared" si="96"/>
        <v>0</v>
      </c>
      <c r="BB173" s="3199">
        <f t="shared" si="97"/>
        <v>0</v>
      </c>
      <c r="BC173" s="3199">
        <f t="shared" si="98"/>
        <v>0</v>
      </c>
      <c r="BD173" s="3199">
        <f t="shared" si="99"/>
        <v>0</v>
      </c>
      <c r="BE173" s="3199">
        <f t="shared" si="100"/>
        <v>0</v>
      </c>
      <c r="BF173" s="3199">
        <f t="shared" si="101"/>
        <v>0</v>
      </c>
      <c r="BG173" s="3199">
        <f t="shared" si="102"/>
        <v>0</v>
      </c>
      <c r="BH173" s="3199">
        <f t="shared" si="103"/>
        <v>0</v>
      </c>
      <c r="BI173" s="3199">
        <f t="shared" si="104"/>
        <v>0</v>
      </c>
      <c r="BJ173" s="3199">
        <f t="shared" si="105"/>
        <v>0</v>
      </c>
      <c r="BK173" s="3199">
        <f t="shared" si="106"/>
        <v>0</v>
      </c>
      <c r="BL173" s="3199">
        <f t="shared" si="107"/>
        <v>0</v>
      </c>
      <c r="BM173" s="3199">
        <f t="shared" si="108"/>
        <v>0</v>
      </c>
      <c r="BN173" s="3199">
        <f t="shared" si="109"/>
        <v>0</v>
      </c>
      <c r="BO173" s="3199">
        <f t="shared" si="110"/>
        <v>0</v>
      </c>
      <c r="BP173" s="3199">
        <f t="shared" si="111"/>
        <v>0</v>
      </c>
      <c r="BQ173" s="3199">
        <f t="shared" si="112"/>
        <v>0</v>
      </c>
      <c r="BR173" s="3199">
        <f t="shared" si="113"/>
        <v>0</v>
      </c>
      <c r="BS173" s="3199">
        <f t="shared" si="114"/>
        <v>0</v>
      </c>
      <c r="BT173" s="3271">
        <f t="shared" si="115"/>
        <v>0</v>
      </c>
    </row>
    <row r="174" spans="1:72">
      <c r="A174" s="3197"/>
      <c r="B174" s="3198"/>
      <c r="C174" s="3198"/>
      <c r="D174" s="3193"/>
      <c r="E174" s="3199">
        <f t="shared" si="116"/>
        <v>0</v>
      </c>
      <c r="F174" s="3200"/>
      <c r="G174" s="3201">
        <f t="shared" ref="G174:G204" si="120">H174+AC174+AT174</f>
        <v>0</v>
      </c>
      <c r="H174" s="3202">
        <f t="shared" ref="H174:H204" si="121">SUMIF(I$12:AB$12,"总值",I174:AB174)</f>
        <v>0</v>
      </c>
      <c r="I174" s="3218"/>
      <c r="J174" s="3218"/>
      <c r="K174" s="3218"/>
      <c r="L174" s="3218"/>
      <c r="M174" s="3218"/>
      <c r="N174" s="3218"/>
      <c r="O174" s="3218"/>
      <c r="P174" s="3218"/>
      <c r="Q174" s="3218"/>
      <c r="R174" s="3218"/>
      <c r="S174" s="3218"/>
      <c r="T174" s="3218"/>
      <c r="U174" s="3218"/>
      <c r="V174" s="3218"/>
      <c r="W174" s="3218"/>
      <c r="X174" s="3218"/>
      <c r="Y174" s="3218"/>
      <c r="Z174" s="3218"/>
      <c r="AA174" s="3218"/>
      <c r="AB174" s="3218"/>
      <c r="AC174" s="3199">
        <f t="shared" ref="AC174:AC204" si="122">SUMIF(AD$12:AS$12,"总值",AD174:AS174)</f>
        <v>0</v>
      </c>
      <c r="AD174" s="3229"/>
      <c r="AE174" s="3229"/>
      <c r="AF174" s="3229"/>
      <c r="AG174" s="3229"/>
      <c r="AH174" s="3229"/>
      <c r="AI174" s="3229"/>
      <c r="AJ174" s="3229"/>
      <c r="AK174" s="3229"/>
      <c r="AL174" s="3229"/>
      <c r="AM174" s="3229"/>
      <c r="AN174" s="3229"/>
      <c r="AO174" s="3229"/>
      <c r="AP174" s="3229"/>
      <c r="AQ174" s="3229"/>
      <c r="AR174" s="3229"/>
      <c r="AS174" s="3229"/>
      <c r="AT174" s="3249"/>
      <c r="AU174" s="3250"/>
      <c r="AV174" s="475">
        <f t="shared" si="117"/>
        <v>0</v>
      </c>
      <c r="AW174" s="475">
        <f t="shared" si="118"/>
        <v>0</v>
      </c>
      <c r="AX174" s="475">
        <f t="shared" si="119"/>
        <v>0</v>
      </c>
      <c r="AY174" s="3266">
        <f t="shared" ref="AY174:AY204" si="123">ROUND($AY$6*AZ174/$AZ$5,2)</f>
        <v>0</v>
      </c>
      <c r="AZ174" s="3199">
        <f t="shared" ref="AZ174:AZ204" si="124">BA174+BL174</f>
        <v>0</v>
      </c>
      <c r="BA174" s="3199">
        <f t="shared" ref="BA174:BA204" si="125">SUM(BB174:BK174)</f>
        <v>0</v>
      </c>
      <c r="BB174" s="3199">
        <f t="shared" ref="BB174:BB204" si="126">IF($D174="是",I174-J174,0)</f>
        <v>0</v>
      </c>
      <c r="BC174" s="3199">
        <f t="shared" ref="BC174:BC204" si="127">IF($D174="是",K174-L174,0)</f>
        <v>0</v>
      </c>
      <c r="BD174" s="3199">
        <f t="shared" ref="BD174:BD204" si="128">IF($D174="是",M174-N174,0)</f>
        <v>0</v>
      </c>
      <c r="BE174" s="3199">
        <f t="shared" ref="BE174:BE204" si="129">IF($D174="是",O174-P174,0)</f>
        <v>0</v>
      </c>
      <c r="BF174" s="3199">
        <f t="shared" ref="BF174:BF204" si="130">IF($D174="是",Q174-R174,0)</f>
        <v>0</v>
      </c>
      <c r="BG174" s="3199">
        <f t="shared" ref="BG174:BG204" si="131">IF($D174="是",S174-T174,0)</f>
        <v>0</v>
      </c>
      <c r="BH174" s="3199">
        <f t="shared" ref="BH174:BH204" si="132">IF($D174="是",U174-V174,0)</f>
        <v>0</v>
      </c>
      <c r="BI174" s="3199">
        <f t="shared" ref="BI174:BI204" si="133">IF($D174="是",W174-X174,0)</f>
        <v>0</v>
      </c>
      <c r="BJ174" s="3199">
        <f t="shared" ref="BJ174:BJ204" si="134">IF($D174="是",Y174-Z174,0)</f>
        <v>0</v>
      </c>
      <c r="BK174" s="3199">
        <f t="shared" ref="BK174:BK204" si="135">IF($D174="是",AA174-AB174,0)</f>
        <v>0</v>
      </c>
      <c r="BL174" s="3199">
        <f t="shared" ref="BL174:BL204" si="136">SUM(BM174:BT174)</f>
        <v>0</v>
      </c>
      <c r="BM174" s="3199">
        <f t="shared" ref="BM174:BM204" si="137">IF($D174="是",AD174-AE174,0)</f>
        <v>0</v>
      </c>
      <c r="BN174" s="3199">
        <f t="shared" ref="BN174:BN204" si="138">IF($D174="是",AF174-AG174,0)</f>
        <v>0</v>
      </c>
      <c r="BO174" s="3199">
        <f t="shared" ref="BO174:BO204" si="139">IF($D174="是",AH174-AI174,0)</f>
        <v>0</v>
      </c>
      <c r="BP174" s="3199">
        <f t="shared" ref="BP174:BP204" si="140">IF($D174="是",AJ174-AK174,0)</f>
        <v>0</v>
      </c>
      <c r="BQ174" s="3199">
        <f t="shared" ref="BQ174:BQ204" si="141">IF($D174="是",AL174-AM174,0)</f>
        <v>0</v>
      </c>
      <c r="BR174" s="3199">
        <f t="shared" ref="BR174:BR204" si="142">IF($D174="是",AN174-AO174,0)</f>
        <v>0</v>
      </c>
      <c r="BS174" s="3199">
        <f t="shared" ref="BS174:BS204" si="143">IF($D174="是",AP174-AQ174,0)</f>
        <v>0</v>
      </c>
      <c r="BT174" s="3271">
        <f t="shared" ref="BT174:BT204" si="144">IF($D174="是",AR174-AS174,0)</f>
        <v>0</v>
      </c>
    </row>
    <row r="175" spans="1:72">
      <c r="A175" s="3197"/>
      <c r="B175" s="3198"/>
      <c r="C175" s="3198"/>
      <c r="D175" s="3193"/>
      <c r="E175" s="3199">
        <f t="shared" si="116"/>
        <v>0</v>
      </c>
      <c r="F175" s="3200"/>
      <c r="G175" s="3201">
        <f t="shared" si="120"/>
        <v>0</v>
      </c>
      <c r="H175" s="3202">
        <f t="shared" si="121"/>
        <v>0</v>
      </c>
      <c r="I175" s="3218"/>
      <c r="J175" s="3218"/>
      <c r="K175" s="3218"/>
      <c r="L175" s="3218"/>
      <c r="M175" s="3218"/>
      <c r="N175" s="3218"/>
      <c r="O175" s="3218"/>
      <c r="P175" s="3218"/>
      <c r="Q175" s="3218"/>
      <c r="R175" s="3218"/>
      <c r="S175" s="3218"/>
      <c r="T175" s="3218"/>
      <c r="U175" s="3218"/>
      <c r="V175" s="3218"/>
      <c r="W175" s="3218"/>
      <c r="X175" s="3218"/>
      <c r="Y175" s="3218"/>
      <c r="Z175" s="3218"/>
      <c r="AA175" s="3218"/>
      <c r="AB175" s="3218"/>
      <c r="AC175" s="3199">
        <f t="shared" si="122"/>
        <v>0</v>
      </c>
      <c r="AD175" s="3229"/>
      <c r="AE175" s="3229"/>
      <c r="AF175" s="3229"/>
      <c r="AG175" s="3229"/>
      <c r="AH175" s="3229"/>
      <c r="AI175" s="3229"/>
      <c r="AJ175" s="3229"/>
      <c r="AK175" s="3229"/>
      <c r="AL175" s="3229"/>
      <c r="AM175" s="3229"/>
      <c r="AN175" s="3229"/>
      <c r="AO175" s="3229"/>
      <c r="AP175" s="3229"/>
      <c r="AQ175" s="3229"/>
      <c r="AR175" s="3229"/>
      <c r="AS175" s="3229"/>
      <c r="AT175" s="3249"/>
      <c r="AU175" s="3250"/>
      <c r="AV175" s="475">
        <f t="shared" si="117"/>
        <v>0</v>
      </c>
      <c r="AW175" s="475">
        <f t="shared" si="118"/>
        <v>0</v>
      </c>
      <c r="AX175" s="475">
        <f t="shared" si="119"/>
        <v>0</v>
      </c>
      <c r="AY175" s="3266">
        <f t="shared" si="123"/>
        <v>0</v>
      </c>
      <c r="AZ175" s="3199">
        <f t="shared" si="124"/>
        <v>0</v>
      </c>
      <c r="BA175" s="3199">
        <f t="shared" si="125"/>
        <v>0</v>
      </c>
      <c r="BB175" s="3199">
        <f t="shared" si="126"/>
        <v>0</v>
      </c>
      <c r="BC175" s="3199">
        <f t="shared" si="127"/>
        <v>0</v>
      </c>
      <c r="BD175" s="3199">
        <f t="shared" si="128"/>
        <v>0</v>
      </c>
      <c r="BE175" s="3199">
        <f t="shared" si="129"/>
        <v>0</v>
      </c>
      <c r="BF175" s="3199">
        <f t="shared" si="130"/>
        <v>0</v>
      </c>
      <c r="BG175" s="3199">
        <f t="shared" si="131"/>
        <v>0</v>
      </c>
      <c r="BH175" s="3199">
        <f t="shared" si="132"/>
        <v>0</v>
      </c>
      <c r="BI175" s="3199">
        <f t="shared" si="133"/>
        <v>0</v>
      </c>
      <c r="BJ175" s="3199">
        <f t="shared" si="134"/>
        <v>0</v>
      </c>
      <c r="BK175" s="3199">
        <f t="shared" si="135"/>
        <v>0</v>
      </c>
      <c r="BL175" s="3199">
        <f t="shared" si="136"/>
        <v>0</v>
      </c>
      <c r="BM175" s="3199">
        <f t="shared" si="137"/>
        <v>0</v>
      </c>
      <c r="BN175" s="3199">
        <f t="shared" si="138"/>
        <v>0</v>
      </c>
      <c r="BO175" s="3199">
        <f t="shared" si="139"/>
        <v>0</v>
      </c>
      <c r="BP175" s="3199">
        <f t="shared" si="140"/>
        <v>0</v>
      </c>
      <c r="BQ175" s="3199">
        <f t="shared" si="141"/>
        <v>0</v>
      </c>
      <c r="BR175" s="3199">
        <f t="shared" si="142"/>
        <v>0</v>
      </c>
      <c r="BS175" s="3199">
        <f t="shared" si="143"/>
        <v>0</v>
      </c>
      <c r="BT175" s="3271">
        <f t="shared" si="144"/>
        <v>0</v>
      </c>
    </row>
    <row r="176" spans="1:72">
      <c r="A176" s="3197"/>
      <c r="B176" s="3198"/>
      <c r="C176" s="3198"/>
      <c r="D176" s="3193"/>
      <c r="E176" s="3199">
        <f t="shared" si="116"/>
        <v>0</v>
      </c>
      <c r="F176" s="3200"/>
      <c r="G176" s="3201">
        <f t="shared" si="120"/>
        <v>0</v>
      </c>
      <c r="H176" s="3202">
        <f t="shared" si="121"/>
        <v>0</v>
      </c>
      <c r="I176" s="3218"/>
      <c r="J176" s="3218"/>
      <c r="K176" s="3218"/>
      <c r="L176" s="3218"/>
      <c r="M176" s="3218"/>
      <c r="N176" s="3218"/>
      <c r="O176" s="3218"/>
      <c r="P176" s="3218"/>
      <c r="Q176" s="3218"/>
      <c r="R176" s="3218"/>
      <c r="S176" s="3218"/>
      <c r="T176" s="3218"/>
      <c r="U176" s="3218"/>
      <c r="V176" s="3218"/>
      <c r="W176" s="3218"/>
      <c r="X176" s="3218"/>
      <c r="Y176" s="3218"/>
      <c r="Z176" s="3218"/>
      <c r="AA176" s="3218"/>
      <c r="AB176" s="3218"/>
      <c r="AC176" s="3199">
        <f t="shared" si="122"/>
        <v>0</v>
      </c>
      <c r="AD176" s="3229"/>
      <c r="AE176" s="3229"/>
      <c r="AF176" s="3229"/>
      <c r="AG176" s="3229"/>
      <c r="AH176" s="3229"/>
      <c r="AI176" s="3229"/>
      <c r="AJ176" s="3229"/>
      <c r="AK176" s="3229"/>
      <c r="AL176" s="3229"/>
      <c r="AM176" s="3229"/>
      <c r="AN176" s="3229"/>
      <c r="AO176" s="3229"/>
      <c r="AP176" s="3229"/>
      <c r="AQ176" s="3229"/>
      <c r="AR176" s="3229"/>
      <c r="AS176" s="3229"/>
      <c r="AT176" s="3249"/>
      <c r="AU176" s="3250"/>
      <c r="AV176" s="475">
        <f t="shared" si="117"/>
        <v>0</v>
      </c>
      <c r="AW176" s="475">
        <f t="shared" si="118"/>
        <v>0</v>
      </c>
      <c r="AX176" s="475">
        <f t="shared" si="119"/>
        <v>0</v>
      </c>
      <c r="AY176" s="3266">
        <f t="shared" si="123"/>
        <v>0</v>
      </c>
      <c r="AZ176" s="3199">
        <f t="shared" si="124"/>
        <v>0</v>
      </c>
      <c r="BA176" s="3199">
        <f t="shared" si="125"/>
        <v>0</v>
      </c>
      <c r="BB176" s="3199">
        <f t="shared" si="126"/>
        <v>0</v>
      </c>
      <c r="BC176" s="3199">
        <f t="shared" si="127"/>
        <v>0</v>
      </c>
      <c r="BD176" s="3199">
        <f t="shared" si="128"/>
        <v>0</v>
      </c>
      <c r="BE176" s="3199">
        <f t="shared" si="129"/>
        <v>0</v>
      </c>
      <c r="BF176" s="3199">
        <f t="shared" si="130"/>
        <v>0</v>
      </c>
      <c r="BG176" s="3199">
        <f t="shared" si="131"/>
        <v>0</v>
      </c>
      <c r="BH176" s="3199">
        <f t="shared" si="132"/>
        <v>0</v>
      </c>
      <c r="BI176" s="3199">
        <f t="shared" si="133"/>
        <v>0</v>
      </c>
      <c r="BJ176" s="3199">
        <f t="shared" si="134"/>
        <v>0</v>
      </c>
      <c r="BK176" s="3199">
        <f t="shared" si="135"/>
        <v>0</v>
      </c>
      <c r="BL176" s="3199">
        <f t="shared" si="136"/>
        <v>0</v>
      </c>
      <c r="BM176" s="3199">
        <f t="shared" si="137"/>
        <v>0</v>
      </c>
      <c r="BN176" s="3199">
        <f t="shared" si="138"/>
        <v>0</v>
      </c>
      <c r="BO176" s="3199">
        <f t="shared" si="139"/>
        <v>0</v>
      </c>
      <c r="BP176" s="3199">
        <f t="shared" si="140"/>
        <v>0</v>
      </c>
      <c r="BQ176" s="3199">
        <f t="shared" si="141"/>
        <v>0</v>
      </c>
      <c r="BR176" s="3199">
        <f t="shared" si="142"/>
        <v>0</v>
      </c>
      <c r="BS176" s="3199">
        <f t="shared" si="143"/>
        <v>0</v>
      </c>
      <c r="BT176" s="3271">
        <f t="shared" si="144"/>
        <v>0</v>
      </c>
    </row>
    <row r="177" spans="1:72">
      <c r="A177" s="3197"/>
      <c r="B177" s="3198"/>
      <c r="C177" s="3198"/>
      <c r="D177" s="3193"/>
      <c r="E177" s="3199">
        <f t="shared" ref="E177:E204" si="145">IF($C$3="是",ROUND($A$3*G177/$B$3,2),ROUND($A$3*(G177-AT177)/$B$3,2))</f>
        <v>0</v>
      </c>
      <c r="F177" s="3200"/>
      <c r="G177" s="3201">
        <f t="shared" si="120"/>
        <v>0</v>
      </c>
      <c r="H177" s="3202">
        <f t="shared" si="121"/>
        <v>0</v>
      </c>
      <c r="I177" s="3218"/>
      <c r="J177" s="3218"/>
      <c r="K177" s="3218"/>
      <c r="L177" s="3218"/>
      <c r="M177" s="3218"/>
      <c r="N177" s="3218"/>
      <c r="O177" s="3218"/>
      <c r="P177" s="3218"/>
      <c r="Q177" s="3218"/>
      <c r="R177" s="3218"/>
      <c r="S177" s="3218"/>
      <c r="T177" s="3218"/>
      <c r="U177" s="3218"/>
      <c r="V177" s="3218"/>
      <c r="W177" s="3218"/>
      <c r="X177" s="3218"/>
      <c r="Y177" s="3218"/>
      <c r="Z177" s="3218"/>
      <c r="AA177" s="3218"/>
      <c r="AB177" s="3218"/>
      <c r="AC177" s="3199">
        <f t="shared" si="122"/>
        <v>0</v>
      </c>
      <c r="AD177" s="3229"/>
      <c r="AE177" s="3229"/>
      <c r="AF177" s="3229"/>
      <c r="AG177" s="3229"/>
      <c r="AH177" s="3229"/>
      <c r="AI177" s="3229"/>
      <c r="AJ177" s="3229"/>
      <c r="AK177" s="3229"/>
      <c r="AL177" s="3229"/>
      <c r="AM177" s="3229"/>
      <c r="AN177" s="3229"/>
      <c r="AO177" s="3229"/>
      <c r="AP177" s="3229"/>
      <c r="AQ177" s="3229"/>
      <c r="AR177" s="3229"/>
      <c r="AS177" s="3229"/>
      <c r="AT177" s="3249"/>
      <c r="AU177" s="3250"/>
      <c r="AV177" s="475">
        <f t="shared" ref="AV177:AV204" si="146">A177</f>
        <v>0</v>
      </c>
      <c r="AW177" s="475">
        <f t="shared" ref="AW177:AW204" si="147">B177</f>
        <v>0</v>
      </c>
      <c r="AX177" s="475">
        <f t="shared" ref="AX177:AX204" si="148">C177</f>
        <v>0</v>
      </c>
      <c r="AY177" s="3266">
        <f t="shared" si="123"/>
        <v>0</v>
      </c>
      <c r="AZ177" s="3199">
        <f t="shared" si="124"/>
        <v>0</v>
      </c>
      <c r="BA177" s="3199">
        <f t="shared" si="125"/>
        <v>0</v>
      </c>
      <c r="BB177" s="3199">
        <f t="shared" si="126"/>
        <v>0</v>
      </c>
      <c r="BC177" s="3199">
        <f t="shared" si="127"/>
        <v>0</v>
      </c>
      <c r="BD177" s="3199">
        <f t="shared" si="128"/>
        <v>0</v>
      </c>
      <c r="BE177" s="3199">
        <f t="shared" si="129"/>
        <v>0</v>
      </c>
      <c r="BF177" s="3199">
        <f t="shared" si="130"/>
        <v>0</v>
      </c>
      <c r="BG177" s="3199">
        <f t="shared" si="131"/>
        <v>0</v>
      </c>
      <c r="BH177" s="3199">
        <f t="shared" si="132"/>
        <v>0</v>
      </c>
      <c r="BI177" s="3199">
        <f t="shared" si="133"/>
        <v>0</v>
      </c>
      <c r="BJ177" s="3199">
        <f t="shared" si="134"/>
        <v>0</v>
      </c>
      <c r="BK177" s="3199">
        <f t="shared" si="135"/>
        <v>0</v>
      </c>
      <c r="BL177" s="3199">
        <f t="shared" si="136"/>
        <v>0</v>
      </c>
      <c r="BM177" s="3199">
        <f t="shared" si="137"/>
        <v>0</v>
      </c>
      <c r="BN177" s="3199">
        <f t="shared" si="138"/>
        <v>0</v>
      </c>
      <c r="BO177" s="3199">
        <f t="shared" si="139"/>
        <v>0</v>
      </c>
      <c r="BP177" s="3199">
        <f t="shared" si="140"/>
        <v>0</v>
      </c>
      <c r="BQ177" s="3199">
        <f t="shared" si="141"/>
        <v>0</v>
      </c>
      <c r="BR177" s="3199">
        <f t="shared" si="142"/>
        <v>0</v>
      </c>
      <c r="BS177" s="3199">
        <f t="shared" si="143"/>
        <v>0</v>
      </c>
      <c r="BT177" s="3271">
        <f t="shared" si="144"/>
        <v>0</v>
      </c>
    </row>
    <row r="178" spans="1:72">
      <c r="A178" s="3197"/>
      <c r="B178" s="3198"/>
      <c r="C178" s="3198"/>
      <c r="D178" s="3193"/>
      <c r="E178" s="3199">
        <f t="shared" si="145"/>
        <v>0</v>
      </c>
      <c r="F178" s="3200"/>
      <c r="G178" s="3201">
        <f t="shared" si="120"/>
        <v>0</v>
      </c>
      <c r="H178" s="3202">
        <f t="shared" si="121"/>
        <v>0</v>
      </c>
      <c r="I178" s="3218"/>
      <c r="J178" s="3218"/>
      <c r="K178" s="3218"/>
      <c r="L178" s="3218"/>
      <c r="M178" s="3218"/>
      <c r="N178" s="3218"/>
      <c r="O178" s="3218"/>
      <c r="P178" s="3218"/>
      <c r="Q178" s="3218"/>
      <c r="R178" s="3218"/>
      <c r="S178" s="3218"/>
      <c r="T178" s="3218"/>
      <c r="U178" s="3218"/>
      <c r="V178" s="3218"/>
      <c r="W178" s="3218"/>
      <c r="X178" s="3218"/>
      <c r="Y178" s="3218"/>
      <c r="Z178" s="3218"/>
      <c r="AA178" s="3218"/>
      <c r="AB178" s="3218"/>
      <c r="AC178" s="3199">
        <f t="shared" si="122"/>
        <v>0</v>
      </c>
      <c r="AD178" s="3229"/>
      <c r="AE178" s="3229"/>
      <c r="AF178" s="3229"/>
      <c r="AG178" s="3229"/>
      <c r="AH178" s="3229"/>
      <c r="AI178" s="3229"/>
      <c r="AJ178" s="3229"/>
      <c r="AK178" s="3229"/>
      <c r="AL178" s="3229"/>
      <c r="AM178" s="3229"/>
      <c r="AN178" s="3229"/>
      <c r="AO178" s="3229"/>
      <c r="AP178" s="3229"/>
      <c r="AQ178" s="3229"/>
      <c r="AR178" s="3229"/>
      <c r="AS178" s="3229"/>
      <c r="AT178" s="3249"/>
      <c r="AU178" s="3250"/>
      <c r="AV178" s="475">
        <f t="shared" si="146"/>
        <v>0</v>
      </c>
      <c r="AW178" s="475">
        <f t="shared" si="147"/>
        <v>0</v>
      </c>
      <c r="AX178" s="475">
        <f t="shared" si="148"/>
        <v>0</v>
      </c>
      <c r="AY178" s="3266">
        <f t="shared" si="123"/>
        <v>0</v>
      </c>
      <c r="AZ178" s="3199">
        <f t="shared" si="124"/>
        <v>0</v>
      </c>
      <c r="BA178" s="3199">
        <f t="shared" si="125"/>
        <v>0</v>
      </c>
      <c r="BB178" s="3199">
        <f t="shared" si="126"/>
        <v>0</v>
      </c>
      <c r="BC178" s="3199">
        <f t="shared" si="127"/>
        <v>0</v>
      </c>
      <c r="BD178" s="3199">
        <f t="shared" si="128"/>
        <v>0</v>
      </c>
      <c r="BE178" s="3199">
        <f t="shared" si="129"/>
        <v>0</v>
      </c>
      <c r="BF178" s="3199">
        <f t="shared" si="130"/>
        <v>0</v>
      </c>
      <c r="BG178" s="3199">
        <f t="shared" si="131"/>
        <v>0</v>
      </c>
      <c r="BH178" s="3199">
        <f t="shared" si="132"/>
        <v>0</v>
      </c>
      <c r="BI178" s="3199">
        <f t="shared" si="133"/>
        <v>0</v>
      </c>
      <c r="BJ178" s="3199">
        <f t="shared" si="134"/>
        <v>0</v>
      </c>
      <c r="BK178" s="3199">
        <f t="shared" si="135"/>
        <v>0</v>
      </c>
      <c r="BL178" s="3199">
        <f t="shared" si="136"/>
        <v>0</v>
      </c>
      <c r="BM178" s="3199">
        <f t="shared" si="137"/>
        <v>0</v>
      </c>
      <c r="BN178" s="3199">
        <f t="shared" si="138"/>
        <v>0</v>
      </c>
      <c r="BO178" s="3199">
        <f t="shared" si="139"/>
        <v>0</v>
      </c>
      <c r="BP178" s="3199">
        <f t="shared" si="140"/>
        <v>0</v>
      </c>
      <c r="BQ178" s="3199">
        <f t="shared" si="141"/>
        <v>0</v>
      </c>
      <c r="BR178" s="3199">
        <f t="shared" si="142"/>
        <v>0</v>
      </c>
      <c r="BS178" s="3199">
        <f t="shared" si="143"/>
        <v>0</v>
      </c>
      <c r="BT178" s="3271">
        <f t="shared" si="144"/>
        <v>0</v>
      </c>
    </row>
    <row r="179" spans="1:72">
      <c r="A179" s="3197"/>
      <c r="B179" s="3198"/>
      <c r="C179" s="3198"/>
      <c r="D179" s="3193"/>
      <c r="E179" s="3199">
        <f t="shared" si="145"/>
        <v>0</v>
      </c>
      <c r="F179" s="3200"/>
      <c r="G179" s="3201">
        <f t="shared" si="120"/>
        <v>0</v>
      </c>
      <c r="H179" s="3202">
        <f t="shared" si="121"/>
        <v>0</v>
      </c>
      <c r="I179" s="3218"/>
      <c r="J179" s="3218"/>
      <c r="K179" s="3218"/>
      <c r="L179" s="3218"/>
      <c r="M179" s="3218"/>
      <c r="N179" s="3218"/>
      <c r="O179" s="3218"/>
      <c r="P179" s="3218"/>
      <c r="Q179" s="3218"/>
      <c r="R179" s="3218"/>
      <c r="S179" s="3218"/>
      <c r="T179" s="3218"/>
      <c r="U179" s="3218"/>
      <c r="V179" s="3218"/>
      <c r="W179" s="3218"/>
      <c r="X179" s="3218"/>
      <c r="Y179" s="3218"/>
      <c r="Z179" s="3218"/>
      <c r="AA179" s="3218"/>
      <c r="AB179" s="3218"/>
      <c r="AC179" s="3199">
        <f t="shared" si="122"/>
        <v>0</v>
      </c>
      <c r="AD179" s="3229"/>
      <c r="AE179" s="3229"/>
      <c r="AF179" s="3229"/>
      <c r="AG179" s="3229"/>
      <c r="AH179" s="3229"/>
      <c r="AI179" s="3229"/>
      <c r="AJ179" s="3229"/>
      <c r="AK179" s="3229"/>
      <c r="AL179" s="3229"/>
      <c r="AM179" s="3229"/>
      <c r="AN179" s="3229"/>
      <c r="AO179" s="3229"/>
      <c r="AP179" s="3229"/>
      <c r="AQ179" s="3229"/>
      <c r="AR179" s="3229"/>
      <c r="AS179" s="3229"/>
      <c r="AT179" s="3249"/>
      <c r="AU179" s="3250"/>
      <c r="AV179" s="475">
        <f t="shared" si="146"/>
        <v>0</v>
      </c>
      <c r="AW179" s="475">
        <f t="shared" si="147"/>
        <v>0</v>
      </c>
      <c r="AX179" s="475">
        <f t="shared" si="148"/>
        <v>0</v>
      </c>
      <c r="AY179" s="3266">
        <f t="shared" si="123"/>
        <v>0</v>
      </c>
      <c r="AZ179" s="3199">
        <f t="shared" si="124"/>
        <v>0</v>
      </c>
      <c r="BA179" s="3199">
        <f t="shared" si="125"/>
        <v>0</v>
      </c>
      <c r="BB179" s="3199">
        <f t="shared" si="126"/>
        <v>0</v>
      </c>
      <c r="BC179" s="3199">
        <f t="shared" si="127"/>
        <v>0</v>
      </c>
      <c r="BD179" s="3199">
        <f t="shared" si="128"/>
        <v>0</v>
      </c>
      <c r="BE179" s="3199">
        <f t="shared" si="129"/>
        <v>0</v>
      </c>
      <c r="BF179" s="3199">
        <f t="shared" si="130"/>
        <v>0</v>
      </c>
      <c r="BG179" s="3199">
        <f t="shared" si="131"/>
        <v>0</v>
      </c>
      <c r="BH179" s="3199">
        <f t="shared" si="132"/>
        <v>0</v>
      </c>
      <c r="BI179" s="3199">
        <f t="shared" si="133"/>
        <v>0</v>
      </c>
      <c r="BJ179" s="3199">
        <f t="shared" si="134"/>
        <v>0</v>
      </c>
      <c r="BK179" s="3199">
        <f t="shared" si="135"/>
        <v>0</v>
      </c>
      <c r="BL179" s="3199">
        <f t="shared" si="136"/>
        <v>0</v>
      </c>
      <c r="BM179" s="3199">
        <f t="shared" si="137"/>
        <v>0</v>
      </c>
      <c r="BN179" s="3199">
        <f t="shared" si="138"/>
        <v>0</v>
      </c>
      <c r="BO179" s="3199">
        <f t="shared" si="139"/>
        <v>0</v>
      </c>
      <c r="BP179" s="3199">
        <f t="shared" si="140"/>
        <v>0</v>
      </c>
      <c r="BQ179" s="3199">
        <f t="shared" si="141"/>
        <v>0</v>
      </c>
      <c r="BR179" s="3199">
        <f t="shared" si="142"/>
        <v>0</v>
      </c>
      <c r="BS179" s="3199">
        <f t="shared" si="143"/>
        <v>0</v>
      </c>
      <c r="BT179" s="3271">
        <f t="shared" si="144"/>
        <v>0</v>
      </c>
    </row>
    <row r="180" spans="1:72">
      <c r="A180" s="3197"/>
      <c r="B180" s="3198"/>
      <c r="C180" s="3198"/>
      <c r="D180" s="3193"/>
      <c r="E180" s="3199">
        <f t="shared" si="145"/>
        <v>0</v>
      </c>
      <c r="F180" s="3200"/>
      <c r="G180" s="3201">
        <f t="shared" si="120"/>
        <v>0</v>
      </c>
      <c r="H180" s="3202">
        <f t="shared" si="121"/>
        <v>0</v>
      </c>
      <c r="I180" s="3218"/>
      <c r="J180" s="3218"/>
      <c r="K180" s="3218"/>
      <c r="L180" s="3218"/>
      <c r="M180" s="3218"/>
      <c r="N180" s="3218"/>
      <c r="O180" s="3218"/>
      <c r="P180" s="3218"/>
      <c r="Q180" s="3218"/>
      <c r="R180" s="3218"/>
      <c r="S180" s="3218"/>
      <c r="T180" s="3218"/>
      <c r="U180" s="3218"/>
      <c r="V180" s="3218"/>
      <c r="W180" s="3218"/>
      <c r="X180" s="3218"/>
      <c r="Y180" s="3218"/>
      <c r="Z180" s="3218"/>
      <c r="AA180" s="3218"/>
      <c r="AB180" s="3218"/>
      <c r="AC180" s="3199">
        <f t="shared" si="122"/>
        <v>0</v>
      </c>
      <c r="AD180" s="3229"/>
      <c r="AE180" s="3229"/>
      <c r="AF180" s="3229"/>
      <c r="AG180" s="3229"/>
      <c r="AH180" s="3229"/>
      <c r="AI180" s="3229"/>
      <c r="AJ180" s="3229"/>
      <c r="AK180" s="3229"/>
      <c r="AL180" s="3229"/>
      <c r="AM180" s="3229"/>
      <c r="AN180" s="3229"/>
      <c r="AO180" s="3229"/>
      <c r="AP180" s="3229"/>
      <c r="AQ180" s="3229"/>
      <c r="AR180" s="3229"/>
      <c r="AS180" s="3229"/>
      <c r="AT180" s="3249"/>
      <c r="AU180" s="3250"/>
      <c r="AV180" s="475">
        <f t="shared" si="146"/>
        <v>0</v>
      </c>
      <c r="AW180" s="475">
        <f t="shared" si="147"/>
        <v>0</v>
      </c>
      <c r="AX180" s="475">
        <f t="shared" si="148"/>
        <v>0</v>
      </c>
      <c r="AY180" s="3266">
        <f t="shared" si="123"/>
        <v>0</v>
      </c>
      <c r="AZ180" s="3199">
        <f t="shared" si="124"/>
        <v>0</v>
      </c>
      <c r="BA180" s="3199">
        <f t="shared" si="125"/>
        <v>0</v>
      </c>
      <c r="BB180" s="3199">
        <f t="shared" si="126"/>
        <v>0</v>
      </c>
      <c r="BC180" s="3199">
        <f t="shared" si="127"/>
        <v>0</v>
      </c>
      <c r="BD180" s="3199">
        <f t="shared" si="128"/>
        <v>0</v>
      </c>
      <c r="BE180" s="3199">
        <f t="shared" si="129"/>
        <v>0</v>
      </c>
      <c r="BF180" s="3199">
        <f t="shared" si="130"/>
        <v>0</v>
      </c>
      <c r="BG180" s="3199">
        <f t="shared" si="131"/>
        <v>0</v>
      </c>
      <c r="BH180" s="3199">
        <f t="shared" si="132"/>
        <v>0</v>
      </c>
      <c r="BI180" s="3199">
        <f t="shared" si="133"/>
        <v>0</v>
      </c>
      <c r="BJ180" s="3199">
        <f t="shared" si="134"/>
        <v>0</v>
      </c>
      <c r="BK180" s="3199">
        <f t="shared" si="135"/>
        <v>0</v>
      </c>
      <c r="BL180" s="3199">
        <f t="shared" si="136"/>
        <v>0</v>
      </c>
      <c r="BM180" s="3199">
        <f t="shared" si="137"/>
        <v>0</v>
      </c>
      <c r="BN180" s="3199">
        <f t="shared" si="138"/>
        <v>0</v>
      </c>
      <c r="BO180" s="3199">
        <f t="shared" si="139"/>
        <v>0</v>
      </c>
      <c r="BP180" s="3199">
        <f t="shared" si="140"/>
        <v>0</v>
      </c>
      <c r="BQ180" s="3199">
        <f t="shared" si="141"/>
        <v>0</v>
      </c>
      <c r="BR180" s="3199">
        <f t="shared" si="142"/>
        <v>0</v>
      </c>
      <c r="BS180" s="3199">
        <f t="shared" si="143"/>
        <v>0</v>
      </c>
      <c r="BT180" s="3271">
        <f t="shared" si="144"/>
        <v>0</v>
      </c>
    </row>
    <row r="181" spans="1:72">
      <c r="A181" s="3197"/>
      <c r="B181" s="3198"/>
      <c r="C181" s="3198"/>
      <c r="D181" s="3193"/>
      <c r="E181" s="3199">
        <f t="shared" si="145"/>
        <v>0</v>
      </c>
      <c r="F181" s="3200"/>
      <c r="G181" s="3201">
        <f t="shared" si="120"/>
        <v>0</v>
      </c>
      <c r="H181" s="3202">
        <f t="shared" si="121"/>
        <v>0</v>
      </c>
      <c r="I181" s="3218"/>
      <c r="J181" s="3218"/>
      <c r="K181" s="3218"/>
      <c r="L181" s="3218"/>
      <c r="M181" s="3218"/>
      <c r="N181" s="3218"/>
      <c r="O181" s="3218"/>
      <c r="P181" s="3218"/>
      <c r="Q181" s="3218"/>
      <c r="R181" s="3218"/>
      <c r="S181" s="3218"/>
      <c r="T181" s="3218"/>
      <c r="U181" s="3218"/>
      <c r="V181" s="3218"/>
      <c r="W181" s="3218"/>
      <c r="X181" s="3218"/>
      <c r="Y181" s="3218"/>
      <c r="Z181" s="3218"/>
      <c r="AA181" s="3218"/>
      <c r="AB181" s="3218"/>
      <c r="AC181" s="3199">
        <f t="shared" si="122"/>
        <v>0</v>
      </c>
      <c r="AD181" s="3229"/>
      <c r="AE181" s="3229"/>
      <c r="AF181" s="3229"/>
      <c r="AG181" s="3229"/>
      <c r="AH181" s="3229"/>
      <c r="AI181" s="3229"/>
      <c r="AJ181" s="3229"/>
      <c r="AK181" s="3229"/>
      <c r="AL181" s="3229"/>
      <c r="AM181" s="3229"/>
      <c r="AN181" s="3229"/>
      <c r="AO181" s="3229"/>
      <c r="AP181" s="3229"/>
      <c r="AQ181" s="3229"/>
      <c r="AR181" s="3229"/>
      <c r="AS181" s="3229"/>
      <c r="AT181" s="3249"/>
      <c r="AU181" s="3250"/>
      <c r="AV181" s="475">
        <f t="shared" si="146"/>
        <v>0</v>
      </c>
      <c r="AW181" s="475">
        <f t="shared" si="147"/>
        <v>0</v>
      </c>
      <c r="AX181" s="475">
        <f t="shared" si="148"/>
        <v>0</v>
      </c>
      <c r="AY181" s="3266">
        <f t="shared" si="123"/>
        <v>0</v>
      </c>
      <c r="AZ181" s="3199">
        <f t="shared" si="124"/>
        <v>0</v>
      </c>
      <c r="BA181" s="3199">
        <f t="shared" si="125"/>
        <v>0</v>
      </c>
      <c r="BB181" s="3199">
        <f t="shared" si="126"/>
        <v>0</v>
      </c>
      <c r="BC181" s="3199">
        <f t="shared" si="127"/>
        <v>0</v>
      </c>
      <c r="BD181" s="3199">
        <f t="shared" si="128"/>
        <v>0</v>
      </c>
      <c r="BE181" s="3199">
        <f t="shared" si="129"/>
        <v>0</v>
      </c>
      <c r="BF181" s="3199">
        <f t="shared" si="130"/>
        <v>0</v>
      </c>
      <c r="BG181" s="3199">
        <f t="shared" si="131"/>
        <v>0</v>
      </c>
      <c r="BH181" s="3199">
        <f t="shared" si="132"/>
        <v>0</v>
      </c>
      <c r="BI181" s="3199">
        <f t="shared" si="133"/>
        <v>0</v>
      </c>
      <c r="BJ181" s="3199">
        <f t="shared" si="134"/>
        <v>0</v>
      </c>
      <c r="BK181" s="3199">
        <f t="shared" si="135"/>
        <v>0</v>
      </c>
      <c r="BL181" s="3199">
        <f t="shared" si="136"/>
        <v>0</v>
      </c>
      <c r="BM181" s="3199">
        <f t="shared" si="137"/>
        <v>0</v>
      </c>
      <c r="BN181" s="3199">
        <f t="shared" si="138"/>
        <v>0</v>
      </c>
      <c r="BO181" s="3199">
        <f t="shared" si="139"/>
        <v>0</v>
      </c>
      <c r="BP181" s="3199">
        <f t="shared" si="140"/>
        <v>0</v>
      </c>
      <c r="BQ181" s="3199">
        <f t="shared" si="141"/>
        <v>0</v>
      </c>
      <c r="BR181" s="3199">
        <f t="shared" si="142"/>
        <v>0</v>
      </c>
      <c r="BS181" s="3199">
        <f t="shared" si="143"/>
        <v>0</v>
      </c>
      <c r="BT181" s="3271">
        <f t="shared" si="144"/>
        <v>0</v>
      </c>
    </row>
    <row r="182" spans="1:72">
      <c r="A182" s="3197"/>
      <c r="B182" s="3198"/>
      <c r="C182" s="3198"/>
      <c r="D182" s="3193"/>
      <c r="E182" s="3199">
        <f t="shared" si="145"/>
        <v>0</v>
      </c>
      <c r="F182" s="3200"/>
      <c r="G182" s="3201">
        <f t="shared" si="120"/>
        <v>0</v>
      </c>
      <c r="H182" s="3202">
        <f t="shared" si="121"/>
        <v>0</v>
      </c>
      <c r="I182" s="3218"/>
      <c r="J182" s="3218"/>
      <c r="K182" s="3218"/>
      <c r="L182" s="3218"/>
      <c r="M182" s="3218"/>
      <c r="N182" s="3218"/>
      <c r="O182" s="3218"/>
      <c r="P182" s="3218"/>
      <c r="Q182" s="3218"/>
      <c r="R182" s="3218"/>
      <c r="S182" s="3218"/>
      <c r="T182" s="3218"/>
      <c r="U182" s="3218"/>
      <c r="V182" s="3218"/>
      <c r="W182" s="3218"/>
      <c r="X182" s="3218"/>
      <c r="Y182" s="3218"/>
      <c r="Z182" s="3218"/>
      <c r="AA182" s="3218"/>
      <c r="AB182" s="3218"/>
      <c r="AC182" s="3199">
        <f t="shared" si="122"/>
        <v>0</v>
      </c>
      <c r="AD182" s="3229"/>
      <c r="AE182" s="3229"/>
      <c r="AF182" s="3229"/>
      <c r="AG182" s="3229"/>
      <c r="AH182" s="3229"/>
      <c r="AI182" s="3229"/>
      <c r="AJ182" s="3229"/>
      <c r="AK182" s="3229"/>
      <c r="AL182" s="3229"/>
      <c r="AM182" s="3229"/>
      <c r="AN182" s="3229"/>
      <c r="AO182" s="3229"/>
      <c r="AP182" s="3229"/>
      <c r="AQ182" s="3229"/>
      <c r="AR182" s="3229"/>
      <c r="AS182" s="3229"/>
      <c r="AT182" s="3249"/>
      <c r="AU182" s="3250"/>
      <c r="AV182" s="475">
        <f t="shared" si="146"/>
        <v>0</v>
      </c>
      <c r="AW182" s="475">
        <f t="shared" si="147"/>
        <v>0</v>
      </c>
      <c r="AX182" s="475">
        <f t="shared" si="148"/>
        <v>0</v>
      </c>
      <c r="AY182" s="3266">
        <f t="shared" si="123"/>
        <v>0</v>
      </c>
      <c r="AZ182" s="3199">
        <f t="shared" si="124"/>
        <v>0</v>
      </c>
      <c r="BA182" s="3199">
        <f t="shared" si="125"/>
        <v>0</v>
      </c>
      <c r="BB182" s="3199">
        <f t="shared" si="126"/>
        <v>0</v>
      </c>
      <c r="BC182" s="3199">
        <f t="shared" si="127"/>
        <v>0</v>
      </c>
      <c r="BD182" s="3199">
        <f t="shared" si="128"/>
        <v>0</v>
      </c>
      <c r="BE182" s="3199">
        <f t="shared" si="129"/>
        <v>0</v>
      </c>
      <c r="BF182" s="3199">
        <f t="shared" si="130"/>
        <v>0</v>
      </c>
      <c r="BG182" s="3199">
        <f t="shared" si="131"/>
        <v>0</v>
      </c>
      <c r="BH182" s="3199">
        <f t="shared" si="132"/>
        <v>0</v>
      </c>
      <c r="BI182" s="3199">
        <f t="shared" si="133"/>
        <v>0</v>
      </c>
      <c r="BJ182" s="3199">
        <f t="shared" si="134"/>
        <v>0</v>
      </c>
      <c r="BK182" s="3199">
        <f t="shared" si="135"/>
        <v>0</v>
      </c>
      <c r="BL182" s="3199">
        <f t="shared" si="136"/>
        <v>0</v>
      </c>
      <c r="BM182" s="3199">
        <f t="shared" si="137"/>
        <v>0</v>
      </c>
      <c r="BN182" s="3199">
        <f t="shared" si="138"/>
        <v>0</v>
      </c>
      <c r="BO182" s="3199">
        <f t="shared" si="139"/>
        <v>0</v>
      </c>
      <c r="BP182" s="3199">
        <f t="shared" si="140"/>
        <v>0</v>
      </c>
      <c r="BQ182" s="3199">
        <f t="shared" si="141"/>
        <v>0</v>
      </c>
      <c r="BR182" s="3199">
        <f t="shared" si="142"/>
        <v>0</v>
      </c>
      <c r="BS182" s="3199">
        <f t="shared" si="143"/>
        <v>0</v>
      </c>
      <c r="BT182" s="3271">
        <f t="shared" si="144"/>
        <v>0</v>
      </c>
    </row>
    <row r="183" spans="1:72">
      <c r="A183" s="3197"/>
      <c r="B183" s="3198"/>
      <c r="C183" s="3198"/>
      <c r="D183" s="3193"/>
      <c r="E183" s="3199">
        <f t="shared" si="145"/>
        <v>0</v>
      </c>
      <c r="F183" s="3200"/>
      <c r="G183" s="3201">
        <f t="shared" si="120"/>
        <v>0</v>
      </c>
      <c r="H183" s="3202">
        <f t="shared" si="121"/>
        <v>0</v>
      </c>
      <c r="I183" s="3218"/>
      <c r="J183" s="3218"/>
      <c r="K183" s="3218"/>
      <c r="L183" s="3218"/>
      <c r="M183" s="3218"/>
      <c r="N183" s="3218"/>
      <c r="O183" s="3218"/>
      <c r="P183" s="3218"/>
      <c r="Q183" s="3218"/>
      <c r="R183" s="3218"/>
      <c r="S183" s="3218"/>
      <c r="T183" s="3218"/>
      <c r="U183" s="3218"/>
      <c r="V183" s="3218"/>
      <c r="W183" s="3218"/>
      <c r="X183" s="3218"/>
      <c r="Y183" s="3218"/>
      <c r="Z183" s="3218"/>
      <c r="AA183" s="3218"/>
      <c r="AB183" s="3218"/>
      <c r="AC183" s="3199">
        <f t="shared" si="122"/>
        <v>0</v>
      </c>
      <c r="AD183" s="3229"/>
      <c r="AE183" s="3229"/>
      <c r="AF183" s="3229"/>
      <c r="AG183" s="3229"/>
      <c r="AH183" s="3229"/>
      <c r="AI183" s="3229"/>
      <c r="AJ183" s="3229"/>
      <c r="AK183" s="3229"/>
      <c r="AL183" s="3229"/>
      <c r="AM183" s="3229"/>
      <c r="AN183" s="3229"/>
      <c r="AO183" s="3229"/>
      <c r="AP183" s="3229"/>
      <c r="AQ183" s="3229"/>
      <c r="AR183" s="3229"/>
      <c r="AS183" s="3229"/>
      <c r="AT183" s="3249"/>
      <c r="AU183" s="3250"/>
      <c r="AV183" s="475">
        <f t="shared" si="146"/>
        <v>0</v>
      </c>
      <c r="AW183" s="475">
        <f t="shared" si="147"/>
        <v>0</v>
      </c>
      <c r="AX183" s="475">
        <f t="shared" si="148"/>
        <v>0</v>
      </c>
      <c r="AY183" s="3266">
        <f t="shared" si="123"/>
        <v>0</v>
      </c>
      <c r="AZ183" s="3199">
        <f t="shared" si="124"/>
        <v>0</v>
      </c>
      <c r="BA183" s="3199">
        <f t="shared" si="125"/>
        <v>0</v>
      </c>
      <c r="BB183" s="3199">
        <f t="shared" si="126"/>
        <v>0</v>
      </c>
      <c r="BC183" s="3199">
        <f t="shared" si="127"/>
        <v>0</v>
      </c>
      <c r="BD183" s="3199">
        <f t="shared" si="128"/>
        <v>0</v>
      </c>
      <c r="BE183" s="3199">
        <f t="shared" si="129"/>
        <v>0</v>
      </c>
      <c r="BF183" s="3199">
        <f t="shared" si="130"/>
        <v>0</v>
      </c>
      <c r="BG183" s="3199">
        <f t="shared" si="131"/>
        <v>0</v>
      </c>
      <c r="BH183" s="3199">
        <f t="shared" si="132"/>
        <v>0</v>
      </c>
      <c r="BI183" s="3199">
        <f t="shared" si="133"/>
        <v>0</v>
      </c>
      <c r="BJ183" s="3199">
        <f t="shared" si="134"/>
        <v>0</v>
      </c>
      <c r="BK183" s="3199">
        <f t="shared" si="135"/>
        <v>0</v>
      </c>
      <c r="BL183" s="3199">
        <f t="shared" si="136"/>
        <v>0</v>
      </c>
      <c r="BM183" s="3199">
        <f t="shared" si="137"/>
        <v>0</v>
      </c>
      <c r="BN183" s="3199">
        <f t="shared" si="138"/>
        <v>0</v>
      </c>
      <c r="BO183" s="3199">
        <f t="shared" si="139"/>
        <v>0</v>
      </c>
      <c r="BP183" s="3199">
        <f t="shared" si="140"/>
        <v>0</v>
      </c>
      <c r="BQ183" s="3199">
        <f t="shared" si="141"/>
        <v>0</v>
      </c>
      <c r="BR183" s="3199">
        <f t="shared" si="142"/>
        <v>0</v>
      </c>
      <c r="BS183" s="3199">
        <f t="shared" si="143"/>
        <v>0</v>
      </c>
      <c r="BT183" s="3271">
        <f t="shared" si="144"/>
        <v>0</v>
      </c>
    </row>
    <row r="184" spans="1:72">
      <c r="A184" s="3197"/>
      <c r="B184" s="3198"/>
      <c r="C184" s="3198"/>
      <c r="D184" s="3193"/>
      <c r="E184" s="3199">
        <f t="shared" si="145"/>
        <v>0</v>
      </c>
      <c r="F184" s="3200"/>
      <c r="G184" s="3201">
        <f t="shared" si="120"/>
        <v>0</v>
      </c>
      <c r="H184" s="3202">
        <f t="shared" si="121"/>
        <v>0</v>
      </c>
      <c r="I184" s="3218"/>
      <c r="J184" s="3218"/>
      <c r="K184" s="3218"/>
      <c r="L184" s="3218"/>
      <c r="M184" s="3218"/>
      <c r="N184" s="3218"/>
      <c r="O184" s="3218"/>
      <c r="P184" s="3218"/>
      <c r="Q184" s="3218"/>
      <c r="R184" s="3218"/>
      <c r="S184" s="3218"/>
      <c r="T184" s="3218"/>
      <c r="U184" s="3218"/>
      <c r="V184" s="3218"/>
      <c r="W184" s="3218"/>
      <c r="X184" s="3218"/>
      <c r="Y184" s="3218"/>
      <c r="Z184" s="3218"/>
      <c r="AA184" s="3218"/>
      <c r="AB184" s="3218"/>
      <c r="AC184" s="3199">
        <f t="shared" si="122"/>
        <v>0</v>
      </c>
      <c r="AD184" s="3229"/>
      <c r="AE184" s="3229"/>
      <c r="AF184" s="3229"/>
      <c r="AG184" s="3229"/>
      <c r="AH184" s="3229"/>
      <c r="AI184" s="3229"/>
      <c r="AJ184" s="3229"/>
      <c r="AK184" s="3229"/>
      <c r="AL184" s="3229"/>
      <c r="AM184" s="3229"/>
      <c r="AN184" s="3229"/>
      <c r="AO184" s="3229"/>
      <c r="AP184" s="3229"/>
      <c r="AQ184" s="3229"/>
      <c r="AR184" s="3229"/>
      <c r="AS184" s="3229"/>
      <c r="AT184" s="3249"/>
      <c r="AU184" s="3250"/>
      <c r="AV184" s="475">
        <f t="shared" si="146"/>
        <v>0</v>
      </c>
      <c r="AW184" s="475">
        <f t="shared" si="147"/>
        <v>0</v>
      </c>
      <c r="AX184" s="475">
        <f t="shared" si="148"/>
        <v>0</v>
      </c>
      <c r="AY184" s="3266">
        <f t="shared" si="123"/>
        <v>0</v>
      </c>
      <c r="AZ184" s="3199">
        <f t="shared" si="124"/>
        <v>0</v>
      </c>
      <c r="BA184" s="3199">
        <f t="shared" si="125"/>
        <v>0</v>
      </c>
      <c r="BB184" s="3199">
        <f t="shared" si="126"/>
        <v>0</v>
      </c>
      <c r="BC184" s="3199">
        <f t="shared" si="127"/>
        <v>0</v>
      </c>
      <c r="BD184" s="3199">
        <f t="shared" si="128"/>
        <v>0</v>
      </c>
      <c r="BE184" s="3199">
        <f t="shared" si="129"/>
        <v>0</v>
      </c>
      <c r="BF184" s="3199">
        <f t="shared" si="130"/>
        <v>0</v>
      </c>
      <c r="BG184" s="3199">
        <f t="shared" si="131"/>
        <v>0</v>
      </c>
      <c r="BH184" s="3199">
        <f t="shared" si="132"/>
        <v>0</v>
      </c>
      <c r="BI184" s="3199">
        <f t="shared" si="133"/>
        <v>0</v>
      </c>
      <c r="BJ184" s="3199">
        <f t="shared" si="134"/>
        <v>0</v>
      </c>
      <c r="BK184" s="3199">
        <f t="shared" si="135"/>
        <v>0</v>
      </c>
      <c r="BL184" s="3199">
        <f t="shared" si="136"/>
        <v>0</v>
      </c>
      <c r="BM184" s="3199">
        <f t="shared" si="137"/>
        <v>0</v>
      </c>
      <c r="BN184" s="3199">
        <f t="shared" si="138"/>
        <v>0</v>
      </c>
      <c r="BO184" s="3199">
        <f t="shared" si="139"/>
        <v>0</v>
      </c>
      <c r="BP184" s="3199">
        <f t="shared" si="140"/>
        <v>0</v>
      </c>
      <c r="BQ184" s="3199">
        <f t="shared" si="141"/>
        <v>0</v>
      </c>
      <c r="BR184" s="3199">
        <f t="shared" si="142"/>
        <v>0</v>
      </c>
      <c r="BS184" s="3199">
        <f t="shared" si="143"/>
        <v>0</v>
      </c>
      <c r="BT184" s="3271">
        <f t="shared" si="144"/>
        <v>0</v>
      </c>
    </row>
    <row r="185" spans="1:72">
      <c r="A185" s="3197"/>
      <c r="B185" s="3198"/>
      <c r="C185" s="3198"/>
      <c r="D185" s="3193"/>
      <c r="E185" s="3199">
        <f t="shared" si="145"/>
        <v>0</v>
      </c>
      <c r="F185" s="3200"/>
      <c r="G185" s="3201">
        <f t="shared" si="120"/>
        <v>0</v>
      </c>
      <c r="H185" s="3202">
        <f t="shared" si="121"/>
        <v>0</v>
      </c>
      <c r="I185" s="3218"/>
      <c r="J185" s="3218"/>
      <c r="K185" s="3218"/>
      <c r="L185" s="3218"/>
      <c r="M185" s="3218"/>
      <c r="N185" s="3218"/>
      <c r="O185" s="3218"/>
      <c r="P185" s="3218"/>
      <c r="Q185" s="3218"/>
      <c r="R185" s="3218"/>
      <c r="S185" s="3218"/>
      <c r="T185" s="3218"/>
      <c r="U185" s="3218"/>
      <c r="V185" s="3218"/>
      <c r="W185" s="3218"/>
      <c r="X185" s="3218"/>
      <c r="Y185" s="3218"/>
      <c r="Z185" s="3218"/>
      <c r="AA185" s="3218"/>
      <c r="AB185" s="3218"/>
      <c r="AC185" s="3199">
        <f t="shared" si="122"/>
        <v>0</v>
      </c>
      <c r="AD185" s="3229"/>
      <c r="AE185" s="3229"/>
      <c r="AF185" s="3229"/>
      <c r="AG185" s="3229"/>
      <c r="AH185" s="3229"/>
      <c r="AI185" s="3229"/>
      <c r="AJ185" s="3229"/>
      <c r="AK185" s="3229"/>
      <c r="AL185" s="3229"/>
      <c r="AM185" s="3229"/>
      <c r="AN185" s="3229"/>
      <c r="AO185" s="3229"/>
      <c r="AP185" s="3229"/>
      <c r="AQ185" s="3229"/>
      <c r="AR185" s="3229"/>
      <c r="AS185" s="3229"/>
      <c r="AT185" s="3249"/>
      <c r="AU185" s="3250"/>
      <c r="AV185" s="475">
        <f t="shared" si="146"/>
        <v>0</v>
      </c>
      <c r="AW185" s="475">
        <f t="shared" si="147"/>
        <v>0</v>
      </c>
      <c r="AX185" s="475">
        <f t="shared" si="148"/>
        <v>0</v>
      </c>
      <c r="AY185" s="3266">
        <f t="shared" si="123"/>
        <v>0</v>
      </c>
      <c r="AZ185" s="3199">
        <f t="shared" si="124"/>
        <v>0</v>
      </c>
      <c r="BA185" s="3199">
        <f t="shared" si="125"/>
        <v>0</v>
      </c>
      <c r="BB185" s="3199">
        <f t="shared" si="126"/>
        <v>0</v>
      </c>
      <c r="BC185" s="3199">
        <f t="shared" si="127"/>
        <v>0</v>
      </c>
      <c r="BD185" s="3199">
        <f t="shared" si="128"/>
        <v>0</v>
      </c>
      <c r="BE185" s="3199">
        <f t="shared" si="129"/>
        <v>0</v>
      </c>
      <c r="BF185" s="3199">
        <f t="shared" si="130"/>
        <v>0</v>
      </c>
      <c r="BG185" s="3199">
        <f t="shared" si="131"/>
        <v>0</v>
      </c>
      <c r="BH185" s="3199">
        <f t="shared" si="132"/>
        <v>0</v>
      </c>
      <c r="BI185" s="3199">
        <f t="shared" si="133"/>
        <v>0</v>
      </c>
      <c r="BJ185" s="3199">
        <f t="shared" si="134"/>
        <v>0</v>
      </c>
      <c r="BK185" s="3199">
        <f t="shared" si="135"/>
        <v>0</v>
      </c>
      <c r="BL185" s="3199">
        <f t="shared" si="136"/>
        <v>0</v>
      </c>
      <c r="BM185" s="3199">
        <f t="shared" si="137"/>
        <v>0</v>
      </c>
      <c r="BN185" s="3199">
        <f t="shared" si="138"/>
        <v>0</v>
      </c>
      <c r="BO185" s="3199">
        <f t="shared" si="139"/>
        <v>0</v>
      </c>
      <c r="BP185" s="3199">
        <f t="shared" si="140"/>
        <v>0</v>
      </c>
      <c r="BQ185" s="3199">
        <f t="shared" si="141"/>
        <v>0</v>
      </c>
      <c r="BR185" s="3199">
        <f t="shared" si="142"/>
        <v>0</v>
      </c>
      <c r="BS185" s="3199">
        <f t="shared" si="143"/>
        <v>0</v>
      </c>
      <c r="BT185" s="3271">
        <f t="shared" si="144"/>
        <v>0</v>
      </c>
    </row>
    <row r="186" spans="1:72">
      <c r="A186" s="3197"/>
      <c r="B186" s="3198"/>
      <c r="C186" s="3198"/>
      <c r="D186" s="3193"/>
      <c r="E186" s="3199">
        <f t="shared" si="145"/>
        <v>0</v>
      </c>
      <c r="F186" s="3200"/>
      <c r="G186" s="3201">
        <f t="shared" si="120"/>
        <v>0</v>
      </c>
      <c r="H186" s="3202">
        <f t="shared" si="121"/>
        <v>0</v>
      </c>
      <c r="I186" s="3218"/>
      <c r="J186" s="3218"/>
      <c r="K186" s="3218"/>
      <c r="L186" s="3218"/>
      <c r="M186" s="3218"/>
      <c r="N186" s="3218"/>
      <c r="O186" s="3218"/>
      <c r="P186" s="3218"/>
      <c r="Q186" s="3218"/>
      <c r="R186" s="3218"/>
      <c r="S186" s="3218"/>
      <c r="T186" s="3218"/>
      <c r="U186" s="3218"/>
      <c r="V186" s="3218"/>
      <c r="W186" s="3218"/>
      <c r="X186" s="3218"/>
      <c r="Y186" s="3218"/>
      <c r="Z186" s="3218"/>
      <c r="AA186" s="3218"/>
      <c r="AB186" s="3218"/>
      <c r="AC186" s="3199">
        <f t="shared" si="122"/>
        <v>0</v>
      </c>
      <c r="AD186" s="3229"/>
      <c r="AE186" s="3229"/>
      <c r="AF186" s="3229"/>
      <c r="AG186" s="3229"/>
      <c r="AH186" s="3229"/>
      <c r="AI186" s="3229"/>
      <c r="AJ186" s="3229"/>
      <c r="AK186" s="3229"/>
      <c r="AL186" s="3229"/>
      <c r="AM186" s="3229"/>
      <c r="AN186" s="3229"/>
      <c r="AO186" s="3229"/>
      <c r="AP186" s="3229"/>
      <c r="AQ186" s="3229"/>
      <c r="AR186" s="3229"/>
      <c r="AS186" s="3229"/>
      <c r="AT186" s="3249"/>
      <c r="AU186" s="3250"/>
      <c r="AV186" s="475">
        <f t="shared" si="146"/>
        <v>0</v>
      </c>
      <c r="AW186" s="475">
        <f t="shared" si="147"/>
        <v>0</v>
      </c>
      <c r="AX186" s="475">
        <f t="shared" si="148"/>
        <v>0</v>
      </c>
      <c r="AY186" s="3266">
        <f t="shared" si="123"/>
        <v>0</v>
      </c>
      <c r="AZ186" s="3199">
        <f t="shared" si="124"/>
        <v>0</v>
      </c>
      <c r="BA186" s="3199">
        <f t="shared" si="125"/>
        <v>0</v>
      </c>
      <c r="BB186" s="3199">
        <f t="shared" si="126"/>
        <v>0</v>
      </c>
      <c r="BC186" s="3199">
        <f t="shared" si="127"/>
        <v>0</v>
      </c>
      <c r="BD186" s="3199">
        <f t="shared" si="128"/>
        <v>0</v>
      </c>
      <c r="BE186" s="3199">
        <f t="shared" si="129"/>
        <v>0</v>
      </c>
      <c r="BF186" s="3199">
        <f t="shared" si="130"/>
        <v>0</v>
      </c>
      <c r="BG186" s="3199">
        <f t="shared" si="131"/>
        <v>0</v>
      </c>
      <c r="BH186" s="3199">
        <f t="shared" si="132"/>
        <v>0</v>
      </c>
      <c r="BI186" s="3199">
        <f t="shared" si="133"/>
        <v>0</v>
      </c>
      <c r="BJ186" s="3199">
        <f t="shared" si="134"/>
        <v>0</v>
      </c>
      <c r="BK186" s="3199">
        <f t="shared" si="135"/>
        <v>0</v>
      </c>
      <c r="BL186" s="3199">
        <f t="shared" si="136"/>
        <v>0</v>
      </c>
      <c r="BM186" s="3199">
        <f t="shared" si="137"/>
        <v>0</v>
      </c>
      <c r="BN186" s="3199">
        <f t="shared" si="138"/>
        <v>0</v>
      </c>
      <c r="BO186" s="3199">
        <f t="shared" si="139"/>
        <v>0</v>
      </c>
      <c r="BP186" s="3199">
        <f t="shared" si="140"/>
        <v>0</v>
      </c>
      <c r="BQ186" s="3199">
        <f t="shared" si="141"/>
        <v>0</v>
      </c>
      <c r="BR186" s="3199">
        <f t="shared" si="142"/>
        <v>0</v>
      </c>
      <c r="BS186" s="3199">
        <f t="shared" si="143"/>
        <v>0</v>
      </c>
      <c r="BT186" s="3271">
        <f t="shared" si="144"/>
        <v>0</v>
      </c>
    </row>
    <row r="187" spans="1:72">
      <c r="A187" s="3197"/>
      <c r="B187" s="3198"/>
      <c r="C187" s="3198"/>
      <c r="D187" s="3193"/>
      <c r="E187" s="3199">
        <f t="shared" si="145"/>
        <v>0</v>
      </c>
      <c r="F187" s="3200"/>
      <c r="G187" s="3201">
        <f t="shared" si="120"/>
        <v>0</v>
      </c>
      <c r="H187" s="3202">
        <f t="shared" si="121"/>
        <v>0</v>
      </c>
      <c r="I187" s="3218"/>
      <c r="J187" s="3218"/>
      <c r="K187" s="3218"/>
      <c r="L187" s="3218"/>
      <c r="M187" s="3218"/>
      <c r="N187" s="3218"/>
      <c r="O187" s="3218"/>
      <c r="P187" s="3218"/>
      <c r="Q187" s="3218"/>
      <c r="R187" s="3218"/>
      <c r="S187" s="3218"/>
      <c r="T187" s="3218"/>
      <c r="U187" s="3218"/>
      <c r="V187" s="3218"/>
      <c r="W187" s="3218"/>
      <c r="X187" s="3218"/>
      <c r="Y187" s="3218"/>
      <c r="Z187" s="3218"/>
      <c r="AA187" s="3218"/>
      <c r="AB187" s="3218"/>
      <c r="AC187" s="3199">
        <f t="shared" si="122"/>
        <v>0</v>
      </c>
      <c r="AD187" s="3229"/>
      <c r="AE187" s="3229"/>
      <c r="AF187" s="3229"/>
      <c r="AG187" s="3229"/>
      <c r="AH187" s="3229"/>
      <c r="AI187" s="3229"/>
      <c r="AJ187" s="3229"/>
      <c r="AK187" s="3229"/>
      <c r="AL187" s="3229"/>
      <c r="AM187" s="3229"/>
      <c r="AN187" s="3229"/>
      <c r="AO187" s="3229"/>
      <c r="AP187" s="3229"/>
      <c r="AQ187" s="3229"/>
      <c r="AR187" s="3229"/>
      <c r="AS187" s="3229"/>
      <c r="AT187" s="3249"/>
      <c r="AU187" s="3250"/>
      <c r="AV187" s="475">
        <f t="shared" si="146"/>
        <v>0</v>
      </c>
      <c r="AW187" s="475">
        <f t="shared" si="147"/>
        <v>0</v>
      </c>
      <c r="AX187" s="475">
        <f t="shared" si="148"/>
        <v>0</v>
      </c>
      <c r="AY187" s="3266">
        <f t="shared" si="123"/>
        <v>0</v>
      </c>
      <c r="AZ187" s="3199">
        <f t="shared" si="124"/>
        <v>0</v>
      </c>
      <c r="BA187" s="3199">
        <f t="shared" si="125"/>
        <v>0</v>
      </c>
      <c r="BB187" s="3199">
        <f t="shared" si="126"/>
        <v>0</v>
      </c>
      <c r="BC187" s="3199">
        <f t="shared" si="127"/>
        <v>0</v>
      </c>
      <c r="BD187" s="3199">
        <f t="shared" si="128"/>
        <v>0</v>
      </c>
      <c r="BE187" s="3199">
        <f t="shared" si="129"/>
        <v>0</v>
      </c>
      <c r="BF187" s="3199">
        <f t="shared" si="130"/>
        <v>0</v>
      </c>
      <c r="BG187" s="3199">
        <f t="shared" si="131"/>
        <v>0</v>
      </c>
      <c r="BH187" s="3199">
        <f t="shared" si="132"/>
        <v>0</v>
      </c>
      <c r="BI187" s="3199">
        <f t="shared" si="133"/>
        <v>0</v>
      </c>
      <c r="BJ187" s="3199">
        <f t="shared" si="134"/>
        <v>0</v>
      </c>
      <c r="BK187" s="3199">
        <f t="shared" si="135"/>
        <v>0</v>
      </c>
      <c r="BL187" s="3199">
        <f t="shared" si="136"/>
        <v>0</v>
      </c>
      <c r="BM187" s="3199">
        <f t="shared" si="137"/>
        <v>0</v>
      </c>
      <c r="BN187" s="3199">
        <f t="shared" si="138"/>
        <v>0</v>
      </c>
      <c r="BO187" s="3199">
        <f t="shared" si="139"/>
        <v>0</v>
      </c>
      <c r="BP187" s="3199">
        <f t="shared" si="140"/>
        <v>0</v>
      </c>
      <c r="BQ187" s="3199">
        <f t="shared" si="141"/>
        <v>0</v>
      </c>
      <c r="BR187" s="3199">
        <f t="shared" si="142"/>
        <v>0</v>
      </c>
      <c r="BS187" s="3199">
        <f t="shared" si="143"/>
        <v>0</v>
      </c>
      <c r="BT187" s="3271">
        <f t="shared" si="144"/>
        <v>0</v>
      </c>
    </row>
    <row r="188" spans="1:72">
      <c r="A188" s="3197"/>
      <c r="B188" s="3198"/>
      <c r="C188" s="3198"/>
      <c r="D188" s="3193"/>
      <c r="E188" s="3199">
        <f t="shared" si="145"/>
        <v>0</v>
      </c>
      <c r="F188" s="3200"/>
      <c r="G188" s="3201">
        <f t="shared" si="120"/>
        <v>0</v>
      </c>
      <c r="H188" s="3202">
        <f t="shared" si="121"/>
        <v>0</v>
      </c>
      <c r="I188" s="3218"/>
      <c r="J188" s="3218"/>
      <c r="K188" s="3218"/>
      <c r="L188" s="3218"/>
      <c r="M188" s="3218"/>
      <c r="N188" s="3218"/>
      <c r="O188" s="3218"/>
      <c r="P188" s="3218"/>
      <c r="Q188" s="3218"/>
      <c r="R188" s="3218"/>
      <c r="S188" s="3218"/>
      <c r="T188" s="3218"/>
      <c r="U188" s="3218"/>
      <c r="V188" s="3218"/>
      <c r="W188" s="3218"/>
      <c r="X188" s="3218"/>
      <c r="Y188" s="3218"/>
      <c r="Z188" s="3218"/>
      <c r="AA188" s="3218"/>
      <c r="AB188" s="3218"/>
      <c r="AC188" s="3199">
        <f t="shared" si="122"/>
        <v>0</v>
      </c>
      <c r="AD188" s="3229"/>
      <c r="AE188" s="3229"/>
      <c r="AF188" s="3229"/>
      <c r="AG188" s="3229"/>
      <c r="AH188" s="3229"/>
      <c r="AI188" s="3229"/>
      <c r="AJ188" s="3229"/>
      <c r="AK188" s="3229"/>
      <c r="AL188" s="3229"/>
      <c r="AM188" s="3229"/>
      <c r="AN188" s="3229"/>
      <c r="AO188" s="3229"/>
      <c r="AP188" s="3229"/>
      <c r="AQ188" s="3229"/>
      <c r="AR188" s="3229"/>
      <c r="AS188" s="3229"/>
      <c r="AT188" s="3249"/>
      <c r="AU188" s="3250"/>
      <c r="AV188" s="475">
        <f t="shared" si="146"/>
        <v>0</v>
      </c>
      <c r="AW188" s="475">
        <f t="shared" si="147"/>
        <v>0</v>
      </c>
      <c r="AX188" s="475">
        <f t="shared" si="148"/>
        <v>0</v>
      </c>
      <c r="AY188" s="3266">
        <f t="shared" si="123"/>
        <v>0</v>
      </c>
      <c r="AZ188" s="3199">
        <f t="shared" si="124"/>
        <v>0</v>
      </c>
      <c r="BA188" s="3199">
        <f t="shared" si="125"/>
        <v>0</v>
      </c>
      <c r="BB188" s="3199">
        <f t="shared" si="126"/>
        <v>0</v>
      </c>
      <c r="BC188" s="3199">
        <f t="shared" si="127"/>
        <v>0</v>
      </c>
      <c r="BD188" s="3199">
        <f t="shared" si="128"/>
        <v>0</v>
      </c>
      <c r="BE188" s="3199">
        <f t="shared" si="129"/>
        <v>0</v>
      </c>
      <c r="BF188" s="3199">
        <f t="shared" si="130"/>
        <v>0</v>
      </c>
      <c r="BG188" s="3199">
        <f t="shared" si="131"/>
        <v>0</v>
      </c>
      <c r="BH188" s="3199">
        <f t="shared" si="132"/>
        <v>0</v>
      </c>
      <c r="BI188" s="3199">
        <f t="shared" si="133"/>
        <v>0</v>
      </c>
      <c r="BJ188" s="3199">
        <f t="shared" si="134"/>
        <v>0</v>
      </c>
      <c r="BK188" s="3199">
        <f t="shared" si="135"/>
        <v>0</v>
      </c>
      <c r="BL188" s="3199">
        <f t="shared" si="136"/>
        <v>0</v>
      </c>
      <c r="BM188" s="3199">
        <f t="shared" si="137"/>
        <v>0</v>
      </c>
      <c r="BN188" s="3199">
        <f t="shared" si="138"/>
        <v>0</v>
      </c>
      <c r="BO188" s="3199">
        <f t="shared" si="139"/>
        <v>0</v>
      </c>
      <c r="BP188" s="3199">
        <f t="shared" si="140"/>
        <v>0</v>
      </c>
      <c r="BQ188" s="3199">
        <f t="shared" si="141"/>
        <v>0</v>
      </c>
      <c r="BR188" s="3199">
        <f t="shared" si="142"/>
        <v>0</v>
      </c>
      <c r="BS188" s="3199">
        <f t="shared" si="143"/>
        <v>0</v>
      </c>
      <c r="BT188" s="3271">
        <f t="shared" si="144"/>
        <v>0</v>
      </c>
    </row>
    <row r="189" spans="1:72">
      <c r="A189" s="3197"/>
      <c r="B189" s="3198"/>
      <c r="C189" s="3198"/>
      <c r="D189" s="3193"/>
      <c r="E189" s="3199">
        <f t="shared" si="145"/>
        <v>0</v>
      </c>
      <c r="F189" s="3200"/>
      <c r="G189" s="3201">
        <f t="shared" si="120"/>
        <v>0</v>
      </c>
      <c r="H189" s="3202">
        <f t="shared" si="121"/>
        <v>0</v>
      </c>
      <c r="I189" s="3218"/>
      <c r="J189" s="3218"/>
      <c r="K189" s="3218"/>
      <c r="L189" s="3218"/>
      <c r="M189" s="3218"/>
      <c r="N189" s="3218"/>
      <c r="O189" s="3218"/>
      <c r="P189" s="3218"/>
      <c r="Q189" s="3218"/>
      <c r="R189" s="3218"/>
      <c r="S189" s="3218"/>
      <c r="T189" s="3218"/>
      <c r="U189" s="3218"/>
      <c r="V189" s="3218"/>
      <c r="W189" s="3218"/>
      <c r="X189" s="3218"/>
      <c r="Y189" s="3218"/>
      <c r="Z189" s="3218"/>
      <c r="AA189" s="3218"/>
      <c r="AB189" s="3218"/>
      <c r="AC189" s="3199">
        <f t="shared" si="122"/>
        <v>0</v>
      </c>
      <c r="AD189" s="3229"/>
      <c r="AE189" s="3229"/>
      <c r="AF189" s="3229"/>
      <c r="AG189" s="3229"/>
      <c r="AH189" s="3229"/>
      <c r="AI189" s="3229"/>
      <c r="AJ189" s="3229"/>
      <c r="AK189" s="3229"/>
      <c r="AL189" s="3229"/>
      <c r="AM189" s="3229"/>
      <c r="AN189" s="3229"/>
      <c r="AO189" s="3229"/>
      <c r="AP189" s="3229"/>
      <c r="AQ189" s="3229"/>
      <c r="AR189" s="3229"/>
      <c r="AS189" s="3229"/>
      <c r="AT189" s="3249"/>
      <c r="AU189" s="3250"/>
      <c r="AV189" s="475">
        <f t="shared" si="146"/>
        <v>0</v>
      </c>
      <c r="AW189" s="475">
        <f t="shared" si="147"/>
        <v>0</v>
      </c>
      <c r="AX189" s="475">
        <f t="shared" si="148"/>
        <v>0</v>
      </c>
      <c r="AY189" s="3266">
        <f t="shared" si="123"/>
        <v>0</v>
      </c>
      <c r="AZ189" s="3199">
        <f t="shared" si="124"/>
        <v>0</v>
      </c>
      <c r="BA189" s="3199">
        <f t="shared" si="125"/>
        <v>0</v>
      </c>
      <c r="BB189" s="3199">
        <f t="shared" si="126"/>
        <v>0</v>
      </c>
      <c r="BC189" s="3199">
        <f t="shared" si="127"/>
        <v>0</v>
      </c>
      <c r="BD189" s="3199">
        <f t="shared" si="128"/>
        <v>0</v>
      </c>
      <c r="BE189" s="3199">
        <f t="shared" si="129"/>
        <v>0</v>
      </c>
      <c r="BF189" s="3199">
        <f t="shared" si="130"/>
        <v>0</v>
      </c>
      <c r="BG189" s="3199">
        <f t="shared" si="131"/>
        <v>0</v>
      </c>
      <c r="BH189" s="3199">
        <f t="shared" si="132"/>
        <v>0</v>
      </c>
      <c r="BI189" s="3199">
        <f t="shared" si="133"/>
        <v>0</v>
      </c>
      <c r="BJ189" s="3199">
        <f t="shared" si="134"/>
        <v>0</v>
      </c>
      <c r="BK189" s="3199">
        <f t="shared" si="135"/>
        <v>0</v>
      </c>
      <c r="BL189" s="3199">
        <f t="shared" si="136"/>
        <v>0</v>
      </c>
      <c r="BM189" s="3199">
        <f t="shared" si="137"/>
        <v>0</v>
      </c>
      <c r="BN189" s="3199">
        <f t="shared" si="138"/>
        <v>0</v>
      </c>
      <c r="BO189" s="3199">
        <f t="shared" si="139"/>
        <v>0</v>
      </c>
      <c r="BP189" s="3199">
        <f t="shared" si="140"/>
        <v>0</v>
      </c>
      <c r="BQ189" s="3199">
        <f t="shared" si="141"/>
        <v>0</v>
      </c>
      <c r="BR189" s="3199">
        <f t="shared" si="142"/>
        <v>0</v>
      </c>
      <c r="BS189" s="3199">
        <f t="shared" si="143"/>
        <v>0</v>
      </c>
      <c r="BT189" s="3271">
        <f t="shared" si="144"/>
        <v>0</v>
      </c>
    </row>
    <row r="190" spans="1:72">
      <c r="A190" s="3197"/>
      <c r="B190" s="3198"/>
      <c r="C190" s="3198"/>
      <c r="D190" s="3193"/>
      <c r="E190" s="3199">
        <f t="shared" si="145"/>
        <v>0</v>
      </c>
      <c r="F190" s="3200"/>
      <c r="G190" s="3201">
        <f t="shared" si="120"/>
        <v>0</v>
      </c>
      <c r="H190" s="3202">
        <f t="shared" si="121"/>
        <v>0</v>
      </c>
      <c r="I190" s="3218"/>
      <c r="J190" s="3218"/>
      <c r="K190" s="3218"/>
      <c r="L190" s="3218"/>
      <c r="M190" s="3218"/>
      <c r="N190" s="3218"/>
      <c r="O190" s="3218"/>
      <c r="P190" s="3218"/>
      <c r="Q190" s="3218"/>
      <c r="R190" s="3218"/>
      <c r="S190" s="3218"/>
      <c r="T190" s="3218"/>
      <c r="U190" s="3218"/>
      <c r="V190" s="3218"/>
      <c r="W190" s="3218"/>
      <c r="X190" s="3218"/>
      <c r="Y190" s="3218"/>
      <c r="Z190" s="3218"/>
      <c r="AA190" s="3218"/>
      <c r="AB190" s="3218"/>
      <c r="AC190" s="3199">
        <f t="shared" si="122"/>
        <v>0</v>
      </c>
      <c r="AD190" s="3229"/>
      <c r="AE190" s="3229"/>
      <c r="AF190" s="3229"/>
      <c r="AG190" s="3229"/>
      <c r="AH190" s="3229"/>
      <c r="AI190" s="3229"/>
      <c r="AJ190" s="3229"/>
      <c r="AK190" s="3229"/>
      <c r="AL190" s="3229"/>
      <c r="AM190" s="3229"/>
      <c r="AN190" s="3229"/>
      <c r="AO190" s="3229"/>
      <c r="AP190" s="3229"/>
      <c r="AQ190" s="3229"/>
      <c r="AR190" s="3229"/>
      <c r="AS190" s="3229"/>
      <c r="AT190" s="3249"/>
      <c r="AU190" s="3250"/>
      <c r="AV190" s="475">
        <f t="shared" si="146"/>
        <v>0</v>
      </c>
      <c r="AW190" s="475">
        <f t="shared" si="147"/>
        <v>0</v>
      </c>
      <c r="AX190" s="475">
        <f t="shared" si="148"/>
        <v>0</v>
      </c>
      <c r="AY190" s="3266">
        <f t="shared" si="123"/>
        <v>0</v>
      </c>
      <c r="AZ190" s="3199">
        <f t="shared" si="124"/>
        <v>0</v>
      </c>
      <c r="BA190" s="3199">
        <f t="shared" si="125"/>
        <v>0</v>
      </c>
      <c r="BB190" s="3199">
        <f t="shared" si="126"/>
        <v>0</v>
      </c>
      <c r="BC190" s="3199">
        <f t="shared" si="127"/>
        <v>0</v>
      </c>
      <c r="BD190" s="3199">
        <f t="shared" si="128"/>
        <v>0</v>
      </c>
      <c r="BE190" s="3199">
        <f t="shared" si="129"/>
        <v>0</v>
      </c>
      <c r="BF190" s="3199">
        <f t="shared" si="130"/>
        <v>0</v>
      </c>
      <c r="BG190" s="3199">
        <f t="shared" si="131"/>
        <v>0</v>
      </c>
      <c r="BH190" s="3199">
        <f t="shared" si="132"/>
        <v>0</v>
      </c>
      <c r="BI190" s="3199">
        <f t="shared" si="133"/>
        <v>0</v>
      </c>
      <c r="BJ190" s="3199">
        <f t="shared" si="134"/>
        <v>0</v>
      </c>
      <c r="BK190" s="3199">
        <f t="shared" si="135"/>
        <v>0</v>
      </c>
      <c r="BL190" s="3199">
        <f t="shared" si="136"/>
        <v>0</v>
      </c>
      <c r="BM190" s="3199">
        <f t="shared" si="137"/>
        <v>0</v>
      </c>
      <c r="BN190" s="3199">
        <f t="shared" si="138"/>
        <v>0</v>
      </c>
      <c r="BO190" s="3199">
        <f t="shared" si="139"/>
        <v>0</v>
      </c>
      <c r="BP190" s="3199">
        <f t="shared" si="140"/>
        <v>0</v>
      </c>
      <c r="BQ190" s="3199">
        <f t="shared" si="141"/>
        <v>0</v>
      </c>
      <c r="BR190" s="3199">
        <f t="shared" si="142"/>
        <v>0</v>
      </c>
      <c r="BS190" s="3199">
        <f t="shared" si="143"/>
        <v>0</v>
      </c>
      <c r="BT190" s="3271">
        <f t="shared" si="144"/>
        <v>0</v>
      </c>
    </row>
    <row r="191" spans="1:72">
      <c r="A191" s="3197"/>
      <c r="B191" s="3198"/>
      <c r="C191" s="3198"/>
      <c r="D191" s="3193"/>
      <c r="E191" s="3199">
        <f t="shared" si="145"/>
        <v>0</v>
      </c>
      <c r="F191" s="3200"/>
      <c r="G191" s="3201">
        <f t="shared" si="120"/>
        <v>0</v>
      </c>
      <c r="H191" s="3202">
        <f t="shared" si="121"/>
        <v>0</v>
      </c>
      <c r="I191" s="3218"/>
      <c r="J191" s="3218"/>
      <c r="K191" s="3218"/>
      <c r="L191" s="3218"/>
      <c r="M191" s="3218"/>
      <c r="N191" s="3218"/>
      <c r="O191" s="3218"/>
      <c r="P191" s="3218"/>
      <c r="Q191" s="3218"/>
      <c r="R191" s="3218"/>
      <c r="S191" s="3218"/>
      <c r="T191" s="3218"/>
      <c r="U191" s="3218"/>
      <c r="V191" s="3218"/>
      <c r="W191" s="3218"/>
      <c r="X191" s="3218"/>
      <c r="Y191" s="3218"/>
      <c r="Z191" s="3218"/>
      <c r="AA191" s="3218"/>
      <c r="AB191" s="3218"/>
      <c r="AC191" s="3199">
        <f t="shared" si="122"/>
        <v>0</v>
      </c>
      <c r="AD191" s="3229"/>
      <c r="AE191" s="3229"/>
      <c r="AF191" s="3229"/>
      <c r="AG191" s="3229"/>
      <c r="AH191" s="3229"/>
      <c r="AI191" s="3229"/>
      <c r="AJ191" s="3229"/>
      <c r="AK191" s="3229"/>
      <c r="AL191" s="3229"/>
      <c r="AM191" s="3229"/>
      <c r="AN191" s="3229"/>
      <c r="AO191" s="3229"/>
      <c r="AP191" s="3229"/>
      <c r="AQ191" s="3229"/>
      <c r="AR191" s="3229"/>
      <c r="AS191" s="3229"/>
      <c r="AT191" s="3249"/>
      <c r="AU191" s="3250"/>
      <c r="AV191" s="475">
        <f t="shared" si="146"/>
        <v>0</v>
      </c>
      <c r="AW191" s="475">
        <f t="shared" si="147"/>
        <v>0</v>
      </c>
      <c r="AX191" s="475">
        <f t="shared" si="148"/>
        <v>0</v>
      </c>
      <c r="AY191" s="3266">
        <f t="shared" si="123"/>
        <v>0</v>
      </c>
      <c r="AZ191" s="3199">
        <f t="shared" si="124"/>
        <v>0</v>
      </c>
      <c r="BA191" s="3199">
        <f t="shared" si="125"/>
        <v>0</v>
      </c>
      <c r="BB191" s="3199">
        <f t="shared" si="126"/>
        <v>0</v>
      </c>
      <c r="BC191" s="3199">
        <f t="shared" si="127"/>
        <v>0</v>
      </c>
      <c r="BD191" s="3199">
        <f t="shared" si="128"/>
        <v>0</v>
      </c>
      <c r="BE191" s="3199">
        <f t="shared" si="129"/>
        <v>0</v>
      </c>
      <c r="BF191" s="3199">
        <f t="shared" si="130"/>
        <v>0</v>
      </c>
      <c r="BG191" s="3199">
        <f t="shared" si="131"/>
        <v>0</v>
      </c>
      <c r="BH191" s="3199">
        <f t="shared" si="132"/>
        <v>0</v>
      </c>
      <c r="BI191" s="3199">
        <f t="shared" si="133"/>
        <v>0</v>
      </c>
      <c r="BJ191" s="3199">
        <f t="shared" si="134"/>
        <v>0</v>
      </c>
      <c r="BK191" s="3199">
        <f t="shared" si="135"/>
        <v>0</v>
      </c>
      <c r="BL191" s="3199">
        <f t="shared" si="136"/>
        <v>0</v>
      </c>
      <c r="BM191" s="3199">
        <f t="shared" si="137"/>
        <v>0</v>
      </c>
      <c r="BN191" s="3199">
        <f t="shared" si="138"/>
        <v>0</v>
      </c>
      <c r="BO191" s="3199">
        <f t="shared" si="139"/>
        <v>0</v>
      </c>
      <c r="BP191" s="3199">
        <f t="shared" si="140"/>
        <v>0</v>
      </c>
      <c r="BQ191" s="3199">
        <f t="shared" si="141"/>
        <v>0</v>
      </c>
      <c r="BR191" s="3199">
        <f t="shared" si="142"/>
        <v>0</v>
      </c>
      <c r="BS191" s="3199">
        <f t="shared" si="143"/>
        <v>0</v>
      </c>
      <c r="BT191" s="3271">
        <f t="shared" si="144"/>
        <v>0</v>
      </c>
    </row>
    <row r="192" spans="1:72">
      <c r="A192" s="3197"/>
      <c r="B192" s="3198"/>
      <c r="C192" s="3198"/>
      <c r="D192" s="3193"/>
      <c r="E192" s="3199">
        <f t="shared" si="145"/>
        <v>0</v>
      </c>
      <c r="F192" s="3200"/>
      <c r="G192" s="3201">
        <f t="shared" si="120"/>
        <v>0</v>
      </c>
      <c r="H192" s="3202">
        <f t="shared" si="121"/>
        <v>0</v>
      </c>
      <c r="I192" s="3218"/>
      <c r="J192" s="3218"/>
      <c r="K192" s="3218"/>
      <c r="L192" s="3218"/>
      <c r="M192" s="3218"/>
      <c r="N192" s="3218"/>
      <c r="O192" s="3218"/>
      <c r="P192" s="3218"/>
      <c r="Q192" s="3218"/>
      <c r="R192" s="3218"/>
      <c r="S192" s="3218"/>
      <c r="T192" s="3218"/>
      <c r="U192" s="3218"/>
      <c r="V192" s="3218"/>
      <c r="W192" s="3218"/>
      <c r="X192" s="3218"/>
      <c r="Y192" s="3218"/>
      <c r="Z192" s="3218"/>
      <c r="AA192" s="3218"/>
      <c r="AB192" s="3218"/>
      <c r="AC192" s="3199">
        <f t="shared" si="122"/>
        <v>0</v>
      </c>
      <c r="AD192" s="3229"/>
      <c r="AE192" s="3229"/>
      <c r="AF192" s="3229"/>
      <c r="AG192" s="3229"/>
      <c r="AH192" s="3229"/>
      <c r="AI192" s="3229"/>
      <c r="AJ192" s="3229"/>
      <c r="AK192" s="3229"/>
      <c r="AL192" s="3229"/>
      <c r="AM192" s="3229"/>
      <c r="AN192" s="3229"/>
      <c r="AO192" s="3229"/>
      <c r="AP192" s="3229"/>
      <c r="AQ192" s="3229"/>
      <c r="AR192" s="3229"/>
      <c r="AS192" s="3229"/>
      <c r="AT192" s="3249"/>
      <c r="AU192" s="3250"/>
      <c r="AV192" s="475">
        <f t="shared" si="146"/>
        <v>0</v>
      </c>
      <c r="AW192" s="475">
        <f t="shared" si="147"/>
        <v>0</v>
      </c>
      <c r="AX192" s="475">
        <f t="shared" si="148"/>
        <v>0</v>
      </c>
      <c r="AY192" s="3266">
        <f t="shared" si="123"/>
        <v>0</v>
      </c>
      <c r="AZ192" s="3199">
        <f t="shared" si="124"/>
        <v>0</v>
      </c>
      <c r="BA192" s="3199">
        <f t="shared" si="125"/>
        <v>0</v>
      </c>
      <c r="BB192" s="3199">
        <f t="shared" si="126"/>
        <v>0</v>
      </c>
      <c r="BC192" s="3199">
        <f t="shared" si="127"/>
        <v>0</v>
      </c>
      <c r="BD192" s="3199">
        <f t="shared" si="128"/>
        <v>0</v>
      </c>
      <c r="BE192" s="3199">
        <f t="shared" si="129"/>
        <v>0</v>
      </c>
      <c r="BF192" s="3199">
        <f t="shared" si="130"/>
        <v>0</v>
      </c>
      <c r="BG192" s="3199">
        <f t="shared" si="131"/>
        <v>0</v>
      </c>
      <c r="BH192" s="3199">
        <f t="shared" si="132"/>
        <v>0</v>
      </c>
      <c r="BI192" s="3199">
        <f t="shared" si="133"/>
        <v>0</v>
      </c>
      <c r="BJ192" s="3199">
        <f t="shared" si="134"/>
        <v>0</v>
      </c>
      <c r="BK192" s="3199">
        <f t="shared" si="135"/>
        <v>0</v>
      </c>
      <c r="BL192" s="3199">
        <f t="shared" si="136"/>
        <v>0</v>
      </c>
      <c r="BM192" s="3199">
        <f t="shared" si="137"/>
        <v>0</v>
      </c>
      <c r="BN192" s="3199">
        <f t="shared" si="138"/>
        <v>0</v>
      </c>
      <c r="BO192" s="3199">
        <f t="shared" si="139"/>
        <v>0</v>
      </c>
      <c r="BP192" s="3199">
        <f t="shared" si="140"/>
        <v>0</v>
      </c>
      <c r="BQ192" s="3199">
        <f t="shared" si="141"/>
        <v>0</v>
      </c>
      <c r="BR192" s="3199">
        <f t="shared" si="142"/>
        <v>0</v>
      </c>
      <c r="BS192" s="3199">
        <f t="shared" si="143"/>
        <v>0</v>
      </c>
      <c r="BT192" s="3271">
        <f t="shared" si="144"/>
        <v>0</v>
      </c>
    </row>
    <row r="193" spans="1:72">
      <c r="A193" s="3197"/>
      <c r="B193" s="3198"/>
      <c r="C193" s="3198"/>
      <c r="D193" s="3193"/>
      <c r="E193" s="3199">
        <f t="shared" si="145"/>
        <v>0</v>
      </c>
      <c r="F193" s="3200"/>
      <c r="G193" s="3201">
        <f t="shared" si="120"/>
        <v>0</v>
      </c>
      <c r="H193" s="3202">
        <f t="shared" si="121"/>
        <v>0</v>
      </c>
      <c r="I193" s="3218"/>
      <c r="J193" s="3218"/>
      <c r="K193" s="3218"/>
      <c r="L193" s="3218"/>
      <c r="M193" s="3218"/>
      <c r="N193" s="3218"/>
      <c r="O193" s="3218"/>
      <c r="P193" s="3218"/>
      <c r="Q193" s="3218"/>
      <c r="R193" s="3218"/>
      <c r="S193" s="3218"/>
      <c r="T193" s="3218"/>
      <c r="U193" s="3218"/>
      <c r="V193" s="3218"/>
      <c r="W193" s="3218"/>
      <c r="X193" s="3218"/>
      <c r="Y193" s="3218"/>
      <c r="Z193" s="3218"/>
      <c r="AA193" s="3218"/>
      <c r="AB193" s="3218"/>
      <c r="AC193" s="3199">
        <f t="shared" si="122"/>
        <v>0</v>
      </c>
      <c r="AD193" s="3229"/>
      <c r="AE193" s="3229"/>
      <c r="AF193" s="3229"/>
      <c r="AG193" s="3229"/>
      <c r="AH193" s="3229"/>
      <c r="AI193" s="3229"/>
      <c r="AJ193" s="3229"/>
      <c r="AK193" s="3229"/>
      <c r="AL193" s="3229"/>
      <c r="AM193" s="3229"/>
      <c r="AN193" s="3229"/>
      <c r="AO193" s="3229"/>
      <c r="AP193" s="3229"/>
      <c r="AQ193" s="3229"/>
      <c r="AR193" s="3229"/>
      <c r="AS193" s="3229"/>
      <c r="AT193" s="3249"/>
      <c r="AU193" s="3250"/>
      <c r="AV193" s="475">
        <f t="shared" si="146"/>
        <v>0</v>
      </c>
      <c r="AW193" s="475">
        <f t="shared" si="147"/>
        <v>0</v>
      </c>
      <c r="AX193" s="475">
        <f t="shared" si="148"/>
        <v>0</v>
      </c>
      <c r="AY193" s="3266">
        <f t="shared" si="123"/>
        <v>0</v>
      </c>
      <c r="AZ193" s="3199">
        <f t="shared" si="124"/>
        <v>0</v>
      </c>
      <c r="BA193" s="3199">
        <f t="shared" si="125"/>
        <v>0</v>
      </c>
      <c r="BB193" s="3199">
        <f t="shared" si="126"/>
        <v>0</v>
      </c>
      <c r="BC193" s="3199">
        <f t="shared" si="127"/>
        <v>0</v>
      </c>
      <c r="BD193" s="3199">
        <f t="shared" si="128"/>
        <v>0</v>
      </c>
      <c r="BE193" s="3199">
        <f t="shared" si="129"/>
        <v>0</v>
      </c>
      <c r="BF193" s="3199">
        <f t="shared" si="130"/>
        <v>0</v>
      </c>
      <c r="BG193" s="3199">
        <f t="shared" si="131"/>
        <v>0</v>
      </c>
      <c r="BH193" s="3199">
        <f t="shared" si="132"/>
        <v>0</v>
      </c>
      <c r="BI193" s="3199">
        <f t="shared" si="133"/>
        <v>0</v>
      </c>
      <c r="BJ193" s="3199">
        <f t="shared" si="134"/>
        <v>0</v>
      </c>
      <c r="BK193" s="3199">
        <f t="shared" si="135"/>
        <v>0</v>
      </c>
      <c r="BL193" s="3199">
        <f t="shared" si="136"/>
        <v>0</v>
      </c>
      <c r="BM193" s="3199">
        <f t="shared" si="137"/>
        <v>0</v>
      </c>
      <c r="BN193" s="3199">
        <f t="shared" si="138"/>
        <v>0</v>
      </c>
      <c r="BO193" s="3199">
        <f t="shared" si="139"/>
        <v>0</v>
      </c>
      <c r="BP193" s="3199">
        <f t="shared" si="140"/>
        <v>0</v>
      </c>
      <c r="BQ193" s="3199">
        <f t="shared" si="141"/>
        <v>0</v>
      </c>
      <c r="BR193" s="3199">
        <f t="shared" si="142"/>
        <v>0</v>
      </c>
      <c r="BS193" s="3199">
        <f t="shared" si="143"/>
        <v>0</v>
      </c>
      <c r="BT193" s="3271">
        <f t="shared" si="144"/>
        <v>0</v>
      </c>
    </row>
    <row r="194" spans="1:72">
      <c r="A194" s="3197"/>
      <c r="B194" s="3198"/>
      <c r="C194" s="3198"/>
      <c r="D194" s="3193"/>
      <c r="E194" s="3199">
        <f t="shared" si="145"/>
        <v>0</v>
      </c>
      <c r="F194" s="3200"/>
      <c r="G194" s="3201">
        <f t="shared" si="120"/>
        <v>0</v>
      </c>
      <c r="H194" s="3202">
        <f t="shared" si="121"/>
        <v>0</v>
      </c>
      <c r="I194" s="3218"/>
      <c r="J194" s="3218"/>
      <c r="K194" s="3218"/>
      <c r="L194" s="3218"/>
      <c r="M194" s="3218"/>
      <c r="N194" s="3218"/>
      <c r="O194" s="3218"/>
      <c r="P194" s="3218"/>
      <c r="Q194" s="3218"/>
      <c r="R194" s="3218"/>
      <c r="S194" s="3218"/>
      <c r="T194" s="3218"/>
      <c r="U194" s="3218"/>
      <c r="V194" s="3218"/>
      <c r="W194" s="3218"/>
      <c r="X194" s="3218"/>
      <c r="Y194" s="3218"/>
      <c r="Z194" s="3218"/>
      <c r="AA194" s="3218"/>
      <c r="AB194" s="3218"/>
      <c r="AC194" s="3199">
        <f t="shared" si="122"/>
        <v>0</v>
      </c>
      <c r="AD194" s="3229"/>
      <c r="AE194" s="3229"/>
      <c r="AF194" s="3229"/>
      <c r="AG194" s="3229"/>
      <c r="AH194" s="3229"/>
      <c r="AI194" s="3229"/>
      <c r="AJ194" s="3229"/>
      <c r="AK194" s="3229"/>
      <c r="AL194" s="3229"/>
      <c r="AM194" s="3229"/>
      <c r="AN194" s="3229"/>
      <c r="AO194" s="3229"/>
      <c r="AP194" s="3229"/>
      <c r="AQ194" s="3229"/>
      <c r="AR194" s="3229"/>
      <c r="AS194" s="3229"/>
      <c r="AT194" s="3249"/>
      <c r="AU194" s="3250"/>
      <c r="AV194" s="475">
        <f t="shared" si="146"/>
        <v>0</v>
      </c>
      <c r="AW194" s="475">
        <f t="shared" si="147"/>
        <v>0</v>
      </c>
      <c r="AX194" s="475">
        <f t="shared" si="148"/>
        <v>0</v>
      </c>
      <c r="AY194" s="3266">
        <f t="shared" si="123"/>
        <v>0</v>
      </c>
      <c r="AZ194" s="3199">
        <f t="shared" si="124"/>
        <v>0</v>
      </c>
      <c r="BA194" s="3199">
        <f t="shared" si="125"/>
        <v>0</v>
      </c>
      <c r="BB194" s="3199">
        <f t="shared" si="126"/>
        <v>0</v>
      </c>
      <c r="BC194" s="3199">
        <f t="shared" si="127"/>
        <v>0</v>
      </c>
      <c r="BD194" s="3199">
        <f t="shared" si="128"/>
        <v>0</v>
      </c>
      <c r="BE194" s="3199">
        <f t="shared" si="129"/>
        <v>0</v>
      </c>
      <c r="BF194" s="3199">
        <f t="shared" si="130"/>
        <v>0</v>
      </c>
      <c r="BG194" s="3199">
        <f t="shared" si="131"/>
        <v>0</v>
      </c>
      <c r="BH194" s="3199">
        <f t="shared" si="132"/>
        <v>0</v>
      </c>
      <c r="BI194" s="3199">
        <f t="shared" si="133"/>
        <v>0</v>
      </c>
      <c r="BJ194" s="3199">
        <f t="shared" si="134"/>
        <v>0</v>
      </c>
      <c r="BK194" s="3199">
        <f t="shared" si="135"/>
        <v>0</v>
      </c>
      <c r="BL194" s="3199">
        <f t="shared" si="136"/>
        <v>0</v>
      </c>
      <c r="BM194" s="3199">
        <f t="shared" si="137"/>
        <v>0</v>
      </c>
      <c r="BN194" s="3199">
        <f t="shared" si="138"/>
        <v>0</v>
      </c>
      <c r="BO194" s="3199">
        <f t="shared" si="139"/>
        <v>0</v>
      </c>
      <c r="BP194" s="3199">
        <f t="shared" si="140"/>
        <v>0</v>
      </c>
      <c r="BQ194" s="3199">
        <f t="shared" si="141"/>
        <v>0</v>
      </c>
      <c r="BR194" s="3199">
        <f t="shared" si="142"/>
        <v>0</v>
      </c>
      <c r="BS194" s="3199">
        <f t="shared" si="143"/>
        <v>0</v>
      </c>
      <c r="BT194" s="3271">
        <f t="shared" si="144"/>
        <v>0</v>
      </c>
    </row>
    <row r="195" spans="1:72">
      <c r="A195" s="3197"/>
      <c r="B195" s="3198"/>
      <c r="C195" s="3198"/>
      <c r="D195" s="3193"/>
      <c r="E195" s="3199">
        <f t="shared" si="145"/>
        <v>0</v>
      </c>
      <c r="F195" s="3200"/>
      <c r="G195" s="3201">
        <f t="shared" si="120"/>
        <v>0</v>
      </c>
      <c r="H195" s="3202">
        <f t="shared" si="121"/>
        <v>0</v>
      </c>
      <c r="I195" s="3218"/>
      <c r="J195" s="3218"/>
      <c r="K195" s="3218"/>
      <c r="L195" s="3218"/>
      <c r="M195" s="3218"/>
      <c r="N195" s="3218"/>
      <c r="O195" s="3218"/>
      <c r="P195" s="3218"/>
      <c r="Q195" s="3218"/>
      <c r="R195" s="3218"/>
      <c r="S195" s="3218"/>
      <c r="T195" s="3218"/>
      <c r="U195" s="3218"/>
      <c r="V195" s="3218"/>
      <c r="W195" s="3218"/>
      <c r="X195" s="3218"/>
      <c r="Y195" s="3218"/>
      <c r="Z195" s="3218"/>
      <c r="AA195" s="3218"/>
      <c r="AB195" s="3218"/>
      <c r="AC195" s="3199">
        <f t="shared" si="122"/>
        <v>0</v>
      </c>
      <c r="AD195" s="3229"/>
      <c r="AE195" s="3229"/>
      <c r="AF195" s="3229"/>
      <c r="AG195" s="3229"/>
      <c r="AH195" s="3229"/>
      <c r="AI195" s="3229"/>
      <c r="AJ195" s="3229"/>
      <c r="AK195" s="3229"/>
      <c r="AL195" s="3229"/>
      <c r="AM195" s="3229"/>
      <c r="AN195" s="3229"/>
      <c r="AO195" s="3229"/>
      <c r="AP195" s="3229"/>
      <c r="AQ195" s="3229"/>
      <c r="AR195" s="3229"/>
      <c r="AS195" s="3229"/>
      <c r="AT195" s="3249"/>
      <c r="AU195" s="3250"/>
      <c r="AV195" s="475">
        <f t="shared" si="146"/>
        <v>0</v>
      </c>
      <c r="AW195" s="475">
        <f t="shared" si="147"/>
        <v>0</v>
      </c>
      <c r="AX195" s="475">
        <f t="shared" si="148"/>
        <v>0</v>
      </c>
      <c r="AY195" s="3266">
        <f t="shared" si="123"/>
        <v>0</v>
      </c>
      <c r="AZ195" s="3199">
        <f t="shared" si="124"/>
        <v>0</v>
      </c>
      <c r="BA195" s="3199">
        <f t="shared" si="125"/>
        <v>0</v>
      </c>
      <c r="BB195" s="3199">
        <f t="shared" si="126"/>
        <v>0</v>
      </c>
      <c r="BC195" s="3199">
        <f t="shared" si="127"/>
        <v>0</v>
      </c>
      <c r="BD195" s="3199">
        <f t="shared" si="128"/>
        <v>0</v>
      </c>
      <c r="BE195" s="3199">
        <f t="shared" si="129"/>
        <v>0</v>
      </c>
      <c r="BF195" s="3199">
        <f t="shared" si="130"/>
        <v>0</v>
      </c>
      <c r="BG195" s="3199">
        <f t="shared" si="131"/>
        <v>0</v>
      </c>
      <c r="BH195" s="3199">
        <f t="shared" si="132"/>
        <v>0</v>
      </c>
      <c r="BI195" s="3199">
        <f t="shared" si="133"/>
        <v>0</v>
      </c>
      <c r="BJ195" s="3199">
        <f t="shared" si="134"/>
        <v>0</v>
      </c>
      <c r="BK195" s="3199">
        <f t="shared" si="135"/>
        <v>0</v>
      </c>
      <c r="BL195" s="3199">
        <f t="shared" si="136"/>
        <v>0</v>
      </c>
      <c r="BM195" s="3199">
        <f t="shared" si="137"/>
        <v>0</v>
      </c>
      <c r="BN195" s="3199">
        <f t="shared" si="138"/>
        <v>0</v>
      </c>
      <c r="BO195" s="3199">
        <f t="shared" si="139"/>
        <v>0</v>
      </c>
      <c r="BP195" s="3199">
        <f t="shared" si="140"/>
        <v>0</v>
      </c>
      <c r="BQ195" s="3199">
        <f t="shared" si="141"/>
        <v>0</v>
      </c>
      <c r="BR195" s="3199">
        <f t="shared" si="142"/>
        <v>0</v>
      </c>
      <c r="BS195" s="3199">
        <f t="shared" si="143"/>
        <v>0</v>
      </c>
      <c r="BT195" s="3271">
        <f t="shared" si="144"/>
        <v>0</v>
      </c>
    </row>
    <row r="196" spans="1:72">
      <c r="A196" s="3197"/>
      <c r="B196" s="3198"/>
      <c r="C196" s="3198"/>
      <c r="D196" s="3193"/>
      <c r="E196" s="3199">
        <f t="shared" si="145"/>
        <v>0</v>
      </c>
      <c r="F196" s="3200"/>
      <c r="G196" s="3201">
        <f t="shared" si="120"/>
        <v>0</v>
      </c>
      <c r="H196" s="3202">
        <f t="shared" si="121"/>
        <v>0</v>
      </c>
      <c r="I196" s="3218"/>
      <c r="J196" s="3218"/>
      <c r="K196" s="3218"/>
      <c r="L196" s="3218"/>
      <c r="M196" s="3218"/>
      <c r="N196" s="3218"/>
      <c r="O196" s="3218"/>
      <c r="P196" s="3218"/>
      <c r="Q196" s="3218"/>
      <c r="R196" s="3218"/>
      <c r="S196" s="3218"/>
      <c r="T196" s="3218"/>
      <c r="U196" s="3218"/>
      <c r="V196" s="3218"/>
      <c r="W196" s="3218"/>
      <c r="X196" s="3218"/>
      <c r="Y196" s="3218"/>
      <c r="Z196" s="3218"/>
      <c r="AA196" s="3218"/>
      <c r="AB196" s="3218"/>
      <c r="AC196" s="3199">
        <f t="shared" si="122"/>
        <v>0</v>
      </c>
      <c r="AD196" s="3229"/>
      <c r="AE196" s="3229"/>
      <c r="AF196" s="3229"/>
      <c r="AG196" s="3229"/>
      <c r="AH196" s="3229"/>
      <c r="AI196" s="3229"/>
      <c r="AJ196" s="3229"/>
      <c r="AK196" s="3229"/>
      <c r="AL196" s="3229"/>
      <c r="AM196" s="3229"/>
      <c r="AN196" s="3229"/>
      <c r="AO196" s="3229"/>
      <c r="AP196" s="3229"/>
      <c r="AQ196" s="3229"/>
      <c r="AR196" s="3229"/>
      <c r="AS196" s="3229"/>
      <c r="AT196" s="3249"/>
      <c r="AU196" s="3250"/>
      <c r="AV196" s="475">
        <f t="shared" si="146"/>
        <v>0</v>
      </c>
      <c r="AW196" s="475">
        <f t="shared" si="147"/>
        <v>0</v>
      </c>
      <c r="AX196" s="475">
        <f t="shared" si="148"/>
        <v>0</v>
      </c>
      <c r="AY196" s="3266">
        <f t="shared" si="123"/>
        <v>0</v>
      </c>
      <c r="AZ196" s="3199">
        <f t="shared" si="124"/>
        <v>0</v>
      </c>
      <c r="BA196" s="3199">
        <f t="shared" si="125"/>
        <v>0</v>
      </c>
      <c r="BB196" s="3199">
        <f t="shared" si="126"/>
        <v>0</v>
      </c>
      <c r="BC196" s="3199">
        <f t="shared" si="127"/>
        <v>0</v>
      </c>
      <c r="BD196" s="3199">
        <f t="shared" si="128"/>
        <v>0</v>
      </c>
      <c r="BE196" s="3199">
        <f t="shared" si="129"/>
        <v>0</v>
      </c>
      <c r="BF196" s="3199">
        <f t="shared" si="130"/>
        <v>0</v>
      </c>
      <c r="BG196" s="3199">
        <f t="shared" si="131"/>
        <v>0</v>
      </c>
      <c r="BH196" s="3199">
        <f t="shared" si="132"/>
        <v>0</v>
      </c>
      <c r="BI196" s="3199">
        <f t="shared" si="133"/>
        <v>0</v>
      </c>
      <c r="BJ196" s="3199">
        <f t="shared" si="134"/>
        <v>0</v>
      </c>
      <c r="BK196" s="3199">
        <f t="shared" si="135"/>
        <v>0</v>
      </c>
      <c r="BL196" s="3199">
        <f t="shared" si="136"/>
        <v>0</v>
      </c>
      <c r="BM196" s="3199">
        <f t="shared" si="137"/>
        <v>0</v>
      </c>
      <c r="BN196" s="3199">
        <f t="shared" si="138"/>
        <v>0</v>
      </c>
      <c r="BO196" s="3199">
        <f t="shared" si="139"/>
        <v>0</v>
      </c>
      <c r="BP196" s="3199">
        <f t="shared" si="140"/>
        <v>0</v>
      </c>
      <c r="BQ196" s="3199">
        <f t="shared" si="141"/>
        <v>0</v>
      </c>
      <c r="BR196" s="3199">
        <f t="shared" si="142"/>
        <v>0</v>
      </c>
      <c r="BS196" s="3199">
        <f t="shared" si="143"/>
        <v>0</v>
      </c>
      <c r="BT196" s="3271">
        <f t="shared" si="144"/>
        <v>0</v>
      </c>
    </row>
    <row r="197" spans="1:72">
      <c r="A197" s="3197"/>
      <c r="B197" s="3198"/>
      <c r="C197" s="3198"/>
      <c r="D197" s="3193"/>
      <c r="E197" s="3199">
        <f t="shared" si="145"/>
        <v>0</v>
      </c>
      <c r="F197" s="3200"/>
      <c r="G197" s="3201">
        <f t="shared" si="120"/>
        <v>0</v>
      </c>
      <c r="H197" s="3202">
        <f t="shared" si="121"/>
        <v>0</v>
      </c>
      <c r="I197" s="3218"/>
      <c r="J197" s="3218"/>
      <c r="K197" s="3218"/>
      <c r="L197" s="3218"/>
      <c r="M197" s="3218"/>
      <c r="N197" s="3218"/>
      <c r="O197" s="3218"/>
      <c r="P197" s="3218"/>
      <c r="Q197" s="3218"/>
      <c r="R197" s="3218"/>
      <c r="S197" s="3218"/>
      <c r="T197" s="3218"/>
      <c r="U197" s="3218"/>
      <c r="V197" s="3218"/>
      <c r="W197" s="3218"/>
      <c r="X197" s="3218"/>
      <c r="Y197" s="3218"/>
      <c r="Z197" s="3218"/>
      <c r="AA197" s="3218"/>
      <c r="AB197" s="3218"/>
      <c r="AC197" s="3199">
        <f t="shared" si="122"/>
        <v>0</v>
      </c>
      <c r="AD197" s="3229"/>
      <c r="AE197" s="3229"/>
      <c r="AF197" s="3229"/>
      <c r="AG197" s="3229"/>
      <c r="AH197" s="3229"/>
      <c r="AI197" s="3229"/>
      <c r="AJ197" s="3229"/>
      <c r="AK197" s="3229"/>
      <c r="AL197" s="3229"/>
      <c r="AM197" s="3229"/>
      <c r="AN197" s="3229"/>
      <c r="AO197" s="3229"/>
      <c r="AP197" s="3229"/>
      <c r="AQ197" s="3229"/>
      <c r="AR197" s="3229"/>
      <c r="AS197" s="3229"/>
      <c r="AT197" s="3249"/>
      <c r="AU197" s="3250"/>
      <c r="AV197" s="475">
        <f t="shared" si="146"/>
        <v>0</v>
      </c>
      <c r="AW197" s="475">
        <f t="shared" si="147"/>
        <v>0</v>
      </c>
      <c r="AX197" s="475">
        <f t="shared" si="148"/>
        <v>0</v>
      </c>
      <c r="AY197" s="3266">
        <f t="shared" si="123"/>
        <v>0</v>
      </c>
      <c r="AZ197" s="3199">
        <f t="shared" si="124"/>
        <v>0</v>
      </c>
      <c r="BA197" s="3199">
        <f t="shared" si="125"/>
        <v>0</v>
      </c>
      <c r="BB197" s="3199">
        <f t="shared" si="126"/>
        <v>0</v>
      </c>
      <c r="BC197" s="3199">
        <f t="shared" si="127"/>
        <v>0</v>
      </c>
      <c r="BD197" s="3199">
        <f t="shared" si="128"/>
        <v>0</v>
      </c>
      <c r="BE197" s="3199">
        <f t="shared" si="129"/>
        <v>0</v>
      </c>
      <c r="BF197" s="3199">
        <f t="shared" si="130"/>
        <v>0</v>
      </c>
      <c r="BG197" s="3199">
        <f t="shared" si="131"/>
        <v>0</v>
      </c>
      <c r="BH197" s="3199">
        <f t="shared" si="132"/>
        <v>0</v>
      </c>
      <c r="BI197" s="3199">
        <f t="shared" si="133"/>
        <v>0</v>
      </c>
      <c r="BJ197" s="3199">
        <f t="shared" si="134"/>
        <v>0</v>
      </c>
      <c r="BK197" s="3199">
        <f t="shared" si="135"/>
        <v>0</v>
      </c>
      <c r="BL197" s="3199">
        <f t="shared" si="136"/>
        <v>0</v>
      </c>
      <c r="BM197" s="3199">
        <f t="shared" si="137"/>
        <v>0</v>
      </c>
      <c r="BN197" s="3199">
        <f t="shared" si="138"/>
        <v>0</v>
      </c>
      <c r="BO197" s="3199">
        <f t="shared" si="139"/>
        <v>0</v>
      </c>
      <c r="BP197" s="3199">
        <f t="shared" si="140"/>
        <v>0</v>
      </c>
      <c r="BQ197" s="3199">
        <f t="shared" si="141"/>
        <v>0</v>
      </c>
      <c r="BR197" s="3199">
        <f t="shared" si="142"/>
        <v>0</v>
      </c>
      <c r="BS197" s="3199">
        <f t="shared" si="143"/>
        <v>0</v>
      </c>
      <c r="BT197" s="3271">
        <f t="shared" si="144"/>
        <v>0</v>
      </c>
    </row>
    <row r="198" spans="1:72">
      <c r="A198" s="3197"/>
      <c r="B198" s="3198"/>
      <c r="C198" s="3198"/>
      <c r="D198" s="3193"/>
      <c r="E198" s="3199">
        <f t="shared" si="145"/>
        <v>0</v>
      </c>
      <c r="F198" s="3200"/>
      <c r="G198" s="3201">
        <f t="shared" si="120"/>
        <v>0</v>
      </c>
      <c r="H198" s="3202">
        <f t="shared" si="121"/>
        <v>0</v>
      </c>
      <c r="I198" s="3218"/>
      <c r="J198" s="3218"/>
      <c r="K198" s="3218"/>
      <c r="L198" s="3218"/>
      <c r="M198" s="3218"/>
      <c r="N198" s="3218"/>
      <c r="O198" s="3218"/>
      <c r="P198" s="3218"/>
      <c r="Q198" s="3218"/>
      <c r="R198" s="3218"/>
      <c r="S198" s="3218"/>
      <c r="T198" s="3218"/>
      <c r="U198" s="3218"/>
      <c r="V198" s="3218"/>
      <c r="W198" s="3218"/>
      <c r="X198" s="3218"/>
      <c r="Y198" s="3218"/>
      <c r="Z198" s="3218"/>
      <c r="AA198" s="3218"/>
      <c r="AB198" s="3218"/>
      <c r="AC198" s="3199">
        <f t="shared" si="122"/>
        <v>0</v>
      </c>
      <c r="AD198" s="3229"/>
      <c r="AE198" s="3229"/>
      <c r="AF198" s="3229"/>
      <c r="AG198" s="3229"/>
      <c r="AH198" s="3229"/>
      <c r="AI198" s="3229"/>
      <c r="AJ198" s="3229"/>
      <c r="AK198" s="3229"/>
      <c r="AL198" s="3229"/>
      <c r="AM198" s="3229"/>
      <c r="AN198" s="3229"/>
      <c r="AO198" s="3229"/>
      <c r="AP198" s="3229"/>
      <c r="AQ198" s="3229"/>
      <c r="AR198" s="3229"/>
      <c r="AS198" s="3229"/>
      <c r="AT198" s="3249"/>
      <c r="AU198" s="3250"/>
      <c r="AV198" s="475">
        <f t="shared" si="146"/>
        <v>0</v>
      </c>
      <c r="AW198" s="475">
        <f t="shared" si="147"/>
        <v>0</v>
      </c>
      <c r="AX198" s="475">
        <f t="shared" si="148"/>
        <v>0</v>
      </c>
      <c r="AY198" s="3266">
        <f t="shared" si="123"/>
        <v>0</v>
      </c>
      <c r="AZ198" s="3199">
        <f t="shared" si="124"/>
        <v>0</v>
      </c>
      <c r="BA198" s="3199">
        <f t="shared" si="125"/>
        <v>0</v>
      </c>
      <c r="BB198" s="3199">
        <f t="shared" si="126"/>
        <v>0</v>
      </c>
      <c r="BC198" s="3199">
        <f t="shared" si="127"/>
        <v>0</v>
      </c>
      <c r="BD198" s="3199">
        <f t="shared" si="128"/>
        <v>0</v>
      </c>
      <c r="BE198" s="3199">
        <f t="shared" si="129"/>
        <v>0</v>
      </c>
      <c r="BF198" s="3199">
        <f t="shared" si="130"/>
        <v>0</v>
      </c>
      <c r="BG198" s="3199">
        <f t="shared" si="131"/>
        <v>0</v>
      </c>
      <c r="BH198" s="3199">
        <f t="shared" si="132"/>
        <v>0</v>
      </c>
      <c r="BI198" s="3199">
        <f t="shared" si="133"/>
        <v>0</v>
      </c>
      <c r="BJ198" s="3199">
        <f t="shared" si="134"/>
        <v>0</v>
      </c>
      <c r="BK198" s="3199">
        <f t="shared" si="135"/>
        <v>0</v>
      </c>
      <c r="BL198" s="3199">
        <f t="shared" si="136"/>
        <v>0</v>
      </c>
      <c r="BM198" s="3199">
        <f t="shared" si="137"/>
        <v>0</v>
      </c>
      <c r="BN198" s="3199">
        <f t="shared" si="138"/>
        <v>0</v>
      </c>
      <c r="BO198" s="3199">
        <f t="shared" si="139"/>
        <v>0</v>
      </c>
      <c r="BP198" s="3199">
        <f t="shared" si="140"/>
        <v>0</v>
      </c>
      <c r="BQ198" s="3199">
        <f t="shared" si="141"/>
        <v>0</v>
      </c>
      <c r="BR198" s="3199">
        <f t="shared" si="142"/>
        <v>0</v>
      </c>
      <c r="BS198" s="3199">
        <f t="shared" si="143"/>
        <v>0</v>
      </c>
      <c r="BT198" s="3271">
        <f t="shared" si="144"/>
        <v>0</v>
      </c>
    </row>
    <row r="199" spans="1:72">
      <c r="A199" s="3197"/>
      <c r="B199" s="3198"/>
      <c r="C199" s="3198"/>
      <c r="D199" s="3193"/>
      <c r="E199" s="3199">
        <f t="shared" si="145"/>
        <v>0</v>
      </c>
      <c r="F199" s="3200"/>
      <c r="G199" s="3201">
        <f t="shared" si="120"/>
        <v>0</v>
      </c>
      <c r="H199" s="3202">
        <f t="shared" si="121"/>
        <v>0</v>
      </c>
      <c r="I199" s="3218"/>
      <c r="J199" s="3218"/>
      <c r="K199" s="3218"/>
      <c r="L199" s="3218"/>
      <c r="M199" s="3218"/>
      <c r="N199" s="3218"/>
      <c r="O199" s="3218"/>
      <c r="P199" s="3218"/>
      <c r="Q199" s="3218"/>
      <c r="R199" s="3218"/>
      <c r="S199" s="3218"/>
      <c r="T199" s="3218"/>
      <c r="U199" s="3218"/>
      <c r="V199" s="3218"/>
      <c r="W199" s="3218"/>
      <c r="X199" s="3218"/>
      <c r="Y199" s="3218"/>
      <c r="Z199" s="3218"/>
      <c r="AA199" s="3218"/>
      <c r="AB199" s="3218"/>
      <c r="AC199" s="3199">
        <f t="shared" si="122"/>
        <v>0</v>
      </c>
      <c r="AD199" s="3229"/>
      <c r="AE199" s="3229"/>
      <c r="AF199" s="3229"/>
      <c r="AG199" s="3229"/>
      <c r="AH199" s="3229"/>
      <c r="AI199" s="3229"/>
      <c r="AJ199" s="3229"/>
      <c r="AK199" s="3229"/>
      <c r="AL199" s="3229"/>
      <c r="AM199" s="3229"/>
      <c r="AN199" s="3229"/>
      <c r="AO199" s="3229"/>
      <c r="AP199" s="3229"/>
      <c r="AQ199" s="3229"/>
      <c r="AR199" s="3229"/>
      <c r="AS199" s="3229"/>
      <c r="AT199" s="3249"/>
      <c r="AU199" s="3250"/>
      <c r="AV199" s="475">
        <f t="shared" si="146"/>
        <v>0</v>
      </c>
      <c r="AW199" s="475">
        <f t="shared" si="147"/>
        <v>0</v>
      </c>
      <c r="AX199" s="475">
        <f t="shared" si="148"/>
        <v>0</v>
      </c>
      <c r="AY199" s="3266">
        <f t="shared" si="123"/>
        <v>0</v>
      </c>
      <c r="AZ199" s="3199">
        <f t="shared" si="124"/>
        <v>0</v>
      </c>
      <c r="BA199" s="3199">
        <f t="shared" si="125"/>
        <v>0</v>
      </c>
      <c r="BB199" s="3199">
        <f t="shared" si="126"/>
        <v>0</v>
      </c>
      <c r="BC199" s="3199">
        <f t="shared" si="127"/>
        <v>0</v>
      </c>
      <c r="BD199" s="3199">
        <f t="shared" si="128"/>
        <v>0</v>
      </c>
      <c r="BE199" s="3199">
        <f t="shared" si="129"/>
        <v>0</v>
      </c>
      <c r="BF199" s="3199">
        <f t="shared" si="130"/>
        <v>0</v>
      </c>
      <c r="BG199" s="3199">
        <f t="shared" si="131"/>
        <v>0</v>
      </c>
      <c r="BH199" s="3199">
        <f t="shared" si="132"/>
        <v>0</v>
      </c>
      <c r="BI199" s="3199">
        <f t="shared" si="133"/>
        <v>0</v>
      </c>
      <c r="BJ199" s="3199">
        <f t="shared" si="134"/>
        <v>0</v>
      </c>
      <c r="BK199" s="3199">
        <f t="shared" si="135"/>
        <v>0</v>
      </c>
      <c r="BL199" s="3199">
        <f t="shared" si="136"/>
        <v>0</v>
      </c>
      <c r="BM199" s="3199">
        <f t="shared" si="137"/>
        <v>0</v>
      </c>
      <c r="BN199" s="3199">
        <f t="shared" si="138"/>
        <v>0</v>
      </c>
      <c r="BO199" s="3199">
        <f t="shared" si="139"/>
        <v>0</v>
      </c>
      <c r="BP199" s="3199">
        <f t="shared" si="140"/>
        <v>0</v>
      </c>
      <c r="BQ199" s="3199">
        <f t="shared" si="141"/>
        <v>0</v>
      </c>
      <c r="BR199" s="3199">
        <f t="shared" si="142"/>
        <v>0</v>
      </c>
      <c r="BS199" s="3199">
        <f t="shared" si="143"/>
        <v>0</v>
      </c>
      <c r="BT199" s="3271">
        <f t="shared" si="144"/>
        <v>0</v>
      </c>
    </row>
    <row r="200" spans="1:72">
      <c r="A200" s="3197"/>
      <c r="B200" s="3198"/>
      <c r="C200" s="3198"/>
      <c r="D200" s="3193"/>
      <c r="E200" s="3199">
        <f t="shared" si="145"/>
        <v>0</v>
      </c>
      <c r="F200" s="3200"/>
      <c r="G200" s="3201">
        <f t="shared" si="120"/>
        <v>0</v>
      </c>
      <c r="H200" s="3202">
        <f t="shared" si="121"/>
        <v>0</v>
      </c>
      <c r="I200" s="3218"/>
      <c r="J200" s="3218"/>
      <c r="K200" s="3218"/>
      <c r="L200" s="3218"/>
      <c r="M200" s="3218"/>
      <c r="N200" s="3218"/>
      <c r="O200" s="3218"/>
      <c r="P200" s="3218"/>
      <c r="Q200" s="3218"/>
      <c r="R200" s="3218"/>
      <c r="S200" s="3218"/>
      <c r="T200" s="3218"/>
      <c r="U200" s="3218"/>
      <c r="V200" s="3218"/>
      <c r="W200" s="3218"/>
      <c r="X200" s="3218"/>
      <c r="Y200" s="3218"/>
      <c r="Z200" s="3218"/>
      <c r="AA200" s="3218"/>
      <c r="AB200" s="3218"/>
      <c r="AC200" s="3199">
        <f t="shared" si="122"/>
        <v>0</v>
      </c>
      <c r="AD200" s="3229"/>
      <c r="AE200" s="3229"/>
      <c r="AF200" s="3229"/>
      <c r="AG200" s="3229"/>
      <c r="AH200" s="3229"/>
      <c r="AI200" s="3229"/>
      <c r="AJ200" s="3229"/>
      <c r="AK200" s="3229"/>
      <c r="AL200" s="3229"/>
      <c r="AM200" s="3229"/>
      <c r="AN200" s="3229"/>
      <c r="AO200" s="3229"/>
      <c r="AP200" s="3229"/>
      <c r="AQ200" s="3229"/>
      <c r="AR200" s="3229"/>
      <c r="AS200" s="3229"/>
      <c r="AT200" s="3249"/>
      <c r="AU200" s="3250"/>
      <c r="AV200" s="475">
        <f t="shared" si="146"/>
        <v>0</v>
      </c>
      <c r="AW200" s="475">
        <f t="shared" si="147"/>
        <v>0</v>
      </c>
      <c r="AX200" s="475">
        <f t="shared" si="148"/>
        <v>0</v>
      </c>
      <c r="AY200" s="3266">
        <f t="shared" si="123"/>
        <v>0</v>
      </c>
      <c r="AZ200" s="3199">
        <f t="shared" si="124"/>
        <v>0</v>
      </c>
      <c r="BA200" s="3199">
        <f t="shared" si="125"/>
        <v>0</v>
      </c>
      <c r="BB200" s="3199">
        <f t="shared" si="126"/>
        <v>0</v>
      </c>
      <c r="BC200" s="3199">
        <f t="shared" si="127"/>
        <v>0</v>
      </c>
      <c r="BD200" s="3199">
        <f t="shared" si="128"/>
        <v>0</v>
      </c>
      <c r="BE200" s="3199">
        <f t="shared" si="129"/>
        <v>0</v>
      </c>
      <c r="BF200" s="3199">
        <f t="shared" si="130"/>
        <v>0</v>
      </c>
      <c r="BG200" s="3199">
        <f t="shared" si="131"/>
        <v>0</v>
      </c>
      <c r="BH200" s="3199">
        <f t="shared" si="132"/>
        <v>0</v>
      </c>
      <c r="BI200" s="3199">
        <f t="shared" si="133"/>
        <v>0</v>
      </c>
      <c r="BJ200" s="3199">
        <f t="shared" si="134"/>
        <v>0</v>
      </c>
      <c r="BK200" s="3199">
        <f t="shared" si="135"/>
        <v>0</v>
      </c>
      <c r="BL200" s="3199">
        <f t="shared" si="136"/>
        <v>0</v>
      </c>
      <c r="BM200" s="3199">
        <f t="shared" si="137"/>
        <v>0</v>
      </c>
      <c r="BN200" s="3199">
        <f t="shared" si="138"/>
        <v>0</v>
      </c>
      <c r="BO200" s="3199">
        <f t="shared" si="139"/>
        <v>0</v>
      </c>
      <c r="BP200" s="3199">
        <f t="shared" si="140"/>
        <v>0</v>
      </c>
      <c r="BQ200" s="3199">
        <f t="shared" si="141"/>
        <v>0</v>
      </c>
      <c r="BR200" s="3199">
        <f t="shared" si="142"/>
        <v>0</v>
      </c>
      <c r="BS200" s="3199">
        <f t="shared" si="143"/>
        <v>0</v>
      </c>
      <c r="BT200" s="3271">
        <f t="shared" si="144"/>
        <v>0</v>
      </c>
    </row>
    <row r="201" spans="1:72">
      <c r="A201" s="3197"/>
      <c r="B201" s="3198"/>
      <c r="C201" s="3198"/>
      <c r="D201" s="3193"/>
      <c r="E201" s="3199">
        <f t="shared" si="145"/>
        <v>0</v>
      </c>
      <c r="F201" s="3200"/>
      <c r="G201" s="3201">
        <f t="shared" si="120"/>
        <v>0</v>
      </c>
      <c r="H201" s="3202">
        <f t="shared" si="121"/>
        <v>0</v>
      </c>
      <c r="I201" s="3218"/>
      <c r="J201" s="3218"/>
      <c r="K201" s="3218"/>
      <c r="L201" s="3218"/>
      <c r="M201" s="3218"/>
      <c r="N201" s="3218"/>
      <c r="O201" s="3218"/>
      <c r="P201" s="3218"/>
      <c r="Q201" s="3218"/>
      <c r="R201" s="3218"/>
      <c r="S201" s="3218"/>
      <c r="T201" s="3218"/>
      <c r="U201" s="3218"/>
      <c r="V201" s="3218"/>
      <c r="W201" s="3218"/>
      <c r="X201" s="3218"/>
      <c r="Y201" s="3218"/>
      <c r="Z201" s="3218"/>
      <c r="AA201" s="3218"/>
      <c r="AB201" s="3218"/>
      <c r="AC201" s="3199">
        <f t="shared" si="122"/>
        <v>0</v>
      </c>
      <c r="AD201" s="3229"/>
      <c r="AE201" s="3229"/>
      <c r="AF201" s="3229"/>
      <c r="AG201" s="3229"/>
      <c r="AH201" s="3229"/>
      <c r="AI201" s="3229"/>
      <c r="AJ201" s="3229"/>
      <c r="AK201" s="3229"/>
      <c r="AL201" s="3229"/>
      <c r="AM201" s="3229"/>
      <c r="AN201" s="3229"/>
      <c r="AO201" s="3229"/>
      <c r="AP201" s="3229"/>
      <c r="AQ201" s="3229"/>
      <c r="AR201" s="3229"/>
      <c r="AS201" s="3229"/>
      <c r="AT201" s="3249"/>
      <c r="AU201" s="3250"/>
      <c r="AV201" s="475">
        <f t="shared" si="146"/>
        <v>0</v>
      </c>
      <c r="AW201" s="475">
        <f t="shared" si="147"/>
        <v>0</v>
      </c>
      <c r="AX201" s="475">
        <f t="shared" si="148"/>
        <v>0</v>
      </c>
      <c r="AY201" s="3266">
        <f t="shared" si="123"/>
        <v>0</v>
      </c>
      <c r="AZ201" s="3199">
        <f t="shared" si="124"/>
        <v>0</v>
      </c>
      <c r="BA201" s="3199">
        <f t="shared" si="125"/>
        <v>0</v>
      </c>
      <c r="BB201" s="3199">
        <f t="shared" si="126"/>
        <v>0</v>
      </c>
      <c r="BC201" s="3199">
        <f t="shared" si="127"/>
        <v>0</v>
      </c>
      <c r="BD201" s="3199">
        <f t="shared" si="128"/>
        <v>0</v>
      </c>
      <c r="BE201" s="3199">
        <f t="shared" si="129"/>
        <v>0</v>
      </c>
      <c r="BF201" s="3199">
        <f t="shared" si="130"/>
        <v>0</v>
      </c>
      <c r="BG201" s="3199">
        <f t="shared" si="131"/>
        <v>0</v>
      </c>
      <c r="BH201" s="3199">
        <f t="shared" si="132"/>
        <v>0</v>
      </c>
      <c r="BI201" s="3199">
        <f t="shared" si="133"/>
        <v>0</v>
      </c>
      <c r="BJ201" s="3199">
        <f t="shared" si="134"/>
        <v>0</v>
      </c>
      <c r="BK201" s="3199">
        <f t="shared" si="135"/>
        <v>0</v>
      </c>
      <c r="BL201" s="3199">
        <f t="shared" si="136"/>
        <v>0</v>
      </c>
      <c r="BM201" s="3199">
        <f t="shared" si="137"/>
        <v>0</v>
      </c>
      <c r="BN201" s="3199">
        <f t="shared" si="138"/>
        <v>0</v>
      </c>
      <c r="BO201" s="3199">
        <f t="shared" si="139"/>
        <v>0</v>
      </c>
      <c r="BP201" s="3199">
        <f t="shared" si="140"/>
        <v>0</v>
      </c>
      <c r="BQ201" s="3199">
        <f t="shared" si="141"/>
        <v>0</v>
      </c>
      <c r="BR201" s="3199">
        <f t="shared" si="142"/>
        <v>0</v>
      </c>
      <c r="BS201" s="3199">
        <f t="shared" si="143"/>
        <v>0</v>
      </c>
      <c r="BT201" s="3271">
        <f t="shared" si="144"/>
        <v>0</v>
      </c>
    </row>
    <row r="202" spans="1:72">
      <c r="A202" s="3197"/>
      <c r="B202" s="3197"/>
      <c r="C202" s="3197"/>
      <c r="D202" s="3193"/>
      <c r="E202" s="3199">
        <f t="shared" si="145"/>
        <v>0</v>
      </c>
      <c r="F202" s="3272"/>
      <c r="G202" s="3201">
        <f t="shared" si="120"/>
        <v>0</v>
      </c>
      <c r="H202" s="3202">
        <f t="shared" si="121"/>
        <v>0</v>
      </c>
      <c r="I202" s="3273"/>
      <c r="J202" s="3273"/>
      <c r="K202" s="3218"/>
      <c r="L202" s="3218"/>
      <c r="M202" s="3218"/>
      <c r="N202" s="3218"/>
      <c r="O202" s="3218"/>
      <c r="P202" s="3218"/>
      <c r="Q202" s="3218"/>
      <c r="R202" s="3218"/>
      <c r="S202" s="3218"/>
      <c r="T202" s="3218"/>
      <c r="U202" s="3218"/>
      <c r="V202" s="3218"/>
      <c r="W202" s="3218"/>
      <c r="X202" s="3218"/>
      <c r="Y202" s="3218"/>
      <c r="Z202" s="3218"/>
      <c r="AA202" s="3218"/>
      <c r="AB202" s="3218"/>
      <c r="AC202" s="3199">
        <f t="shared" si="122"/>
        <v>0</v>
      </c>
      <c r="AD202" s="3229"/>
      <c r="AE202" s="3229"/>
      <c r="AF202" s="3229"/>
      <c r="AG202" s="3229"/>
      <c r="AH202" s="3229"/>
      <c r="AI202" s="3229"/>
      <c r="AJ202" s="3229"/>
      <c r="AK202" s="3229"/>
      <c r="AL202" s="3229"/>
      <c r="AM202" s="3229"/>
      <c r="AN202" s="3229"/>
      <c r="AO202" s="3229"/>
      <c r="AP202" s="3229"/>
      <c r="AQ202" s="3229"/>
      <c r="AR202" s="3229"/>
      <c r="AS202" s="3229"/>
      <c r="AT202" s="3229"/>
      <c r="AU202" s="3274"/>
      <c r="AV202" s="475">
        <f t="shared" si="146"/>
        <v>0</v>
      </c>
      <c r="AW202" s="475">
        <f t="shared" si="147"/>
        <v>0</v>
      </c>
      <c r="AX202" s="475">
        <f t="shared" si="148"/>
        <v>0</v>
      </c>
      <c r="AY202" s="3266">
        <f t="shared" si="123"/>
        <v>0</v>
      </c>
      <c r="AZ202" s="3199">
        <f t="shared" si="124"/>
        <v>0</v>
      </c>
      <c r="BA202" s="3199">
        <f t="shared" si="125"/>
        <v>0</v>
      </c>
      <c r="BB202" s="3199">
        <f t="shared" si="126"/>
        <v>0</v>
      </c>
      <c r="BC202" s="3199">
        <f t="shared" si="127"/>
        <v>0</v>
      </c>
      <c r="BD202" s="3199">
        <f t="shared" si="128"/>
        <v>0</v>
      </c>
      <c r="BE202" s="3199">
        <f t="shared" si="129"/>
        <v>0</v>
      </c>
      <c r="BF202" s="3199">
        <f t="shared" si="130"/>
        <v>0</v>
      </c>
      <c r="BG202" s="3199">
        <f t="shared" si="131"/>
        <v>0</v>
      </c>
      <c r="BH202" s="3199">
        <f t="shared" si="132"/>
        <v>0</v>
      </c>
      <c r="BI202" s="3199">
        <f t="shared" si="133"/>
        <v>0</v>
      </c>
      <c r="BJ202" s="3199">
        <f t="shared" si="134"/>
        <v>0</v>
      </c>
      <c r="BK202" s="3199">
        <f t="shared" si="135"/>
        <v>0</v>
      </c>
      <c r="BL202" s="3199">
        <f t="shared" si="136"/>
        <v>0</v>
      </c>
      <c r="BM202" s="3199">
        <f t="shared" si="137"/>
        <v>0</v>
      </c>
      <c r="BN202" s="3199">
        <f t="shared" si="138"/>
        <v>0</v>
      </c>
      <c r="BO202" s="3199">
        <f t="shared" si="139"/>
        <v>0</v>
      </c>
      <c r="BP202" s="3199">
        <f t="shared" si="140"/>
        <v>0</v>
      </c>
      <c r="BQ202" s="3199">
        <f t="shared" si="141"/>
        <v>0</v>
      </c>
      <c r="BR202" s="3199">
        <f t="shared" si="142"/>
        <v>0</v>
      </c>
      <c r="BS202" s="3199">
        <f t="shared" si="143"/>
        <v>0</v>
      </c>
      <c r="BT202" s="3271">
        <f t="shared" si="144"/>
        <v>0</v>
      </c>
    </row>
    <row r="203" spans="1:72">
      <c r="A203" s="3197"/>
      <c r="B203" s="3197"/>
      <c r="C203" s="3197"/>
      <c r="D203" s="3193"/>
      <c r="E203" s="3199">
        <f t="shared" si="145"/>
        <v>0</v>
      </c>
      <c r="F203" s="3272"/>
      <c r="G203" s="3201">
        <f t="shared" si="120"/>
        <v>0</v>
      </c>
      <c r="H203" s="3202">
        <f t="shared" si="121"/>
        <v>0</v>
      </c>
      <c r="I203" s="3218"/>
      <c r="J203" s="3218"/>
      <c r="K203" s="3218"/>
      <c r="L203" s="3218"/>
      <c r="M203" s="3218"/>
      <c r="N203" s="3218"/>
      <c r="O203" s="3218"/>
      <c r="P203" s="3218"/>
      <c r="Q203" s="3218"/>
      <c r="R203" s="3218"/>
      <c r="S203" s="3218"/>
      <c r="T203" s="3218"/>
      <c r="U203" s="3218"/>
      <c r="V203" s="3218"/>
      <c r="W203" s="3218"/>
      <c r="X203" s="3218"/>
      <c r="Y203" s="3218"/>
      <c r="Z203" s="3218"/>
      <c r="AA203" s="3218"/>
      <c r="AB203" s="3218"/>
      <c r="AC203" s="3199">
        <f t="shared" si="122"/>
        <v>0</v>
      </c>
      <c r="AD203" s="3229"/>
      <c r="AE203" s="3229"/>
      <c r="AF203" s="3229"/>
      <c r="AG203" s="3229"/>
      <c r="AH203" s="3229"/>
      <c r="AI203" s="3229"/>
      <c r="AJ203" s="3229"/>
      <c r="AK203" s="3229"/>
      <c r="AL203" s="3229"/>
      <c r="AM203" s="3229"/>
      <c r="AN203" s="3229"/>
      <c r="AO203" s="3229"/>
      <c r="AP203" s="3229"/>
      <c r="AQ203" s="3229"/>
      <c r="AR203" s="3229"/>
      <c r="AS203" s="3229"/>
      <c r="AT203" s="3229"/>
      <c r="AU203" s="3274"/>
      <c r="AV203" s="475">
        <f t="shared" si="146"/>
        <v>0</v>
      </c>
      <c r="AW203" s="475">
        <f t="shared" si="147"/>
        <v>0</v>
      </c>
      <c r="AX203" s="475">
        <f t="shared" si="148"/>
        <v>0</v>
      </c>
      <c r="AY203" s="3266">
        <f t="shared" si="123"/>
        <v>0</v>
      </c>
      <c r="AZ203" s="3199">
        <f t="shared" si="124"/>
        <v>0</v>
      </c>
      <c r="BA203" s="3199">
        <f t="shared" si="125"/>
        <v>0</v>
      </c>
      <c r="BB203" s="3199">
        <f t="shared" si="126"/>
        <v>0</v>
      </c>
      <c r="BC203" s="3199">
        <f t="shared" si="127"/>
        <v>0</v>
      </c>
      <c r="BD203" s="3199">
        <f t="shared" si="128"/>
        <v>0</v>
      </c>
      <c r="BE203" s="3199">
        <f t="shared" si="129"/>
        <v>0</v>
      </c>
      <c r="BF203" s="3199">
        <f t="shared" si="130"/>
        <v>0</v>
      </c>
      <c r="BG203" s="3199">
        <f t="shared" si="131"/>
        <v>0</v>
      </c>
      <c r="BH203" s="3199">
        <f t="shared" si="132"/>
        <v>0</v>
      </c>
      <c r="BI203" s="3199">
        <f t="shared" si="133"/>
        <v>0</v>
      </c>
      <c r="BJ203" s="3199">
        <f t="shared" si="134"/>
        <v>0</v>
      </c>
      <c r="BK203" s="3199">
        <f t="shared" si="135"/>
        <v>0</v>
      </c>
      <c r="BL203" s="3199">
        <f t="shared" si="136"/>
        <v>0</v>
      </c>
      <c r="BM203" s="3199">
        <f t="shared" si="137"/>
        <v>0</v>
      </c>
      <c r="BN203" s="3199">
        <f t="shared" si="138"/>
        <v>0</v>
      </c>
      <c r="BO203" s="3199">
        <f t="shared" si="139"/>
        <v>0</v>
      </c>
      <c r="BP203" s="3199">
        <f t="shared" si="140"/>
        <v>0</v>
      </c>
      <c r="BQ203" s="3199">
        <f t="shared" si="141"/>
        <v>0</v>
      </c>
      <c r="BR203" s="3199">
        <f t="shared" si="142"/>
        <v>0</v>
      </c>
      <c r="BS203" s="3199">
        <f t="shared" si="143"/>
        <v>0</v>
      </c>
      <c r="BT203" s="3271">
        <f t="shared" si="144"/>
        <v>0</v>
      </c>
    </row>
    <row r="204" spans="1:72">
      <c r="A204" s="3197"/>
      <c r="B204" s="3197"/>
      <c r="C204" s="3197"/>
      <c r="D204" s="3193"/>
      <c r="E204" s="3199">
        <f t="shared" si="145"/>
        <v>0</v>
      </c>
      <c r="F204" s="3272"/>
      <c r="G204" s="3201">
        <f t="shared" si="120"/>
        <v>0</v>
      </c>
      <c r="H204" s="3202">
        <f t="shared" si="121"/>
        <v>0</v>
      </c>
      <c r="I204" s="3218"/>
      <c r="J204" s="3218"/>
      <c r="K204" s="3218"/>
      <c r="L204" s="3218"/>
      <c r="M204" s="3218"/>
      <c r="N204" s="3218"/>
      <c r="O204" s="3218"/>
      <c r="P204" s="3218"/>
      <c r="Q204" s="3218"/>
      <c r="R204" s="3218"/>
      <c r="S204" s="3218"/>
      <c r="T204" s="3218"/>
      <c r="U204" s="3218"/>
      <c r="V204" s="3218"/>
      <c r="W204" s="3218"/>
      <c r="X204" s="3218"/>
      <c r="Y204" s="3218"/>
      <c r="Z204" s="3218"/>
      <c r="AA204" s="3218"/>
      <c r="AB204" s="3218"/>
      <c r="AC204" s="3199">
        <f t="shared" si="122"/>
        <v>0</v>
      </c>
      <c r="AD204" s="3229"/>
      <c r="AE204" s="3229"/>
      <c r="AF204" s="3229"/>
      <c r="AG204" s="3229"/>
      <c r="AH204" s="3229"/>
      <c r="AI204" s="3229"/>
      <c r="AJ204" s="3229"/>
      <c r="AK204" s="3229"/>
      <c r="AL204" s="3229"/>
      <c r="AM204" s="3229"/>
      <c r="AN204" s="3229"/>
      <c r="AO204" s="3229"/>
      <c r="AP204" s="3229"/>
      <c r="AQ204" s="3229"/>
      <c r="AR204" s="3229"/>
      <c r="AS204" s="3229"/>
      <c r="AT204" s="3229"/>
      <c r="AU204" s="3274"/>
      <c r="AV204" s="475">
        <f t="shared" si="146"/>
        <v>0</v>
      </c>
      <c r="AW204" s="475">
        <f t="shared" si="147"/>
        <v>0</v>
      </c>
      <c r="AX204" s="475">
        <f t="shared" si="148"/>
        <v>0</v>
      </c>
      <c r="AY204" s="3266">
        <f t="shared" si="123"/>
        <v>0</v>
      </c>
      <c r="AZ204" s="3199">
        <f t="shared" si="124"/>
        <v>0</v>
      </c>
      <c r="BA204" s="3199">
        <f t="shared" si="125"/>
        <v>0</v>
      </c>
      <c r="BB204" s="3199">
        <f t="shared" si="126"/>
        <v>0</v>
      </c>
      <c r="BC204" s="3199">
        <f t="shared" si="127"/>
        <v>0</v>
      </c>
      <c r="BD204" s="3199">
        <f t="shared" si="128"/>
        <v>0</v>
      </c>
      <c r="BE204" s="3199">
        <f t="shared" si="129"/>
        <v>0</v>
      </c>
      <c r="BF204" s="3199">
        <f t="shared" si="130"/>
        <v>0</v>
      </c>
      <c r="BG204" s="3199">
        <f t="shared" si="131"/>
        <v>0</v>
      </c>
      <c r="BH204" s="3199">
        <f t="shared" si="132"/>
        <v>0</v>
      </c>
      <c r="BI204" s="3199">
        <f t="shared" si="133"/>
        <v>0</v>
      </c>
      <c r="BJ204" s="3199">
        <f t="shared" si="134"/>
        <v>0</v>
      </c>
      <c r="BK204" s="3199">
        <f t="shared" si="135"/>
        <v>0</v>
      </c>
      <c r="BL204" s="3199">
        <f t="shared" si="136"/>
        <v>0</v>
      </c>
      <c r="BM204" s="3199">
        <f t="shared" si="137"/>
        <v>0</v>
      </c>
      <c r="BN204" s="3199">
        <f t="shared" si="138"/>
        <v>0</v>
      </c>
      <c r="BO204" s="3199">
        <f t="shared" si="139"/>
        <v>0</v>
      </c>
      <c r="BP204" s="3199">
        <f t="shared" si="140"/>
        <v>0</v>
      </c>
      <c r="BQ204" s="3199">
        <f t="shared" si="141"/>
        <v>0</v>
      </c>
      <c r="BR204" s="3199">
        <f t="shared" si="142"/>
        <v>0</v>
      </c>
      <c r="BS204" s="3199">
        <f t="shared" si="143"/>
        <v>0</v>
      </c>
      <c r="BT204" s="3271">
        <f t="shared" si="144"/>
        <v>0</v>
      </c>
    </row>
    <row r="205" spans="1:72">
      <c r="A205" s="3197"/>
      <c r="B205" s="3205"/>
      <c r="C205" s="3204"/>
      <c r="D205" s="3193"/>
      <c r="E205" s="3199">
        <f t="shared" ref="E205:E296" si="149">IF($C$3="是",ROUND($A$3*G205/$B$3,2),ROUND($A$3*(G205-AT205)/$B$3,2))</f>
        <v>0</v>
      </c>
      <c r="F205" s="3200"/>
      <c r="G205" s="3201">
        <f t="shared" ref="G205:G293" si="150">H205+AC205+AT205</f>
        <v>0</v>
      </c>
      <c r="H205" s="3202">
        <f t="shared" ref="H205:H293" si="151">SUMIF(I$12:AB$12,"总值",I205:AB205)</f>
        <v>0</v>
      </c>
      <c r="I205" s="3207"/>
      <c r="J205" s="3218"/>
      <c r="K205" s="3207"/>
      <c r="L205" s="3218"/>
      <c r="M205" s="3218"/>
      <c r="N205" s="3218"/>
      <c r="O205" s="3218"/>
      <c r="P205" s="3218"/>
      <c r="Q205" s="3218"/>
      <c r="R205" s="3218"/>
      <c r="S205" s="3218"/>
      <c r="T205" s="3218"/>
      <c r="U205" s="3218"/>
      <c r="V205" s="3218"/>
      <c r="W205" s="3218"/>
      <c r="X205" s="3218"/>
      <c r="Y205" s="3218"/>
      <c r="Z205" s="3218"/>
      <c r="AA205" s="3218"/>
      <c r="AB205" s="3218"/>
      <c r="AC205" s="3199">
        <f t="shared" ref="AC205:AC293" si="152">SUMIF(AD$12:AS$12,"总值",AD205:AS205)</f>
        <v>0</v>
      </c>
      <c r="AD205" s="3229"/>
      <c r="AE205" s="3229"/>
      <c r="AF205" s="3230"/>
      <c r="AG205" s="3229"/>
      <c r="AH205" s="3229"/>
      <c r="AI205" s="3229"/>
      <c r="AJ205" s="3229"/>
      <c r="AK205" s="3229"/>
      <c r="AL205" s="3229"/>
      <c r="AM205" s="3229"/>
      <c r="AN205" s="3219"/>
      <c r="AO205" s="3229"/>
      <c r="AP205" s="3229"/>
      <c r="AQ205" s="3229"/>
      <c r="AR205" s="3229"/>
      <c r="AS205" s="3229"/>
      <c r="AT205" s="3249"/>
      <c r="AU205" s="3250"/>
      <c r="AV205" s="475">
        <f t="shared" ref="AV205:AV296" si="153">A205</f>
        <v>0</v>
      </c>
      <c r="AW205" s="475">
        <f t="shared" ref="AW205:AW296" si="154">B205</f>
        <v>0</v>
      </c>
      <c r="AX205" s="475">
        <f t="shared" ref="AX205:AX296" si="155">C205</f>
        <v>0</v>
      </c>
      <c r="AY205" s="3266">
        <f t="shared" ref="AY205:AY293" si="156">ROUND($AY$6*AZ205/$AZ$5,2)</f>
        <v>0</v>
      </c>
      <c r="AZ205" s="3199">
        <f t="shared" ref="AZ205:AZ293" si="157">BA205+BL205</f>
        <v>0</v>
      </c>
      <c r="BA205" s="3199">
        <f t="shared" ref="BA205:BA293" si="158">SUM(BB205:BK205)</f>
        <v>0</v>
      </c>
      <c r="BB205" s="3199">
        <f t="shared" ref="BB205:BB293" si="159">IF($D205="是",I205-J205,0)</f>
        <v>0</v>
      </c>
      <c r="BC205" s="3199">
        <f t="shared" ref="BC205:BC293" si="160">IF($D205="是",K205-L205,0)</f>
        <v>0</v>
      </c>
      <c r="BD205" s="3199">
        <f t="shared" ref="BD205:BD293" si="161">IF($D205="是",M205-N205,0)</f>
        <v>0</v>
      </c>
      <c r="BE205" s="3199">
        <f t="shared" ref="BE205:BE293" si="162">IF($D205="是",O205-P205,0)</f>
        <v>0</v>
      </c>
      <c r="BF205" s="3199">
        <f t="shared" ref="BF205:BF293" si="163">IF($D205="是",Q205-R205,0)</f>
        <v>0</v>
      </c>
      <c r="BG205" s="3199">
        <f t="shared" ref="BG205:BG293" si="164">IF($D205="是",S205-T205,0)</f>
        <v>0</v>
      </c>
      <c r="BH205" s="3199">
        <f t="shared" ref="BH205:BH293" si="165">IF($D205="是",U205-V205,0)</f>
        <v>0</v>
      </c>
      <c r="BI205" s="3199">
        <f t="shared" ref="BI205:BI293" si="166">IF($D205="是",W205-X205,0)</f>
        <v>0</v>
      </c>
      <c r="BJ205" s="3199">
        <f t="shared" ref="BJ205:BJ293" si="167">IF($D205="是",Y205-Z205,0)</f>
        <v>0</v>
      </c>
      <c r="BK205" s="3199">
        <f t="shared" ref="BK205:BK293" si="168">IF($D205="是",AA205-AB205,0)</f>
        <v>0</v>
      </c>
      <c r="BL205" s="3199">
        <f t="shared" ref="BL205:BL293" si="169">SUM(BM205:BT205)</f>
        <v>0</v>
      </c>
      <c r="BM205" s="3199">
        <f t="shared" ref="BM205:BM293" si="170">IF($D205="是",AD205-AE205,0)</f>
        <v>0</v>
      </c>
      <c r="BN205" s="3199">
        <f t="shared" ref="BN205:BN293" si="171">IF($D205="是",AF205-AG205,0)</f>
        <v>0</v>
      </c>
      <c r="BO205" s="3199">
        <f t="shared" ref="BO205:BO293" si="172">IF($D205="是",AH205-AI205,0)</f>
        <v>0</v>
      </c>
      <c r="BP205" s="3199">
        <f t="shared" ref="BP205:BP293" si="173">IF($D205="是",AJ205-AK205,0)</f>
        <v>0</v>
      </c>
      <c r="BQ205" s="3199">
        <f t="shared" ref="BQ205:BQ293" si="174">IF($D205="是",AL205-AM205,0)</f>
        <v>0</v>
      </c>
      <c r="BR205" s="3199">
        <f t="shared" ref="BR205:BR293" si="175">IF($D205="是",AN205-AO205,0)</f>
        <v>0</v>
      </c>
      <c r="BS205" s="3199">
        <f t="shared" ref="BS205:BS293" si="176">IF($D205="是",AP205-AQ205,0)</f>
        <v>0</v>
      </c>
      <c r="BT205" s="3271">
        <f t="shared" ref="BT205:BT293" si="177">IF($D205="是",AR205-AS205,0)</f>
        <v>0</v>
      </c>
    </row>
    <row r="206" spans="1:72">
      <c r="A206" s="3197"/>
      <c r="B206" s="3205"/>
      <c r="C206" s="3204"/>
      <c r="D206" s="3193"/>
      <c r="E206" s="3199">
        <f t="shared" si="149"/>
        <v>0</v>
      </c>
      <c r="F206" s="3200"/>
      <c r="G206" s="3201">
        <f t="shared" si="150"/>
        <v>0</v>
      </c>
      <c r="H206" s="3202">
        <f t="shared" si="151"/>
        <v>0</v>
      </c>
      <c r="I206" s="3207"/>
      <c r="J206" s="3218"/>
      <c r="K206" s="3207"/>
      <c r="L206" s="3218"/>
      <c r="M206" s="3219"/>
      <c r="N206" s="3218"/>
      <c r="O206" s="3218"/>
      <c r="P206" s="3218"/>
      <c r="Q206" s="3218"/>
      <c r="R206" s="3218"/>
      <c r="S206" s="3218"/>
      <c r="T206" s="3218"/>
      <c r="U206" s="3218"/>
      <c r="V206" s="3218"/>
      <c r="W206" s="3218"/>
      <c r="X206" s="3218"/>
      <c r="Y206" s="3218"/>
      <c r="Z206" s="3218"/>
      <c r="AA206" s="3218"/>
      <c r="AB206" s="3218"/>
      <c r="AC206" s="3199">
        <f t="shared" si="152"/>
        <v>0</v>
      </c>
      <c r="AD206" s="3219"/>
      <c r="AE206" s="3229"/>
      <c r="AF206" s="3230"/>
      <c r="AG206" s="3229"/>
      <c r="AH206" s="3229"/>
      <c r="AI206" s="3229"/>
      <c r="AJ206" s="3229"/>
      <c r="AK206" s="3229"/>
      <c r="AL206" s="3219"/>
      <c r="AM206" s="3229"/>
      <c r="AN206" s="3219"/>
      <c r="AO206" s="3229"/>
      <c r="AP206" s="3229"/>
      <c r="AQ206" s="3229"/>
      <c r="AR206" s="3229"/>
      <c r="AS206" s="3229"/>
      <c r="AT206" s="3249"/>
      <c r="AU206" s="3250"/>
      <c r="AV206" s="475">
        <f t="shared" si="153"/>
        <v>0</v>
      </c>
      <c r="AW206" s="475">
        <f t="shared" si="154"/>
        <v>0</v>
      </c>
      <c r="AX206" s="475">
        <f t="shared" si="155"/>
        <v>0</v>
      </c>
      <c r="AY206" s="3266">
        <f t="shared" si="156"/>
        <v>0</v>
      </c>
      <c r="AZ206" s="3199">
        <f t="shared" si="157"/>
        <v>0</v>
      </c>
      <c r="BA206" s="3199">
        <f t="shared" si="158"/>
        <v>0</v>
      </c>
      <c r="BB206" s="3199">
        <f t="shared" si="159"/>
        <v>0</v>
      </c>
      <c r="BC206" s="3199">
        <f t="shared" si="160"/>
        <v>0</v>
      </c>
      <c r="BD206" s="3199">
        <f t="shared" si="161"/>
        <v>0</v>
      </c>
      <c r="BE206" s="3199">
        <f t="shared" si="162"/>
        <v>0</v>
      </c>
      <c r="BF206" s="3199">
        <f t="shared" si="163"/>
        <v>0</v>
      </c>
      <c r="BG206" s="3199">
        <f t="shared" si="164"/>
        <v>0</v>
      </c>
      <c r="BH206" s="3199">
        <f t="shared" si="165"/>
        <v>0</v>
      </c>
      <c r="BI206" s="3199">
        <f t="shared" si="166"/>
        <v>0</v>
      </c>
      <c r="BJ206" s="3199">
        <f t="shared" si="167"/>
        <v>0</v>
      </c>
      <c r="BK206" s="3199">
        <f t="shared" si="168"/>
        <v>0</v>
      </c>
      <c r="BL206" s="3199">
        <f t="shared" si="169"/>
        <v>0</v>
      </c>
      <c r="BM206" s="3199">
        <f t="shared" si="170"/>
        <v>0</v>
      </c>
      <c r="BN206" s="3199">
        <f t="shared" si="171"/>
        <v>0</v>
      </c>
      <c r="BO206" s="3199">
        <f t="shared" si="172"/>
        <v>0</v>
      </c>
      <c r="BP206" s="3199">
        <f t="shared" si="173"/>
        <v>0</v>
      </c>
      <c r="BQ206" s="3199">
        <f t="shared" si="174"/>
        <v>0</v>
      </c>
      <c r="BR206" s="3199">
        <f t="shared" si="175"/>
        <v>0</v>
      </c>
      <c r="BS206" s="3199">
        <f t="shared" si="176"/>
        <v>0</v>
      </c>
      <c r="BT206" s="3271">
        <f t="shared" si="177"/>
        <v>0</v>
      </c>
    </row>
    <row r="207" spans="1:72">
      <c r="A207" s="3197"/>
      <c r="B207" s="3205"/>
      <c r="C207" s="3204"/>
      <c r="D207" s="3193"/>
      <c r="E207" s="3199">
        <f t="shared" si="149"/>
        <v>0</v>
      </c>
      <c r="F207" s="3200"/>
      <c r="G207" s="3201">
        <f t="shared" si="150"/>
        <v>0</v>
      </c>
      <c r="H207" s="3202">
        <f t="shared" si="151"/>
        <v>0</v>
      </c>
      <c r="I207" s="3207"/>
      <c r="J207" s="3218"/>
      <c r="K207" s="3207"/>
      <c r="L207" s="3218"/>
      <c r="M207" s="3219"/>
      <c r="N207" s="3218"/>
      <c r="O207" s="3218"/>
      <c r="P207" s="3218"/>
      <c r="Q207" s="3218"/>
      <c r="R207" s="3218"/>
      <c r="S207" s="3218"/>
      <c r="T207" s="3218"/>
      <c r="U207" s="3218"/>
      <c r="V207" s="3218"/>
      <c r="W207" s="3218"/>
      <c r="X207" s="3218"/>
      <c r="Y207" s="3218"/>
      <c r="Z207" s="3218"/>
      <c r="AA207" s="3218"/>
      <c r="AB207" s="3218"/>
      <c r="AC207" s="3199">
        <f t="shared" si="152"/>
        <v>0</v>
      </c>
      <c r="AD207" s="3229"/>
      <c r="AE207" s="3229"/>
      <c r="AF207" s="3230"/>
      <c r="AG207" s="3229"/>
      <c r="AH207" s="3229"/>
      <c r="AI207" s="3229"/>
      <c r="AJ207" s="3229"/>
      <c r="AK207" s="3229"/>
      <c r="AL207" s="3219"/>
      <c r="AM207" s="3229"/>
      <c r="AN207" s="3219"/>
      <c r="AO207" s="3229"/>
      <c r="AP207" s="3229"/>
      <c r="AQ207" s="3229"/>
      <c r="AR207" s="3229"/>
      <c r="AS207" s="3229"/>
      <c r="AT207" s="3249"/>
      <c r="AU207" s="3250"/>
      <c r="AV207" s="475">
        <f t="shared" si="153"/>
        <v>0</v>
      </c>
      <c r="AW207" s="475">
        <f t="shared" si="154"/>
        <v>0</v>
      </c>
      <c r="AX207" s="475">
        <f t="shared" si="155"/>
        <v>0</v>
      </c>
      <c r="AY207" s="3266">
        <f t="shared" si="156"/>
        <v>0</v>
      </c>
      <c r="AZ207" s="3199">
        <f t="shared" si="157"/>
        <v>0</v>
      </c>
      <c r="BA207" s="3199">
        <f t="shared" si="158"/>
        <v>0</v>
      </c>
      <c r="BB207" s="3199">
        <f t="shared" si="159"/>
        <v>0</v>
      </c>
      <c r="BC207" s="3199">
        <f t="shared" si="160"/>
        <v>0</v>
      </c>
      <c r="BD207" s="3199">
        <f t="shared" si="161"/>
        <v>0</v>
      </c>
      <c r="BE207" s="3199">
        <f t="shared" si="162"/>
        <v>0</v>
      </c>
      <c r="BF207" s="3199">
        <f t="shared" si="163"/>
        <v>0</v>
      </c>
      <c r="BG207" s="3199">
        <f t="shared" si="164"/>
        <v>0</v>
      </c>
      <c r="BH207" s="3199">
        <f t="shared" si="165"/>
        <v>0</v>
      </c>
      <c r="BI207" s="3199">
        <f t="shared" si="166"/>
        <v>0</v>
      </c>
      <c r="BJ207" s="3199">
        <f t="shared" si="167"/>
        <v>0</v>
      </c>
      <c r="BK207" s="3199">
        <f t="shared" si="168"/>
        <v>0</v>
      </c>
      <c r="BL207" s="3199">
        <f t="shared" si="169"/>
        <v>0</v>
      </c>
      <c r="BM207" s="3199">
        <f t="shared" si="170"/>
        <v>0</v>
      </c>
      <c r="BN207" s="3199">
        <f t="shared" si="171"/>
        <v>0</v>
      </c>
      <c r="BO207" s="3199">
        <f t="shared" si="172"/>
        <v>0</v>
      </c>
      <c r="BP207" s="3199">
        <f t="shared" si="173"/>
        <v>0</v>
      </c>
      <c r="BQ207" s="3199">
        <f t="shared" si="174"/>
        <v>0</v>
      </c>
      <c r="BR207" s="3199">
        <f t="shared" si="175"/>
        <v>0</v>
      </c>
      <c r="BS207" s="3199">
        <f t="shared" si="176"/>
        <v>0</v>
      </c>
      <c r="BT207" s="3271">
        <f t="shared" si="177"/>
        <v>0</v>
      </c>
    </row>
    <row r="208" spans="1:72">
      <c r="A208" s="3197"/>
      <c r="B208" s="3205"/>
      <c r="C208" s="3204"/>
      <c r="D208" s="3193"/>
      <c r="E208" s="3199">
        <f t="shared" si="149"/>
        <v>0</v>
      </c>
      <c r="F208" s="3200"/>
      <c r="G208" s="3201">
        <f t="shared" si="150"/>
        <v>0</v>
      </c>
      <c r="H208" s="3202">
        <f t="shared" si="151"/>
        <v>0</v>
      </c>
      <c r="I208" s="3207"/>
      <c r="J208" s="3218"/>
      <c r="K208" s="3207"/>
      <c r="L208" s="3218"/>
      <c r="M208" s="3218"/>
      <c r="N208" s="3218"/>
      <c r="O208" s="3219"/>
      <c r="P208" s="3218"/>
      <c r="Q208" s="3218"/>
      <c r="R208" s="3218"/>
      <c r="S208" s="3218"/>
      <c r="T208" s="3218"/>
      <c r="U208" s="3218"/>
      <c r="V208" s="3218"/>
      <c r="W208" s="3218"/>
      <c r="X208" s="3218"/>
      <c r="Y208" s="3218"/>
      <c r="Z208" s="3218"/>
      <c r="AA208" s="3218"/>
      <c r="AB208" s="3218"/>
      <c r="AC208" s="3199">
        <f t="shared" si="152"/>
        <v>0</v>
      </c>
      <c r="AD208" s="3229"/>
      <c r="AE208" s="3229"/>
      <c r="AF208" s="3230"/>
      <c r="AG208" s="3229"/>
      <c r="AH208" s="3229"/>
      <c r="AI208" s="3229"/>
      <c r="AJ208" s="3229"/>
      <c r="AK208" s="3229"/>
      <c r="AL208" s="3229"/>
      <c r="AM208" s="3229"/>
      <c r="AN208" s="3219"/>
      <c r="AO208" s="3229"/>
      <c r="AP208" s="3229"/>
      <c r="AQ208" s="3229"/>
      <c r="AR208" s="3229"/>
      <c r="AS208" s="3229"/>
      <c r="AT208" s="3249"/>
      <c r="AU208" s="3250"/>
      <c r="AV208" s="475">
        <f t="shared" si="153"/>
        <v>0</v>
      </c>
      <c r="AW208" s="475">
        <f t="shared" si="154"/>
        <v>0</v>
      </c>
      <c r="AX208" s="475">
        <f t="shared" si="155"/>
        <v>0</v>
      </c>
      <c r="AY208" s="3266">
        <f t="shared" si="156"/>
        <v>0</v>
      </c>
      <c r="AZ208" s="3199">
        <f t="shared" si="157"/>
        <v>0</v>
      </c>
      <c r="BA208" s="3199">
        <f t="shared" si="158"/>
        <v>0</v>
      </c>
      <c r="BB208" s="3199">
        <f t="shared" si="159"/>
        <v>0</v>
      </c>
      <c r="BC208" s="3199">
        <f t="shared" si="160"/>
        <v>0</v>
      </c>
      <c r="BD208" s="3199">
        <f t="shared" si="161"/>
        <v>0</v>
      </c>
      <c r="BE208" s="3199">
        <f t="shared" si="162"/>
        <v>0</v>
      </c>
      <c r="BF208" s="3199">
        <f t="shared" si="163"/>
        <v>0</v>
      </c>
      <c r="BG208" s="3199">
        <f t="shared" si="164"/>
        <v>0</v>
      </c>
      <c r="BH208" s="3199">
        <f t="shared" si="165"/>
        <v>0</v>
      </c>
      <c r="BI208" s="3199">
        <f t="shared" si="166"/>
        <v>0</v>
      </c>
      <c r="BJ208" s="3199">
        <f t="shared" si="167"/>
        <v>0</v>
      </c>
      <c r="BK208" s="3199">
        <f t="shared" si="168"/>
        <v>0</v>
      </c>
      <c r="BL208" s="3199">
        <f t="shared" si="169"/>
        <v>0</v>
      </c>
      <c r="BM208" s="3199">
        <f t="shared" si="170"/>
        <v>0</v>
      </c>
      <c r="BN208" s="3199">
        <f t="shared" si="171"/>
        <v>0</v>
      </c>
      <c r="BO208" s="3199">
        <f t="shared" si="172"/>
        <v>0</v>
      </c>
      <c r="BP208" s="3199">
        <f t="shared" si="173"/>
        <v>0</v>
      </c>
      <c r="BQ208" s="3199">
        <f t="shared" si="174"/>
        <v>0</v>
      </c>
      <c r="BR208" s="3199">
        <f t="shared" si="175"/>
        <v>0</v>
      </c>
      <c r="BS208" s="3199">
        <f t="shared" si="176"/>
        <v>0</v>
      </c>
      <c r="BT208" s="3271">
        <f t="shared" si="177"/>
        <v>0</v>
      </c>
    </row>
    <row r="209" spans="1:72">
      <c r="A209" s="3197"/>
      <c r="B209" s="3205"/>
      <c r="C209" s="3204"/>
      <c r="D209" s="3193"/>
      <c r="E209" s="3199">
        <f t="shared" si="149"/>
        <v>0</v>
      </c>
      <c r="F209" s="3200"/>
      <c r="G209" s="3201">
        <f t="shared" si="150"/>
        <v>0</v>
      </c>
      <c r="H209" s="3202">
        <f t="shared" si="151"/>
        <v>0</v>
      </c>
      <c r="I209" s="3207"/>
      <c r="J209" s="3218"/>
      <c r="K209" s="3207"/>
      <c r="L209" s="3218"/>
      <c r="M209" s="3218"/>
      <c r="N209" s="3218"/>
      <c r="O209" s="3218"/>
      <c r="P209" s="3218"/>
      <c r="Q209" s="3218"/>
      <c r="R209" s="3218"/>
      <c r="S209" s="3218"/>
      <c r="T209" s="3218"/>
      <c r="U209" s="3218"/>
      <c r="V209" s="3218"/>
      <c r="W209" s="3218"/>
      <c r="X209" s="3218"/>
      <c r="Y209" s="3218"/>
      <c r="Z209" s="3218"/>
      <c r="AA209" s="3218"/>
      <c r="AB209" s="3218"/>
      <c r="AC209" s="3199">
        <f t="shared" si="152"/>
        <v>0</v>
      </c>
      <c r="AD209" s="3229"/>
      <c r="AE209" s="3229"/>
      <c r="AF209" s="3230"/>
      <c r="AG209" s="3229"/>
      <c r="AH209" s="3229"/>
      <c r="AI209" s="3229"/>
      <c r="AJ209" s="3229"/>
      <c r="AK209" s="3229"/>
      <c r="AL209" s="3229"/>
      <c r="AM209" s="3229"/>
      <c r="AN209" s="3229"/>
      <c r="AO209" s="3229"/>
      <c r="AP209" s="3229"/>
      <c r="AQ209" s="3229"/>
      <c r="AR209" s="3229"/>
      <c r="AS209" s="3229"/>
      <c r="AT209" s="3249"/>
      <c r="AU209" s="3250"/>
      <c r="AV209" s="475">
        <f t="shared" si="153"/>
        <v>0</v>
      </c>
      <c r="AW209" s="475">
        <f t="shared" si="154"/>
        <v>0</v>
      </c>
      <c r="AX209" s="475">
        <f t="shared" si="155"/>
        <v>0</v>
      </c>
      <c r="AY209" s="3266">
        <f t="shared" si="156"/>
        <v>0</v>
      </c>
      <c r="AZ209" s="3199">
        <f t="shared" si="157"/>
        <v>0</v>
      </c>
      <c r="BA209" s="3199">
        <f t="shared" si="158"/>
        <v>0</v>
      </c>
      <c r="BB209" s="3199">
        <f t="shared" si="159"/>
        <v>0</v>
      </c>
      <c r="BC209" s="3199">
        <f t="shared" si="160"/>
        <v>0</v>
      </c>
      <c r="BD209" s="3199">
        <f t="shared" si="161"/>
        <v>0</v>
      </c>
      <c r="BE209" s="3199">
        <f t="shared" si="162"/>
        <v>0</v>
      </c>
      <c r="BF209" s="3199">
        <f t="shared" si="163"/>
        <v>0</v>
      </c>
      <c r="BG209" s="3199">
        <f t="shared" si="164"/>
        <v>0</v>
      </c>
      <c r="BH209" s="3199">
        <f t="shared" si="165"/>
        <v>0</v>
      </c>
      <c r="BI209" s="3199">
        <f t="shared" si="166"/>
        <v>0</v>
      </c>
      <c r="BJ209" s="3199">
        <f t="shared" si="167"/>
        <v>0</v>
      </c>
      <c r="BK209" s="3199">
        <f t="shared" si="168"/>
        <v>0</v>
      </c>
      <c r="BL209" s="3199">
        <f t="shared" si="169"/>
        <v>0</v>
      </c>
      <c r="BM209" s="3199">
        <f t="shared" si="170"/>
        <v>0</v>
      </c>
      <c r="BN209" s="3199">
        <f t="shared" si="171"/>
        <v>0</v>
      </c>
      <c r="BO209" s="3199">
        <f t="shared" si="172"/>
        <v>0</v>
      </c>
      <c r="BP209" s="3199">
        <f t="shared" si="173"/>
        <v>0</v>
      </c>
      <c r="BQ209" s="3199">
        <f t="shared" si="174"/>
        <v>0</v>
      </c>
      <c r="BR209" s="3199">
        <f t="shared" si="175"/>
        <v>0</v>
      </c>
      <c r="BS209" s="3199">
        <f t="shared" si="176"/>
        <v>0</v>
      </c>
      <c r="BT209" s="3271">
        <f t="shared" si="177"/>
        <v>0</v>
      </c>
    </row>
    <row r="210" spans="1:72">
      <c r="A210" s="3197"/>
      <c r="B210" s="3205"/>
      <c r="C210" s="3204"/>
      <c r="D210" s="3193"/>
      <c r="E210" s="3199">
        <f t="shared" si="149"/>
        <v>0</v>
      </c>
      <c r="F210" s="3200"/>
      <c r="G210" s="3201">
        <f t="shared" si="150"/>
        <v>0</v>
      </c>
      <c r="H210" s="3202">
        <f t="shared" si="151"/>
        <v>0</v>
      </c>
      <c r="I210" s="3207"/>
      <c r="J210" s="3218"/>
      <c r="K210" s="3207"/>
      <c r="L210" s="3218"/>
      <c r="M210" s="3218"/>
      <c r="N210" s="3218"/>
      <c r="O210" s="3218"/>
      <c r="P210" s="3218"/>
      <c r="Q210" s="3218"/>
      <c r="R210" s="3218"/>
      <c r="S210" s="3218"/>
      <c r="T210" s="3218"/>
      <c r="U210" s="3218"/>
      <c r="V210" s="3218"/>
      <c r="W210" s="3218"/>
      <c r="X210" s="3218"/>
      <c r="Y210" s="3218"/>
      <c r="Z210" s="3218"/>
      <c r="AA210" s="3218"/>
      <c r="AB210" s="3218"/>
      <c r="AC210" s="3199">
        <f t="shared" si="152"/>
        <v>0</v>
      </c>
      <c r="AD210" s="3229"/>
      <c r="AE210" s="3229"/>
      <c r="AF210" s="3230"/>
      <c r="AG210" s="3229"/>
      <c r="AH210" s="3229"/>
      <c r="AI210" s="3229"/>
      <c r="AJ210" s="3229"/>
      <c r="AK210" s="3229"/>
      <c r="AL210" s="3229"/>
      <c r="AM210" s="3229"/>
      <c r="AN210" s="3229"/>
      <c r="AO210" s="3229"/>
      <c r="AP210" s="3229"/>
      <c r="AQ210" s="3229"/>
      <c r="AR210" s="3229"/>
      <c r="AS210" s="3229"/>
      <c r="AT210" s="3249"/>
      <c r="AU210" s="3250"/>
      <c r="AV210" s="475">
        <f t="shared" si="153"/>
        <v>0</v>
      </c>
      <c r="AW210" s="475">
        <f t="shared" si="154"/>
        <v>0</v>
      </c>
      <c r="AX210" s="475">
        <f t="shared" si="155"/>
        <v>0</v>
      </c>
      <c r="AY210" s="3266">
        <f t="shared" si="156"/>
        <v>0</v>
      </c>
      <c r="AZ210" s="3199">
        <f t="shared" si="157"/>
        <v>0</v>
      </c>
      <c r="BA210" s="3199">
        <f t="shared" si="158"/>
        <v>0</v>
      </c>
      <c r="BB210" s="3199">
        <f t="shared" si="159"/>
        <v>0</v>
      </c>
      <c r="BC210" s="3199">
        <f t="shared" si="160"/>
        <v>0</v>
      </c>
      <c r="BD210" s="3199">
        <f t="shared" si="161"/>
        <v>0</v>
      </c>
      <c r="BE210" s="3199">
        <f t="shared" si="162"/>
        <v>0</v>
      </c>
      <c r="BF210" s="3199">
        <f t="shared" si="163"/>
        <v>0</v>
      </c>
      <c r="BG210" s="3199">
        <f t="shared" si="164"/>
        <v>0</v>
      </c>
      <c r="BH210" s="3199">
        <f t="shared" si="165"/>
        <v>0</v>
      </c>
      <c r="BI210" s="3199">
        <f t="shared" si="166"/>
        <v>0</v>
      </c>
      <c r="BJ210" s="3199">
        <f t="shared" si="167"/>
        <v>0</v>
      </c>
      <c r="BK210" s="3199">
        <f t="shared" si="168"/>
        <v>0</v>
      </c>
      <c r="BL210" s="3199">
        <f t="shared" si="169"/>
        <v>0</v>
      </c>
      <c r="BM210" s="3199">
        <f t="shared" si="170"/>
        <v>0</v>
      </c>
      <c r="BN210" s="3199">
        <f t="shared" si="171"/>
        <v>0</v>
      </c>
      <c r="BO210" s="3199">
        <f t="shared" si="172"/>
        <v>0</v>
      </c>
      <c r="BP210" s="3199">
        <f t="shared" si="173"/>
        <v>0</v>
      </c>
      <c r="BQ210" s="3199">
        <f t="shared" si="174"/>
        <v>0</v>
      </c>
      <c r="BR210" s="3199">
        <f t="shared" si="175"/>
        <v>0</v>
      </c>
      <c r="BS210" s="3199">
        <f t="shared" si="176"/>
        <v>0</v>
      </c>
      <c r="BT210" s="3271">
        <f t="shared" si="177"/>
        <v>0</v>
      </c>
    </row>
    <row r="211" spans="1:72">
      <c r="A211" s="3197"/>
      <c r="B211" s="3205"/>
      <c r="C211" s="3204"/>
      <c r="D211" s="3193"/>
      <c r="E211" s="3199">
        <f t="shared" si="149"/>
        <v>0</v>
      </c>
      <c r="F211" s="3200"/>
      <c r="G211" s="3201">
        <f t="shared" si="150"/>
        <v>0</v>
      </c>
      <c r="H211" s="3202">
        <f t="shared" si="151"/>
        <v>0</v>
      </c>
      <c r="I211" s="3207"/>
      <c r="J211" s="3218"/>
      <c r="K211" s="3207"/>
      <c r="L211" s="3218"/>
      <c r="M211" s="3218"/>
      <c r="N211" s="3218"/>
      <c r="O211" s="3218"/>
      <c r="P211" s="3218"/>
      <c r="Q211" s="3218"/>
      <c r="R211" s="3218"/>
      <c r="S211" s="3218"/>
      <c r="T211" s="3218"/>
      <c r="U211" s="3218"/>
      <c r="V211" s="3218"/>
      <c r="W211" s="3218"/>
      <c r="X211" s="3218"/>
      <c r="Y211" s="3218"/>
      <c r="Z211" s="3218"/>
      <c r="AA211" s="3218"/>
      <c r="AB211" s="3218"/>
      <c r="AC211" s="3199">
        <f t="shared" si="152"/>
        <v>0</v>
      </c>
      <c r="AD211" s="3229"/>
      <c r="AE211" s="3229"/>
      <c r="AF211" s="3230"/>
      <c r="AG211" s="3229"/>
      <c r="AH211" s="3229"/>
      <c r="AI211" s="3229"/>
      <c r="AJ211" s="3229"/>
      <c r="AK211" s="3229"/>
      <c r="AL211" s="3229"/>
      <c r="AM211" s="3229"/>
      <c r="AN211" s="3229"/>
      <c r="AO211" s="3229"/>
      <c r="AP211" s="3229"/>
      <c r="AQ211" s="3229"/>
      <c r="AR211" s="3229"/>
      <c r="AS211" s="3229"/>
      <c r="AT211" s="3249"/>
      <c r="AU211" s="3250"/>
      <c r="AV211" s="475">
        <f t="shared" si="153"/>
        <v>0</v>
      </c>
      <c r="AW211" s="475">
        <f t="shared" si="154"/>
        <v>0</v>
      </c>
      <c r="AX211" s="475">
        <f t="shared" si="155"/>
        <v>0</v>
      </c>
      <c r="AY211" s="3266">
        <f t="shared" si="156"/>
        <v>0</v>
      </c>
      <c r="AZ211" s="3199">
        <f t="shared" si="157"/>
        <v>0</v>
      </c>
      <c r="BA211" s="3199">
        <f t="shared" si="158"/>
        <v>0</v>
      </c>
      <c r="BB211" s="3199">
        <f t="shared" si="159"/>
        <v>0</v>
      </c>
      <c r="BC211" s="3199">
        <f t="shared" si="160"/>
        <v>0</v>
      </c>
      <c r="BD211" s="3199">
        <f t="shared" si="161"/>
        <v>0</v>
      </c>
      <c r="BE211" s="3199">
        <f t="shared" si="162"/>
        <v>0</v>
      </c>
      <c r="BF211" s="3199">
        <f t="shared" si="163"/>
        <v>0</v>
      </c>
      <c r="BG211" s="3199">
        <f t="shared" si="164"/>
        <v>0</v>
      </c>
      <c r="BH211" s="3199">
        <f t="shared" si="165"/>
        <v>0</v>
      </c>
      <c r="BI211" s="3199">
        <f t="shared" si="166"/>
        <v>0</v>
      </c>
      <c r="BJ211" s="3199">
        <f t="shared" si="167"/>
        <v>0</v>
      </c>
      <c r="BK211" s="3199">
        <f t="shared" si="168"/>
        <v>0</v>
      </c>
      <c r="BL211" s="3199">
        <f t="shared" si="169"/>
        <v>0</v>
      </c>
      <c r="BM211" s="3199">
        <f t="shared" si="170"/>
        <v>0</v>
      </c>
      <c r="BN211" s="3199">
        <f t="shared" si="171"/>
        <v>0</v>
      </c>
      <c r="BO211" s="3199">
        <f t="shared" si="172"/>
        <v>0</v>
      </c>
      <c r="BP211" s="3199">
        <f t="shared" si="173"/>
        <v>0</v>
      </c>
      <c r="BQ211" s="3199">
        <f t="shared" si="174"/>
        <v>0</v>
      </c>
      <c r="BR211" s="3199">
        <f t="shared" si="175"/>
        <v>0</v>
      </c>
      <c r="BS211" s="3199">
        <f t="shared" si="176"/>
        <v>0</v>
      </c>
      <c r="BT211" s="3271">
        <f t="shared" si="177"/>
        <v>0</v>
      </c>
    </row>
    <row r="212" spans="1:72">
      <c r="A212" s="3197"/>
      <c r="B212" s="3205"/>
      <c r="C212" s="3204"/>
      <c r="D212" s="3193"/>
      <c r="E212" s="3199">
        <f t="shared" si="149"/>
        <v>0</v>
      </c>
      <c r="F212" s="3200"/>
      <c r="G212" s="3201">
        <f t="shared" si="150"/>
        <v>0</v>
      </c>
      <c r="H212" s="3202">
        <f t="shared" si="151"/>
        <v>0</v>
      </c>
      <c r="I212" s="3207"/>
      <c r="J212" s="3218"/>
      <c r="K212" s="3207"/>
      <c r="L212" s="3218"/>
      <c r="M212" s="3218"/>
      <c r="N212" s="3218"/>
      <c r="O212" s="3218"/>
      <c r="P212" s="3218"/>
      <c r="Q212" s="3218"/>
      <c r="R212" s="3218"/>
      <c r="S212" s="3218"/>
      <c r="T212" s="3218"/>
      <c r="U212" s="3218"/>
      <c r="V212" s="3218"/>
      <c r="W212" s="3218"/>
      <c r="X212" s="3218"/>
      <c r="Y212" s="3218"/>
      <c r="Z212" s="3218"/>
      <c r="AA212" s="3218"/>
      <c r="AB212" s="3218"/>
      <c r="AC212" s="3199">
        <f t="shared" si="152"/>
        <v>0</v>
      </c>
      <c r="AD212" s="3229"/>
      <c r="AE212" s="3229"/>
      <c r="AF212" s="3207"/>
      <c r="AG212" s="3229"/>
      <c r="AH212" s="3229"/>
      <c r="AI212" s="3229"/>
      <c r="AJ212" s="3229"/>
      <c r="AK212" s="3229"/>
      <c r="AL212" s="3229"/>
      <c r="AM212" s="3229"/>
      <c r="AN212" s="3229"/>
      <c r="AO212" s="3229"/>
      <c r="AP212" s="3229"/>
      <c r="AQ212" s="3229"/>
      <c r="AR212" s="3229"/>
      <c r="AS212" s="3229"/>
      <c r="AT212" s="3249"/>
      <c r="AU212" s="3250"/>
      <c r="AV212" s="475">
        <f t="shared" si="153"/>
        <v>0</v>
      </c>
      <c r="AW212" s="475">
        <f t="shared" si="154"/>
        <v>0</v>
      </c>
      <c r="AX212" s="475">
        <f t="shared" si="155"/>
        <v>0</v>
      </c>
      <c r="AY212" s="3266">
        <f t="shared" si="156"/>
        <v>0</v>
      </c>
      <c r="AZ212" s="3199">
        <f t="shared" si="157"/>
        <v>0</v>
      </c>
      <c r="BA212" s="3199">
        <f t="shared" si="158"/>
        <v>0</v>
      </c>
      <c r="BB212" s="3199">
        <f t="shared" si="159"/>
        <v>0</v>
      </c>
      <c r="BC212" s="3199">
        <f t="shared" si="160"/>
        <v>0</v>
      </c>
      <c r="BD212" s="3199">
        <f t="shared" si="161"/>
        <v>0</v>
      </c>
      <c r="BE212" s="3199">
        <f t="shared" si="162"/>
        <v>0</v>
      </c>
      <c r="BF212" s="3199">
        <f t="shared" si="163"/>
        <v>0</v>
      </c>
      <c r="BG212" s="3199">
        <f t="shared" si="164"/>
        <v>0</v>
      </c>
      <c r="BH212" s="3199">
        <f t="shared" si="165"/>
        <v>0</v>
      </c>
      <c r="BI212" s="3199">
        <f t="shared" si="166"/>
        <v>0</v>
      </c>
      <c r="BJ212" s="3199">
        <f t="shared" si="167"/>
        <v>0</v>
      </c>
      <c r="BK212" s="3199">
        <f t="shared" si="168"/>
        <v>0</v>
      </c>
      <c r="BL212" s="3199">
        <f t="shared" si="169"/>
        <v>0</v>
      </c>
      <c r="BM212" s="3199">
        <f t="shared" si="170"/>
        <v>0</v>
      </c>
      <c r="BN212" s="3199">
        <f t="shared" si="171"/>
        <v>0</v>
      </c>
      <c r="BO212" s="3199">
        <f t="shared" si="172"/>
        <v>0</v>
      </c>
      <c r="BP212" s="3199">
        <f t="shared" si="173"/>
        <v>0</v>
      </c>
      <c r="BQ212" s="3199">
        <f t="shared" si="174"/>
        <v>0</v>
      </c>
      <c r="BR212" s="3199">
        <f t="shared" si="175"/>
        <v>0</v>
      </c>
      <c r="BS212" s="3199">
        <f t="shared" si="176"/>
        <v>0</v>
      </c>
      <c r="BT212" s="3271">
        <f t="shared" si="177"/>
        <v>0</v>
      </c>
    </row>
    <row r="213" spans="1:72">
      <c r="A213" s="3197"/>
      <c r="B213" s="3206"/>
      <c r="C213" s="3207"/>
      <c r="D213" s="3193"/>
      <c r="E213" s="3199">
        <f t="shared" si="149"/>
        <v>0</v>
      </c>
      <c r="F213" s="3200"/>
      <c r="G213" s="3201">
        <f t="shared" si="150"/>
        <v>0</v>
      </c>
      <c r="H213" s="3202">
        <f t="shared" si="151"/>
        <v>0</v>
      </c>
      <c r="I213" s="3207"/>
      <c r="J213" s="3218"/>
      <c r="K213" s="3207"/>
      <c r="L213" s="3218"/>
      <c r="M213" s="3218"/>
      <c r="N213" s="3218"/>
      <c r="O213" s="3218"/>
      <c r="P213" s="3218"/>
      <c r="Q213" s="3218"/>
      <c r="R213" s="3218"/>
      <c r="S213" s="3218"/>
      <c r="T213" s="3218"/>
      <c r="U213" s="3218"/>
      <c r="V213" s="3218"/>
      <c r="W213" s="3218"/>
      <c r="X213" s="3218"/>
      <c r="Y213" s="3218"/>
      <c r="Z213" s="3218"/>
      <c r="AA213" s="3218"/>
      <c r="AB213" s="3218"/>
      <c r="AC213" s="3199">
        <f t="shared" si="152"/>
        <v>0</v>
      </c>
      <c r="AD213" s="3229"/>
      <c r="AE213" s="3229"/>
      <c r="AF213" s="3207"/>
      <c r="AG213" s="3229"/>
      <c r="AH213" s="3229"/>
      <c r="AI213" s="3229"/>
      <c r="AJ213" s="3229"/>
      <c r="AK213" s="3229"/>
      <c r="AL213" s="3229"/>
      <c r="AM213" s="3229"/>
      <c r="AN213" s="3229"/>
      <c r="AO213" s="3229"/>
      <c r="AP213" s="3229"/>
      <c r="AQ213" s="3229"/>
      <c r="AR213" s="3229"/>
      <c r="AS213" s="3229"/>
      <c r="AT213" s="3249"/>
      <c r="AU213" s="3250"/>
      <c r="AV213" s="475">
        <f t="shared" si="153"/>
        <v>0</v>
      </c>
      <c r="AW213" s="475">
        <f t="shared" si="154"/>
        <v>0</v>
      </c>
      <c r="AX213" s="475">
        <f t="shared" si="155"/>
        <v>0</v>
      </c>
      <c r="AY213" s="3266">
        <f t="shared" si="156"/>
        <v>0</v>
      </c>
      <c r="AZ213" s="3199">
        <f t="shared" si="157"/>
        <v>0</v>
      </c>
      <c r="BA213" s="3199">
        <f t="shared" si="158"/>
        <v>0</v>
      </c>
      <c r="BB213" s="3199">
        <f t="shared" si="159"/>
        <v>0</v>
      </c>
      <c r="BC213" s="3199">
        <f t="shared" si="160"/>
        <v>0</v>
      </c>
      <c r="BD213" s="3199">
        <f t="shared" si="161"/>
        <v>0</v>
      </c>
      <c r="BE213" s="3199">
        <f t="shared" si="162"/>
        <v>0</v>
      </c>
      <c r="BF213" s="3199">
        <f t="shared" si="163"/>
        <v>0</v>
      </c>
      <c r="BG213" s="3199">
        <f t="shared" si="164"/>
        <v>0</v>
      </c>
      <c r="BH213" s="3199">
        <f t="shared" si="165"/>
        <v>0</v>
      </c>
      <c r="BI213" s="3199">
        <f t="shared" si="166"/>
        <v>0</v>
      </c>
      <c r="BJ213" s="3199">
        <f t="shared" si="167"/>
        <v>0</v>
      </c>
      <c r="BK213" s="3199">
        <f t="shared" si="168"/>
        <v>0</v>
      </c>
      <c r="BL213" s="3199">
        <f t="shared" si="169"/>
        <v>0</v>
      </c>
      <c r="BM213" s="3199">
        <f t="shared" si="170"/>
        <v>0</v>
      </c>
      <c r="BN213" s="3199">
        <f t="shared" si="171"/>
        <v>0</v>
      </c>
      <c r="BO213" s="3199">
        <f t="shared" si="172"/>
        <v>0</v>
      </c>
      <c r="BP213" s="3199">
        <f t="shared" si="173"/>
        <v>0</v>
      </c>
      <c r="BQ213" s="3199">
        <f t="shared" si="174"/>
        <v>0</v>
      </c>
      <c r="BR213" s="3199">
        <f t="shared" si="175"/>
        <v>0</v>
      </c>
      <c r="BS213" s="3199">
        <f t="shared" si="176"/>
        <v>0</v>
      </c>
      <c r="BT213" s="3271">
        <f t="shared" si="177"/>
        <v>0</v>
      </c>
    </row>
    <row r="214" spans="1:72">
      <c r="A214" s="3197"/>
      <c r="B214" s="3205"/>
      <c r="C214" s="3204"/>
      <c r="D214" s="3193"/>
      <c r="E214" s="3199">
        <f t="shared" si="149"/>
        <v>0</v>
      </c>
      <c r="F214" s="3200"/>
      <c r="G214" s="3201">
        <f t="shared" si="150"/>
        <v>0</v>
      </c>
      <c r="H214" s="3202">
        <f t="shared" si="151"/>
        <v>0</v>
      </c>
      <c r="I214" s="3207"/>
      <c r="J214" s="3218"/>
      <c r="K214" s="3207"/>
      <c r="L214" s="3218"/>
      <c r="M214" s="3218"/>
      <c r="N214" s="3218"/>
      <c r="O214" s="3218"/>
      <c r="P214" s="3218"/>
      <c r="Q214" s="3218"/>
      <c r="R214" s="3218"/>
      <c r="S214" s="3218"/>
      <c r="T214" s="3218"/>
      <c r="U214" s="3218"/>
      <c r="V214" s="3218"/>
      <c r="W214" s="3218"/>
      <c r="X214" s="3218"/>
      <c r="Y214" s="3218"/>
      <c r="Z214" s="3218"/>
      <c r="AA214" s="3218"/>
      <c r="AB214" s="3218"/>
      <c r="AC214" s="3199">
        <f t="shared" si="152"/>
        <v>0</v>
      </c>
      <c r="AD214" s="3229"/>
      <c r="AE214" s="3229"/>
      <c r="AF214" s="3207"/>
      <c r="AG214" s="3229"/>
      <c r="AH214" s="3229"/>
      <c r="AI214" s="3229"/>
      <c r="AJ214" s="3229"/>
      <c r="AK214" s="3229"/>
      <c r="AL214" s="3229"/>
      <c r="AM214" s="3229"/>
      <c r="AN214" s="3229"/>
      <c r="AO214" s="3229"/>
      <c r="AP214" s="3229"/>
      <c r="AQ214" s="3229"/>
      <c r="AR214" s="3229"/>
      <c r="AS214" s="3229"/>
      <c r="AT214" s="3249"/>
      <c r="AU214" s="3250"/>
      <c r="AV214" s="475">
        <f t="shared" si="153"/>
        <v>0</v>
      </c>
      <c r="AW214" s="475">
        <f t="shared" si="154"/>
        <v>0</v>
      </c>
      <c r="AX214" s="475">
        <f t="shared" si="155"/>
        <v>0</v>
      </c>
      <c r="AY214" s="3266">
        <f t="shared" si="156"/>
        <v>0</v>
      </c>
      <c r="AZ214" s="3199">
        <f t="shared" si="157"/>
        <v>0</v>
      </c>
      <c r="BA214" s="3199">
        <f t="shared" si="158"/>
        <v>0</v>
      </c>
      <c r="BB214" s="3199">
        <f t="shared" si="159"/>
        <v>0</v>
      </c>
      <c r="BC214" s="3199">
        <f t="shared" si="160"/>
        <v>0</v>
      </c>
      <c r="BD214" s="3199">
        <f t="shared" si="161"/>
        <v>0</v>
      </c>
      <c r="BE214" s="3199">
        <f t="shared" si="162"/>
        <v>0</v>
      </c>
      <c r="BF214" s="3199">
        <f t="shared" si="163"/>
        <v>0</v>
      </c>
      <c r="BG214" s="3199">
        <f t="shared" si="164"/>
        <v>0</v>
      </c>
      <c r="BH214" s="3199">
        <f t="shared" si="165"/>
        <v>0</v>
      </c>
      <c r="BI214" s="3199">
        <f t="shared" si="166"/>
        <v>0</v>
      </c>
      <c r="BJ214" s="3199">
        <f t="shared" si="167"/>
        <v>0</v>
      </c>
      <c r="BK214" s="3199">
        <f t="shared" si="168"/>
        <v>0</v>
      </c>
      <c r="BL214" s="3199">
        <f t="shared" si="169"/>
        <v>0</v>
      </c>
      <c r="BM214" s="3199">
        <f t="shared" si="170"/>
        <v>0</v>
      </c>
      <c r="BN214" s="3199">
        <f t="shared" si="171"/>
        <v>0</v>
      </c>
      <c r="BO214" s="3199">
        <f t="shared" si="172"/>
        <v>0</v>
      </c>
      <c r="BP214" s="3199">
        <f t="shared" si="173"/>
        <v>0</v>
      </c>
      <c r="BQ214" s="3199">
        <f t="shared" si="174"/>
        <v>0</v>
      </c>
      <c r="BR214" s="3199">
        <f t="shared" si="175"/>
        <v>0</v>
      </c>
      <c r="BS214" s="3199">
        <f t="shared" si="176"/>
        <v>0</v>
      </c>
      <c r="BT214" s="3271">
        <f t="shared" si="177"/>
        <v>0</v>
      </c>
    </row>
    <row r="215" spans="1:72">
      <c r="A215" s="3197"/>
      <c r="B215" s="3205"/>
      <c r="C215" s="3204"/>
      <c r="D215" s="3193"/>
      <c r="E215" s="3199">
        <f t="shared" si="149"/>
        <v>0</v>
      </c>
      <c r="F215" s="3200"/>
      <c r="G215" s="3201">
        <f t="shared" si="150"/>
        <v>0</v>
      </c>
      <c r="H215" s="3202">
        <f t="shared" si="151"/>
        <v>0</v>
      </c>
      <c r="I215" s="3207"/>
      <c r="J215" s="3218"/>
      <c r="K215" s="3207"/>
      <c r="L215" s="3218"/>
      <c r="M215" s="3218"/>
      <c r="N215" s="3218"/>
      <c r="O215" s="3218"/>
      <c r="P215" s="3218"/>
      <c r="Q215" s="3218"/>
      <c r="R215" s="3218"/>
      <c r="S215" s="3218"/>
      <c r="T215" s="3218"/>
      <c r="U215" s="3218"/>
      <c r="V215" s="3218"/>
      <c r="W215" s="3218"/>
      <c r="X215" s="3218"/>
      <c r="Y215" s="3218"/>
      <c r="Z215" s="3218"/>
      <c r="AA215" s="3218"/>
      <c r="AB215" s="3218"/>
      <c r="AC215" s="3199">
        <f t="shared" si="152"/>
        <v>0</v>
      </c>
      <c r="AD215" s="3229"/>
      <c r="AE215" s="3229"/>
      <c r="AF215" s="3207"/>
      <c r="AG215" s="3229"/>
      <c r="AH215" s="3229"/>
      <c r="AI215" s="3229"/>
      <c r="AJ215" s="3229"/>
      <c r="AK215" s="3229"/>
      <c r="AL215" s="3229"/>
      <c r="AM215" s="3229"/>
      <c r="AN215" s="3229"/>
      <c r="AO215" s="3229"/>
      <c r="AP215" s="3229"/>
      <c r="AQ215" s="3229"/>
      <c r="AR215" s="3229"/>
      <c r="AS215" s="3229"/>
      <c r="AT215" s="3249"/>
      <c r="AU215" s="3250"/>
      <c r="AV215" s="475">
        <f t="shared" si="153"/>
        <v>0</v>
      </c>
      <c r="AW215" s="475">
        <f t="shared" si="154"/>
        <v>0</v>
      </c>
      <c r="AX215" s="475">
        <f t="shared" si="155"/>
        <v>0</v>
      </c>
      <c r="AY215" s="3266">
        <f t="shared" si="156"/>
        <v>0</v>
      </c>
      <c r="AZ215" s="3199">
        <f t="shared" si="157"/>
        <v>0</v>
      </c>
      <c r="BA215" s="3199">
        <f t="shared" si="158"/>
        <v>0</v>
      </c>
      <c r="BB215" s="3199">
        <f t="shared" si="159"/>
        <v>0</v>
      </c>
      <c r="BC215" s="3199">
        <f t="shared" si="160"/>
        <v>0</v>
      </c>
      <c r="BD215" s="3199">
        <f t="shared" si="161"/>
        <v>0</v>
      </c>
      <c r="BE215" s="3199">
        <f t="shared" si="162"/>
        <v>0</v>
      </c>
      <c r="BF215" s="3199">
        <f t="shared" si="163"/>
        <v>0</v>
      </c>
      <c r="BG215" s="3199">
        <f t="shared" si="164"/>
        <v>0</v>
      </c>
      <c r="BH215" s="3199">
        <f t="shared" si="165"/>
        <v>0</v>
      </c>
      <c r="BI215" s="3199">
        <f t="shared" si="166"/>
        <v>0</v>
      </c>
      <c r="BJ215" s="3199">
        <f t="shared" si="167"/>
        <v>0</v>
      </c>
      <c r="BK215" s="3199">
        <f t="shared" si="168"/>
        <v>0</v>
      </c>
      <c r="BL215" s="3199">
        <f t="shared" si="169"/>
        <v>0</v>
      </c>
      <c r="BM215" s="3199">
        <f t="shared" si="170"/>
        <v>0</v>
      </c>
      <c r="BN215" s="3199">
        <f t="shared" si="171"/>
        <v>0</v>
      </c>
      <c r="BO215" s="3199">
        <f t="shared" si="172"/>
        <v>0</v>
      </c>
      <c r="BP215" s="3199">
        <f t="shared" si="173"/>
        <v>0</v>
      </c>
      <c r="BQ215" s="3199">
        <f t="shared" si="174"/>
        <v>0</v>
      </c>
      <c r="BR215" s="3199">
        <f t="shared" si="175"/>
        <v>0</v>
      </c>
      <c r="BS215" s="3199">
        <f t="shared" si="176"/>
        <v>0</v>
      </c>
      <c r="BT215" s="3271">
        <f t="shared" si="177"/>
        <v>0</v>
      </c>
    </row>
    <row r="216" spans="1:72">
      <c r="A216" s="3197"/>
      <c r="B216" s="3205"/>
      <c r="C216" s="3204"/>
      <c r="D216" s="3193"/>
      <c r="E216" s="3199">
        <f t="shared" si="149"/>
        <v>0</v>
      </c>
      <c r="F216" s="3200"/>
      <c r="G216" s="3201">
        <f t="shared" si="150"/>
        <v>0</v>
      </c>
      <c r="H216" s="3202">
        <f t="shared" si="151"/>
        <v>0</v>
      </c>
      <c r="I216" s="3207"/>
      <c r="J216" s="3218"/>
      <c r="K216" s="3207"/>
      <c r="L216" s="3218"/>
      <c r="M216" s="3218"/>
      <c r="N216" s="3218"/>
      <c r="O216" s="3218"/>
      <c r="P216" s="3218"/>
      <c r="Q216" s="3218"/>
      <c r="R216" s="3218"/>
      <c r="S216" s="3218"/>
      <c r="T216" s="3218"/>
      <c r="U216" s="3218"/>
      <c r="V216" s="3218"/>
      <c r="W216" s="3218"/>
      <c r="X216" s="3218"/>
      <c r="Y216" s="3218"/>
      <c r="Z216" s="3218"/>
      <c r="AA216" s="3218"/>
      <c r="AB216" s="3218"/>
      <c r="AC216" s="3199">
        <f t="shared" si="152"/>
        <v>0</v>
      </c>
      <c r="AD216" s="3229"/>
      <c r="AE216" s="3229"/>
      <c r="AF216" s="3207"/>
      <c r="AG216" s="3229"/>
      <c r="AH216" s="3229"/>
      <c r="AI216" s="3229"/>
      <c r="AJ216" s="3229"/>
      <c r="AK216" s="3229"/>
      <c r="AL216" s="3229"/>
      <c r="AM216" s="3229"/>
      <c r="AN216" s="3229"/>
      <c r="AO216" s="3229"/>
      <c r="AP216" s="3229"/>
      <c r="AQ216" s="3229"/>
      <c r="AR216" s="3229"/>
      <c r="AS216" s="3229"/>
      <c r="AT216" s="3249"/>
      <c r="AU216" s="3250"/>
      <c r="AV216" s="475">
        <f t="shared" si="153"/>
        <v>0</v>
      </c>
      <c r="AW216" s="475">
        <f t="shared" si="154"/>
        <v>0</v>
      </c>
      <c r="AX216" s="475">
        <f t="shared" si="155"/>
        <v>0</v>
      </c>
      <c r="AY216" s="3266">
        <f t="shared" si="156"/>
        <v>0</v>
      </c>
      <c r="AZ216" s="3199">
        <f t="shared" si="157"/>
        <v>0</v>
      </c>
      <c r="BA216" s="3199">
        <f t="shared" si="158"/>
        <v>0</v>
      </c>
      <c r="BB216" s="3199">
        <f t="shared" si="159"/>
        <v>0</v>
      </c>
      <c r="BC216" s="3199">
        <f t="shared" si="160"/>
        <v>0</v>
      </c>
      <c r="BD216" s="3199">
        <f t="shared" si="161"/>
        <v>0</v>
      </c>
      <c r="BE216" s="3199">
        <f t="shared" si="162"/>
        <v>0</v>
      </c>
      <c r="BF216" s="3199">
        <f t="shared" si="163"/>
        <v>0</v>
      </c>
      <c r="BG216" s="3199">
        <f t="shared" si="164"/>
        <v>0</v>
      </c>
      <c r="BH216" s="3199">
        <f t="shared" si="165"/>
        <v>0</v>
      </c>
      <c r="BI216" s="3199">
        <f t="shared" si="166"/>
        <v>0</v>
      </c>
      <c r="BJ216" s="3199">
        <f t="shared" si="167"/>
        <v>0</v>
      </c>
      <c r="BK216" s="3199">
        <f t="shared" si="168"/>
        <v>0</v>
      </c>
      <c r="BL216" s="3199">
        <f t="shared" si="169"/>
        <v>0</v>
      </c>
      <c r="BM216" s="3199">
        <f t="shared" si="170"/>
        <v>0</v>
      </c>
      <c r="BN216" s="3199">
        <f t="shared" si="171"/>
        <v>0</v>
      </c>
      <c r="BO216" s="3199">
        <f t="shared" si="172"/>
        <v>0</v>
      </c>
      <c r="BP216" s="3199">
        <f t="shared" si="173"/>
        <v>0</v>
      </c>
      <c r="BQ216" s="3199">
        <f t="shared" si="174"/>
        <v>0</v>
      </c>
      <c r="BR216" s="3199">
        <f t="shared" si="175"/>
        <v>0</v>
      </c>
      <c r="BS216" s="3199">
        <f t="shared" si="176"/>
        <v>0</v>
      </c>
      <c r="BT216" s="3271">
        <f t="shared" si="177"/>
        <v>0</v>
      </c>
    </row>
    <row r="217" spans="1:72">
      <c r="A217" s="3197"/>
      <c r="B217" s="3205"/>
      <c r="C217" s="3204"/>
      <c r="D217" s="3193"/>
      <c r="E217" s="3199">
        <f t="shared" si="149"/>
        <v>0</v>
      </c>
      <c r="F217" s="3200"/>
      <c r="G217" s="3201">
        <f t="shared" si="150"/>
        <v>0</v>
      </c>
      <c r="H217" s="3202">
        <f t="shared" si="151"/>
        <v>0</v>
      </c>
      <c r="I217" s="3207"/>
      <c r="J217" s="3218"/>
      <c r="K217" s="3207"/>
      <c r="L217" s="3218"/>
      <c r="M217" s="3218"/>
      <c r="N217" s="3218"/>
      <c r="O217" s="3218"/>
      <c r="P217" s="3218"/>
      <c r="Q217" s="3218"/>
      <c r="R217" s="3218"/>
      <c r="S217" s="3218"/>
      <c r="T217" s="3218"/>
      <c r="U217" s="3218"/>
      <c r="V217" s="3218"/>
      <c r="W217" s="3218"/>
      <c r="X217" s="3218"/>
      <c r="Y217" s="3218"/>
      <c r="Z217" s="3218"/>
      <c r="AA217" s="3218"/>
      <c r="AB217" s="3218"/>
      <c r="AC217" s="3199">
        <f t="shared" si="152"/>
        <v>0</v>
      </c>
      <c r="AD217" s="3229"/>
      <c r="AE217" s="3229"/>
      <c r="AF217" s="3207"/>
      <c r="AG217" s="3229"/>
      <c r="AH217" s="3229"/>
      <c r="AI217" s="3229"/>
      <c r="AJ217" s="3229"/>
      <c r="AK217" s="3229"/>
      <c r="AL217" s="3229"/>
      <c r="AM217" s="3229"/>
      <c r="AN217" s="3229"/>
      <c r="AO217" s="3229"/>
      <c r="AP217" s="3229"/>
      <c r="AQ217" s="3229"/>
      <c r="AR217" s="3229"/>
      <c r="AS217" s="3229"/>
      <c r="AT217" s="3249"/>
      <c r="AU217" s="3250"/>
      <c r="AV217" s="475">
        <f t="shared" si="153"/>
        <v>0</v>
      </c>
      <c r="AW217" s="475">
        <f t="shared" si="154"/>
        <v>0</v>
      </c>
      <c r="AX217" s="475">
        <f t="shared" si="155"/>
        <v>0</v>
      </c>
      <c r="AY217" s="3266">
        <f t="shared" si="156"/>
        <v>0</v>
      </c>
      <c r="AZ217" s="3199">
        <f t="shared" si="157"/>
        <v>0</v>
      </c>
      <c r="BA217" s="3199">
        <f t="shared" si="158"/>
        <v>0</v>
      </c>
      <c r="BB217" s="3199">
        <f t="shared" si="159"/>
        <v>0</v>
      </c>
      <c r="BC217" s="3199">
        <f t="shared" si="160"/>
        <v>0</v>
      </c>
      <c r="BD217" s="3199">
        <f t="shared" si="161"/>
        <v>0</v>
      </c>
      <c r="BE217" s="3199">
        <f t="shared" si="162"/>
        <v>0</v>
      </c>
      <c r="BF217" s="3199">
        <f t="shared" si="163"/>
        <v>0</v>
      </c>
      <c r="BG217" s="3199">
        <f t="shared" si="164"/>
        <v>0</v>
      </c>
      <c r="BH217" s="3199">
        <f t="shared" si="165"/>
        <v>0</v>
      </c>
      <c r="BI217" s="3199">
        <f t="shared" si="166"/>
        <v>0</v>
      </c>
      <c r="BJ217" s="3199">
        <f t="shared" si="167"/>
        <v>0</v>
      </c>
      <c r="BK217" s="3199">
        <f t="shared" si="168"/>
        <v>0</v>
      </c>
      <c r="BL217" s="3199">
        <f t="shared" si="169"/>
        <v>0</v>
      </c>
      <c r="BM217" s="3199">
        <f t="shared" si="170"/>
        <v>0</v>
      </c>
      <c r="BN217" s="3199">
        <f t="shared" si="171"/>
        <v>0</v>
      </c>
      <c r="BO217" s="3199">
        <f t="shared" si="172"/>
        <v>0</v>
      </c>
      <c r="BP217" s="3199">
        <f t="shared" si="173"/>
        <v>0</v>
      </c>
      <c r="BQ217" s="3199">
        <f t="shared" si="174"/>
        <v>0</v>
      </c>
      <c r="BR217" s="3199">
        <f t="shared" si="175"/>
        <v>0</v>
      </c>
      <c r="BS217" s="3199">
        <f t="shared" si="176"/>
        <v>0</v>
      </c>
      <c r="BT217" s="3271">
        <f t="shared" si="177"/>
        <v>0</v>
      </c>
    </row>
    <row r="218" spans="1:72">
      <c r="A218" s="3197"/>
      <c r="B218" s="3205"/>
      <c r="C218" s="3204"/>
      <c r="D218" s="3193"/>
      <c r="E218" s="3199">
        <f t="shared" si="149"/>
        <v>0</v>
      </c>
      <c r="F218" s="3200"/>
      <c r="G218" s="3201">
        <f t="shared" si="150"/>
        <v>0</v>
      </c>
      <c r="H218" s="3202">
        <f t="shared" si="151"/>
        <v>0</v>
      </c>
      <c r="I218" s="3207"/>
      <c r="J218" s="3218"/>
      <c r="K218" s="3207"/>
      <c r="L218" s="3218"/>
      <c r="M218" s="3218"/>
      <c r="N218" s="3218"/>
      <c r="O218" s="3218"/>
      <c r="P218" s="3218"/>
      <c r="Q218" s="3218"/>
      <c r="R218" s="3218"/>
      <c r="S218" s="3218"/>
      <c r="T218" s="3218"/>
      <c r="U218" s="3218"/>
      <c r="V218" s="3218"/>
      <c r="W218" s="3218"/>
      <c r="X218" s="3218"/>
      <c r="Y218" s="3218"/>
      <c r="Z218" s="3218"/>
      <c r="AA218" s="3218"/>
      <c r="AB218" s="3218"/>
      <c r="AC218" s="3199">
        <f t="shared" si="152"/>
        <v>0</v>
      </c>
      <c r="AD218" s="3229"/>
      <c r="AE218" s="3229"/>
      <c r="AF218" s="3207"/>
      <c r="AG218" s="3229"/>
      <c r="AH218" s="3229"/>
      <c r="AI218" s="3229"/>
      <c r="AJ218" s="3229"/>
      <c r="AK218" s="3229"/>
      <c r="AL218" s="3229"/>
      <c r="AM218" s="3229"/>
      <c r="AN218" s="3229"/>
      <c r="AO218" s="3229"/>
      <c r="AP218" s="3229"/>
      <c r="AQ218" s="3229"/>
      <c r="AR218" s="3229"/>
      <c r="AS218" s="3229"/>
      <c r="AT218" s="3249"/>
      <c r="AU218" s="3250"/>
      <c r="AV218" s="475">
        <f t="shared" si="153"/>
        <v>0</v>
      </c>
      <c r="AW218" s="475">
        <f t="shared" si="154"/>
        <v>0</v>
      </c>
      <c r="AX218" s="475">
        <f t="shared" si="155"/>
        <v>0</v>
      </c>
      <c r="AY218" s="3266">
        <f t="shared" si="156"/>
        <v>0</v>
      </c>
      <c r="AZ218" s="3199">
        <f t="shared" si="157"/>
        <v>0</v>
      </c>
      <c r="BA218" s="3199">
        <f t="shared" si="158"/>
        <v>0</v>
      </c>
      <c r="BB218" s="3199">
        <f t="shared" si="159"/>
        <v>0</v>
      </c>
      <c r="BC218" s="3199">
        <f t="shared" si="160"/>
        <v>0</v>
      </c>
      <c r="BD218" s="3199">
        <f t="shared" si="161"/>
        <v>0</v>
      </c>
      <c r="BE218" s="3199">
        <f t="shared" si="162"/>
        <v>0</v>
      </c>
      <c r="BF218" s="3199">
        <f t="shared" si="163"/>
        <v>0</v>
      </c>
      <c r="BG218" s="3199">
        <f t="shared" si="164"/>
        <v>0</v>
      </c>
      <c r="BH218" s="3199">
        <f t="shared" si="165"/>
        <v>0</v>
      </c>
      <c r="BI218" s="3199">
        <f t="shared" si="166"/>
        <v>0</v>
      </c>
      <c r="BJ218" s="3199">
        <f t="shared" si="167"/>
        <v>0</v>
      </c>
      <c r="BK218" s="3199">
        <f t="shared" si="168"/>
        <v>0</v>
      </c>
      <c r="BL218" s="3199">
        <f t="shared" si="169"/>
        <v>0</v>
      </c>
      <c r="BM218" s="3199">
        <f t="shared" si="170"/>
        <v>0</v>
      </c>
      <c r="BN218" s="3199">
        <f t="shared" si="171"/>
        <v>0</v>
      </c>
      <c r="BO218" s="3199">
        <f t="shared" si="172"/>
        <v>0</v>
      </c>
      <c r="BP218" s="3199">
        <f t="shared" si="173"/>
        <v>0</v>
      </c>
      <c r="BQ218" s="3199">
        <f t="shared" si="174"/>
        <v>0</v>
      </c>
      <c r="BR218" s="3199">
        <f t="shared" si="175"/>
        <v>0</v>
      </c>
      <c r="BS218" s="3199">
        <f t="shared" si="176"/>
        <v>0</v>
      </c>
      <c r="BT218" s="3271">
        <f t="shared" si="177"/>
        <v>0</v>
      </c>
    </row>
    <row r="219" spans="1:72">
      <c r="A219" s="3197"/>
      <c r="B219" s="3205"/>
      <c r="C219" s="3204"/>
      <c r="D219" s="3193"/>
      <c r="E219" s="3199">
        <f t="shared" si="149"/>
        <v>0</v>
      </c>
      <c r="F219" s="3200"/>
      <c r="G219" s="3201">
        <f t="shared" si="150"/>
        <v>0</v>
      </c>
      <c r="H219" s="3202">
        <f t="shared" si="151"/>
        <v>0</v>
      </c>
      <c r="I219" s="3207"/>
      <c r="J219" s="3218"/>
      <c r="K219" s="3207"/>
      <c r="L219" s="3218"/>
      <c r="M219" s="3218"/>
      <c r="N219" s="3218"/>
      <c r="O219" s="3218"/>
      <c r="P219" s="3218"/>
      <c r="Q219" s="3218"/>
      <c r="R219" s="3218"/>
      <c r="S219" s="3218"/>
      <c r="T219" s="3218"/>
      <c r="U219" s="3218"/>
      <c r="V219" s="3218"/>
      <c r="W219" s="3218"/>
      <c r="X219" s="3218"/>
      <c r="Y219" s="3218"/>
      <c r="Z219" s="3218"/>
      <c r="AA219" s="3218"/>
      <c r="AB219" s="3218"/>
      <c r="AC219" s="3199">
        <f t="shared" si="152"/>
        <v>0</v>
      </c>
      <c r="AD219" s="3229"/>
      <c r="AE219" s="3229"/>
      <c r="AF219" s="3207"/>
      <c r="AG219" s="3229"/>
      <c r="AH219" s="3229"/>
      <c r="AI219" s="3229"/>
      <c r="AJ219" s="3229"/>
      <c r="AK219" s="3229"/>
      <c r="AL219" s="3229"/>
      <c r="AM219" s="3229"/>
      <c r="AN219" s="3229"/>
      <c r="AO219" s="3229"/>
      <c r="AP219" s="3229"/>
      <c r="AQ219" s="3229"/>
      <c r="AR219" s="3229"/>
      <c r="AS219" s="3229"/>
      <c r="AT219" s="3249"/>
      <c r="AU219" s="3250"/>
      <c r="AV219" s="475">
        <f t="shared" si="153"/>
        <v>0</v>
      </c>
      <c r="AW219" s="475">
        <f t="shared" si="154"/>
        <v>0</v>
      </c>
      <c r="AX219" s="475">
        <f t="shared" si="155"/>
        <v>0</v>
      </c>
      <c r="AY219" s="3266">
        <f t="shared" si="156"/>
        <v>0</v>
      </c>
      <c r="AZ219" s="3199">
        <f t="shared" si="157"/>
        <v>0</v>
      </c>
      <c r="BA219" s="3199">
        <f t="shared" si="158"/>
        <v>0</v>
      </c>
      <c r="BB219" s="3199">
        <f t="shared" si="159"/>
        <v>0</v>
      </c>
      <c r="BC219" s="3199">
        <f t="shared" si="160"/>
        <v>0</v>
      </c>
      <c r="BD219" s="3199">
        <f t="shared" si="161"/>
        <v>0</v>
      </c>
      <c r="BE219" s="3199">
        <f t="shared" si="162"/>
        <v>0</v>
      </c>
      <c r="BF219" s="3199">
        <f t="shared" si="163"/>
        <v>0</v>
      </c>
      <c r="BG219" s="3199">
        <f t="shared" si="164"/>
        <v>0</v>
      </c>
      <c r="BH219" s="3199">
        <f t="shared" si="165"/>
        <v>0</v>
      </c>
      <c r="BI219" s="3199">
        <f t="shared" si="166"/>
        <v>0</v>
      </c>
      <c r="BJ219" s="3199">
        <f t="shared" si="167"/>
        <v>0</v>
      </c>
      <c r="BK219" s="3199">
        <f t="shared" si="168"/>
        <v>0</v>
      </c>
      <c r="BL219" s="3199">
        <f t="shared" si="169"/>
        <v>0</v>
      </c>
      <c r="BM219" s="3199">
        <f t="shared" si="170"/>
        <v>0</v>
      </c>
      <c r="BN219" s="3199">
        <f t="shared" si="171"/>
        <v>0</v>
      </c>
      <c r="BO219" s="3199">
        <f t="shared" si="172"/>
        <v>0</v>
      </c>
      <c r="BP219" s="3199">
        <f t="shared" si="173"/>
        <v>0</v>
      </c>
      <c r="BQ219" s="3199">
        <f t="shared" si="174"/>
        <v>0</v>
      </c>
      <c r="BR219" s="3199">
        <f t="shared" si="175"/>
        <v>0</v>
      </c>
      <c r="BS219" s="3199">
        <f t="shared" si="176"/>
        <v>0</v>
      </c>
      <c r="BT219" s="3271">
        <f t="shared" si="177"/>
        <v>0</v>
      </c>
    </row>
    <row r="220" spans="1:72">
      <c r="A220" s="3197"/>
      <c r="B220" s="3205"/>
      <c r="C220" s="3204"/>
      <c r="D220" s="3193"/>
      <c r="E220" s="3199">
        <f t="shared" si="149"/>
        <v>0</v>
      </c>
      <c r="F220" s="3200"/>
      <c r="G220" s="3201">
        <f t="shared" si="150"/>
        <v>0</v>
      </c>
      <c r="H220" s="3202">
        <f t="shared" si="151"/>
        <v>0</v>
      </c>
      <c r="I220" s="3207"/>
      <c r="J220" s="3218"/>
      <c r="K220" s="3207"/>
      <c r="L220" s="3218"/>
      <c r="M220" s="3218"/>
      <c r="N220" s="3218"/>
      <c r="O220" s="3218"/>
      <c r="P220" s="3218"/>
      <c r="Q220" s="3218"/>
      <c r="R220" s="3218"/>
      <c r="S220" s="3218"/>
      <c r="T220" s="3218"/>
      <c r="U220" s="3218"/>
      <c r="V220" s="3218"/>
      <c r="W220" s="3218"/>
      <c r="X220" s="3218"/>
      <c r="Y220" s="3218"/>
      <c r="Z220" s="3218"/>
      <c r="AA220" s="3218"/>
      <c r="AB220" s="3218"/>
      <c r="AC220" s="3199">
        <f t="shared" si="152"/>
        <v>0</v>
      </c>
      <c r="AD220" s="3229"/>
      <c r="AE220" s="3229"/>
      <c r="AF220" s="3207"/>
      <c r="AG220" s="3229"/>
      <c r="AH220" s="3229"/>
      <c r="AI220" s="3229"/>
      <c r="AJ220" s="3229"/>
      <c r="AK220" s="3229"/>
      <c r="AL220" s="3229"/>
      <c r="AM220" s="3229"/>
      <c r="AN220" s="3229"/>
      <c r="AO220" s="3229"/>
      <c r="AP220" s="3229"/>
      <c r="AQ220" s="3229"/>
      <c r="AR220" s="3229"/>
      <c r="AS220" s="3229"/>
      <c r="AT220" s="3249"/>
      <c r="AU220" s="3250"/>
      <c r="AV220" s="475">
        <f t="shared" si="153"/>
        <v>0</v>
      </c>
      <c r="AW220" s="475">
        <f t="shared" si="154"/>
        <v>0</v>
      </c>
      <c r="AX220" s="475">
        <f t="shared" si="155"/>
        <v>0</v>
      </c>
      <c r="AY220" s="3266">
        <f t="shared" si="156"/>
        <v>0</v>
      </c>
      <c r="AZ220" s="3199">
        <f t="shared" si="157"/>
        <v>0</v>
      </c>
      <c r="BA220" s="3199">
        <f t="shared" si="158"/>
        <v>0</v>
      </c>
      <c r="BB220" s="3199">
        <f t="shared" si="159"/>
        <v>0</v>
      </c>
      <c r="BC220" s="3199">
        <f t="shared" si="160"/>
        <v>0</v>
      </c>
      <c r="BD220" s="3199">
        <f t="shared" si="161"/>
        <v>0</v>
      </c>
      <c r="BE220" s="3199">
        <f t="shared" si="162"/>
        <v>0</v>
      </c>
      <c r="BF220" s="3199">
        <f t="shared" si="163"/>
        <v>0</v>
      </c>
      <c r="BG220" s="3199">
        <f t="shared" si="164"/>
        <v>0</v>
      </c>
      <c r="BH220" s="3199">
        <f t="shared" si="165"/>
        <v>0</v>
      </c>
      <c r="BI220" s="3199">
        <f t="shared" si="166"/>
        <v>0</v>
      </c>
      <c r="BJ220" s="3199">
        <f t="shared" si="167"/>
        <v>0</v>
      </c>
      <c r="BK220" s="3199">
        <f t="shared" si="168"/>
        <v>0</v>
      </c>
      <c r="BL220" s="3199">
        <f t="shared" si="169"/>
        <v>0</v>
      </c>
      <c r="BM220" s="3199">
        <f t="shared" si="170"/>
        <v>0</v>
      </c>
      <c r="BN220" s="3199">
        <f t="shared" si="171"/>
        <v>0</v>
      </c>
      <c r="BO220" s="3199">
        <f t="shared" si="172"/>
        <v>0</v>
      </c>
      <c r="BP220" s="3199">
        <f t="shared" si="173"/>
        <v>0</v>
      </c>
      <c r="BQ220" s="3199">
        <f t="shared" si="174"/>
        <v>0</v>
      </c>
      <c r="BR220" s="3199">
        <f t="shared" si="175"/>
        <v>0</v>
      </c>
      <c r="BS220" s="3199">
        <f t="shared" si="176"/>
        <v>0</v>
      </c>
      <c r="BT220" s="3271">
        <f t="shared" si="177"/>
        <v>0</v>
      </c>
    </row>
    <row r="221" spans="1:72">
      <c r="A221" s="3197"/>
      <c r="B221" s="3205"/>
      <c r="C221" s="3204"/>
      <c r="D221" s="3193"/>
      <c r="E221" s="3199">
        <f t="shared" si="149"/>
        <v>0</v>
      </c>
      <c r="F221" s="3200"/>
      <c r="G221" s="3201">
        <f t="shared" si="150"/>
        <v>0</v>
      </c>
      <c r="H221" s="3202">
        <f t="shared" si="151"/>
        <v>0</v>
      </c>
      <c r="I221" s="3207"/>
      <c r="J221" s="3218"/>
      <c r="K221" s="3207"/>
      <c r="L221" s="3218"/>
      <c r="M221" s="3218"/>
      <c r="N221" s="3218"/>
      <c r="O221" s="3218"/>
      <c r="P221" s="3218"/>
      <c r="Q221" s="3218"/>
      <c r="R221" s="3218"/>
      <c r="S221" s="3218"/>
      <c r="T221" s="3218"/>
      <c r="U221" s="3218"/>
      <c r="V221" s="3218"/>
      <c r="W221" s="3218"/>
      <c r="X221" s="3218"/>
      <c r="Y221" s="3218"/>
      <c r="Z221" s="3218"/>
      <c r="AA221" s="3218"/>
      <c r="AB221" s="3218"/>
      <c r="AC221" s="3199">
        <f t="shared" si="152"/>
        <v>0</v>
      </c>
      <c r="AD221" s="3229"/>
      <c r="AE221" s="3229"/>
      <c r="AF221" s="3207"/>
      <c r="AG221" s="3229"/>
      <c r="AH221" s="3229"/>
      <c r="AI221" s="3229"/>
      <c r="AJ221" s="3229"/>
      <c r="AK221" s="3229"/>
      <c r="AL221" s="3229"/>
      <c r="AM221" s="3229"/>
      <c r="AN221" s="3229"/>
      <c r="AO221" s="3229"/>
      <c r="AP221" s="3229"/>
      <c r="AQ221" s="3229"/>
      <c r="AR221" s="3229"/>
      <c r="AS221" s="3229"/>
      <c r="AT221" s="3249"/>
      <c r="AU221" s="3250"/>
      <c r="AV221" s="475">
        <f t="shared" si="153"/>
        <v>0</v>
      </c>
      <c r="AW221" s="475">
        <f t="shared" si="154"/>
        <v>0</v>
      </c>
      <c r="AX221" s="475">
        <f t="shared" si="155"/>
        <v>0</v>
      </c>
      <c r="AY221" s="3266">
        <f t="shared" si="156"/>
        <v>0</v>
      </c>
      <c r="AZ221" s="3199">
        <f t="shared" si="157"/>
        <v>0</v>
      </c>
      <c r="BA221" s="3199">
        <f t="shared" si="158"/>
        <v>0</v>
      </c>
      <c r="BB221" s="3199">
        <f t="shared" si="159"/>
        <v>0</v>
      </c>
      <c r="BC221" s="3199">
        <f t="shared" si="160"/>
        <v>0</v>
      </c>
      <c r="BD221" s="3199">
        <f t="shared" si="161"/>
        <v>0</v>
      </c>
      <c r="BE221" s="3199">
        <f t="shared" si="162"/>
        <v>0</v>
      </c>
      <c r="BF221" s="3199">
        <f t="shared" si="163"/>
        <v>0</v>
      </c>
      <c r="BG221" s="3199">
        <f t="shared" si="164"/>
        <v>0</v>
      </c>
      <c r="BH221" s="3199">
        <f t="shared" si="165"/>
        <v>0</v>
      </c>
      <c r="BI221" s="3199">
        <f t="shared" si="166"/>
        <v>0</v>
      </c>
      <c r="BJ221" s="3199">
        <f t="shared" si="167"/>
        <v>0</v>
      </c>
      <c r="BK221" s="3199">
        <f t="shared" si="168"/>
        <v>0</v>
      </c>
      <c r="BL221" s="3199">
        <f t="shared" si="169"/>
        <v>0</v>
      </c>
      <c r="BM221" s="3199">
        <f t="shared" si="170"/>
        <v>0</v>
      </c>
      <c r="BN221" s="3199">
        <f t="shared" si="171"/>
        <v>0</v>
      </c>
      <c r="BO221" s="3199">
        <f t="shared" si="172"/>
        <v>0</v>
      </c>
      <c r="BP221" s="3199">
        <f t="shared" si="173"/>
        <v>0</v>
      </c>
      <c r="BQ221" s="3199">
        <f t="shared" si="174"/>
        <v>0</v>
      </c>
      <c r="BR221" s="3199">
        <f t="shared" si="175"/>
        <v>0</v>
      </c>
      <c r="BS221" s="3199">
        <f t="shared" si="176"/>
        <v>0</v>
      </c>
      <c r="BT221" s="3271">
        <f t="shared" si="177"/>
        <v>0</v>
      </c>
    </row>
    <row r="222" spans="1:72">
      <c r="A222" s="3197"/>
      <c r="B222" s="3205"/>
      <c r="C222" s="3204"/>
      <c r="D222" s="3193"/>
      <c r="E222" s="3199">
        <f t="shared" si="149"/>
        <v>0</v>
      </c>
      <c r="F222" s="3200"/>
      <c r="G222" s="3201">
        <f t="shared" si="150"/>
        <v>0</v>
      </c>
      <c r="H222" s="3202">
        <f t="shared" si="151"/>
        <v>0</v>
      </c>
      <c r="I222" s="3207"/>
      <c r="J222" s="3218"/>
      <c r="K222" s="3207"/>
      <c r="L222" s="3218"/>
      <c r="M222" s="3218"/>
      <c r="N222" s="3218"/>
      <c r="O222" s="3218"/>
      <c r="P222" s="3218"/>
      <c r="Q222" s="3218"/>
      <c r="R222" s="3218"/>
      <c r="S222" s="3218"/>
      <c r="T222" s="3218"/>
      <c r="U222" s="3218"/>
      <c r="V222" s="3218"/>
      <c r="W222" s="3218"/>
      <c r="X222" s="3218"/>
      <c r="Y222" s="3218"/>
      <c r="Z222" s="3218"/>
      <c r="AA222" s="3218"/>
      <c r="AB222" s="3218"/>
      <c r="AC222" s="3199">
        <f t="shared" si="152"/>
        <v>0</v>
      </c>
      <c r="AD222" s="3229"/>
      <c r="AE222" s="3229"/>
      <c r="AF222" s="3207"/>
      <c r="AG222" s="3229"/>
      <c r="AH222" s="3229"/>
      <c r="AI222" s="3229"/>
      <c r="AJ222" s="3229"/>
      <c r="AK222" s="3229"/>
      <c r="AL222" s="3229"/>
      <c r="AM222" s="3229"/>
      <c r="AN222" s="3229"/>
      <c r="AO222" s="3229"/>
      <c r="AP222" s="3229"/>
      <c r="AQ222" s="3229"/>
      <c r="AR222" s="3229"/>
      <c r="AS222" s="3229"/>
      <c r="AT222" s="3249"/>
      <c r="AU222" s="3250"/>
      <c r="AV222" s="475">
        <f t="shared" si="153"/>
        <v>0</v>
      </c>
      <c r="AW222" s="475">
        <f t="shared" si="154"/>
        <v>0</v>
      </c>
      <c r="AX222" s="475">
        <f t="shared" si="155"/>
        <v>0</v>
      </c>
      <c r="AY222" s="3266">
        <f t="shared" si="156"/>
        <v>0</v>
      </c>
      <c r="AZ222" s="3199">
        <f t="shared" si="157"/>
        <v>0</v>
      </c>
      <c r="BA222" s="3199">
        <f t="shared" si="158"/>
        <v>0</v>
      </c>
      <c r="BB222" s="3199">
        <f t="shared" si="159"/>
        <v>0</v>
      </c>
      <c r="BC222" s="3199">
        <f t="shared" si="160"/>
        <v>0</v>
      </c>
      <c r="BD222" s="3199">
        <f t="shared" si="161"/>
        <v>0</v>
      </c>
      <c r="BE222" s="3199">
        <f t="shared" si="162"/>
        <v>0</v>
      </c>
      <c r="BF222" s="3199">
        <f t="shared" si="163"/>
        <v>0</v>
      </c>
      <c r="BG222" s="3199">
        <f t="shared" si="164"/>
        <v>0</v>
      </c>
      <c r="BH222" s="3199">
        <f t="shared" si="165"/>
        <v>0</v>
      </c>
      <c r="BI222" s="3199">
        <f t="shared" si="166"/>
        <v>0</v>
      </c>
      <c r="BJ222" s="3199">
        <f t="shared" si="167"/>
        <v>0</v>
      </c>
      <c r="BK222" s="3199">
        <f t="shared" si="168"/>
        <v>0</v>
      </c>
      <c r="BL222" s="3199">
        <f t="shared" si="169"/>
        <v>0</v>
      </c>
      <c r="BM222" s="3199">
        <f t="shared" si="170"/>
        <v>0</v>
      </c>
      <c r="BN222" s="3199">
        <f t="shared" si="171"/>
        <v>0</v>
      </c>
      <c r="BO222" s="3199">
        <f t="shared" si="172"/>
        <v>0</v>
      </c>
      <c r="BP222" s="3199">
        <f t="shared" si="173"/>
        <v>0</v>
      </c>
      <c r="BQ222" s="3199">
        <f t="shared" si="174"/>
        <v>0</v>
      </c>
      <c r="BR222" s="3199">
        <f t="shared" si="175"/>
        <v>0</v>
      </c>
      <c r="BS222" s="3199">
        <f t="shared" si="176"/>
        <v>0</v>
      </c>
      <c r="BT222" s="3271">
        <f t="shared" si="177"/>
        <v>0</v>
      </c>
    </row>
    <row r="223" spans="1:72">
      <c r="A223" s="3197"/>
      <c r="B223" s="3205"/>
      <c r="C223" s="3204"/>
      <c r="D223" s="3193"/>
      <c r="E223" s="3199">
        <f t="shared" si="149"/>
        <v>0</v>
      </c>
      <c r="F223" s="3200"/>
      <c r="G223" s="3201">
        <f t="shared" si="150"/>
        <v>0</v>
      </c>
      <c r="H223" s="3202">
        <f t="shared" si="151"/>
        <v>0</v>
      </c>
      <c r="I223" s="3207"/>
      <c r="J223" s="3218"/>
      <c r="K223" s="3207"/>
      <c r="L223" s="3218"/>
      <c r="M223" s="3218"/>
      <c r="N223" s="3218"/>
      <c r="O223" s="3218"/>
      <c r="P223" s="3218"/>
      <c r="Q223" s="3218"/>
      <c r="R223" s="3218"/>
      <c r="S223" s="3218"/>
      <c r="T223" s="3218"/>
      <c r="U223" s="3218"/>
      <c r="V223" s="3218"/>
      <c r="W223" s="3218"/>
      <c r="X223" s="3218"/>
      <c r="Y223" s="3218"/>
      <c r="Z223" s="3218"/>
      <c r="AA223" s="3218"/>
      <c r="AB223" s="3218"/>
      <c r="AC223" s="3199">
        <f t="shared" si="152"/>
        <v>0</v>
      </c>
      <c r="AD223" s="3229"/>
      <c r="AE223" s="3229"/>
      <c r="AF223" s="3207"/>
      <c r="AG223" s="3229"/>
      <c r="AH223" s="3229"/>
      <c r="AI223" s="3229"/>
      <c r="AJ223" s="3229"/>
      <c r="AK223" s="3229"/>
      <c r="AL223" s="3229"/>
      <c r="AM223" s="3229"/>
      <c r="AN223" s="3229"/>
      <c r="AO223" s="3229"/>
      <c r="AP223" s="3229"/>
      <c r="AQ223" s="3229"/>
      <c r="AR223" s="3229"/>
      <c r="AS223" s="3229"/>
      <c r="AT223" s="3249"/>
      <c r="AU223" s="3250"/>
      <c r="AV223" s="475">
        <f t="shared" si="153"/>
        <v>0</v>
      </c>
      <c r="AW223" s="475">
        <f t="shared" si="154"/>
        <v>0</v>
      </c>
      <c r="AX223" s="475">
        <f t="shared" si="155"/>
        <v>0</v>
      </c>
      <c r="AY223" s="3266">
        <f t="shared" si="156"/>
        <v>0</v>
      </c>
      <c r="AZ223" s="3199">
        <f t="shared" si="157"/>
        <v>0</v>
      </c>
      <c r="BA223" s="3199">
        <f t="shared" si="158"/>
        <v>0</v>
      </c>
      <c r="BB223" s="3199">
        <f t="shared" si="159"/>
        <v>0</v>
      </c>
      <c r="BC223" s="3199">
        <f t="shared" si="160"/>
        <v>0</v>
      </c>
      <c r="BD223" s="3199">
        <f t="shared" si="161"/>
        <v>0</v>
      </c>
      <c r="BE223" s="3199">
        <f t="shared" si="162"/>
        <v>0</v>
      </c>
      <c r="BF223" s="3199">
        <f t="shared" si="163"/>
        <v>0</v>
      </c>
      <c r="BG223" s="3199">
        <f t="shared" si="164"/>
        <v>0</v>
      </c>
      <c r="BH223" s="3199">
        <f t="shared" si="165"/>
        <v>0</v>
      </c>
      <c r="BI223" s="3199">
        <f t="shared" si="166"/>
        <v>0</v>
      </c>
      <c r="BJ223" s="3199">
        <f t="shared" si="167"/>
        <v>0</v>
      </c>
      <c r="BK223" s="3199">
        <f t="shared" si="168"/>
        <v>0</v>
      </c>
      <c r="BL223" s="3199">
        <f t="shared" si="169"/>
        <v>0</v>
      </c>
      <c r="BM223" s="3199">
        <f t="shared" si="170"/>
        <v>0</v>
      </c>
      <c r="BN223" s="3199">
        <f t="shared" si="171"/>
        <v>0</v>
      </c>
      <c r="BO223" s="3199">
        <f t="shared" si="172"/>
        <v>0</v>
      </c>
      <c r="BP223" s="3199">
        <f t="shared" si="173"/>
        <v>0</v>
      </c>
      <c r="BQ223" s="3199">
        <f t="shared" si="174"/>
        <v>0</v>
      </c>
      <c r="BR223" s="3199">
        <f t="shared" si="175"/>
        <v>0</v>
      </c>
      <c r="BS223" s="3199">
        <f t="shared" si="176"/>
        <v>0</v>
      </c>
      <c r="BT223" s="3271">
        <f t="shared" si="177"/>
        <v>0</v>
      </c>
    </row>
    <row r="224" spans="1:72">
      <c r="A224" s="3197"/>
      <c r="B224" s="3205"/>
      <c r="C224" s="3204"/>
      <c r="D224" s="3193"/>
      <c r="E224" s="3199">
        <f t="shared" si="149"/>
        <v>0</v>
      </c>
      <c r="F224" s="3200"/>
      <c r="G224" s="3201">
        <f t="shared" si="150"/>
        <v>0</v>
      </c>
      <c r="H224" s="3202">
        <f t="shared" si="151"/>
        <v>0</v>
      </c>
      <c r="I224" s="3207"/>
      <c r="J224" s="3218"/>
      <c r="K224" s="3207"/>
      <c r="L224" s="3218"/>
      <c r="M224" s="3218"/>
      <c r="N224" s="3218"/>
      <c r="O224" s="3218"/>
      <c r="P224" s="3218"/>
      <c r="Q224" s="3218"/>
      <c r="R224" s="3218"/>
      <c r="S224" s="3218"/>
      <c r="T224" s="3218"/>
      <c r="U224" s="3218"/>
      <c r="V224" s="3218"/>
      <c r="W224" s="3218"/>
      <c r="X224" s="3218"/>
      <c r="Y224" s="3218"/>
      <c r="Z224" s="3218"/>
      <c r="AA224" s="3218"/>
      <c r="AB224" s="3218"/>
      <c r="AC224" s="3199">
        <f t="shared" si="152"/>
        <v>0</v>
      </c>
      <c r="AD224" s="3229"/>
      <c r="AE224" s="3229"/>
      <c r="AF224" s="3207"/>
      <c r="AG224" s="3229"/>
      <c r="AH224" s="3229"/>
      <c r="AI224" s="3229"/>
      <c r="AJ224" s="3229"/>
      <c r="AK224" s="3229"/>
      <c r="AL224" s="3229"/>
      <c r="AM224" s="3229"/>
      <c r="AN224" s="3229"/>
      <c r="AO224" s="3229"/>
      <c r="AP224" s="3229"/>
      <c r="AQ224" s="3229"/>
      <c r="AR224" s="3229"/>
      <c r="AS224" s="3229"/>
      <c r="AT224" s="3249"/>
      <c r="AU224" s="3250"/>
      <c r="AV224" s="475">
        <f t="shared" si="153"/>
        <v>0</v>
      </c>
      <c r="AW224" s="475">
        <f t="shared" si="154"/>
        <v>0</v>
      </c>
      <c r="AX224" s="475">
        <f t="shared" si="155"/>
        <v>0</v>
      </c>
      <c r="AY224" s="3266">
        <f t="shared" si="156"/>
        <v>0</v>
      </c>
      <c r="AZ224" s="3199">
        <f t="shared" si="157"/>
        <v>0</v>
      </c>
      <c r="BA224" s="3199">
        <f t="shared" si="158"/>
        <v>0</v>
      </c>
      <c r="BB224" s="3199">
        <f t="shared" si="159"/>
        <v>0</v>
      </c>
      <c r="BC224" s="3199">
        <f t="shared" si="160"/>
        <v>0</v>
      </c>
      <c r="BD224" s="3199">
        <f t="shared" si="161"/>
        <v>0</v>
      </c>
      <c r="BE224" s="3199">
        <f t="shared" si="162"/>
        <v>0</v>
      </c>
      <c r="BF224" s="3199">
        <f t="shared" si="163"/>
        <v>0</v>
      </c>
      <c r="BG224" s="3199">
        <f t="shared" si="164"/>
        <v>0</v>
      </c>
      <c r="BH224" s="3199">
        <f t="shared" si="165"/>
        <v>0</v>
      </c>
      <c r="BI224" s="3199">
        <f t="shared" si="166"/>
        <v>0</v>
      </c>
      <c r="BJ224" s="3199">
        <f t="shared" si="167"/>
        <v>0</v>
      </c>
      <c r="BK224" s="3199">
        <f t="shared" si="168"/>
        <v>0</v>
      </c>
      <c r="BL224" s="3199">
        <f t="shared" si="169"/>
        <v>0</v>
      </c>
      <c r="BM224" s="3199">
        <f t="shared" si="170"/>
        <v>0</v>
      </c>
      <c r="BN224" s="3199">
        <f t="shared" si="171"/>
        <v>0</v>
      </c>
      <c r="BO224" s="3199">
        <f t="shared" si="172"/>
        <v>0</v>
      </c>
      <c r="BP224" s="3199">
        <f t="shared" si="173"/>
        <v>0</v>
      </c>
      <c r="BQ224" s="3199">
        <f t="shared" si="174"/>
        <v>0</v>
      </c>
      <c r="BR224" s="3199">
        <f t="shared" si="175"/>
        <v>0</v>
      </c>
      <c r="BS224" s="3199">
        <f t="shared" si="176"/>
        <v>0</v>
      </c>
      <c r="BT224" s="3271">
        <f t="shared" si="177"/>
        <v>0</v>
      </c>
    </row>
    <row r="225" spans="1:72">
      <c r="A225" s="3197"/>
      <c r="B225" s="3205"/>
      <c r="C225" s="3204"/>
      <c r="D225" s="3193"/>
      <c r="E225" s="3199">
        <f t="shared" si="149"/>
        <v>0</v>
      </c>
      <c r="F225" s="3200"/>
      <c r="G225" s="3201">
        <f t="shared" si="150"/>
        <v>0</v>
      </c>
      <c r="H225" s="3202">
        <f t="shared" si="151"/>
        <v>0</v>
      </c>
      <c r="I225" s="3207"/>
      <c r="J225" s="3218"/>
      <c r="K225" s="3207"/>
      <c r="L225" s="3218"/>
      <c r="M225" s="3218"/>
      <c r="N225" s="3218"/>
      <c r="O225" s="3218"/>
      <c r="P225" s="3218"/>
      <c r="Q225" s="3218"/>
      <c r="R225" s="3218"/>
      <c r="S225" s="3218"/>
      <c r="T225" s="3218"/>
      <c r="U225" s="3218"/>
      <c r="V225" s="3218"/>
      <c r="W225" s="3218"/>
      <c r="X225" s="3218"/>
      <c r="Y225" s="3218"/>
      <c r="Z225" s="3218"/>
      <c r="AA225" s="3218"/>
      <c r="AB225" s="3218"/>
      <c r="AC225" s="3199">
        <f t="shared" si="152"/>
        <v>0</v>
      </c>
      <c r="AD225" s="3229"/>
      <c r="AE225" s="3229"/>
      <c r="AF225" s="3207"/>
      <c r="AG225" s="3229"/>
      <c r="AH225" s="3229"/>
      <c r="AI225" s="3229"/>
      <c r="AJ225" s="3229"/>
      <c r="AK225" s="3229"/>
      <c r="AL225" s="3229"/>
      <c r="AM225" s="3229"/>
      <c r="AN225" s="3229"/>
      <c r="AO225" s="3229"/>
      <c r="AP225" s="3229"/>
      <c r="AQ225" s="3229"/>
      <c r="AR225" s="3229"/>
      <c r="AS225" s="3229"/>
      <c r="AT225" s="3249"/>
      <c r="AU225" s="3250"/>
      <c r="AV225" s="475">
        <f t="shared" si="153"/>
        <v>0</v>
      </c>
      <c r="AW225" s="475">
        <f t="shared" si="154"/>
        <v>0</v>
      </c>
      <c r="AX225" s="475">
        <f t="shared" si="155"/>
        <v>0</v>
      </c>
      <c r="AY225" s="3266">
        <f t="shared" si="156"/>
        <v>0</v>
      </c>
      <c r="AZ225" s="3199">
        <f t="shared" si="157"/>
        <v>0</v>
      </c>
      <c r="BA225" s="3199">
        <f t="shared" si="158"/>
        <v>0</v>
      </c>
      <c r="BB225" s="3199">
        <f t="shared" si="159"/>
        <v>0</v>
      </c>
      <c r="BC225" s="3199">
        <f t="shared" si="160"/>
        <v>0</v>
      </c>
      <c r="BD225" s="3199">
        <f t="shared" si="161"/>
        <v>0</v>
      </c>
      <c r="BE225" s="3199">
        <f t="shared" si="162"/>
        <v>0</v>
      </c>
      <c r="BF225" s="3199">
        <f t="shared" si="163"/>
        <v>0</v>
      </c>
      <c r="BG225" s="3199">
        <f t="shared" si="164"/>
        <v>0</v>
      </c>
      <c r="BH225" s="3199">
        <f t="shared" si="165"/>
        <v>0</v>
      </c>
      <c r="BI225" s="3199">
        <f t="shared" si="166"/>
        <v>0</v>
      </c>
      <c r="BJ225" s="3199">
        <f t="shared" si="167"/>
        <v>0</v>
      </c>
      <c r="BK225" s="3199">
        <f t="shared" si="168"/>
        <v>0</v>
      </c>
      <c r="BL225" s="3199">
        <f t="shared" si="169"/>
        <v>0</v>
      </c>
      <c r="BM225" s="3199">
        <f t="shared" si="170"/>
        <v>0</v>
      </c>
      <c r="BN225" s="3199">
        <f t="shared" si="171"/>
        <v>0</v>
      </c>
      <c r="BO225" s="3199">
        <f t="shared" si="172"/>
        <v>0</v>
      </c>
      <c r="BP225" s="3199">
        <f t="shared" si="173"/>
        <v>0</v>
      </c>
      <c r="BQ225" s="3199">
        <f t="shared" si="174"/>
        <v>0</v>
      </c>
      <c r="BR225" s="3199">
        <f t="shared" si="175"/>
        <v>0</v>
      </c>
      <c r="BS225" s="3199">
        <f t="shared" si="176"/>
        <v>0</v>
      </c>
      <c r="BT225" s="3271">
        <f t="shared" si="177"/>
        <v>0</v>
      </c>
    </row>
    <row r="226" spans="1:72">
      <c r="A226" s="3197"/>
      <c r="B226" s="3205"/>
      <c r="C226" s="3204"/>
      <c r="D226" s="3193"/>
      <c r="E226" s="3199">
        <f t="shared" si="149"/>
        <v>0</v>
      </c>
      <c r="F226" s="3200"/>
      <c r="G226" s="3201">
        <f t="shared" si="150"/>
        <v>0</v>
      </c>
      <c r="H226" s="3202">
        <f t="shared" si="151"/>
        <v>0</v>
      </c>
      <c r="I226" s="3207"/>
      <c r="J226" s="3218"/>
      <c r="K226" s="3207"/>
      <c r="L226" s="3218"/>
      <c r="M226" s="3218"/>
      <c r="N226" s="3218"/>
      <c r="O226" s="3218"/>
      <c r="P226" s="3218"/>
      <c r="Q226" s="3218"/>
      <c r="R226" s="3218"/>
      <c r="S226" s="3218"/>
      <c r="T226" s="3218"/>
      <c r="U226" s="3218"/>
      <c r="V226" s="3218"/>
      <c r="W226" s="3218"/>
      <c r="X226" s="3218"/>
      <c r="Y226" s="3218"/>
      <c r="Z226" s="3218"/>
      <c r="AA226" s="3218"/>
      <c r="AB226" s="3218"/>
      <c r="AC226" s="3199">
        <f t="shared" si="152"/>
        <v>0</v>
      </c>
      <c r="AD226" s="3229"/>
      <c r="AE226" s="3229"/>
      <c r="AF226" s="3207"/>
      <c r="AG226" s="3229"/>
      <c r="AH226" s="3229"/>
      <c r="AI226" s="3229"/>
      <c r="AJ226" s="3229"/>
      <c r="AK226" s="3229"/>
      <c r="AL226" s="3229"/>
      <c r="AM226" s="3229"/>
      <c r="AN226" s="3229"/>
      <c r="AO226" s="3229"/>
      <c r="AP226" s="3229"/>
      <c r="AQ226" s="3229"/>
      <c r="AR226" s="3229"/>
      <c r="AS226" s="3229"/>
      <c r="AT226" s="3249"/>
      <c r="AU226" s="3250"/>
      <c r="AV226" s="475">
        <f t="shared" si="153"/>
        <v>0</v>
      </c>
      <c r="AW226" s="475">
        <f t="shared" si="154"/>
        <v>0</v>
      </c>
      <c r="AX226" s="475">
        <f t="shared" si="155"/>
        <v>0</v>
      </c>
      <c r="AY226" s="3266">
        <f t="shared" si="156"/>
        <v>0</v>
      </c>
      <c r="AZ226" s="3199">
        <f t="shared" si="157"/>
        <v>0</v>
      </c>
      <c r="BA226" s="3199">
        <f t="shared" si="158"/>
        <v>0</v>
      </c>
      <c r="BB226" s="3199">
        <f t="shared" si="159"/>
        <v>0</v>
      </c>
      <c r="BC226" s="3199">
        <f t="shared" si="160"/>
        <v>0</v>
      </c>
      <c r="BD226" s="3199">
        <f t="shared" si="161"/>
        <v>0</v>
      </c>
      <c r="BE226" s="3199">
        <f t="shared" si="162"/>
        <v>0</v>
      </c>
      <c r="BF226" s="3199">
        <f t="shared" si="163"/>
        <v>0</v>
      </c>
      <c r="BG226" s="3199">
        <f t="shared" si="164"/>
        <v>0</v>
      </c>
      <c r="BH226" s="3199">
        <f t="shared" si="165"/>
        <v>0</v>
      </c>
      <c r="BI226" s="3199">
        <f t="shared" si="166"/>
        <v>0</v>
      </c>
      <c r="BJ226" s="3199">
        <f t="shared" si="167"/>
        <v>0</v>
      </c>
      <c r="BK226" s="3199">
        <f t="shared" si="168"/>
        <v>0</v>
      </c>
      <c r="BL226" s="3199">
        <f t="shared" si="169"/>
        <v>0</v>
      </c>
      <c r="BM226" s="3199">
        <f t="shared" si="170"/>
        <v>0</v>
      </c>
      <c r="BN226" s="3199">
        <f t="shared" si="171"/>
        <v>0</v>
      </c>
      <c r="BO226" s="3199">
        <f t="shared" si="172"/>
        <v>0</v>
      </c>
      <c r="BP226" s="3199">
        <f t="shared" si="173"/>
        <v>0</v>
      </c>
      <c r="BQ226" s="3199">
        <f t="shared" si="174"/>
        <v>0</v>
      </c>
      <c r="BR226" s="3199">
        <f t="shared" si="175"/>
        <v>0</v>
      </c>
      <c r="BS226" s="3199">
        <f t="shared" si="176"/>
        <v>0</v>
      </c>
      <c r="BT226" s="3271">
        <f t="shared" si="177"/>
        <v>0</v>
      </c>
    </row>
    <row r="227" spans="1:72">
      <c r="A227" s="3197"/>
      <c r="B227" s="3205"/>
      <c r="C227" s="3204"/>
      <c r="D227" s="3193"/>
      <c r="E227" s="3199">
        <f t="shared" si="149"/>
        <v>0</v>
      </c>
      <c r="F227" s="3200"/>
      <c r="G227" s="3201">
        <f t="shared" si="150"/>
        <v>0</v>
      </c>
      <c r="H227" s="3202">
        <f t="shared" si="151"/>
        <v>0</v>
      </c>
      <c r="I227" s="3207"/>
      <c r="J227" s="3218"/>
      <c r="K227" s="3207"/>
      <c r="L227" s="3218"/>
      <c r="M227" s="3218"/>
      <c r="N227" s="3218"/>
      <c r="O227" s="3218"/>
      <c r="P227" s="3218"/>
      <c r="Q227" s="3218"/>
      <c r="R227" s="3218"/>
      <c r="S227" s="3218"/>
      <c r="T227" s="3218"/>
      <c r="U227" s="3218"/>
      <c r="V227" s="3218"/>
      <c r="W227" s="3218"/>
      <c r="X227" s="3218"/>
      <c r="Y227" s="3218"/>
      <c r="Z227" s="3218"/>
      <c r="AA227" s="3218"/>
      <c r="AB227" s="3218"/>
      <c r="AC227" s="3199">
        <f t="shared" si="152"/>
        <v>0</v>
      </c>
      <c r="AD227" s="3229"/>
      <c r="AE227" s="3229"/>
      <c r="AF227" s="3207"/>
      <c r="AG227" s="3229"/>
      <c r="AH227" s="3229"/>
      <c r="AI227" s="3229"/>
      <c r="AJ227" s="3229"/>
      <c r="AK227" s="3229"/>
      <c r="AL227" s="3229"/>
      <c r="AM227" s="3229"/>
      <c r="AN227" s="3229"/>
      <c r="AO227" s="3229"/>
      <c r="AP227" s="3229"/>
      <c r="AQ227" s="3229"/>
      <c r="AR227" s="3229"/>
      <c r="AS227" s="3229"/>
      <c r="AT227" s="3249"/>
      <c r="AU227" s="3250"/>
      <c r="AV227" s="475">
        <f t="shared" si="153"/>
        <v>0</v>
      </c>
      <c r="AW227" s="475">
        <f t="shared" si="154"/>
        <v>0</v>
      </c>
      <c r="AX227" s="475">
        <f t="shared" si="155"/>
        <v>0</v>
      </c>
      <c r="AY227" s="3266">
        <f t="shared" si="156"/>
        <v>0</v>
      </c>
      <c r="AZ227" s="3199">
        <f t="shared" si="157"/>
        <v>0</v>
      </c>
      <c r="BA227" s="3199">
        <f t="shared" si="158"/>
        <v>0</v>
      </c>
      <c r="BB227" s="3199">
        <f t="shared" si="159"/>
        <v>0</v>
      </c>
      <c r="BC227" s="3199">
        <f t="shared" si="160"/>
        <v>0</v>
      </c>
      <c r="BD227" s="3199">
        <f t="shared" si="161"/>
        <v>0</v>
      </c>
      <c r="BE227" s="3199">
        <f t="shared" si="162"/>
        <v>0</v>
      </c>
      <c r="BF227" s="3199">
        <f t="shared" si="163"/>
        <v>0</v>
      </c>
      <c r="BG227" s="3199">
        <f t="shared" si="164"/>
        <v>0</v>
      </c>
      <c r="BH227" s="3199">
        <f t="shared" si="165"/>
        <v>0</v>
      </c>
      <c r="BI227" s="3199">
        <f t="shared" si="166"/>
        <v>0</v>
      </c>
      <c r="BJ227" s="3199">
        <f t="shared" si="167"/>
        <v>0</v>
      </c>
      <c r="BK227" s="3199">
        <f t="shared" si="168"/>
        <v>0</v>
      </c>
      <c r="BL227" s="3199">
        <f t="shared" si="169"/>
        <v>0</v>
      </c>
      <c r="BM227" s="3199">
        <f t="shared" si="170"/>
        <v>0</v>
      </c>
      <c r="BN227" s="3199">
        <f t="shared" si="171"/>
        <v>0</v>
      </c>
      <c r="BO227" s="3199">
        <f t="shared" si="172"/>
        <v>0</v>
      </c>
      <c r="BP227" s="3199">
        <f t="shared" si="173"/>
        <v>0</v>
      </c>
      <c r="BQ227" s="3199">
        <f t="shared" si="174"/>
        <v>0</v>
      </c>
      <c r="BR227" s="3199">
        <f t="shared" si="175"/>
        <v>0</v>
      </c>
      <c r="BS227" s="3199">
        <f t="shared" si="176"/>
        <v>0</v>
      </c>
      <c r="BT227" s="3271">
        <f t="shared" si="177"/>
        <v>0</v>
      </c>
    </row>
    <row r="228" spans="1:72">
      <c r="A228" s="3197"/>
      <c r="B228" s="3205"/>
      <c r="C228" s="3204"/>
      <c r="D228" s="3193"/>
      <c r="E228" s="3199">
        <f t="shared" si="149"/>
        <v>0</v>
      </c>
      <c r="F228" s="3200"/>
      <c r="G228" s="3201">
        <f t="shared" si="150"/>
        <v>0</v>
      </c>
      <c r="H228" s="3202">
        <f t="shared" si="151"/>
        <v>0</v>
      </c>
      <c r="I228" s="3207"/>
      <c r="J228" s="3218"/>
      <c r="K228" s="3207"/>
      <c r="L228" s="3218"/>
      <c r="M228" s="3218"/>
      <c r="N228" s="3218"/>
      <c r="O228" s="3218"/>
      <c r="P228" s="3218"/>
      <c r="Q228" s="3218"/>
      <c r="R228" s="3218"/>
      <c r="S228" s="3218"/>
      <c r="T228" s="3218"/>
      <c r="U228" s="3218"/>
      <c r="V228" s="3218"/>
      <c r="W228" s="3218"/>
      <c r="X228" s="3218"/>
      <c r="Y228" s="3218"/>
      <c r="Z228" s="3218"/>
      <c r="AA228" s="3218"/>
      <c r="AB228" s="3218"/>
      <c r="AC228" s="3199">
        <f t="shared" si="152"/>
        <v>0</v>
      </c>
      <c r="AD228" s="3229"/>
      <c r="AE228" s="3229"/>
      <c r="AF228" s="3207"/>
      <c r="AG228" s="3229"/>
      <c r="AH228" s="3229"/>
      <c r="AI228" s="3229"/>
      <c r="AJ228" s="3229"/>
      <c r="AK228" s="3229"/>
      <c r="AL228" s="3229"/>
      <c r="AM228" s="3229"/>
      <c r="AN228" s="3229"/>
      <c r="AO228" s="3229"/>
      <c r="AP228" s="3229"/>
      <c r="AQ228" s="3229"/>
      <c r="AR228" s="3229"/>
      <c r="AS228" s="3229"/>
      <c r="AT228" s="3249"/>
      <c r="AU228" s="3250"/>
      <c r="AV228" s="475">
        <f t="shared" si="153"/>
        <v>0</v>
      </c>
      <c r="AW228" s="475">
        <f t="shared" si="154"/>
        <v>0</v>
      </c>
      <c r="AX228" s="475">
        <f t="shared" si="155"/>
        <v>0</v>
      </c>
      <c r="AY228" s="3266">
        <f t="shared" si="156"/>
        <v>0</v>
      </c>
      <c r="AZ228" s="3199">
        <f t="shared" si="157"/>
        <v>0</v>
      </c>
      <c r="BA228" s="3199">
        <f t="shared" si="158"/>
        <v>0</v>
      </c>
      <c r="BB228" s="3199">
        <f t="shared" si="159"/>
        <v>0</v>
      </c>
      <c r="BC228" s="3199">
        <f t="shared" si="160"/>
        <v>0</v>
      </c>
      <c r="BD228" s="3199">
        <f t="shared" si="161"/>
        <v>0</v>
      </c>
      <c r="BE228" s="3199">
        <f t="shared" si="162"/>
        <v>0</v>
      </c>
      <c r="BF228" s="3199">
        <f t="shared" si="163"/>
        <v>0</v>
      </c>
      <c r="BG228" s="3199">
        <f t="shared" si="164"/>
        <v>0</v>
      </c>
      <c r="BH228" s="3199">
        <f t="shared" si="165"/>
        <v>0</v>
      </c>
      <c r="BI228" s="3199">
        <f t="shared" si="166"/>
        <v>0</v>
      </c>
      <c r="BJ228" s="3199">
        <f t="shared" si="167"/>
        <v>0</v>
      </c>
      <c r="BK228" s="3199">
        <f t="shared" si="168"/>
        <v>0</v>
      </c>
      <c r="BL228" s="3199">
        <f t="shared" si="169"/>
        <v>0</v>
      </c>
      <c r="BM228" s="3199">
        <f t="shared" si="170"/>
        <v>0</v>
      </c>
      <c r="BN228" s="3199">
        <f t="shared" si="171"/>
        <v>0</v>
      </c>
      <c r="BO228" s="3199">
        <f t="shared" si="172"/>
        <v>0</v>
      </c>
      <c r="BP228" s="3199">
        <f t="shared" si="173"/>
        <v>0</v>
      </c>
      <c r="BQ228" s="3199">
        <f t="shared" si="174"/>
        <v>0</v>
      </c>
      <c r="BR228" s="3199">
        <f t="shared" si="175"/>
        <v>0</v>
      </c>
      <c r="BS228" s="3199">
        <f t="shared" si="176"/>
        <v>0</v>
      </c>
      <c r="BT228" s="3271">
        <f t="shared" si="177"/>
        <v>0</v>
      </c>
    </row>
    <row r="229" spans="1:72">
      <c r="A229" s="3197"/>
      <c r="B229" s="3205"/>
      <c r="C229" s="3204"/>
      <c r="D229" s="3193"/>
      <c r="E229" s="3199">
        <f t="shared" si="149"/>
        <v>0</v>
      </c>
      <c r="F229" s="3200"/>
      <c r="G229" s="3201">
        <f t="shared" si="150"/>
        <v>0</v>
      </c>
      <c r="H229" s="3202">
        <f t="shared" si="151"/>
        <v>0</v>
      </c>
      <c r="I229" s="3207"/>
      <c r="J229" s="3218"/>
      <c r="K229" s="3207"/>
      <c r="L229" s="3218"/>
      <c r="M229" s="3218"/>
      <c r="N229" s="3218"/>
      <c r="O229" s="3218"/>
      <c r="P229" s="3218"/>
      <c r="Q229" s="3218"/>
      <c r="R229" s="3218"/>
      <c r="S229" s="3218"/>
      <c r="T229" s="3218"/>
      <c r="U229" s="3218"/>
      <c r="V229" s="3218"/>
      <c r="W229" s="3218"/>
      <c r="X229" s="3218"/>
      <c r="Y229" s="3218"/>
      <c r="Z229" s="3218"/>
      <c r="AA229" s="3218"/>
      <c r="AB229" s="3218"/>
      <c r="AC229" s="3199">
        <f t="shared" si="152"/>
        <v>0</v>
      </c>
      <c r="AD229" s="3229"/>
      <c r="AE229" s="3229"/>
      <c r="AF229" s="3207"/>
      <c r="AG229" s="3229"/>
      <c r="AH229" s="3229"/>
      <c r="AI229" s="3229"/>
      <c r="AJ229" s="3229"/>
      <c r="AK229" s="3229"/>
      <c r="AL229" s="3229"/>
      <c r="AM229" s="3229"/>
      <c r="AN229" s="3229"/>
      <c r="AO229" s="3229"/>
      <c r="AP229" s="3229"/>
      <c r="AQ229" s="3229"/>
      <c r="AR229" s="3229"/>
      <c r="AS229" s="3229"/>
      <c r="AT229" s="3249"/>
      <c r="AU229" s="3250"/>
      <c r="AV229" s="475">
        <f t="shared" si="153"/>
        <v>0</v>
      </c>
      <c r="AW229" s="475">
        <f t="shared" si="154"/>
        <v>0</v>
      </c>
      <c r="AX229" s="475">
        <f t="shared" si="155"/>
        <v>0</v>
      </c>
      <c r="AY229" s="3266">
        <f t="shared" si="156"/>
        <v>0</v>
      </c>
      <c r="AZ229" s="3199">
        <f t="shared" si="157"/>
        <v>0</v>
      </c>
      <c r="BA229" s="3199">
        <f t="shared" si="158"/>
        <v>0</v>
      </c>
      <c r="BB229" s="3199">
        <f t="shared" si="159"/>
        <v>0</v>
      </c>
      <c r="BC229" s="3199">
        <f t="shared" si="160"/>
        <v>0</v>
      </c>
      <c r="BD229" s="3199">
        <f t="shared" si="161"/>
        <v>0</v>
      </c>
      <c r="BE229" s="3199">
        <f t="shared" si="162"/>
        <v>0</v>
      </c>
      <c r="BF229" s="3199">
        <f t="shared" si="163"/>
        <v>0</v>
      </c>
      <c r="BG229" s="3199">
        <f t="shared" si="164"/>
        <v>0</v>
      </c>
      <c r="BH229" s="3199">
        <f t="shared" si="165"/>
        <v>0</v>
      </c>
      <c r="BI229" s="3199">
        <f t="shared" si="166"/>
        <v>0</v>
      </c>
      <c r="BJ229" s="3199">
        <f t="shared" si="167"/>
        <v>0</v>
      </c>
      <c r="BK229" s="3199">
        <f t="shared" si="168"/>
        <v>0</v>
      </c>
      <c r="BL229" s="3199">
        <f t="shared" si="169"/>
        <v>0</v>
      </c>
      <c r="BM229" s="3199">
        <f t="shared" si="170"/>
        <v>0</v>
      </c>
      <c r="BN229" s="3199">
        <f t="shared" si="171"/>
        <v>0</v>
      </c>
      <c r="BO229" s="3199">
        <f t="shared" si="172"/>
        <v>0</v>
      </c>
      <c r="BP229" s="3199">
        <f t="shared" si="173"/>
        <v>0</v>
      </c>
      <c r="BQ229" s="3199">
        <f t="shared" si="174"/>
        <v>0</v>
      </c>
      <c r="BR229" s="3199">
        <f t="shared" si="175"/>
        <v>0</v>
      </c>
      <c r="BS229" s="3199">
        <f t="shared" si="176"/>
        <v>0</v>
      </c>
      <c r="BT229" s="3271">
        <f t="shared" si="177"/>
        <v>0</v>
      </c>
    </row>
    <row r="230" spans="1:72">
      <c r="A230" s="3197"/>
      <c r="B230" s="3205"/>
      <c r="C230" s="3204"/>
      <c r="D230" s="3193"/>
      <c r="E230" s="3199">
        <f t="shared" si="149"/>
        <v>0</v>
      </c>
      <c r="F230" s="3200"/>
      <c r="G230" s="3201">
        <f t="shared" si="150"/>
        <v>0</v>
      </c>
      <c r="H230" s="3202">
        <f t="shared" si="151"/>
        <v>0</v>
      </c>
      <c r="I230" s="3207"/>
      <c r="J230" s="3218"/>
      <c r="K230" s="3207"/>
      <c r="L230" s="3218"/>
      <c r="M230" s="3218"/>
      <c r="N230" s="3218"/>
      <c r="O230" s="3218"/>
      <c r="P230" s="3218"/>
      <c r="Q230" s="3218"/>
      <c r="R230" s="3218"/>
      <c r="S230" s="3218"/>
      <c r="T230" s="3218"/>
      <c r="U230" s="3218"/>
      <c r="V230" s="3218"/>
      <c r="W230" s="3218"/>
      <c r="X230" s="3218"/>
      <c r="Y230" s="3218"/>
      <c r="Z230" s="3218"/>
      <c r="AA230" s="3218"/>
      <c r="AB230" s="3218"/>
      <c r="AC230" s="3199">
        <f t="shared" si="152"/>
        <v>0</v>
      </c>
      <c r="AD230" s="3229"/>
      <c r="AE230" s="3229"/>
      <c r="AF230" s="3207"/>
      <c r="AG230" s="3229"/>
      <c r="AH230" s="3229"/>
      <c r="AI230" s="3229"/>
      <c r="AJ230" s="3229"/>
      <c r="AK230" s="3229"/>
      <c r="AL230" s="3229"/>
      <c r="AM230" s="3229"/>
      <c r="AN230" s="3229"/>
      <c r="AO230" s="3229"/>
      <c r="AP230" s="3229"/>
      <c r="AQ230" s="3229"/>
      <c r="AR230" s="3229"/>
      <c r="AS230" s="3229"/>
      <c r="AT230" s="3249"/>
      <c r="AU230" s="3250"/>
      <c r="AV230" s="475">
        <f t="shared" si="153"/>
        <v>0</v>
      </c>
      <c r="AW230" s="475">
        <f t="shared" si="154"/>
        <v>0</v>
      </c>
      <c r="AX230" s="475">
        <f t="shared" si="155"/>
        <v>0</v>
      </c>
      <c r="AY230" s="3266">
        <f t="shared" si="156"/>
        <v>0</v>
      </c>
      <c r="AZ230" s="3199">
        <f t="shared" si="157"/>
        <v>0</v>
      </c>
      <c r="BA230" s="3199">
        <f t="shared" si="158"/>
        <v>0</v>
      </c>
      <c r="BB230" s="3199">
        <f t="shared" si="159"/>
        <v>0</v>
      </c>
      <c r="BC230" s="3199">
        <f t="shared" si="160"/>
        <v>0</v>
      </c>
      <c r="BD230" s="3199">
        <f t="shared" si="161"/>
        <v>0</v>
      </c>
      <c r="BE230" s="3199">
        <f t="shared" si="162"/>
        <v>0</v>
      </c>
      <c r="BF230" s="3199">
        <f t="shared" si="163"/>
        <v>0</v>
      </c>
      <c r="BG230" s="3199">
        <f t="shared" si="164"/>
        <v>0</v>
      </c>
      <c r="BH230" s="3199">
        <f t="shared" si="165"/>
        <v>0</v>
      </c>
      <c r="BI230" s="3199">
        <f t="shared" si="166"/>
        <v>0</v>
      </c>
      <c r="BJ230" s="3199">
        <f t="shared" si="167"/>
        <v>0</v>
      </c>
      <c r="BK230" s="3199">
        <f t="shared" si="168"/>
        <v>0</v>
      </c>
      <c r="BL230" s="3199">
        <f t="shared" si="169"/>
        <v>0</v>
      </c>
      <c r="BM230" s="3199">
        <f t="shared" si="170"/>
        <v>0</v>
      </c>
      <c r="BN230" s="3199">
        <f t="shared" si="171"/>
        <v>0</v>
      </c>
      <c r="BO230" s="3199">
        <f t="shared" si="172"/>
        <v>0</v>
      </c>
      <c r="BP230" s="3199">
        <f t="shared" si="173"/>
        <v>0</v>
      </c>
      <c r="BQ230" s="3199">
        <f t="shared" si="174"/>
        <v>0</v>
      </c>
      <c r="BR230" s="3199">
        <f t="shared" si="175"/>
        <v>0</v>
      </c>
      <c r="BS230" s="3199">
        <f t="shared" si="176"/>
        <v>0</v>
      </c>
      <c r="BT230" s="3271">
        <f t="shared" si="177"/>
        <v>0</v>
      </c>
    </row>
    <row r="231" spans="1:72">
      <c r="A231" s="3197"/>
      <c r="B231" s="3205"/>
      <c r="C231" s="3204"/>
      <c r="D231" s="3193"/>
      <c r="E231" s="3199">
        <f t="shared" si="149"/>
        <v>0</v>
      </c>
      <c r="F231" s="3200"/>
      <c r="G231" s="3201">
        <f t="shared" si="150"/>
        <v>0</v>
      </c>
      <c r="H231" s="3202">
        <f t="shared" si="151"/>
        <v>0</v>
      </c>
      <c r="I231" s="3207"/>
      <c r="J231" s="3218"/>
      <c r="K231" s="3207"/>
      <c r="L231" s="3218"/>
      <c r="M231" s="3218"/>
      <c r="N231" s="3218"/>
      <c r="O231" s="3218"/>
      <c r="P231" s="3218"/>
      <c r="Q231" s="3218"/>
      <c r="R231" s="3218"/>
      <c r="S231" s="3218"/>
      <c r="T231" s="3218"/>
      <c r="U231" s="3218"/>
      <c r="V231" s="3218"/>
      <c r="W231" s="3218"/>
      <c r="X231" s="3218"/>
      <c r="Y231" s="3218"/>
      <c r="Z231" s="3218"/>
      <c r="AA231" s="3218"/>
      <c r="AB231" s="3218"/>
      <c r="AC231" s="3199">
        <f t="shared" si="152"/>
        <v>0</v>
      </c>
      <c r="AD231" s="3229"/>
      <c r="AE231" s="3229"/>
      <c r="AF231" s="3204"/>
      <c r="AG231" s="3229"/>
      <c r="AH231" s="3229"/>
      <c r="AI231" s="3229"/>
      <c r="AJ231" s="3229"/>
      <c r="AK231" s="3229"/>
      <c r="AL231" s="3229"/>
      <c r="AM231" s="3229"/>
      <c r="AN231" s="3229"/>
      <c r="AO231" s="3229"/>
      <c r="AP231" s="3229"/>
      <c r="AQ231" s="3229"/>
      <c r="AR231" s="3229"/>
      <c r="AS231" s="3229"/>
      <c r="AT231" s="3249"/>
      <c r="AU231" s="3250"/>
      <c r="AV231" s="475">
        <f t="shared" si="153"/>
        <v>0</v>
      </c>
      <c r="AW231" s="475">
        <f t="shared" si="154"/>
        <v>0</v>
      </c>
      <c r="AX231" s="475">
        <f t="shared" si="155"/>
        <v>0</v>
      </c>
      <c r="AY231" s="3266">
        <f t="shared" si="156"/>
        <v>0</v>
      </c>
      <c r="AZ231" s="3199">
        <f t="shared" si="157"/>
        <v>0</v>
      </c>
      <c r="BA231" s="3199">
        <f t="shared" si="158"/>
        <v>0</v>
      </c>
      <c r="BB231" s="3199">
        <f t="shared" si="159"/>
        <v>0</v>
      </c>
      <c r="BC231" s="3199">
        <f t="shared" si="160"/>
        <v>0</v>
      </c>
      <c r="BD231" s="3199">
        <f t="shared" si="161"/>
        <v>0</v>
      </c>
      <c r="BE231" s="3199">
        <f t="shared" si="162"/>
        <v>0</v>
      </c>
      <c r="BF231" s="3199">
        <f t="shared" si="163"/>
        <v>0</v>
      </c>
      <c r="BG231" s="3199">
        <f t="shared" si="164"/>
        <v>0</v>
      </c>
      <c r="BH231" s="3199">
        <f t="shared" si="165"/>
        <v>0</v>
      </c>
      <c r="BI231" s="3199">
        <f t="shared" si="166"/>
        <v>0</v>
      </c>
      <c r="BJ231" s="3199">
        <f t="shared" si="167"/>
        <v>0</v>
      </c>
      <c r="BK231" s="3199">
        <f t="shared" si="168"/>
        <v>0</v>
      </c>
      <c r="BL231" s="3199">
        <f t="shared" si="169"/>
        <v>0</v>
      </c>
      <c r="BM231" s="3199">
        <f t="shared" si="170"/>
        <v>0</v>
      </c>
      <c r="BN231" s="3199">
        <f t="shared" si="171"/>
        <v>0</v>
      </c>
      <c r="BO231" s="3199">
        <f t="shared" si="172"/>
        <v>0</v>
      </c>
      <c r="BP231" s="3199">
        <f t="shared" si="173"/>
        <v>0</v>
      </c>
      <c r="BQ231" s="3199">
        <f t="shared" si="174"/>
        <v>0</v>
      </c>
      <c r="BR231" s="3199">
        <f t="shared" si="175"/>
        <v>0</v>
      </c>
      <c r="BS231" s="3199">
        <f t="shared" si="176"/>
        <v>0</v>
      </c>
      <c r="BT231" s="3271">
        <f t="shared" si="177"/>
        <v>0</v>
      </c>
    </row>
    <row r="232" spans="1:72">
      <c r="A232" s="3197"/>
      <c r="B232" s="3205"/>
      <c r="C232" s="3204"/>
      <c r="D232" s="3193"/>
      <c r="E232" s="3199">
        <f t="shared" si="149"/>
        <v>0</v>
      </c>
      <c r="F232" s="3200"/>
      <c r="G232" s="3201">
        <f t="shared" si="150"/>
        <v>0</v>
      </c>
      <c r="H232" s="3202">
        <f t="shared" si="151"/>
        <v>0</v>
      </c>
      <c r="I232" s="3204"/>
      <c r="J232" s="3218"/>
      <c r="K232" s="3204"/>
      <c r="L232" s="3218"/>
      <c r="M232" s="3218"/>
      <c r="N232" s="3218"/>
      <c r="O232" s="3218"/>
      <c r="P232" s="3218"/>
      <c r="Q232" s="3218"/>
      <c r="R232" s="3218"/>
      <c r="S232" s="3218"/>
      <c r="T232" s="3218"/>
      <c r="U232" s="3218"/>
      <c r="V232" s="3218"/>
      <c r="W232" s="3218"/>
      <c r="X232" s="3218"/>
      <c r="Y232" s="3218"/>
      <c r="Z232" s="3218"/>
      <c r="AA232" s="3218"/>
      <c r="AB232" s="3218"/>
      <c r="AC232" s="3199">
        <f t="shared" si="152"/>
        <v>0</v>
      </c>
      <c r="AD232" s="3229"/>
      <c r="AE232" s="3229"/>
      <c r="AF232" s="3204"/>
      <c r="AG232" s="3229"/>
      <c r="AH232" s="3229"/>
      <c r="AI232" s="3229"/>
      <c r="AJ232" s="3229"/>
      <c r="AK232" s="3229"/>
      <c r="AL232" s="3229"/>
      <c r="AM232" s="3229"/>
      <c r="AN232" s="3229"/>
      <c r="AO232" s="3229"/>
      <c r="AP232" s="3229"/>
      <c r="AQ232" s="3229"/>
      <c r="AR232" s="3229"/>
      <c r="AS232" s="3229"/>
      <c r="AT232" s="3249"/>
      <c r="AU232" s="3250"/>
      <c r="AV232" s="475">
        <f t="shared" si="153"/>
        <v>0</v>
      </c>
      <c r="AW232" s="475">
        <f t="shared" si="154"/>
        <v>0</v>
      </c>
      <c r="AX232" s="475">
        <f t="shared" si="155"/>
        <v>0</v>
      </c>
      <c r="AY232" s="3266">
        <f t="shared" si="156"/>
        <v>0</v>
      </c>
      <c r="AZ232" s="3199">
        <f t="shared" si="157"/>
        <v>0</v>
      </c>
      <c r="BA232" s="3199">
        <f t="shared" si="158"/>
        <v>0</v>
      </c>
      <c r="BB232" s="3199">
        <f t="shared" si="159"/>
        <v>0</v>
      </c>
      <c r="BC232" s="3199">
        <f t="shared" si="160"/>
        <v>0</v>
      </c>
      <c r="BD232" s="3199">
        <f t="shared" si="161"/>
        <v>0</v>
      </c>
      <c r="BE232" s="3199">
        <f t="shared" si="162"/>
        <v>0</v>
      </c>
      <c r="BF232" s="3199">
        <f t="shared" si="163"/>
        <v>0</v>
      </c>
      <c r="BG232" s="3199">
        <f t="shared" si="164"/>
        <v>0</v>
      </c>
      <c r="BH232" s="3199">
        <f t="shared" si="165"/>
        <v>0</v>
      </c>
      <c r="BI232" s="3199">
        <f t="shared" si="166"/>
        <v>0</v>
      </c>
      <c r="BJ232" s="3199">
        <f t="shared" si="167"/>
        <v>0</v>
      </c>
      <c r="BK232" s="3199">
        <f t="shared" si="168"/>
        <v>0</v>
      </c>
      <c r="BL232" s="3199">
        <f t="shared" si="169"/>
        <v>0</v>
      </c>
      <c r="BM232" s="3199">
        <f t="shared" si="170"/>
        <v>0</v>
      </c>
      <c r="BN232" s="3199">
        <f t="shared" si="171"/>
        <v>0</v>
      </c>
      <c r="BO232" s="3199">
        <f t="shared" si="172"/>
        <v>0</v>
      </c>
      <c r="BP232" s="3199">
        <f t="shared" si="173"/>
        <v>0</v>
      </c>
      <c r="BQ232" s="3199">
        <f t="shared" si="174"/>
        <v>0</v>
      </c>
      <c r="BR232" s="3199">
        <f t="shared" si="175"/>
        <v>0</v>
      </c>
      <c r="BS232" s="3199">
        <f t="shared" si="176"/>
        <v>0</v>
      </c>
      <c r="BT232" s="3271">
        <f t="shared" si="177"/>
        <v>0</v>
      </c>
    </row>
    <row r="233" spans="1:72">
      <c r="A233" s="3197"/>
      <c r="B233" s="3205"/>
      <c r="C233" s="3204"/>
      <c r="D233" s="3193"/>
      <c r="E233" s="3199">
        <f t="shared" si="149"/>
        <v>0</v>
      </c>
      <c r="F233" s="3200"/>
      <c r="G233" s="3201">
        <f t="shared" si="150"/>
        <v>0</v>
      </c>
      <c r="H233" s="3202">
        <f t="shared" si="151"/>
        <v>0</v>
      </c>
      <c r="I233" s="3204"/>
      <c r="J233" s="3218"/>
      <c r="K233" s="3204"/>
      <c r="L233" s="3218"/>
      <c r="M233" s="3218"/>
      <c r="N233" s="3218"/>
      <c r="O233" s="3218"/>
      <c r="P233" s="3218"/>
      <c r="Q233" s="3218"/>
      <c r="R233" s="3218"/>
      <c r="S233" s="3218"/>
      <c r="T233" s="3218"/>
      <c r="U233" s="3218"/>
      <c r="V233" s="3218"/>
      <c r="W233" s="3218"/>
      <c r="X233" s="3218"/>
      <c r="Y233" s="3218"/>
      <c r="Z233" s="3218"/>
      <c r="AA233" s="3218"/>
      <c r="AB233" s="3218"/>
      <c r="AC233" s="3199">
        <f t="shared" si="152"/>
        <v>0</v>
      </c>
      <c r="AD233" s="3229"/>
      <c r="AE233" s="3229"/>
      <c r="AF233" s="3204"/>
      <c r="AG233" s="3229"/>
      <c r="AH233" s="3229"/>
      <c r="AI233" s="3229"/>
      <c r="AJ233" s="3229"/>
      <c r="AK233" s="3229"/>
      <c r="AL233" s="3229"/>
      <c r="AM233" s="3229"/>
      <c r="AN233" s="3229"/>
      <c r="AO233" s="3229"/>
      <c r="AP233" s="3229"/>
      <c r="AQ233" s="3229"/>
      <c r="AR233" s="3229"/>
      <c r="AS233" s="3229"/>
      <c r="AT233" s="3249"/>
      <c r="AU233" s="3250"/>
      <c r="AV233" s="475">
        <f t="shared" si="153"/>
        <v>0</v>
      </c>
      <c r="AW233" s="475">
        <f t="shared" si="154"/>
        <v>0</v>
      </c>
      <c r="AX233" s="475">
        <f t="shared" si="155"/>
        <v>0</v>
      </c>
      <c r="AY233" s="3266">
        <f t="shared" si="156"/>
        <v>0</v>
      </c>
      <c r="AZ233" s="3199">
        <f t="shared" si="157"/>
        <v>0</v>
      </c>
      <c r="BA233" s="3199">
        <f t="shared" si="158"/>
        <v>0</v>
      </c>
      <c r="BB233" s="3199">
        <f t="shared" si="159"/>
        <v>0</v>
      </c>
      <c r="BC233" s="3199">
        <f t="shared" si="160"/>
        <v>0</v>
      </c>
      <c r="BD233" s="3199">
        <f t="shared" si="161"/>
        <v>0</v>
      </c>
      <c r="BE233" s="3199">
        <f t="shared" si="162"/>
        <v>0</v>
      </c>
      <c r="BF233" s="3199">
        <f t="shared" si="163"/>
        <v>0</v>
      </c>
      <c r="BG233" s="3199">
        <f t="shared" si="164"/>
        <v>0</v>
      </c>
      <c r="BH233" s="3199">
        <f t="shared" si="165"/>
        <v>0</v>
      </c>
      <c r="BI233" s="3199">
        <f t="shared" si="166"/>
        <v>0</v>
      </c>
      <c r="BJ233" s="3199">
        <f t="shared" si="167"/>
        <v>0</v>
      </c>
      <c r="BK233" s="3199">
        <f t="shared" si="168"/>
        <v>0</v>
      </c>
      <c r="BL233" s="3199">
        <f t="shared" si="169"/>
        <v>0</v>
      </c>
      <c r="BM233" s="3199">
        <f t="shared" si="170"/>
        <v>0</v>
      </c>
      <c r="BN233" s="3199">
        <f t="shared" si="171"/>
        <v>0</v>
      </c>
      <c r="BO233" s="3199">
        <f t="shared" si="172"/>
        <v>0</v>
      </c>
      <c r="BP233" s="3199">
        <f t="shared" si="173"/>
        <v>0</v>
      </c>
      <c r="BQ233" s="3199">
        <f t="shared" si="174"/>
        <v>0</v>
      </c>
      <c r="BR233" s="3199">
        <f t="shared" si="175"/>
        <v>0</v>
      </c>
      <c r="BS233" s="3199">
        <f t="shared" si="176"/>
        <v>0</v>
      </c>
      <c r="BT233" s="3271">
        <f t="shared" si="177"/>
        <v>0</v>
      </c>
    </row>
    <row r="234" spans="1:72">
      <c r="A234" s="3197"/>
      <c r="B234" s="3205"/>
      <c r="C234" s="3204"/>
      <c r="D234" s="3193"/>
      <c r="E234" s="3199">
        <f t="shared" si="149"/>
        <v>0</v>
      </c>
      <c r="F234" s="3200"/>
      <c r="G234" s="3201">
        <f t="shared" si="150"/>
        <v>0</v>
      </c>
      <c r="H234" s="3202">
        <f t="shared" si="151"/>
        <v>0</v>
      </c>
      <c r="I234" s="3204"/>
      <c r="J234" s="3218"/>
      <c r="K234" s="3204"/>
      <c r="L234" s="3218"/>
      <c r="M234" s="3218"/>
      <c r="N234" s="3218"/>
      <c r="O234" s="3218"/>
      <c r="P234" s="3218"/>
      <c r="Q234" s="3218"/>
      <c r="R234" s="3218"/>
      <c r="S234" s="3218"/>
      <c r="T234" s="3218"/>
      <c r="U234" s="3218"/>
      <c r="V234" s="3218"/>
      <c r="W234" s="3218"/>
      <c r="X234" s="3218"/>
      <c r="Y234" s="3218"/>
      <c r="Z234" s="3218"/>
      <c r="AA234" s="3218"/>
      <c r="AB234" s="3218"/>
      <c r="AC234" s="3199">
        <f t="shared" si="152"/>
        <v>0</v>
      </c>
      <c r="AD234" s="3229"/>
      <c r="AE234" s="3229"/>
      <c r="AF234" s="3204"/>
      <c r="AG234" s="3229"/>
      <c r="AH234" s="3229"/>
      <c r="AI234" s="3229"/>
      <c r="AJ234" s="3229"/>
      <c r="AK234" s="3229"/>
      <c r="AL234" s="3229"/>
      <c r="AM234" s="3229"/>
      <c r="AN234" s="3229"/>
      <c r="AO234" s="3229"/>
      <c r="AP234" s="3229"/>
      <c r="AQ234" s="3229"/>
      <c r="AR234" s="3229"/>
      <c r="AS234" s="3229"/>
      <c r="AT234" s="3249"/>
      <c r="AU234" s="3250"/>
      <c r="AV234" s="475">
        <f t="shared" si="153"/>
        <v>0</v>
      </c>
      <c r="AW234" s="475">
        <f t="shared" si="154"/>
        <v>0</v>
      </c>
      <c r="AX234" s="475">
        <f t="shared" si="155"/>
        <v>0</v>
      </c>
      <c r="AY234" s="3266">
        <f t="shared" si="156"/>
        <v>0</v>
      </c>
      <c r="AZ234" s="3199">
        <f t="shared" si="157"/>
        <v>0</v>
      </c>
      <c r="BA234" s="3199">
        <f t="shared" si="158"/>
        <v>0</v>
      </c>
      <c r="BB234" s="3199">
        <f t="shared" si="159"/>
        <v>0</v>
      </c>
      <c r="BC234" s="3199">
        <f t="shared" si="160"/>
        <v>0</v>
      </c>
      <c r="BD234" s="3199">
        <f t="shared" si="161"/>
        <v>0</v>
      </c>
      <c r="BE234" s="3199">
        <f t="shared" si="162"/>
        <v>0</v>
      </c>
      <c r="BF234" s="3199">
        <f t="shared" si="163"/>
        <v>0</v>
      </c>
      <c r="BG234" s="3199">
        <f t="shared" si="164"/>
        <v>0</v>
      </c>
      <c r="BH234" s="3199">
        <f t="shared" si="165"/>
        <v>0</v>
      </c>
      <c r="BI234" s="3199">
        <f t="shared" si="166"/>
        <v>0</v>
      </c>
      <c r="BJ234" s="3199">
        <f t="shared" si="167"/>
        <v>0</v>
      </c>
      <c r="BK234" s="3199">
        <f t="shared" si="168"/>
        <v>0</v>
      </c>
      <c r="BL234" s="3199">
        <f t="shared" si="169"/>
        <v>0</v>
      </c>
      <c r="BM234" s="3199">
        <f t="shared" si="170"/>
        <v>0</v>
      </c>
      <c r="BN234" s="3199">
        <f t="shared" si="171"/>
        <v>0</v>
      </c>
      <c r="BO234" s="3199">
        <f t="shared" si="172"/>
        <v>0</v>
      </c>
      <c r="BP234" s="3199">
        <f t="shared" si="173"/>
        <v>0</v>
      </c>
      <c r="BQ234" s="3199">
        <f t="shared" si="174"/>
        <v>0</v>
      </c>
      <c r="BR234" s="3199">
        <f t="shared" si="175"/>
        <v>0</v>
      </c>
      <c r="BS234" s="3199">
        <f t="shared" si="176"/>
        <v>0</v>
      </c>
      <c r="BT234" s="3271">
        <f t="shared" si="177"/>
        <v>0</v>
      </c>
    </row>
    <row r="235" spans="1:72">
      <c r="A235" s="3197"/>
      <c r="B235" s="3205"/>
      <c r="C235" s="3204"/>
      <c r="D235" s="3193"/>
      <c r="E235" s="3199">
        <f t="shared" si="149"/>
        <v>0</v>
      </c>
      <c r="F235" s="3200"/>
      <c r="G235" s="3201">
        <f t="shared" si="150"/>
        <v>0</v>
      </c>
      <c r="H235" s="3202">
        <f t="shared" si="151"/>
        <v>0</v>
      </c>
      <c r="I235" s="3204"/>
      <c r="J235" s="3218"/>
      <c r="K235" s="3204"/>
      <c r="L235" s="3218"/>
      <c r="M235" s="3218"/>
      <c r="N235" s="3218"/>
      <c r="O235" s="3218"/>
      <c r="P235" s="3218"/>
      <c r="Q235" s="3218"/>
      <c r="R235" s="3218"/>
      <c r="S235" s="3218"/>
      <c r="T235" s="3218"/>
      <c r="U235" s="3218"/>
      <c r="V235" s="3218"/>
      <c r="W235" s="3218"/>
      <c r="X235" s="3218"/>
      <c r="Y235" s="3218"/>
      <c r="Z235" s="3218"/>
      <c r="AA235" s="3218"/>
      <c r="AB235" s="3218"/>
      <c r="AC235" s="3199">
        <f t="shared" si="152"/>
        <v>0</v>
      </c>
      <c r="AD235" s="3229"/>
      <c r="AE235" s="3229"/>
      <c r="AF235" s="3204"/>
      <c r="AG235" s="3229"/>
      <c r="AH235" s="3229"/>
      <c r="AI235" s="3229"/>
      <c r="AJ235" s="3229"/>
      <c r="AK235" s="3229"/>
      <c r="AL235" s="3229"/>
      <c r="AM235" s="3229"/>
      <c r="AN235" s="3229"/>
      <c r="AO235" s="3229"/>
      <c r="AP235" s="3229"/>
      <c r="AQ235" s="3229"/>
      <c r="AR235" s="3229"/>
      <c r="AS235" s="3229"/>
      <c r="AT235" s="3249"/>
      <c r="AU235" s="3250"/>
      <c r="AV235" s="475">
        <f t="shared" si="153"/>
        <v>0</v>
      </c>
      <c r="AW235" s="475">
        <f t="shared" si="154"/>
        <v>0</v>
      </c>
      <c r="AX235" s="475">
        <f t="shared" si="155"/>
        <v>0</v>
      </c>
      <c r="AY235" s="3266">
        <f t="shared" si="156"/>
        <v>0</v>
      </c>
      <c r="AZ235" s="3199">
        <f t="shared" si="157"/>
        <v>0</v>
      </c>
      <c r="BA235" s="3199">
        <f t="shared" si="158"/>
        <v>0</v>
      </c>
      <c r="BB235" s="3199">
        <f t="shared" si="159"/>
        <v>0</v>
      </c>
      <c r="BC235" s="3199">
        <f t="shared" si="160"/>
        <v>0</v>
      </c>
      <c r="BD235" s="3199">
        <f t="shared" si="161"/>
        <v>0</v>
      </c>
      <c r="BE235" s="3199">
        <f t="shared" si="162"/>
        <v>0</v>
      </c>
      <c r="BF235" s="3199">
        <f t="shared" si="163"/>
        <v>0</v>
      </c>
      <c r="BG235" s="3199">
        <f t="shared" si="164"/>
        <v>0</v>
      </c>
      <c r="BH235" s="3199">
        <f t="shared" si="165"/>
        <v>0</v>
      </c>
      <c r="BI235" s="3199">
        <f t="shared" si="166"/>
        <v>0</v>
      </c>
      <c r="BJ235" s="3199">
        <f t="shared" si="167"/>
        <v>0</v>
      </c>
      <c r="BK235" s="3199">
        <f t="shared" si="168"/>
        <v>0</v>
      </c>
      <c r="BL235" s="3199">
        <f t="shared" si="169"/>
        <v>0</v>
      </c>
      <c r="BM235" s="3199">
        <f t="shared" si="170"/>
        <v>0</v>
      </c>
      <c r="BN235" s="3199">
        <f t="shared" si="171"/>
        <v>0</v>
      </c>
      <c r="BO235" s="3199">
        <f t="shared" si="172"/>
        <v>0</v>
      </c>
      <c r="BP235" s="3199">
        <f t="shared" si="173"/>
        <v>0</v>
      </c>
      <c r="BQ235" s="3199">
        <f t="shared" si="174"/>
        <v>0</v>
      </c>
      <c r="BR235" s="3199">
        <f t="shared" si="175"/>
        <v>0</v>
      </c>
      <c r="BS235" s="3199">
        <f t="shared" si="176"/>
        <v>0</v>
      </c>
      <c r="BT235" s="3271">
        <f t="shared" si="177"/>
        <v>0</v>
      </c>
    </row>
    <row r="236" spans="1:72">
      <c r="A236" s="3197"/>
      <c r="B236" s="3205"/>
      <c r="C236" s="3204"/>
      <c r="D236" s="3193"/>
      <c r="E236" s="3199">
        <f t="shared" si="149"/>
        <v>0</v>
      </c>
      <c r="F236" s="3200"/>
      <c r="G236" s="3201">
        <f t="shared" si="150"/>
        <v>0</v>
      </c>
      <c r="H236" s="3202">
        <f t="shared" si="151"/>
        <v>0</v>
      </c>
      <c r="I236" s="3204"/>
      <c r="J236" s="3218"/>
      <c r="K236" s="3204"/>
      <c r="L236" s="3218"/>
      <c r="M236" s="3218"/>
      <c r="N236" s="3218"/>
      <c r="O236" s="3218"/>
      <c r="P236" s="3218"/>
      <c r="Q236" s="3218"/>
      <c r="R236" s="3218"/>
      <c r="S236" s="3218"/>
      <c r="T236" s="3218"/>
      <c r="U236" s="3218"/>
      <c r="V236" s="3218"/>
      <c r="W236" s="3218"/>
      <c r="X236" s="3218"/>
      <c r="Y236" s="3218"/>
      <c r="Z236" s="3218"/>
      <c r="AA236" s="3218"/>
      <c r="AB236" s="3218"/>
      <c r="AC236" s="3199">
        <f t="shared" si="152"/>
        <v>0</v>
      </c>
      <c r="AD236" s="3229"/>
      <c r="AE236" s="3229"/>
      <c r="AF236" s="3204"/>
      <c r="AG236" s="3229"/>
      <c r="AH236" s="3229"/>
      <c r="AI236" s="3229"/>
      <c r="AJ236" s="3229"/>
      <c r="AK236" s="3229"/>
      <c r="AL236" s="3229"/>
      <c r="AM236" s="3229"/>
      <c r="AN236" s="3229"/>
      <c r="AO236" s="3229"/>
      <c r="AP236" s="3229"/>
      <c r="AQ236" s="3229"/>
      <c r="AR236" s="3229"/>
      <c r="AS236" s="3229"/>
      <c r="AT236" s="3249"/>
      <c r="AU236" s="3250"/>
      <c r="AV236" s="475">
        <f t="shared" si="153"/>
        <v>0</v>
      </c>
      <c r="AW236" s="475">
        <f t="shared" si="154"/>
        <v>0</v>
      </c>
      <c r="AX236" s="475">
        <f t="shared" si="155"/>
        <v>0</v>
      </c>
      <c r="AY236" s="3266">
        <f t="shared" si="156"/>
        <v>0</v>
      </c>
      <c r="AZ236" s="3199">
        <f t="shared" si="157"/>
        <v>0</v>
      </c>
      <c r="BA236" s="3199">
        <f t="shared" si="158"/>
        <v>0</v>
      </c>
      <c r="BB236" s="3199">
        <f t="shared" si="159"/>
        <v>0</v>
      </c>
      <c r="BC236" s="3199">
        <f t="shared" si="160"/>
        <v>0</v>
      </c>
      <c r="BD236" s="3199">
        <f t="shared" si="161"/>
        <v>0</v>
      </c>
      <c r="BE236" s="3199">
        <f t="shared" si="162"/>
        <v>0</v>
      </c>
      <c r="BF236" s="3199">
        <f t="shared" si="163"/>
        <v>0</v>
      </c>
      <c r="BG236" s="3199">
        <f t="shared" si="164"/>
        <v>0</v>
      </c>
      <c r="BH236" s="3199">
        <f t="shared" si="165"/>
        <v>0</v>
      </c>
      <c r="BI236" s="3199">
        <f t="shared" si="166"/>
        <v>0</v>
      </c>
      <c r="BJ236" s="3199">
        <f t="shared" si="167"/>
        <v>0</v>
      </c>
      <c r="BK236" s="3199">
        <f t="shared" si="168"/>
        <v>0</v>
      </c>
      <c r="BL236" s="3199">
        <f t="shared" si="169"/>
        <v>0</v>
      </c>
      <c r="BM236" s="3199">
        <f t="shared" si="170"/>
        <v>0</v>
      </c>
      <c r="BN236" s="3199">
        <f t="shared" si="171"/>
        <v>0</v>
      </c>
      <c r="BO236" s="3199">
        <f t="shared" si="172"/>
        <v>0</v>
      </c>
      <c r="BP236" s="3199">
        <f t="shared" si="173"/>
        <v>0</v>
      </c>
      <c r="BQ236" s="3199">
        <f t="shared" si="174"/>
        <v>0</v>
      </c>
      <c r="BR236" s="3199">
        <f t="shared" si="175"/>
        <v>0</v>
      </c>
      <c r="BS236" s="3199">
        <f t="shared" si="176"/>
        <v>0</v>
      </c>
      <c r="BT236" s="3271">
        <f t="shared" si="177"/>
        <v>0</v>
      </c>
    </row>
    <row r="237" spans="1:72">
      <c r="A237" s="3197"/>
      <c r="B237" s="3205"/>
      <c r="C237" s="3204"/>
      <c r="D237" s="3193"/>
      <c r="E237" s="3199">
        <f t="shared" si="149"/>
        <v>0</v>
      </c>
      <c r="F237" s="3200"/>
      <c r="G237" s="3201">
        <f t="shared" si="150"/>
        <v>0</v>
      </c>
      <c r="H237" s="3202">
        <f t="shared" si="151"/>
        <v>0</v>
      </c>
      <c r="I237" s="3204"/>
      <c r="J237" s="3218"/>
      <c r="K237" s="3204"/>
      <c r="L237" s="3218"/>
      <c r="M237" s="3218"/>
      <c r="N237" s="3218"/>
      <c r="O237" s="3218"/>
      <c r="P237" s="3218"/>
      <c r="Q237" s="3218"/>
      <c r="R237" s="3218"/>
      <c r="S237" s="3218"/>
      <c r="T237" s="3218"/>
      <c r="U237" s="3218"/>
      <c r="V237" s="3218"/>
      <c r="W237" s="3218"/>
      <c r="X237" s="3218"/>
      <c r="Y237" s="3218"/>
      <c r="Z237" s="3218"/>
      <c r="AA237" s="3218"/>
      <c r="AB237" s="3218"/>
      <c r="AC237" s="3199">
        <f t="shared" si="152"/>
        <v>0</v>
      </c>
      <c r="AD237" s="3229"/>
      <c r="AE237" s="3229"/>
      <c r="AF237" s="3204"/>
      <c r="AG237" s="3229"/>
      <c r="AH237" s="3229"/>
      <c r="AI237" s="3229"/>
      <c r="AJ237" s="3229"/>
      <c r="AK237" s="3229"/>
      <c r="AL237" s="3229"/>
      <c r="AM237" s="3229"/>
      <c r="AN237" s="3229"/>
      <c r="AO237" s="3229"/>
      <c r="AP237" s="3229"/>
      <c r="AQ237" s="3229"/>
      <c r="AR237" s="3229"/>
      <c r="AS237" s="3229"/>
      <c r="AT237" s="3249"/>
      <c r="AU237" s="3250"/>
      <c r="AV237" s="475">
        <f t="shared" si="153"/>
        <v>0</v>
      </c>
      <c r="AW237" s="475">
        <f t="shared" si="154"/>
        <v>0</v>
      </c>
      <c r="AX237" s="475">
        <f t="shared" si="155"/>
        <v>0</v>
      </c>
      <c r="AY237" s="3266">
        <f t="shared" si="156"/>
        <v>0</v>
      </c>
      <c r="AZ237" s="3199">
        <f t="shared" si="157"/>
        <v>0</v>
      </c>
      <c r="BA237" s="3199">
        <f t="shared" si="158"/>
        <v>0</v>
      </c>
      <c r="BB237" s="3199">
        <f t="shared" si="159"/>
        <v>0</v>
      </c>
      <c r="BC237" s="3199">
        <f t="shared" si="160"/>
        <v>0</v>
      </c>
      <c r="BD237" s="3199">
        <f t="shared" si="161"/>
        <v>0</v>
      </c>
      <c r="BE237" s="3199">
        <f t="shared" si="162"/>
        <v>0</v>
      </c>
      <c r="BF237" s="3199">
        <f t="shared" si="163"/>
        <v>0</v>
      </c>
      <c r="BG237" s="3199">
        <f t="shared" si="164"/>
        <v>0</v>
      </c>
      <c r="BH237" s="3199">
        <f t="shared" si="165"/>
        <v>0</v>
      </c>
      <c r="BI237" s="3199">
        <f t="shared" si="166"/>
        <v>0</v>
      </c>
      <c r="BJ237" s="3199">
        <f t="shared" si="167"/>
        <v>0</v>
      </c>
      <c r="BK237" s="3199">
        <f t="shared" si="168"/>
        <v>0</v>
      </c>
      <c r="BL237" s="3199">
        <f t="shared" si="169"/>
        <v>0</v>
      </c>
      <c r="BM237" s="3199">
        <f t="shared" si="170"/>
        <v>0</v>
      </c>
      <c r="BN237" s="3199">
        <f t="shared" si="171"/>
        <v>0</v>
      </c>
      <c r="BO237" s="3199">
        <f t="shared" si="172"/>
        <v>0</v>
      </c>
      <c r="BP237" s="3199">
        <f t="shared" si="173"/>
        <v>0</v>
      </c>
      <c r="BQ237" s="3199">
        <f t="shared" si="174"/>
        <v>0</v>
      </c>
      <c r="BR237" s="3199">
        <f t="shared" si="175"/>
        <v>0</v>
      </c>
      <c r="BS237" s="3199">
        <f t="shared" si="176"/>
        <v>0</v>
      </c>
      <c r="BT237" s="3271">
        <f t="shared" si="177"/>
        <v>0</v>
      </c>
    </row>
    <row r="238" spans="1:72">
      <c r="A238" s="3197"/>
      <c r="B238" s="3205"/>
      <c r="C238" s="3204"/>
      <c r="D238" s="3193"/>
      <c r="E238" s="3199">
        <f t="shared" si="149"/>
        <v>0</v>
      </c>
      <c r="F238" s="3200"/>
      <c r="G238" s="3201">
        <f t="shared" si="150"/>
        <v>0</v>
      </c>
      <c r="H238" s="3202">
        <f t="shared" si="151"/>
        <v>0</v>
      </c>
      <c r="I238" s="3204"/>
      <c r="J238" s="3218"/>
      <c r="K238" s="3204"/>
      <c r="L238" s="3218"/>
      <c r="M238" s="3218"/>
      <c r="N238" s="3218"/>
      <c r="O238" s="3218"/>
      <c r="P238" s="3218"/>
      <c r="Q238" s="3218"/>
      <c r="R238" s="3218"/>
      <c r="S238" s="3218"/>
      <c r="T238" s="3218"/>
      <c r="U238" s="3218"/>
      <c r="V238" s="3218"/>
      <c r="W238" s="3218"/>
      <c r="X238" s="3218"/>
      <c r="Y238" s="3218"/>
      <c r="Z238" s="3218"/>
      <c r="AA238" s="3218"/>
      <c r="AB238" s="3218"/>
      <c r="AC238" s="3199">
        <f t="shared" si="152"/>
        <v>0</v>
      </c>
      <c r="AD238" s="3229"/>
      <c r="AE238" s="3229"/>
      <c r="AF238" s="3204"/>
      <c r="AG238" s="3229"/>
      <c r="AH238" s="3229"/>
      <c r="AI238" s="3229"/>
      <c r="AJ238" s="3229"/>
      <c r="AK238" s="3229"/>
      <c r="AL238" s="3229"/>
      <c r="AM238" s="3229"/>
      <c r="AN238" s="3229"/>
      <c r="AO238" s="3229"/>
      <c r="AP238" s="3229"/>
      <c r="AQ238" s="3229"/>
      <c r="AR238" s="3229"/>
      <c r="AS238" s="3229"/>
      <c r="AT238" s="3249"/>
      <c r="AU238" s="3250"/>
      <c r="AV238" s="475">
        <f t="shared" si="153"/>
        <v>0</v>
      </c>
      <c r="AW238" s="475">
        <f t="shared" si="154"/>
        <v>0</v>
      </c>
      <c r="AX238" s="475">
        <f t="shared" si="155"/>
        <v>0</v>
      </c>
      <c r="AY238" s="3266">
        <f t="shared" si="156"/>
        <v>0</v>
      </c>
      <c r="AZ238" s="3199">
        <f t="shared" si="157"/>
        <v>0</v>
      </c>
      <c r="BA238" s="3199">
        <f t="shared" si="158"/>
        <v>0</v>
      </c>
      <c r="BB238" s="3199">
        <f t="shared" si="159"/>
        <v>0</v>
      </c>
      <c r="BC238" s="3199">
        <f t="shared" si="160"/>
        <v>0</v>
      </c>
      <c r="BD238" s="3199">
        <f t="shared" si="161"/>
        <v>0</v>
      </c>
      <c r="BE238" s="3199">
        <f t="shared" si="162"/>
        <v>0</v>
      </c>
      <c r="BF238" s="3199">
        <f t="shared" si="163"/>
        <v>0</v>
      </c>
      <c r="BG238" s="3199">
        <f t="shared" si="164"/>
        <v>0</v>
      </c>
      <c r="BH238" s="3199">
        <f t="shared" si="165"/>
        <v>0</v>
      </c>
      <c r="BI238" s="3199">
        <f t="shared" si="166"/>
        <v>0</v>
      </c>
      <c r="BJ238" s="3199">
        <f t="shared" si="167"/>
        <v>0</v>
      </c>
      <c r="BK238" s="3199">
        <f t="shared" si="168"/>
        <v>0</v>
      </c>
      <c r="BL238" s="3199">
        <f t="shared" si="169"/>
        <v>0</v>
      </c>
      <c r="BM238" s="3199">
        <f t="shared" si="170"/>
        <v>0</v>
      </c>
      <c r="BN238" s="3199">
        <f t="shared" si="171"/>
        <v>0</v>
      </c>
      <c r="BO238" s="3199">
        <f t="shared" si="172"/>
        <v>0</v>
      </c>
      <c r="BP238" s="3199">
        <f t="shared" si="173"/>
        <v>0</v>
      </c>
      <c r="BQ238" s="3199">
        <f t="shared" si="174"/>
        <v>0</v>
      </c>
      <c r="BR238" s="3199">
        <f t="shared" si="175"/>
        <v>0</v>
      </c>
      <c r="BS238" s="3199">
        <f t="shared" si="176"/>
        <v>0</v>
      </c>
      <c r="BT238" s="3271">
        <f t="shared" si="177"/>
        <v>0</v>
      </c>
    </row>
    <row r="239" spans="1:72">
      <c r="A239" s="3197"/>
      <c r="B239" s="3206"/>
      <c r="C239" s="3207"/>
      <c r="D239" s="3193"/>
      <c r="E239" s="3199">
        <f t="shared" si="149"/>
        <v>0</v>
      </c>
      <c r="F239" s="3200"/>
      <c r="G239" s="3201">
        <f t="shared" si="150"/>
        <v>0</v>
      </c>
      <c r="H239" s="3202">
        <f t="shared" si="151"/>
        <v>0</v>
      </c>
      <c r="I239" s="3204"/>
      <c r="J239" s="3218"/>
      <c r="K239" s="3204"/>
      <c r="L239" s="3218"/>
      <c r="M239" s="3204"/>
      <c r="N239" s="3218"/>
      <c r="O239" s="3218"/>
      <c r="P239" s="3218"/>
      <c r="Q239" s="3218"/>
      <c r="R239" s="3218"/>
      <c r="S239" s="3218"/>
      <c r="T239" s="3218"/>
      <c r="U239" s="3218"/>
      <c r="V239" s="3218"/>
      <c r="W239" s="3218"/>
      <c r="X239" s="3218"/>
      <c r="Y239" s="3218"/>
      <c r="Z239" s="3218"/>
      <c r="AA239" s="3218"/>
      <c r="AB239" s="3218"/>
      <c r="AC239" s="3199">
        <f t="shared" si="152"/>
        <v>0</v>
      </c>
      <c r="AD239" s="3229"/>
      <c r="AE239" s="3229"/>
      <c r="AF239" s="3204"/>
      <c r="AG239" s="3229"/>
      <c r="AH239" s="3229"/>
      <c r="AI239" s="3229"/>
      <c r="AJ239" s="3229"/>
      <c r="AK239" s="3229"/>
      <c r="AL239" s="3229"/>
      <c r="AM239" s="3229"/>
      <c r="AN239" s="3229"/>
      <c r="AO239" s="3229"/>
      <c r="AP239" s="3229"/>
      <c r="AQ239" s="3229"/>
      <c r="AR239" s="3229"/>
      <c r="AS239" s="3229"/>
      <c r="AT239" s="3249"/>
      <c r="AU239" s="3250"/>
      <c r="AV239" s="475">
        <f t="shared" si="153"/>
        <v>0</v>
      </c>
      <c r="AW239" s="475">
        <f t="shared" si="154"/>
        <v>0</v>
      </c>
      <c r="AX239" s="475">
        <f t="shared" si="155"/>
        <v>0</v>
      </c>
      <c r="AY239" s="3266">
        <f t="shared" si="156"/>
        <v>0</v>
      </c>
      <c r="AZ239" s="3199">
        <f t="shared" si="157"/>
        <v>0</v>
      </c>
      <c r="BA239" s="3199">
        <f t="shared" si="158"/>
        <v>0</v>
      </c>
      <c r="BB239" s="3199">
        <f t="shared" si="159"/>
        <v>0</v>
      </c>
      <c r="BC239" s="3199">
        <f t="shared" si="160"/>
        <v>0</v>
      </c>
      <c r="BD239" s="3199">
        <f t="shared" si="161"/>
        <v>0</v>
      </c>
      <c r="BE239" s="3199">
        <f t="shared" si="162"/>
        <v>0</v>
      </c>
      <c r="BF239" s="3199">
        <f t="shared" si="163"/>
        <v>0</v>
      </c>
      <c r="BG239" s="3199">
        <f t="shared" si="164"/>
        <v>0</v>
      </c>
      <c r="BH239" s="3199">
        <f t="shared" si="165"/>
        <v>0</v>
      </c>
      <c r="BI239" s="3199">
        <f t="shared" si="166"/>
        <v>0</v>
      </c>
      <c r="BJ239" s="3199">
        <f t="shared" si="167"/>
        <v>0</v>
      </c>
      <c r="BK239" s="3199">
        <f t="shared" si="168"/>
        <v>0</v>
      </c>
      <c r="BL239" s="3199">
        <f t="shared" si="169"/>
        <v>0</v>
      </c>
      <c r="BM239" s="3199">
        <f t="shared" si="170"/>
        <v>0</v>
      </c>
      <c r="BN239" s="3199">
        <f t="shared" si="171"/>
        <v>0</v>
      </c>
      <c r="BO239" s="3199">
        <f t="shared" si="172"/>
        <v>0</v>
      </c>
      <c r="BP239" s="3199">
        <f t="shared" si="173"/>
        <v>0</v>
      </c>
      <c r="BQ239" s="3199">
        <f t="shared" si="174"/>
        <v>0</v>
      </c>
      <c r="BR239" s="3199">
        <f t="shared" si="175"/>
        <v>0</v>
      </c>
      <c r="BS239" s="3199">
        <f t="shared" si="176"/>
        <v>0</v>
      </c>
      <c r="BT239" s="3271">
        <f t="shared" si="177"/>
        <v>0</v>
      </c>
    </row>
    <row r="240" spans="1:72">
      <c r="A240" s="3197"/>
      <c r="B240" s="3198"/>
      <c r="C240" s="3198"/>
      <c r="D240" s="3193"/>
      <c r="E240" s="3199">
        <f t="shared" si="149"/>
        <v>0</v>
      </c>
      <c r="F240" s="3200"/>
      <c r="G240" s="3201">
        <f t="shared" si="150"/>
        <v>0</v>
      </c>
      <c r="H240" s="3202">
        <f t="shared" si="151"/>
        <v>0</v>
      </c>
      <c r="I240" s="3218"/>
      <c r="J240" s="3218"/>
      <c r="K240" s="3218"/>
      <c r="L240" s="3218"/>
      <c r="M240" s="3218"/>
      <c r="N240" s="3218"/>
      <c r="O240" s="3218"/>
      <c r="P240" s="3218"/>
      <c r="Q240" s="3218"/>
      <c r="R240" s="3218"/>
      <c r="S240" s="3218"/>
      <c r="T240" s="3218"/>
      <c r="U240" s="3218"/>
      <c r="V240" s="3218"/>
      <c r="W240" s="3218"/>
      <c r="X240" s="3218"/>
      <c r="Y240" s="3218"/>
      <c r="Z240" s="3218"/>
      <c r="AA240" s="3218"/>
      <c r="AB240" s="3218"/>
      <c r="AC240" s="3199">
        <f t="shared" si="152"/>
        <v>0</v>
      </c>
      <c r="AD240" s="3229"/>
      <c r="AE240" s="3229"/>
      <c r="AF240" s="3229"/>
      <c r="AG240" s="3229"/>
      <c r="AH240" s="3229"/>
      <c r="AI240" s="3229"/>
      <c r="AJ240" s="3229"/>
      <c r="AK240" s="3229"/>
      <c r="AL240" s="3229"/>
      <c r="AM240" s="3229"/>
      <c r="AN240" s="3229"/>
      <c r="AO240" s="3229"/>
      <c r="AP240" s="3229"/>
      <c r="AQ240" s="3229"/>
      <c r="AR240" s="3229"/>
      <c r="AS240" s="3229"/>
      <c r="AT240" s="3249"/>
      <c r="AU240" s="3250"/>
      <c r="AV240" s="475">
        <f t="shared" si="153"/>
        <v>0</v>
      </c>
      <c r="AW240" s="475">
        <f t="shared" si="154"/>
        <v>0</v>
      </c>
      <c r="AX240" s="475">
        <f t="shared" si="155"/>
        <v>0</v>
      </c>
      <c r="AY240" s="3266">
        <f t="shared" si="156"/>
        <v>0</v>
      </c>
      <c r="AZ240" s="3199">
        <f t="shared" si="157"/>
        <v>0</v>
      </c>
      <c r="BA240" s="3199">
        <f t="shared" si="158"/>
        <v>0</v>
      </c>
      <c r="BB240" s="3199">
        <f t="shared" si="159"/>
        <v>0</v>
      </c>
      <c r="BC240" s="3199">
        <f t="shared" si="160"/>
        <v>0</v>
      </c>
      <c r="BD240" s="3199">
        <f t="shared" si="161"/>
        <v>0</v>
      </c>
      <c r="BE240" s="3199">
        <f t="shared" si="162"/>
        <v>0</v>
      </c>
      <c r="BF240" s="3199">
        <f t="shared" si="163"/>
        <v>0</v>
      </c>
      <c r="BG240" s="3199">
        <f t="shared" si="164"/>
        <v>0</v>
      </c>
      <c r="BH240" s="3199">
        <f t="shared" si="165"/>
        <v>0</v>
      </c>
      <c r="BI240" s="3199">
        <f t="shared" si="166"/>
        <v>0</v>
      </c>
      <c r="BJ240" s="3199">
        <f t="shared" si="167"/>
        <v>0</v>
      </c>
      <c r="BK240" s="3199">
        <f t="shared" si="168"/>
        <v>0</v>
      </c>
      <c r="BL240" s="3199">
        <f t="shared" si="169"/>
        <v>0</v>
      </c>
      <c r="BM240" s="3199">
        <f t="shared" si="170"/>
        <v>0</v>
      </c>
      <c r="BN240" s="3199">
        <f t="shared" si="171"/>
        <v>0</v>
      </c>
      <c r="BO240" s="3199">
        <f t="shared" si="172"/>
        <v>0</v>
      </c>
      <c r="BP240" s="3199">
        <f t="shared" si="173"/>
        <v>0</v>
      </c>
      <c r="BQ240" s="3199">
        <f t="shared" si="174"/>
        <v>0</v>
      </c>
      <c r="BR240" s="3199">
        <f t="shared" si="175"/>
        <v>0</v>
      </c>
      <c r="BS240" s="3199">
        <f t="shared" si="176"/>
        <v>0</v>
      </c>
      <c r="BT240" s="3271">
        <f t="shared" si="177"/>
        <v>0</v>
      </c>
    </row>
    <row r="241" spans="1:72">
      <c r="A241" s="3197"/>
      <c r="B241" s="3198"/>
      <c r="C241" s="3198"/>
      <c r="D241" s="3193"/>
      <c r="E241" s="3199">
        <f t="shared" si="149"/>
        <v>0</v>
      </c>
      <c r="F241" s="3200"/>
      <c r="G241" s="3201">
        <f t="shared" si="150"/>
        <v>0</v>
      </c>
      <c r="H241" s="3202">
        <f t="shared" si="151"/>
        <v>0</v>
      </c>
      <c r="I241" s="3218"/>
      <c r="J241" s="3218"/>
      <c r="K241" s="3218"/>
      <c r="L241" s="3218"/>
      <c r="M241" s="3218"/>
      <c r="N241" s="3218"/>
      <c r="O241" s="3218"/>
      <c r="P241" s="3218"/>
      <c r="Q241" s="3218"/>
      <c r="R241" s="3218"/>
      <c r="S241" s="3218"/>
      <c r="T241" s="3218"/>
      <c r="U241" s="3218"/>
      <c r="V241" s="3218"/>
      <c r="W241" s="3218"/>
      <c r="X241" s="3218"/>
      <c r="Y241" s="3218"/>
      <c r="Z241" s="3218"/>
      <c r="AA241" s="3218"/>
      <c r="AB241" s="3218"/>
      <c r="AC241" s="3199">
        <f t="shared" si="152"/>
        <v>0</v>
      </c>
      <c r="AD241" s="3229"/>
      <c r="AE241" s="3229"/>
      <c r="AF241" s="3229"/>
      <c r="AG241" s="3229"/>
      <c r="AH241" s="3229"/>
      <c r="AI241" s="3229"/>
      <c r="AJ241" s="3229"/>
      <c r="AK241" s="3229"/>
      <c r="AL241" s="3229"/>
      <c r="AM241" s="3229"/>
      <c r="AN241" s="3229"/>
      <c r="AO241" s="3229"/>
      <c r="AP241" s="3229"/>
      <c r="AQ241" s="3229"/>
      <c r="AR241" s="3229"/>
      <c r="AS241" s="3229"/>
      <c r="AT241" s="3249"/>
      <c r="AU241" s="3250"/>
      <c r="AV241" s="475">
        <f t="shared" si="153"/>
        <v>0</v>
      </c>
      <c r="AW241" s="475">
        <f t="shared" si="154"/>
        <v>0</v>
      </c>
      <c r="AX241" s="475">
        <f t="shared" si="155"/>
        <v>0</v>
      </c>
      <c r="AY241" s="3266">
        <f t="shared" si="156"/>
        <v>0</v>
      </c>
      <c r="AZ241" s="3199">
        <f t="shared" si="157"/>
        <v>0</v>
      </c>
      <c r="BA241" s="3199">
        <f t="shared" si="158"/>
        <v>0</v>
      </c>
      <c r="BB241" s="3199">
        <f t="shared" si="159"/>
        <v>0</v>
      </c>
      <c r="BC241" s="3199">
        <f t="shared" si="160"/>
        <v>0</v>
      </c>
      <c r="BD241" s="3199">
        <f t="shared" si="161"/>
        <v>0</v>
      </c>
      <c r="BE241" s="3199">
        <f t="shared" si="162"/>
        <v>0</v>
      </c>
      <c r="BF241" s="3199">
        <f t="shared" si="163"/>
        <v>0</v>
      </c>
      <c r="BG241" s="3199">
        <f t="shared" si="164"/>
        <v>0</v>
      </c>
      <c r="BH241" s="3199">
        <f t="shared" si="165"/>
        <v>0</v>
      </c>
      <c r="BI241" s="3199">
        <f t="shared" si="166"/>
        <v>0</v>
      </c>
      <c r="BJ241" s="3199">
        <f t="shared" si="167"/>
        <v>0</v>
      </c>
      <c r="BK241" s="3199">
        <f t="shared" si="168"/>
        <v>0</v>
      </c>
      <c r="BL241" s="3199">
        <f t="shared" si="169"/>
        <v>0</v>
      </c>
      <c r="BM241" s="3199">
        <f t="shared" si="170"/>
        <v>0</v>
      </c>
      <c r="BN241" s="3199">
        <f t="shared" si="171"/>
        <v>0</v>
      </c>
      <c r="BO241" s="3199">
        <f t="shared" si="172"/>
        <v>0</v>
      </c>
      <c r="BP241" s="3199">
        <f t="shared" si="173"/>
        <v>0</v>
      </c>
      <c r="BQ241" s="3199">
        <f t="shared" si="174"/>
        <v>0</v>
      </c>
      <c r="BR241" s="3199">
        <f t="shared" si="175"/>
        <v>0</v>
      </c>
      <c r="BS241" s="3199">
        <f t="shared" si="176"/>
        <v>0</v>
      </c>
      <c r="BT241" s="3271">
        <f t="shared" si="177"/>
        <v>0</v>
      </c>
    </row>
    <row r="242" spans="1:72">
      <c r="A242" s="3197"/>
      <c r="B242" s="3198"/>
      <c r="C242" s="3198"/>
      <c r="D242" s="3193"/>
      <c r="E242" s="3199">
        <f t="shared" si="149"/>
        <v>0</v>
      </c>
      <c r="F242" s="3200"/>
      <c r="G242" s="3201">
        <f t="shared" si="150"/>
        <v>0</v>
      </c>
      <c r="H242" s="3202">
        <f t="shared" si="151"/>
        <v>0</v>
      </c>
      <c r="I242" s="3218"/>
      <c r="J242" s="3218"/>
      <c r="K242" s="3218"/>
      <c r="L242" s="3218"/>
      <c r="M242" s="3218"/>
      <c r="N242" s="3218"/>
      <c r="O242" s="3218"/>
      <c r="P242" s="3218"/>
      <c r="Q242" s="3218"/>
      <c r="R242" s="3218"/>
      <c r="S242" s="3218"/>
      <c r="T242" s="3218"/>
      <c r="U242" s="3218"/>
      <c r="V242" s="3218"/>
      <c r="W242" s="3218"/>
      <c r="X242" s="3218"/>
      <c r="Y242" s="3218"/>
      <c r="Z242" s="3218"/>
      <c r="AA242" s="3218"/>
      <c r="AB242" s="3218"/>
      <c r="AC242" s="3199">
        <f t="shared" si="152"/>
        <v>0</v>
      </c>
      <c r="AD242" s="3229"/>
      <c r="AE242" s="3229"/>
      <c r="AF242" s="3229"/>
      <c r="AG242" s="3229"/>
      <c r="AH242" s="3229"/>
      <c r="AI242" s="3229"/>
      <c r="AJ242" s="3229"/>
      <c r="AK242" s="3229"/>
      <c r="AL242" s="3229"/>
      <c r="AM242" s="3229"/>
      <c r="AN242" s="3229"/>
      <c r="AO242" s="3229"/>
      <c r="AP242" s="3229"/>
      <c r="AQ242" s="3229"/>
      <c r="AR242" s="3229"/>
      <c r="AS242" s="3229"/>
      <c r="AT242" s="3249"/>
      <c r="AU242" s="3250"/>
      <c r="AV242" s="475">
        <f t="shared" si="153"/>
        <v>0</v>
      </c>
      <c r="AW242" s="475">
        <f t="shared" si="154"/>
        <v>0</v>
      </c>
      <c r="AX242" s="475">
        <f t="shared" si="155"/>
        <v>0</v>
      </c>
      <c r="AY242" s="3266">
        <f t="shared" si="156"/>
        <v>0</v>
      </c>
      <c r="AZ242" s="3199">
        <f t="shared" si="157"/>
        <v>0</v>
      </c>
      <c r="BA242" s="3199">
        <f t="shared" si="158"/>
        <v>0</v>
      </c>
      <c r="BB242" s="3199">
        <f t="shared" si="159"/>
        <v>0</v>
      </c>
      <c r="BC242" s="3199">
        <f t="shared" si="160"/>
        <v>0</v>
      </c>
      <c r="BD242" s="3199">
        <f t="shared" si="161"/>
        <v>0</v>
      </c>
      <c r="BE242" s="3199">
        <f t="shared" si="162"/>
        <v>0</v>
      </c>
      <c r="BF242" s="3199">
        <f t="shared" si="163"/>
        <v>0</v>
      </c>
      <c r="BG242" s="3199">
        <f t="shared" si="164"/>
        <v>0</v>
      </c>
      <c r="BH242" s="3199">
        <f t="shared" si="165"/>
        <v>0</v>
      </c>
      <c r="BI242" s="3199">
        <f t="shared" si="166"/>
        <v>0</v>
      </c>
      <c r="BJ242" s="3199">
        <f t="shared" si="167"/>
        <v>0</v>
      </c>
      <c r="BK242" s="3199">
        <f t="shared" si="168"/>
        <v>0</v>
      </c>
      <c r="BL242" s="3199">
        <f t="shared" si="169"/>
        <v>0</v>
      </c>
      <c r="BM242" s="3199">
        <f t="shared" si="170"/>
        <v>0</v>
      </c>
      <c r="BN242" s="3199">
        <f t="shared" si="171"/>
        <v>0</v>
      </c>
      <c r="BO242" s="3199">
        <f t="shared" si="172"/>
        <v>0</v>
      </c>
      <c r="BP242" s="3199">
        <f t="shared" si="173"/>
        <v>0</v>
      </c>
      <c r="BQ242" s="3199">
        <f t="shared" si="174"/>
        <v>0</v>
      </c>
      <c r="BR242" s="3199">
        <f t="shared" si="175"/>
        <v>0</v>
      </c>
      <c r="BS242" s="3199">
        <f t="shared" si="176"/>
        <v>0</v>
      </c>
      <c r="BT242" s="3271">
        <f t="shared" si="177"/>
        <v>0</v>
      </c>
    </row>
    <row r="243" spans="1:72">
      <c r="A243" s="3197"/>
      <c r="B243" s="3198"/>
      <c r="C243" s="3198"/>
      <c r="D243" s="3193"/>
      <c r="E243" s="3199">
        <f t="shared" si="149"/>
        <v>0</v>
      </c>
      <c r="F243" s="3200"/>
      <c r="G243" s="3201">
        <f t="shared" si="150"/>
        <v>0</v>
      </c>
      <c r="H243" s="3202">
        <f t="shared" si="151"/>
        <v>0</v>
      </c>
      <c r="I243" s="3218"/>
      <c r="J243" s="3218"/>
      <c r="K243" s="3218"/>
      <c r="L243" s="3218"/>
      <c r="M243" s="3218"/>
      <c r="N243" s="3218"/>
      <c r="O243" s="3218"/>
      <c r="P243" s="3218"/>
      <c r="Q243" s="3218"/>
      <c r="R243" s="3218"/>
      <c r="S243" s="3218"/>
      <c r="T243" s="3218"/>
      <c r="U243" s="3218"/>
      <c r="V243" s="3218"/>
      <c r="W243" s="3218"/>
      <c r="X243" s="3218"/>
      <c r="Y243" s="3218"/>
      <c r="Z243" s="3218"/>
      <c r="AA243" s="3218"/>
      <c r="AB243" s="3218"/>
      <c r="AC243" s="3199">
        <f t="shared" si="152"/>
        <v>0</v>
      </c>
      <c r="AD243" s="3229"/>
      <c r="AE243" s="3229"/>
      <c r="AF243" s="3229"/>
      <c r="AG243" s="3229"/>
      <c r="AH243" s="3229"/>
      <c r="AI243" s="3229"/>
      <c r="AJ243" s="3229"/>
      <c r="AK243" s="3229"/>
      <c r="AL243" s="3229"/>
      <c r="AM243" s="3229"/>
      <c r="AN243" s="3229"/>
      <c r="AO243" s="3229"/>
      <c r="AP243" s="3229"/>
      <c r="AQ243" s="3229"/>
      <c r="AR243" s="3229"/>
      <c r="AS243" s="3229"/>
      <c r="AT243" s="3249"/>
      <c r="AU243" s="3250"/>
      <c r="AV243" s="475">
        <f t="shared" si="153"/>
        <v>0</v>
      </c>
      <c r="AW243" s="475">
        <f t="shared" si="154"/>
        <v>0</v>
      </c>
      <c r="AX243" s="475">
        <f t="shared" si="155"/>
        <v>0</v>
      </c>
      <c r="AY243" s="3266">
        <f t="shared" si="156"/>
        <v>0</v>
      </c>
      <c r="AZ243" s="3199">
        <f t="shared" si="157"/>
        <v>0</v>
      </c>
      <c r="BA243" s="3199">
        <f t="shared" si="158"/>
        <v>0</v>
      </c>
      <c r="BB243" s="3199">
        <f t="shared" si="159"/>
        <v>0</v>
      </c>
      <c r="BC243" s="3199">
        <f t="shared" si="160"/>
        <v>0</v>
      </c>
      <c r="BD243" s="3199">
        <f t="shared" si="161"/>
        <v>0</v>
      </c>
      <c r="BE243" s="3199">
        <f t="shared" si="162"/>
        <v>0</v>
      </c>
      <c r="BF243" s="3199">
        <f t="shared" si="163"/>
        <v>0</v>
      </c>
      <c r="BG243" s="3199">
        <f t="shared" si="164"/>
        <v>0</v>
      </c>
      <c r="BH243" s="3199">
        <f t="shared" si="165"/>
        <v>0</v>
      </c>
      <c r="BI243" s="3199">
        <f t="shared" si="166"/>
        <v>0</v>
      </c>
      <c r="BJ243" s="3199">
        <f t="shared" si="167"/>
        <v>0</v>
      </c>
      <c r="BK243" s="3199">
        <f t="shared" si="168"/>
        <v>0</v>
      </c>
      <c r="BL243" s="3199">
        <f t="shared" si="169"/>
        <v>0</v>
      </c>
      <c r="BM243" s="3199">
        <f t="shared" si="170"/>
        <v>0</v>
      </c>
      <c r="BN243" s="3199">
        <f t="shared" si="171"/>
        <v>0</v>
      </c>
      <c r="BO243" s="3199">
        <f t="shared" si="172"/>
        <v>0</v>
      </c>
      <c r="BP243" s="3199">
        <f t="shared" si="173"/>
        <v>0</v>
      </c>
      <c r="BQ243" s="3199">
        <f t="shared" si="174"/>
        <v>0</v>
      </c>
      <c r="BR243" s="3199">
        <f t="shared" si="175"/>
        <v>0</v>
      </c>
      <c r="BS243" s="3199">
        <f t="shared" si="176"/>
        <v>0</v>
      </c>
      <c r="BT243" s="3271">
        <f t="shared" si="177"/>
        <v>0</v>
      </c>
    </row>
    <row r="244" spans="1:72">
      <c r="A244" s="3197"/>
      <c r="B244" s="3198"/>
      <c r="C244" s="3198"/>
      <c r="D244" s="3193"/>
      <c r="E244" s="3199">
        <f t="shared" si="149"/>
        <v>0</v>
      </c>
      <c r="F244" s="3200"/>
      <c r="G244" s="3201">
        <f t="shared" si="150"/>
        <v>0</v>
      </c>
      <c r="H244" s="3202">
        <f t="shared" si="151"/>
        <v>0</v>
      </c>
      <c r="I244" s="3218"/>
      <c r="J244" s="3218"/>
      <c r="K244" s="3218"/>
      <c r="L244" s="3218"/>
      <c r="M244" s="3218"/>
      <c r="N244" s="3218"/>
      <c r="O244" s="3218"/>
      <c r="P244" s="3218"/>
      <c r="Q244" s="3218"/>
      <c r="R244" s="3218"/>
      <c r="S244" s="3218"/>
      <c r="T244" s="3218"/>
      <c r="U244" s="3218"/>
      <c r="V244" s="3218"/>
      <c r="W244" s="3218"/>
      <c r="X244" s="3218"/>
      <c r="Y244" s="3218"/>
      <c r="Z244" s="3218"/>
      <c r="AA244" s="3218"/>
      <c r="AB244" s="3218"/>
      <c r="AC244" s="3199">
        <f t="shared" si="152"/>
        <v>0</v>
      </c>
      <c r="AD244" s="3229"/>
      <c r="AE244" s="3229"/>
      <c r="AF244" s="3229"/>
      <c r="AG244" s="3229"/>
      <c r="AH244" s="3229"/>
      <c r="AI244" s="3229"/>
      <c r="AJ244" s="3229"/>
      <c r="AK244" s="3229"/>
      <c r="AL244" s="3229"/>
      <c r="AM244" s="3229"/>
      <c r="AN244" s="3229"/>
      <c r="AO244" s="3229"/>
      <c r="AP244" s="3229"/>
      <c r="AQ244" s="3229"/>
      <c r="AR244" s="3229"/>
      <c r="AS244" s="3229"/>
      <c r="AT244" s="3249"/>
      <c r="AU244" s="3250"/>
      <c r="AV244" s="475">
        <f t="shared" si="153"/>
        <v>0</v>
      </c>
      <c r="AW244" s="475">
        <f t="shared" si="154"/>
        <v>0</v>
      </c>
      <c r="AX244" s="475">
        <f t="shared" si="155"/>
        <v>0</v>
      </c>
      <c r="AY244" s="3266">
        <f t="shared" si="156"/>
        <v>0</v>
      </c>
      <c r="AZ244" s="3199">
        <f t="shared" si="157"/>
        <v>0</v>
      </c>
      <c r="BA244" s="3199">
        <f t="shared" si="158"/>
        <v>0</v>
      </c>
      <c r="BB244" s="3199">
        <f t="shared" si="159"/>
        <v>0</v>
      </c>
      <c r="BC244" s="3199">
        <f t="shared" si="160"/>
        <v>0</v>
      </c>
      <c r="BD244" s="3199">
        <f t="shared" si="161"/>
        <v>0</v>
      </c>
      <c r="BE244" s="3199">
        <f t="shared" si="162"/>
        <v>0</v>
      </c>
      <c r="BF244" s="3199">
        <f t="shared" si="163"/>
        <v>0</v>
      </c>
      <c r="BG244" s="3199">
        <f t="shared" si="164"/>
        <v>0</v>
      </c>
      <c r="BH244" s="3199">
        <f t="shared" si="165"/>
        <v>0</v>
      </c>
      <c r="BI244" s="3199">
        <f t="shared" si="166"/>
        <v>0</v>
      </c>
      <c r="BJ244" s="3199">
        <f t="shared" si="167"/>
        <v>0</v>
      </c>
      <c r="BK244" s="3199">
        <f t="shared" si="168"/>
        <v>0</v>
      </c>
      <c r="BL244" s="3199">
        <f t="shared" si="169"/>
        <v>0</v>
      </c>
      <c r="BM244" s="3199">
        <f t="shared" si="170"/>
        <v>0</v>
      </c>
      <c r="BN244" s="3199">
        <f t="shared" si="171"/>
        <v>0</v>
      </c>
      <c r="BO244" s="3199">
        <f t="shared" si="172"/>
        <v>0</v>
      </c>
      <c r="BP244" s="3199">
        <f t="shared" si="173"/>
        <v>0</v>
      </c>
      <c r="BQ244" s="3199">
        <f t="shared" si="174"/>
        <v>0</v>
      </c>
      <c r="BR244" s="3199">
        <f t="shared" si="175"/>
        <v>0</v>
      </c>
      <c r="BS244" s="3199">
        <f t="shared" si="176"/>
        <v>0</v>
      </c>
      <c r="BT244" s="3271">
        <f t="shared" si="177"/>
        <v>0</v>
      </c>
    </row>
    <row r="245" spans="1:72">
      <c r="A245" s="3197"/>
      <c r="B245" s="3198"/>
      <c r="C245" s="3198"/>
      <c r="D245" s="3193"/>
      <c r="E245" s="3199">
        <f t="shared" si="149"/>
        <v>0</v>
      </c>
      <c r="F245" s="3200"/>
      <c r="G245" s="3201">
        <f t="shared" si="150"/>
        <v>0</v>
      </c>
      <c r="H245" s="3202">
        <f t="shared" si="151"/>
        <v>0</v>
      </c>
      <c r="I245" s="3218"/>
      <c r="J245" s="3218"/>
      <c r="K245" s="3218"/>
      <c r="L245" s="3218"/>
      <c r="M245" s="3218"/>
      <c r="N245" s="3218"/>
      <c r="O245" s="3218"/>
      <c r="P245" s="3218"/>
      <c r="Q245" s="3218"/>
      <c r="R245" s="3218"/>
      <c r="S245" s="3218"/>
      <c r="T245" s="3218"/>
      <c r="U245" s="3218"/>
      <c r="V245" s="3218"/>
      <c r="W245" s="3218"/>
      <c r="X245" s="3218"/>
      <c r="Y245" s="3218"/>
      <c r="Z245" s="3218"/>
      <c r="AA245" s="3218"/>
      <c r="AB245" s="3218"/>
      <c r="AC245" s="3199">
        <f t="shared" si="152"/>
        <v>0</v>
      </c>
      <c r="AD245" s="3229"/>
      <c r="AE245" s="3229"/>
      <c r="AF245" s="3229"/>
      <c r="AG245" s="3229"/>
      <c r="AH245" s="3229"/>
      <c r="AI245" s="3229"/>
      <c r="AJ245" s="3229"/>
      <c r="AK245" s="3229"/>
      <c r="AL245" s="3229"/>
      <c r="AM245" s="3229"/>
      <c r="AN245" s="3229"/>
      <c r="AO245" s="3229"/>
      <c r="AP245" s="3229"/>
      <c r="AQ245" s="3229"/>
      <c r="AR245" s="3229"/>
      <c r="AS245" s="3229"/>
      <c r="AT245" s="3249"/>
      <c r="AU245" s="3250"/>
      <c r="AV245" s="475">
        <f t="shared" si="153"/>
        <v>0</v>
      </c>
      <c r="AW245" s="475">
        <f t="shared" si="154"/>
        <v>0</v>
      </c>
      <c r="AX245" s="475">
        <f t="shared" si="155"/>
        <v>0</v>
      </c>
      <c r="AY245" s="3266">
        <f t="shared" si="156"/>
        <v>0</v>
      </c>
      <c r="AZ245" s="3199">
        <f t="shared" si="157"/>
        <v>0</v>
      </c>
      <c r="BA245" s="3199">
        <f t="shared" si="158"/>
        <v>0</v>
      </c>
      <c r="BB245" s="3199">
        <f t="shared" si="159"/>
        <v>0</v>
      </c>
      <c r="BC245" s="3199">
        <f t="shared" si="160"/>
        <v>0</v>
      </c>
      <c r="BD245" s="3199">
        <f t="shared" si="161"/>
        <v>0</v>
      </c>
      <c r="BE245" s="3199">
        <f t="shared" si="162"/>
        <v>0</v>
      </c>
      <c r="BF245" s="3199">
        <f t="shared" si="163"/>
        <v>0</v>
      </c>
      <c r="BG245" s="3199">
        <f t="shared" si="164"/>
        <v>0</v>
      </c>
      <c r="BH245" s="3199">
        <f t="shared" si="165"/>
        <v>0</v>
      </c>
      <c r="BI245" s="3199">
        <f t="shared" si="166"/>
        <v>0</v>
      </c>
      <c r="BJ245" s="3199">
        <f t="shared" si="167"/>
        <v>0</v>
      </c>
      <c r="BK245" s="3199">
        <f t="shared" si="168"/>
        <v>0</v>
      </c>
      <c r="BL245" s="3199">
        <f t="shared" si="169"/>
        <v>0</v>
      </c>
      <c r="BM245" s="3199">
        <f t="shared" si="170"/>
        <v>0</v>
      </c>
      <c r="BN245" s="3199">
        <f t="shared" si="171"/>
        <v>0</v>
      </c>
      <c r="BO245" s="3199">
        <f t="shared" si="172"/>
        <v>0</v>
      </c>
      <c r="BP245" s="3199">
        <f t="shared" si="173"/>
        <v>0</v>
      </c>
      <c r="BQ245" s="3199">
        <f t="shared" si="174"/>
        <v>0</v>
      </c>
      <c r="BR245" s="3199">
        <f t="shared" si="175"/>
        <v>0</v>
      </c>
      <c r="BS245" s="3199">
        <f t="shared" si="176"/>
        <v>0</v>
      </c>
      <c r="BT245" s="3271">
        <f t="shared" si="177"/>
        <v>0</v>
      </c>
    </row>
    <row r="246" spans="1:72">
      <c r="A246" s="3197"/>
      <c r="B246" s="3198"/>
      <c r="C246" s="3198"/>
      <c r="D246" s="3193"/>
      <c r="E246" s="3199">
        <f t="shared" si="149"/>
        <v>0</v>
      </c>
      <c r="F246" s="3200"/>
      <c r="G246" s="3201">
        <f t="shared" si="150"/>
        <v>0</v>
      </c>
      <c r="H246" s="3202">
        <f t="shared" si="151"/>
        <v>0</v>
      </c>
      <c r="I246" s="3218"/>
      <c r="J246" s="3218"/>
      <c r="K246" s="3218"/>
      <c r="L246" s="3218"/>
      <c r="M246" s="3218"/>
      <c r="N246" s="3218"/>
      <c r="O246" s="3218"/>
      <c r="P246" s="3218"/>
      <c r="Q246" s="3218"/>
      <c r="R246" s="3218"/>
      <c r="S246" s="3218"/>
      <c r="T246" s="3218"/>
      <c r="U246" s="3218"/>
      <c r="V246" s="3218"/>
      <c r="W246" s="3218"/>
      <c r="X246" s="3218"/>
      <c r="Y246" s="3218"/>
      <c r="Z246" s="3218"/>
      <c r="AA246" s="3218"/>
      <c r="AB246" s="3218"/>
      <c r="AC246" s="3199">
        <f t="shared" si="152"/>
        <v>0</v>
      </c>
      <c r="AD246" s="3229"/>
      <c r="AE246" s="3229"/>
      <c r="AF246" s="3229"/>
      <c r="AG246" s="3229"/>
      <c r="AH246" s="3229"/>
      <c r="AI246" s="3229"/>
      <c r="AJ246" s="3229"/>
      <c r="AK246" s="3229"/>
      <c r="AL246" s="3229"/>
      <c r="AM246" s="3229"/>
      <c r="AN246" s="3229"/>
      <c r="AO246" s="3229"/>
      <c r="AP246" s="3229"/>
      <c r="AQ246" s="3229"/>
      <c r="AR246" s="3229"/>
      <c r="AS246" s="3229"/>
      <c r="AT246" s="3249"/>
      <c r="AU246" s="3250"/>
      <c r="AV246" s="475">
        <f t="shared" si="153"/>
        <v>0</v>
      </c>
      <c r="AW246" s="475">
        <f t="shared" si="154"/>
        <v>0</v>
      </c>
      <c r="AX246" s="475">
        <f t="shared" si="155"/>
        <v>0</v>
      </c>
      <c r="AY246" s="3266">
        <f t="shared" si="156"/>
        <v>0</v>
      </c>
      <c r="AZ246" s="3199">
        <f t="shared" si="157"/>
        <v>0</v>
      </c>
      <c r="BA246" s="3199">
        <f t="shared" si="158"/>
        <v>0</v>
      </c>
      <c r="BB246" s="3199">
        <f t="shared" si="159"/>
        <v>0</v>
      </c>
      <c r="BC246" s="3199">
        <f t="shared" si="160"/>
        <v>0</v>
      </c>
      <c r="BD246" s="3199">
        <f t="shared" si="161"/>
        <v>0</v>
      </c>
      <c r="BE246" s="3199">
        <f t="shared" si="162"/>
        <v>0</v>
      </c>
      <c r="BF246" s="3199">
        <f t="shared" si="163"/>
        <v>0</v>
      </c>
      <c r="BG246" s="3199">
        <f t="shared" si="164"/>
        <v>0</v>
      </c>
      <c r="BH246" s="3199">
        <f t="shared" si="165"/>
        <v>0</v>
      </c>
      <c r="BI246" s="3199">
        <f t="shared" si="166"/>
        <v>0</v>
      </c>
      <c r="BJ246" s="3199">
        <f t="shared" si="167"/>
        <v>0</v>
      </c>
      <c r="BK246" s="3199">
        <f t="shared" si="168"/>
        <v>0</v>
      </c>
      <c r="BL246" s="3199">
        <f t="shared" si="169"/>
        <v>0</v>
      </c>
      <c r="BM246" s="3199">
        <f t="shared" si="170"/>
        <v>0</v>
      </c>
      <c r="BN246" s="3199">
        <f t="shared" si="171"/>
        <v>0</v>
      </c>
      <c r="BO246" s="3199">
        <f t="shared" si="172"/>
        <v>0</v>
      </c>
      <c r="BP246" s="3199">
        <f t="shared" si="173"/>
        <v>0</v>
      </c>
      <c r="BQ246" s="3199">
        <f t="shared" si="174"/>
        <v>0</v>
      </c>
      <c r="BR246" s="3199">
        <f t="shared" si="175"/>
        <v>0</v>
      </c>
      <c r="BS246" s="3199">
        <f t="shared" si="176"/>
        <v>0</v>
      </c>
      <c r="BT246" s="3271">
        <f t="shared" si="177"/>
        <v>0</v>
      </c>
    </row>
    <row r="247" spans="1:72">
      <c r="A247" s="3197"/>
      <c r="B247" s="3198"/>
      <c r="C247" s="3198"/>
      <c r="D247" s="3193"/>
      <c r="E247" s="3199">
        <f t="shared" si="149"/>
        <v>0</v>
      </c>
      <c r="F247" s="3200"/>
      <c r="G247" s="3201">
        <f t="shared" si="150"/>
        <v>0</v>
      </c>
      <c r="H247" s="3202">
        <f t="shared" si="151"/>
        <v>0</v>
      </c>
      <c r="I247" s="3218"/>
      <c r="J247" s="3218"/>
      <c r="K247" s="3218"/>
      <c r="L247" s="3218"/>
      <c r="M247" s="3218"/>
      <c r="N247" s="3218"/>
      <c r="O247" s="3218"/>
      <c r="P247" s="3218"/>
      <c r="Q247" s="3218"/>
      <c r="R247" s="3218"/>
      <c r="S247" s="3218"/>
      <c r="T247" s="3218"/>
      <c r="U247" s="3218"/>
      <c r="V247" s="3218"/>
      <c r="W247" s="3218"/>
      <c r="X247" s="3218"/>
      <c r="Y247" s="3218"/>
      <c r="Z247" s="3218"/>
      <c r="AA247" s="3218"/>
      <c r="AB247" s="3218"/>
      <c r="AC247" s="3199">
        <f t="shared" si="152"/>
        <v>0</v>
      </c>
      <c r="AD247" s="3229"/>
      <c r="AE247" s="3229"/>
      <c r="AF247" s="3229"/>
      <c r="AG247" s="3229"/>
      <c r="AH247" s="3229"/>
      <c r="AI247" s="3229"/>
      <c r="AJ247" s="3229"/>
      <c r="AK247" s="3229"/>
      <c r="AL247" s="3229"/>
      <c r="AM247" s="3229"/>
      <c r="AN247" s="3229"/>
      <c r="AO247" s="3229"/>
      <c r="AP247" s="3229"/>
      <c r="AQ247" s="3229"/>
      <c r="AR247" s="3229"/>
      <c r="AS247" s="3229"/>
      <c r="AT247" s="3249"/>
      <c r="AU247" s="3250"/>
      <c r="AV247" s="475">
        <f t="shared" si="153"/>
        <v>0</v>
      </c>
      <c r="AW247" s="475">
        <f t="shared" si="154"/>
        <v>0</v>
      </c>
      <c r="AX247" s="475">
        <f t="shared" si="155"/>
        <v>0</v>
      </c>
      <c r="AY247" s="3266">
        <f t="shared" si="156"/>
        <v>0</v>
      </c>
      <c r="AZ247" s="3199">
        <f t="shared" si="157"/>
        <v>0</v>
      </c>
      <c r="BA247" s="3199">
        <f t="shared" si="158"/>
        <v>0</v>
      </c>
      <c r="BB247" s="3199">
        <f t="shared" si="159"/>
        <v>0</v>
      </c>
      <c r="BC247" s="3199">
        <f t="shared" si="160"/>
        <v>0</v>
      </c>
      <c r="BD247" s="3199">
        <f t="shared" si="161"/>
        <v>0</v>
      </c>
      <c r="BE247" s="3199">
        <f t="shared" si="162"/>
        <v>0</v>
      </c>
      <c r="BF247" s="3199">
        <f t="shared" si="163"/>
        <v>0</v>
      </c>
      <c r="BG247" s="3199">
        <f t="shared" si="164"/>
        <v>0</v>
      </c>
      <c r="BH247" s="3199">
        <f t="shared" si="165"/>
        <v>0</v>
      </c>
      <c r="BI247" s="3199">
        <f t="shared" si="166"/>
        <v>0</v>
      </c>
      <c r="BJ247" s="3199">
        <f t="shared" si="167"/>
        <v>0</v>
      </c>
      <c r="BK247" s="3199">
        <f t="shared" si="168"/>
        <v>0</v>
      </c>
      <c r="BL247" s="3199">
        <f t="shared" si="169"/>
        <v>0</v>
      </c>
      <c r="BM247" s="3199">
        <f t="shared" si="170"/>
        <v>0</v>
      </c>
      <c r="BN247" s="3199">
        <f t="shared" si="171"/>
        <v>0</v>
      </c>
      <c r="BO247" s="3199">
        <f t="shared" si="172"/>
        <v>0</v>
      </c>
      <c r="BP247" s="3199">
        <f t="shared" si="173"/>
        <v>0</v>
      </c>
      <c r="BQ247" s="3199">
        <f t="shared" si="174"/>
        <v>0</v>
      </c>
      <c r="BR247" s="3199">
        <f t="shared" si="175"/>
        <v>0</v>
      </c>
      <c r="BS247" s="3199">
        <f t="shared" si="176"/>
        <v>0</v>
      </c>
      <c r="BT247" s="3271">
        <f t="shared" si="177"/>
        <v>0</v>
      </c>
    </row>
    <row r="248" spans="1:72">
      <c r="A248" s="3197"/>
      <c r="B248" s="3198"/>
      <c r="C248" s="3198"/>
      <c r="D248" s="3193"/>
      <c r="E248" s="3199">
        <f t="shared" si="149"/>
        <v>0</v>
      </c>
      <c r="F248" s="3200"/>
      <c r="G248" s="3201">
        <f t="shared" si="150"/>
        <v>0</v>
      </c>
      <c r="H248" s="3202">
        <f t="shared" si="151"/>
        <v>0</v>
      </c>
      <c r="I248" s="3218"/>
      <c r="J248" s="3218"/>
      <c r="K248" s="3218"/>
      <c r="L248" s="3218"/>
      <c r="M248" s="3218"/>
      <c r="N248" s="3218"/>
      <c r="O248" s="3218"/>
      <c r="P248" s="3218"/>
      <c r="Q248" s="3218"/>
      <c r="R248" s="3218"/>
      <c r="S248" s="3218"/>
      <c r="T248" s="3218"/>
      <c r="U248" s="3218"/>
      <c r="V248" s="3218"/>
      <c r="W248" s="3218"/>
      <c r="X248" s="3218"/>
      <c r="Y248" s="3218"/>
      <c r="Z248" s="3218"/>
      <c r="AA248" s="3218"/>
      <c r="AB248" s="3218"/>
      <c r="AC248" s="3199">
        <f t="shared" si="152"/>
        <v>0</v>
      </c>
      <c r="AD248" s="3229"/>
      <c r="AE248" s="3229"/>
      <c r="AF248" s="3229"/>
      <c r="AG248" s="3229"/>
      <c r="AH248" s="3229"/>
      <c r="AI248" s="3229"/>
      <c r="AJ248" s="3229"/>
      <c r="AK248" s="3229"/>
      <c r="AL248" s="3229"/>
      <c r="AM248" s="3229"/>
      <c r="AN248" s="3229"/>
      <c r="AO248" s="3229"/>
      <c r="AP248" s="3229"/>
      <c r="AQ248" s="3229"/>
      <c r="AR248" s="3229"/>
      <c r="AS248" s="3229"/>
      <c r="AT248" s="3249"/>
      <c r="AU248" s="3250"/>
      <c r="AV248" s="475">
        <f t="shared" si="153"/>
        <v>0</v>
      </c>
      <c r="AW248" s="475">
        <f t="shared" si="154"/>
        <v>0</v>
      </c>
      <c r="AX248" s="475">
        <f t="shared" si="155"/>
        <v>0</v>
      </c>
      <c r="AY248" s="3266">
        <f t="shared" si="156"/>
        <v>0</v>
      </c>
      <c r="AZ248" s="3199">
        <f t="shared" si="157"/>
        <v>0</v>
      </c>
      <c r="BA248" s="3199">
        <f t="shared" si="158"/>
        <v>0</v>
      </c>
      <c r="BB248" s="3199">
        <f t="shared" si="159"/>
        <v>0</v>
      </c>
      <c r="BC248" s="3199">
        <f t="shared" si="160"/>
        <v>0</v>
      </c>
      <c r="BD248" s="3199">
        <f t="shared" si="161"/>
        <v>0</v>
      </c>
      <c r="BE248" s="3199">
        <f t="shared" si="162"/>
        <v>0</v>
      </c>
      <c r="BF248" s="3199">
        <f t="shared" si="163"/>
        <v>0</v>
      </c>
      <c r="BG248" s="3199">
        <f t="shared" si="164"/>
        <v>0</v>
      </c>
      <c r="BH248" s="3199">
        <f t="shared" si="165"/>
        <v>0</v>
      </c>
      <c r="BI248" s="3199">
        <f t="shared" si="166"/>
        <v>0</v>
      </c>
      <c r="BJ248" s="3199">
        <f t="shared" si="167"/>
        <v>0</v>
      </c>
      <c r="BK248" s="3199">
        <f t="shared" si="168"/>
        <v>0</v>
      </c>
      <c r="BL248" s="3199">
        <f t="shared" si="169"/>
        <v>0</v>
      </c>
      <c r="BM248" s="3199">
        <f t="shared" si="170"/>
        <v>0</v>
      </c>
      <c r="BN248" s="3199">
        <f t="shared" si="171"/>
        <v>0</v>
      </c>
      <c r="BO248" s="3199">
        <f t="shared" si="172"/>
        <v>0</v>
      </c>
      <c r="BP248" s="3199">
        <f t="shared" si="173"/>
        <v>0</v>
      </c>
      <c r="BQ248" s="3199">
        <f t="shared" si="174"/>
        <v>0</v>
      </c>
      <c r="BR248" s="3199">
        <f t="shared" si="175"/>
        <v>0</v>
      </c>
      <c r="BS248" s="3199">
        <f t="shared" si="176"/>
        <v>0</v>
      </c>
      <c r="BT248" s="3271">
        <f t="shared" si="177"/>
        <v>0</v>
      </c>
    </row>
    <row r="249" spans="1:72">
      <c r="A249" s="3197"/>
      <c r="B249" s="3198"/>
      <c r="C249" s="3198"/>
      <c r="D249" s="3193"/>
      <c r="E249" s="3199">
        <f t="shared" si="149"/>
        <v>0</v>
      </c>
      <c r="F249" s="3200"/>
      <c r="G249" s="3201">
        <f t="shared" si="150"/>
        <v>0</v>
      </c>
      <c r="H249" s="3202">
        <f t="shared" si="151"/>
        <v>0</v>
      </c>
      <c r="I249" s="3218"/>
      <c r="J249" s="3218"/>
      <c r="K249" s="3218"/>
      <c r="L249" s="3218"/>
      <c r="M249" s="3218"/>
      <c r="N249" s="3218"/>
      <c r="O249" s="3218"/>
      <c r="P249" s="3218"/>
      <c r="Q249" s="3218"/>
      <c r="R249" s="3218"/>
      <c r="S249" s="3218"/>
      <c r="T249" s="3218"/>
      <c r="U249" s="3218"/>
      <c r="V249" s="3218"/>
      <c r="W249" s="3218"/>
      <c r="X249" s="3218"/>
      <c r="Y249" s="3218"/>
      <c r="Z249" s="3218"/>
      <c r="AA249" s="3218"/>
      <c r="AB249" s="3218"/>
      <c r="AC249" s="3199">
        <f t="shared" si="152"/>
        <v>0</v>
      </c>
      <c r="AD249" s="3229"/>
      <c r="AE249" s="3229"/>
      <c r="AF249" s="3229"/>
      <c r="AG249" s="3229"/>
      <c r="AH249" s="3229"/>
      <c r="AI249" s="3229"/>
      <c r="AJ249" s="3229"/>
      <c r="AK249" s="3229"/>
      <c r="AL249" s="3229"/>
      <c r="AM249" s="3229"/>
      <c r="AN249" s="3229"/>
      <c r="AO249" s="3229"/>
      <c r="AP249" s="3229"/>
      <c r="AQ249" s="3229"/>
      <c r="AR249" s="3229"/>
      <c r="AS249" s="3229"/>
      <c r="AT249" s="3249"/>
      <c r="AU249" s="3250"/>
      <c r="AV249" s="475">
        <f t="shared" si="153"/>
        <v>0</v>
      </c>
      <c r="AW249" s="475">
        <f t="shared" si="154"/>
        <v>0</v>
      </c>
      <c r="AX249" s="475">
        <f t="shared" si="155"/>
        <v>0</v>
      </c>
      <c r="AY249" s="3266">
        <f t="shared" si="156"/>
        <v>0</v>
      </c>
      <c r="AZ249" s="3199">
        <f t="shared" si="157"/>
        <v>0</v>
      </c>
      <c r="BA249" s="3199">
        <f t="shared" si="158"/>
        <v>0</v>
      </c>
      <c r="BB249" s="3199">
        <f t="shared" si="159"/>
        <v>0</v>
      </c>
      <c r="BC249" s="3199">
        <f t="shared" si="160"/>
        <v>0</v>
      </c>
      <c r="BD249" s="3199">
        <f t="shared" si="161"/>
        <v>0</v>
      </c>
      <c r="BE249" s="3199">
        <f t="shared" si="162"/>
        <v>0</v>
      </c>
      <c r="BF249" s="3199">
        <f t="shared" si="163"/>
        <v>0</v>
      </c>
      <c r="BG249" s="3199">
        <f t="shared" si="164"/>
        <v>0</v>
      </c>
      <c r="BH249" s="3199">
        <f t="shared" si="165"/>
        <v>0</v>
      </c>
      <c r="BI249" s="3199">
        <f t="shared" si="166"/>
        <v>0</v>
      </c>
      <c r="BJ249" s="3199">
        <f t="shared" si="167"/>
        <v>0</v>
      </c>
      <c r="BK249" s="3199">
        <f t="shared" si="168"/>
        <v>0</v>
      </c>
      <c r="BL249" s="3199">
        <f t="shared" si="169"/>
        <v>0</v>
      </c>
      <c r="BM249" s="3199">
        <f t="shared" si="170"/>
        <v>0</v>
      </c>
      <c r="BN249" s="3199">
        <f t="shared" si="171"/>
        <v>0</v>
      </c>
      <c r="BO249" s="3199">
        <f t="shared" si="172"/>
        <v>0</v>
      </c>
      <c r="BP249" s="3199">
        <f t="shared" si="173"/>
        <v>0</v>
      </c>
      <c r="BQ249" s="3199">
        <f t="shared" si="174"/>
        <v>0</v>
      </c>
      <c r="BR249" s="3199">
        <f t="shared" si="175"/>
        <v>0</v>
      </c>
      <c r="BS249" s="3199">
        <f t="shared" si="176"/>
        <v>0</v>
      </c>
      <c r="BT249" s="3271">
        <f t="shared" si="177"/>
        <v>0</v>
      </c>
    </row>
    <row r="250" spans="1:72">
      <c r="A250" s="3197"/>
      <c r="B250" s="3198"/>
      <c r="C250" s="3198"/>
      <c r="D250" s="3193"/>
      <c r="E250" s="3199">
        <f t="shared" si="149"/>
        <v>0</v>
      </c>
      <c r="F250" s="3200"/>
      <c r="G250" s="3201">
        <f t="shared" si="150"/>
        <v>0</v>
      </c>
      <c r="H250" s="3202">
        <f t="shared" si="151"/>
        <v>0</v>
      </c>
      <c r="I250" s="3218"/>
      <c r="J250" s="3218"/>
      <c r="K250" s="3218"/>
      <c r="L250" s="3218"/>
      <c r="M250" s="3218"/>
      <c r="N250" s="3218"/>
      <c r="O250" s="3218"/>
      <c r="P250" s="3218"/>
      <c r="Q250" s="3218"/>
      <c r="R250" s="3218"/>
      <c r="S250" s="3218"/>
      <c r="T250" s="3218"/>
      <c r="U250" s="3218"/>
      <c r="V250" s="3218"/>
      <c r="W250" s="3218"/>
      <c r="X250" s="3218"/>
      <c r="Y250" s="3218"/>
      <c r="Z250" s="3218"/>
      <c r="AA250" s="3218"/>
      <c r="AB250" s="3218"/>
      <c r="AC250" s="3199">
        <f t="shared" si="152"/>
        <v>0</v>
      </c>
      <c r="AD250" s="3229"/>
      <c r="AE250" s="3229"/>
      <c r="AF250" s="3229"/>
      <c r="AG250" s="3229"/>
      <c r="AH250" s="3229"/>
      <c r="AI250" s="3229"/>
      <c r="AJ250" s="3229"/>
      <c r="AK250" s="3229"/>
      <c r="AL250" s="3229"/>
      <c r="AM250" s="3229"/>
      <c r="AN250" s="3229"/>
      <c r="AO250" s="3229"/>
      <c r="AP250" s="3229"/>
      <c r="AQ250" s="3229"/>
      <c r="AR250" s="3229"/>
      <c r="AS250" s="3229"/>
      <c r="AT250" s="3249"/>
      <c r="AU250" s="3250"/>
      <c r="AV250" s="475">
        <f t="shared" si="153"/>
        <v>0</v>
      </c>
      <c r="AW250" s="475">
        <f t="shared" si="154"/>
        <v>0</v>
      </c>
      <c r="AX250" s="475">
        <f t="shared" si="155"/>
        <v>0</v>
      </c>
      <c r="AY250" s="3266">
        <f t="shared" si="156"/>
        <v>0</v>
      </c>
      <c r="AZ250" s="3199">
        <f t="shared" si="157"/>
        <v>0</v>
      </c>
      <c r="BA250" s="3199">
        <f t="shared" si="158"/>
        <v>0</v>
      </c>
      <c r="BB250" s="3199">
        <f t="shared" si="159"/>
        <v>0</v>
      </c>
      <c r="BC250" s="3199">
        <f t="shared" si="160"/>
        <v>0</v>
      </c>
      <c r="BD250" s="3199">
        <f t="shared" si="161"/>
        <v>0</v>
      </c>
      <c r="BE250" s="3199">
        <f t="shared" si="162"/>
        <v>0</v>
      </c>
      <c r="BF250" s="3199">
        <f t="shared" si="163"/>
        <v>0</v>
      </c>
      <c r="BG250" s="3199">
        <f t="shared" si="164"/>
        <v>0</v>
      </c>
      <c r="BH250" s="3199">
        <f t="shared" si="165"/>
        <v>0</v>
      </c>
      <c r="BI250" s="3199">
        <f t="shared" si="166"/>
        <v>0</v>
      </c>
      <c r="BJ250" s="3199">
        <f t="shared" si="167"/>
        <v>0</v>
      </c>
      <c r="BK250" s="3199">
        <f t="shared" si="168"/>
        <v>0</v>
      </c>
      <c r="BL250" s="3199">
        <f t="shared" si="169"/>
        <v>0</v>
      </c>
      <c r="BM250" s="3199">
        <f t="shared" si="170"/>
        <v>0</v>
      </c>
      <c r="BN250" s="3199">
        <f t="shared" si="171"/>
        <v>0</v>
      </c>
      <c r="BO250" s="3199">
        <f t="shared" si="172"/>
        <v>0</v>
      </c>
      <c r="BP250" s="3199">
        <f t="shared" si="173"/>
        <v>0</v>
      </c>
      <c r="BQ250" s="3199">
        <f t="shared" si="174"/>
        <v>0</v>
      </c>
      <c r="BR250" s="3199">
        <f t="shared" si="175"/>
        <v>0</v>
      </c>
      <c r="BS250" s="3199">
        <f t="shared" si="176"/>
        <v>0</v>
      </c>
      <c r="BT250" s="3271">
        <f t="shared" si="177"/>
        <v>0</v>
      </c>
    </row>
    <row r="251" spans="1:72">
      <c r="A251" s="3197"/>
      <c r="B251" s="3198"/>
      <c r="C251" s="3198"/>
      <c r="D251" s="3193"/>
      <c r="E251" s="3199">
        <f t="shared" si="149"/>
        <v>0</v>
      </c>
      <c r="F251" s="3200"/>
      <c r="G251" s="3201">
        <f t="shared" si="150"/>
        <v>0</v>
      </c>
      <c r="H251" s="3202">
        <f t="shared" si="151"/>
        <v>0</v>
      </c>
      <c r="I251" s="3218"/>
      <c r="J251" s="3218"/>
      <c r="K251" s="3218"/>
      <c r="L251" s="3218"/>
      <c r="M251" s="3218"/>
      <c r="N251" s="3218"/>
      <c r="O251" s="3218"/>
      <c r="P251" s="3218"/>
      <c r="Q251" s="3218"/>
      <c r="R251" s="3218"/>
      <c r="S251" s="3218"/>
      <c r="T251" s="3218"/>
      <c r="U251" s="3218"/>
      <c r="V251" s="3218"/>
      <c r="W251" s="3218"/>
      <c r="X251" s="3218"/>
      <c r="Y251" s="3218"/>
      <c r="Z251" s="3218"/>
      <c r="AA251" s="3218"/>
      <c r="AB251" s="3218"/>
      <c r="AC251" s="3199">
        <f t="shared" si="152"/>
        <v>0</v>
      </c>
      <c r="AD251" s="3229"/>
      <c r="AE251" s="3229"/>
      <c r="AF251" s="3229"/>
      <c r="AG251" s="3229"/>
      <c r="AH251" s="3229"/>
      <c r="AI251" s="3229"/>
      <c r="AJ251" s="3229"/>
      <c r="AK251" s="3229"/>
      <c r="AL251" s="3229"/>
      <c r="AM251" s="3229"/>
      <c r="AN251" s="3229"/>
      <c r="AO251" s="3229"/>
      <c r="AP251" s="3229"/>
      <c r="AQ251" s="3229"/>
      <c r="AR251" s="3229"/>
      <c r="AS251" s="3229"/>
      <c r="AT251" s="3249"/>
      <c r="AU251" s="3250"/>
      <c r="AV251" s="475">
        <f t="shared" si="153"/>
        <v>0</v>
      </c>
      <c r="AW251" s="475">
        <f t="shared" si="154"/>
        <v>0</v>
      </c>
      <c r="AX251" s="475">
        <f t="shared" si="155"/>
        <v>0</v>
      </c>
      <c r="AY251" s="3266">
        <f t="shared" si="156"/>
        <v>0</v>
      </c>
      <c r="AZ251" s="3199">
        <f t="shared" si="157"/>
        <v>0</v>
      </c>
      <c r="BA251" s="3199">
        <f t="shared" si="158"/>
        <v>0</v>
      </c>
      <c r="BB251" s="3199">
        <f t="shared" si="159"/>
        <v>0</v>
      </c>
      <c r="BC251" s="3199">
        <f t="shared" si="160"/>
        <v>0</v>
      </c>
      <c r="BD251" s="3199">
        <f t="shared" si="161"/>
        <v>0</v>
      </c>
      <c r="BE251" s="3199">
        <f t="shared" si="162"/>
        <v>0</v>
      </c>
      <c r="BF251" s="3199">
        <f t="shared" si="163"/>
        <v>0</v>
      </c>
      <c r="BG251" s="3199">
        <f t="shared" si="164"/>
        <v>0</v>
      </c>
      <c r="BH251" s="3199">
        <f t="shared" si="165"/>
        <v>0</v>
      </c>
      <c r="BI251" s="3199">
        <f t="shared" si="166"/>
        <v>0</v>
      </c>
      <c r="BJ251" s="3199">
        <f t="shared" si="167"/>
        <v>0</v>
      </c>
      <c r="BK251" s="3199">
        <f t="shared" si="168"/>
        <v>0</v>
      </c>
      <c r="BL251" s="3199">
        <f t="shared" si="169"/>
        <v>0</v>
      </c>
      <c r="BM251" s="3199">
        <f t="shared" si="170"/>
        <v>0</v>
      </c>
      <c r="BN251" s="3199">
        <f t="shared" si="171"/>
        <v>0</v>
      </c>
      <c r="BO251" s="3199">
        <f t="shared" si="172"/>
        <v>0</v>
      </c>
      <c r="BP251" s="3199">
        <f t="shared" si="173"/>
        <v>0</v>
      </c>
      <c r="BQ251" s="3199">
        <f t="shared" si="174"/>
        <v>0</v>
      </c>
      <c r="BR251" s="3199">
        <f t="shared" si="175"/>
        <v>0</v>
      </c>
      <c r="BS251" s="3199">
        <f t="shared" si="176"/>
        <v>0</v>
      </c>
      <c r="BT251" s="3271">
        <f t="shared" si="177"/>
        <v>0</v>
      </c>
    </row>
    <row r="252" spans="1:72">
      <c r="A252" s="3197"/>
      <c r="B252" s="3198"/>
      <c r="C252" s="3198"/>
      <c r="D252" s="3193"/>
      <c r="E252" s="3199">
        <f t="shared" si="149"/>
        <v>0</v>
      </c>
      <c r="F252" s="3200"/>
      <c r="G252" s="3201">
        <f t="shared" si="150"/>
        <v>0</v>
      </c>
      <c r="H252" s="3202">
        <f t="shared" si="151"/>
        <v>0</v>
      </c>
      <c r="I252" s="3218"/>
      <c r="J252" s="3218"/>
      <c r="K252" s="3218"/>
      <c r="L252" s="3218"/>
      <c r="M252" s="3218"/>
      <c r="N252" s="3218"/>
      <c r="O252" s="3218"/>
      <c r="P252" s="3218"/>
      <c r="Q252" s="3218"/>
      <c r="R252" s="3218"/>
      <c r="S252" s="3218"/>
      <c r="T252" s="3218"/>
      <c r="U252" s="3218"/>
      <c r="V252" s="3218"/>
      <c r="W252" s="3218"/>
      <c r="X252" s="3218"/>
      <c r="Y252" s="3218"/>
      <c r="Z252" s="3218"/>
      <c r="AA252" s="3218"/>
      <c r="AB252" s="3218"/>
      <c r="AC252" s="3199">
        <f t="shared" si="152"/>
        <v>0</v>
      </c>
      <c r="AD252" s="3229"/>
      <c r="AE252" s="3229"/>
      <c r="AF252" s="3229"/>
      <c r="AG252" s="3229"/>
      <c r="AH252" s="3229"/>
      <c r="AI252" s="3229"/>
      <c r="AJ252" s="3229"/>
      <c r="AK252" s="3229"/>
      <c r="AL252" s="3229"/>
      <c r="AM252" s="3229"/>
      <c r="AN252" s="3229"/>
      <c r="AO252" s="3229"/>
      <c r="AP252" s="3229"/>
      <c r="AQ252" s="3229"/>
      <c r="AR252" s="3229"/>
      <c r="AS252" s="3229"/>
      <c r="AT252" s="3249"/>
      <c r="AU252" s="3250"/>
      <c r="AV252" s="475">
        <f t="shared" si="153"/>
        <v>0</v>
      </c>
      <c r="AW252" s="475">
        <f t="shared" si="154"/>
        <v>0</v>
      </c>
      <c r="AX252" s="475">
        <f t="shared" si="155"/>
        <v>0</v>
      </c>
      <c r="AY252" s="3266">
        <f t="shared" si="156"/>
        <v>0</v>
      </c>
      <c r="AZ252" s="3199">
        <f t="shared" si="157"/>
        <v>0</v>
      </c>
      <c r="BA252" s="3199">
        <f t="shared" si="158"/>
        <v>0</v>
      </c>
      <c r="BB252" s="3199">
        <f t="shared" si="159"/>
        <v>0</v>
      </c>
      <c r="BC252" s="3199">
        <f t="shared" si="160"/>
        <v>0</v>
      </c>
      <c r="BD252" s="3199">
        <f t="shared" si="161"/>
        <v>0</v>
      </c>
      <c r="BE252" s="3199">
        <f t="shared" si="162"/>
        <v>0</v>
      </c>
      <c r="BF252" s="3199">
        <f t="shared" si="163"/>
        <v>0</v>
      </c>
      <c r="BG252" s="3199">
        <f t="shared" si="164"/>
        <v>0</v>
      </c>
      <c r="BH252" s="3199">
        <f t="shared" si="165"/>
        <v>0</v>
      </c>
      <c r="BI252" s="3199">
        <f t="shared" si="166"/>
        <v>0</v>
      </c>
      <c r="BJ252" s="3199">
        <f t="shared" si="167"/>
        <v>0</v>
      </c>
      <c r="BK252" s="3199">
        <f t="shared" si="168"/>
        <v>0</v>
      </c>
      <c r="BL252" s="3199">
        <f t="shared" si="169"/>
        <v>0</v>
      </c>
      <c r="BM252" s="3199">
        <f t="shared" si="170"/>
        <v>0</v>
      </c>
      <c r="BN252" s="3199">
        <f t="shared" si="171"/>
        <v>0</v>
      </c>
      <c r="BO252" s="3199">
        <f t="shared" si="172"/>
        <v>0</v>
      </c>
      <c r="BP252" s="3199">
        <f t="shared" si="173"/>
        <v>0</v>
      </c>
      <c r="BQ252" s="3199">
        <f t="shared" si="174"/>
        <v>0</v>
      </c>
      <c r="BR252" s="3199">
        <f t="shared" si="175"/>
        <v>0</v>
      </c>
      <c r="BS252" s="3199">
        <f t="shared" si="176"/>
        <v>0</v>
      </c>
      <c r="BT252" s="3271">
        <f t="shared" si="177"/>
        <v>0</v>
      </c>
    </row>
    <row r="253" spans="1:72">
      <c r="A253" s="3197"/>
      <c r="B253" s="3198"/>
      <c r="C253" s="3198"/>
      <c r="D253" s="3193"/>
      <c r="E253" s="3199">
        <f t="shared" si="149"/>
        <v>0</v>
      </c>
      <c r="F253" s="3200"/>
      <c r="G253" s="3201">
        <f t="shared" si="150"/>
        <v>0</v>
      </c>
      <c r="H253" s="3202">
        <f t="shared" si="151"/>
        <v>0</v>
      </c>
      <c r="I253" s="3218"/>
      <c r="J253" s="3218"/>
      <c r="K253" s="3218"/>
      <c r="L253" s="3218"/>
      <c r="M253" s="3218"/>
      <c r="N253" s="3218"/>
      <c r="O253" s="3218"/>
      <c r="P253" s="3218"/>
      <c r="Q253" s="3218"/>
      <c r="R253" s="3218"/>
      <c r="S253" s="3218"/>
      <c r="T253" s="3218"/>
      <c r="U253" s="3218"/>
      <c r="V253" s="3218"/>
      <c r="W253" s="3218"/>
      <c r="X253" s="3218"/>
      <c r="Y253" s="3218"/>
      <c r="Z253" s="3218"/>
      <c r="AA253" s="3218"/>
      <c r="AB253" s="3218"/>
      <c r="AC253" s="3199">
        <f t="shared" si="152"/>
        <v>0</v>
      </c>
      <c r="AD253" s="3229"/>
      <c r="AE253" s="3229"/>
      <c r="AF253" s="3229"/>
      <c r="AG253" s="3229"/>
      <c r="AH253" s="3229"/>
      <c r="AI253" s="3229"/>
      <c r="AJ253" s="3229"/>
      <c r="AK253" s="3229"/>
      <c r="AL253" s="3229"/>
      <c r="AM253" s="3229"/>
      <c r="AN253" s="3229"/>
      <c r="AO253" s="3229"/>
      <c r="AP253" s="3229"/>
      <c r="AQ253" s="3229"/>
      <c r="AR253" s="3229"/>
      <c r="AS253" s="3229"/>
      <c r="AT253" s="3249"/>
      <c r="AU253" s="3250"/>
      <c r="AV253" s="475">
        <f t="shared" si="153"/>
        <v>0</v>
      </c>
      <c r="AW253" s="475">
        <f t="shared" si="154"/>
        <v>0</v>
      </c>
      <c r="AX253" s="475">
        <f t="shared" si="155"/>
        <v>0</v>
      </c>
      <c r="AY253" s="3266">
        <f t="shared" si="156"/>
        <v>0</v>
      </c>
      <c r="AZ253" s="3199">
        <f t="shared" si="157"/>
        <v>0</v>
      </c>
      <c r="BA253" s="3199">
        <f t="shared" si="158"/>
        <v>0</v>
      </c>
      <c r="BB253" s="3199">
        <f t="shared" si="159"/>
        <v>0</v>
      </c>
      <c r="BC253" s="3199">
        <f t="shared" si="160"/>
        <v>0</v>
      </c>
      <c r="BD253" s="3199">
        <f t="shared" si="161"/>
        <v>0</v>
      </c>
      <c r="BE253" s="3199">
        <f t="shared" si="162"/>
        <v>0</v>
      </c>
      <c r="BF253" s="3199">
        <f t="shared" si="163"/>
        <v>0</v>
      </c>
      <c r="BG253" s="3199">
        <f t="shared" si="164"/>
        <v>0</v>
      </c>
      <c r="BH253" s="3199">
        <f t="shared" si="165"/>
        <v>0</v>
      </c>
      <c r="BI253" s="3199">
        <f t="shared" si="166"/>
        <v>0</v>
      </c>
      <c r="BJ253" s="3199">
        <f t="shared" si="167"/>
        <v>0</v>
      </c>
      <c r="BK253" s="3199">
        <f t="shared" si="168"/>
        <v>0</v>
      </c>
      <c r="BL253" s="3199">
        <f t="shared" si="169"/>
        <v>0</v>
      </c>
      <c r="BM253" s="3199">
        <f t="shared" si="170"/>
        <v>0</v>
      </c>
      <c r="BN253" s="3199">
        <f t="shared" si="171"/>
        <v>0</v>
      </c>
      <c r="BO253" s="3199">
        <f t="shared" si="172"/>
        <v>0</v>
      </c>
      <c r="BP253" s="3199">
        <f t="shared" si="173"/>
        <v>0</v>
      </c>
      <c r="BQ253" s="3199">
        <f t="shared" si="174"/>
        <v>0</v>
      </c>
      <c r="BR253" s="3199">
        <f t="shared" si="175"/>
        <v>0</v>
      </c>
      <c r="BS253" s="3199">
        <f t="shared" si="176"/>
        <v>0</v>
      </c>
      <c r="BT253" s="3271">
        <f t="shared" si="177"/>
        <v>0</v>
      </c>
    </row>
    <row r="254" spans="1:72">
      <c r="A254" s="3197"/>
      <c r="B254" s="3198"/>
      <c r="C254" s="3198"/>
      <c r="D254" s="3193"/>
      <c r="E254" s="3199">
        <f t="shared" si="149"/>
        <v>0</v>
      </c>
      <c r="F254" s="3200"/>
      <c r="G254" s="3201">
        <f t="shared" si="150"/>
        <v>0</v>
      </c>
      <c r="H254" s="3202">
        <f t="shared" si="151"/>
        <v>0</v>
      </c>
      <c r="I254" s="3218"/>
      <c r="J254" s="3218"/>
      <c r="K254" s="3218"/>
      <c r="L254" s="3218"/>
      <c r="M254" s="3218"/>
      <c r="N254" s="3218"/>
      <c r="O254" s="3218"/>
      <c r="P254" s="3218"/>
      <c r="Q254" s="3218"/>
      <c r="R254" s="3218"/>
      <c r="S254" s="3218"/>
      <c r="T254" s="3218"/>
      <c r="U254" s="3218"/>
      <c r="V254" s="3218"/>
      <c r="W254" s="3218"/>
      <c r="X254" s="3218"/>
      <c r="Y254" s="3218"/>
      <c r="Z254" s="3218"/>
      <c r="AA254" s="3218"/>
      <c r="AB254" s="3218"/>
      <c r="AC254" s="3199">
        <f t="shared" si="152"/>
        <v>0</v>
      </c>
      <c r="AD254" s="3229"/>
      <c r="AE254" s="3229"/>
      <c r="AF254" s="3229"/>
      <c r="AG254" s="3229"/>
      <c r="AH254" s="3229"/>
      <c r="AI254" s="3229"/>
      <c r="AJ254" s="3229"/>
      <c r="AK254" s="3229"/>
      <c r="AL254" s="3229"/>
      <c r="AM254" s="3229"/>
      <c r="AN254" s="3229"/>
      <c r="AO254" s="3229"/>
      <c r="AP254" s="3229"/>
      <c r="AQ254" s="3229"/>
      <c r="AR254" s="3229"/>
      <c r="AS254" s="3229"/>
      <c r="AT254" s="3249"/>
      <c r="AU254" s="3250"/>
      <c r="AV254" s="475">
        <f t="shared" si="153"/>
        <v>0</v>
      </c>
      <c r="AW254" s="475">
        <f t="shared" si="154"/>
        <v>0</v>
      </c>
      <c r="AX254" s="475">
        <f t="shared" si="155"/>
        <v>0</v>
      </c>
      <c r="AY254" s="3266">
        <f t="shared" si="156"/>
        <v>0</v>
      </c>
      <c r="AZ254" s="3199">
        <f t="shared" si="157"/>
        <v>0</v>
      </c>
      <c r="BA254" s="3199">
        <f t="shared" si="158"/>
        <v>0</v>
      </c>
      <c r="BB254" s="3199">
        <f t="shared" si="159"/>
        <v>0</v>
      </c>
      <c r="BC254" s="3199">
        <f t="shared" si="160"/>
        <v>0</v>
      </c>
      <c r="BD254" s="3199">
        <f t="shared" si="161"/>
        <v>0</v>
      </c>
      <c r="BE254" s="3199">
        <f t="shared" si="162"/>
        <v>0</v>
      </c>
      <c r="BF254" s="3199">
        <f t="shared" si="163"/>
        <v>0</v>
      </c>
      <c r="BG254" s="3199">
        <f t="shared" si="164"/>
        <v>0</v>
      </c>
      <c r="BH254" s="3199">
        <f t="shared" si="165"/>
        <v>0</v>
      </c>
      <c r="BI254" s="3199">
        <f t="shared" si="166"/>
        <v>0</v>
      </c>
      <c r="BJ254" s="3199">
        <f t="shared" si="167"/>
        <v>0</v>
      </c>
      <c r="BK254" s="3199">
        <f t="shared" si="168"/>
        <v>0</v>
      </c>
      <c r="BL254" s="3199">
        <f t="shared" si="169"/>
        <v>0</v>
      </c>
      <c r="BM254" s="3199">
        <f t="shared" si="170"/>
        <v>0</v>
      </c>
      <c r="BN254" s="3199">
        <f t="shared" si="171"/>
        <v>0</v>
      </c>
      <c r="BO254" s="3199">
        <f t="shared" si="172"/>
        <v>0</v>
      </c>
      <c r="BP254" s="3199">
        <f t="shared" si="173"/>
        <v>0</v>
      </c>
      <c r="BQ254" s="3199">
        <f t="shared" si="174"/>
        <v>0</v>
      </c>
      <c r="BR254" s="3199">
        <f t="shared" si="175"/>
        <v>0</v>
      </c>
      <c r="BS254" s="3199">
        <f t="shared" si="176"/>
        <v>0</v>
      </c>
      <c r="BT254" s="3271">
        <f t="shared" si="177"/>
        <v>0</v>
      </c>
    </row>
    <row r="255" spans="1:72">
      <c r="A255" s="3197"/>
      <c r="B255" s="3198"/>
      <c r="C255" s="3198"/>
      <c r="D255" s="3193"/>
      <c r="E255" s="3199">
        <f t="shared" si="149"/>
        <v>0</v>
      </c>
      <c r="F255" s="3200"/>
      <c r="G255" s="3201">
        <f t="shared" si="150"/>
        <v>0</v>
      </c>
      <c r="H255" s="3202">
        <f t="shared" si="151"/>
        <v>0</v>
      </c>
      <c r="I255" s="3218"/>
      <c r="J255" s="3218"/>
      <c r="K255" s="3218"/>
      <c r="L255" s="3218"/>
      <c r="M255" s="3218"/>
      <c r="N255" s="3218"/>
      <c r="O255" s="3218"/>
      <c r="P255" s="3218"/>
      <c r="Q255" s="3218"/>
      <c r="R255" s="3218"/>
      <c r="S255" s="3218"/>
      <c r="T255" s="3218"/>
      <c r="U255" s="3218"/>
      <c r="V255" s="3218"/>
      <c r="W255" s="3218"/>
      <c r="X255" s="3218"/>
      <c r="Y255" s="3218"/>
      <c r="Z255" s="3218"/>
      <c r="AA255" s="3218"/>
      <c r="AB255" s="3218"/>
      <c r="AC255" s="3199">
        <f t="shared" si="152"/>
        <v>0</v>
      </c>
      <c r="AD255" s="3229"/>
      <c r="AE255" s="3229"/>
      <c r="AF255" s="3229"/>
      <c r="AG255" s="3229"/>
      <c r="AH255" s="3229"/>
      <c r="AI255" s="3229"/>
      <c r="AJ255" s="3229"/>
      <c r="AK255" s="3229"/>
      <c r="AL255" s="3229"/>
      <c r="AM255" s="3229"/>
      <c r="AN255" s="3229"/>
      <c r="AO255" s="3229"/>
      <c r="AP255" s="3229"/>
      <c r="AQ255" s="3229"/>
      <c r="AR255" s="3229"/>
      <c r="AS255" s="3229"/>
      <c r="AT255" s="3249"/>
      <c r="AU255" s="3250"/>
      <c r="AV255" s="475">
        <f t="shared" si="153"/>
        <v>0</v>
      </c>
      <c r="AW255" s="475">
        <f t="shared" si="154"/>
        <v>0</v>
      </c>
      <c r="AX255" s="475">
        <f t="shared" si="155"/>
        <v>0</v>
      </c>
      <c r="AY255" s="3266">
        <f t="shared" si="156"/>
        <v>0</v>
      </c>
      <c r="AZ255" s="3199">
        <f t="shared" si="157"/>
        <v>0</v>
      </c>
      <c r="BA255" s="3199">
        <f t="shared" si="158"/>
        <v>0</v>
      </c>
      <c r="BB255" s="3199">
        <f t="shared" si="159"/>
        <v>0</v>
      </c>
      <c r="BC255" s="3199">
        <f t="shared" si="160"/>
        <v>0</v>
      </c>
      <c r="BD255" s="3199">
        <f t="shared" si="161"/>
        <v>0</v>
      </c>
      <c r="BE255" s="3199">
        <f t="shared" si="162"/>
        <v>0</v>
      </c>
      <c r="BF255" s="3199">
        <f t="shared" si="163"/>
        <v>0</v>
      </c>
      <c r="BG255" s="3199">
        <f t="shared" si="164"/>
        <v>0</v>
      </c>
      <c r="BH255" s="3199">
        <f t="shared" si="165"/>
        <v>0</v>
      </c>
      <c r="BI255" s="3199">
        <f t="shared" si="166"/>
        <v>0</v>
      </c>
      <c r="BJ255" s="3199">
        <f t="shared" si="167"/>
        <v>0</v>
      </c>
      <c r="BK255" s="3199">
        <f t="shared" si="168"/>
        <v>0</v>
      </c>
      <c r="BL255" s="3199">
        <f t="shared" si="169"/>
        <v>0</v>
      </c>
      <c r="BM255" s="3199">
        <f t="shared" si="170"/>
        <v>0</v>
      </c>
      <c r="BN255" s="3199">
        <f t="shared" si="171"/>
        <v>0</v>
      </c>
      <c r="BO255" s="3199">
        <f t="shared" si="172"/>
        <v>0</v>
      </c>
      <c r="BP255" s="3199">
        <f t="shared" si="173"/>
        <v>0</v>
      </c>
      <c r="BQ255" s="3199">
        <f t="shared" si="174"/>
        <v>0</v>
      </c>
      <c r="BR255" s="3199">
        <f t="shared" si="175"/>
        <v>0</v>
      </c>
      <c r="BS255" s="3199">
        <f t="shared" si="176"/>
        <v>0</v>
      </c>
      <c r="BT255" s="3271">
        <f t="shared" si="177"/>
        <v>0</v>
      </c>
    </row>
    <row r="256" spans="1:72">
      <c r="A256" s="3197"/>
      <c r="B256" s="3198"/>
      <c r="C256" s="3198"/>
      <c r="D256" s="3193"/>
      <c r="E256" s="3199">
        <f t="shared" si="149"/>
        <v>0</v>
      </c>
      <c r="F256" s="3200"/>
      <c r="G256" s="3201">
        <f t="shared" si="150"/>
        <v>0</v>
      </c>
      <c r="H256" s="3202">
        <f t="shared" si="151"/>
        <v>0</v>
      </c>
      <c r="I256" s="3218"/>
      <c r="J256" s="3218"/>
      <c r="K256" s="3218"/>
      <c r="L256" s="3218"/>
      <c r="M256" s="3218"/>
      <c r="N256" s="3218"/>
      <c r="O256" s="3218"/>
      <c r="P256" s="3218"/>
      <c r="Q256" s="3218"/>
      <c r="R256" s="3218"/>
      <c r="S256" s="3218"/>
      <c r="T256" s="3218"/>
      <c r="U256" s="3218"/>
      <c r="V256" s="3218"/>
      <c r="W256" s="3218"/>
      <c r="X256" s="3218"/>
      <c r="Y256" s="3218"/>
      <c r="Z256" s="3218"/>
      <c r="AA256" s="3218"/>
      <c r="AB256" s="3218"/>
      <c r="AC256" s="3199">
        <f t="shared" si="152"/>
        <v>0</v>
      </c>
      <c r="AD256" s="3229"/>
      <c r="AE256" s="3229"/>
      <c r="AF256" s="3229"/>
      <c r="AG256" s="3229"/>
      <c r="AH256" s="3229"/>
      <c r="AI256" s="3229"/>
      <c r="AJ256" s="3229"/>
      <c r="AK256" s="3229"/>
      <c r="AL256" s="3229"/>
      <c r="AM256" s="3229"/>
      <c r="AN256" s="3229"/>
      <c r="AO256" s="3229"/>
      <c r="AP256" s="3229"/>
      <c r="AQ256" s="3229"/>
      <c r="AR256" s="3229"/>
      <c r="AS256" s="3229"/>
      <c r="AT256" s="3249"/>
      <c r="AU256" s="3250"/>
      <c r="AV256" s="475">
        <f t="shared" si="153"/>
        <v>0</v>
      </c>
      <c r="AW256" s="475">
        <f t="shared" si="154"/>
        <v>0</v>
      </c>
      <c r="AX256" s="475">
        <f t="shared" si="155"/>
        <v>0</v>
      </c>
      <c r="AY256" s="3266">
        <f t="shared" si="156"/>
        <v>0</v>
      </c>
      <c r="AZ256" s="3199">
        <f t="shared" si="157"/>
        <v>0</v>
      </c>
      <c r="BA256" s="3199">
        <f t="shared" si="158"/>
        <v>0</v>
      </c>
      <c r="BB256" s="3199">
        <f t="shared" si="159"/>
        <v>0</v>
      </c>
      <c r="BC256" s="3199">
        <f t="shared" si="160"/>
        <v>0</v>
      </c>
      <c r="BD256" s="3199">
        <f t="shared" si="161"/>
        <v>0</v>
      </c>
      <c r="BE256" s="3199">
        <f t="shared" si="162"/>
        <v>0</v>
      </c>
      <c r="BF256" s="3199">
        <f t="shared" si="163"/>
        <v>0</v>
      </c>
      <c r="BG256" s="3199">
        <f t="shared" si="164"/>
        <v>0</v>
      </c>
      <c r="BH256" s="3199">
        <f t="shared" si="165"/>
        <v>0</v>
      </c>
      <c r="BI256" s="3199">
        <f t="shared" si="166"/>
        <v>0</v>
      </c>
      <c r="BJ256" s="3199">
        <f t="shared" si="167"/>
        <v>0</v>
      </c>
      <c r="BK256" s="3199">
        <f t="shared" si="168"/>
        <v>0</v>
      </c>
      <c r="BL256" s="3199">
        <f t="shared" si="169"/>
        <v>0</v>
      </c>
      <c r="BM256" s="3199">
        <f t="shared" si="170"/>
        <v>0</v>
      </c>
      <c r="BN256" s="3199">
        <f t="shared" si="171"/>
        <v>0</v>
      </c>
      <c r="BO256" s="3199">
        <f t="shared" si="172"/>
        <v>0</v>
      </c>
      <c r="BP256" s="3199">
        <f t="shared" si="173"/>
        <v>0</v>
      </c>
      <c r="BQ256" s="3199">
        <f t="shared" si="174"/>
        <v>0</v>
      </c>
      <c r="BR256" s="3199">
        <f t="shared" si="175"/>
        <v>0</v>
      </c>
      <c r="BS256" s="3199">
        <f t="shared" si="176"/>
        <v>0</v>
      </c>
      <c r="BT256" s="3271">
        <f t="shared" si="177"/>
        <v>0</v>
      </c>
    </row>
    <row r="257" spans="1:72">
      <c r="A257" s="3197"/>
      <c r="B257" s="3198"/>
      <c r="C257" s="3198"/>
      <c r="D257" s="3193"/>
      <c r="E257" s="3199">
        <f t="shared" si="149"/>
        <v>0</v>
      </c>
      <c r="F257" s="3200"/>
      <c r="G257" s="3201">
        <f t="shared" si="150"/>
        <v>0</v>
      </c>
      <c r="H257" s="3202">
        <f t="shared" si="151"/>
        <v>0</v>
      </c>
      <c r="I257" s="3218"/>
      <c r="J257" s="3218"/>
      <c r="K257" s="3218"/>
      <c r="L257" s="3218"/>
      <c r="M257" s="3218"/>
      <c r="N257" s="3218"/>
      <c r="O257" s="3218"/>
      <c r="P257" s="3218"/>
      <c r="Q257" s="3218"/>
      <c r="R257" s="3218"/>
      <c r="S257" s="3218"/>
      <c r="T257" s="3218"/>
      <c r="U257" s="3218"/>
      <c r="V257" s="3218"/>
      <c r="W257" s="3218"/>
      <c r="X257" s="3218"/>
      <c r="Y257" s="3218"/>
      <c r="Z257" s="3218"/>
      <c r="AA257" s="3218"/>
      <c r="AB257" s="3218"/>
      <c r="AC257" s="3199">
        <f t="shared" si="152"/>
        <v>0</v>
      </c>
      <c r="AD257" s="3229"/>
      <c r="AE257" s="3229"/>
      <c r="AF257" s="3229"/>
      <c r="AG257" s="3229"/>
      <c r="AH257" s="3229"/>
      <c r="AI257" s="3229"/>
      <c r="AJ257" s="3229"/>
      <c r="AK257" s="3229"/>
      <c r="AL257" s="3229"/>
      <c r="AM257" s="3229"/>
      <c r="AN257" s="3229"/>
      <c r="AO257" s="3229"/>
      <c r="AP257" s="3229"/>
      <c r="AQ257" s="3229"/>
      <c r="AR257" s="3229"/>
      <c r="AS257" s="3229"/>
      <c r="AT257" s="3249"/>
      <c r="AU257" s="3250"/>
      <c r="AV257" s="475">
        <f t="shared" si="153"/>
        <v>0</v>
      </c>
      <c r="AW257" s="475">
        <f t="shared" si="154"/>
        <v>0</v>
      </c>
      <c r="AX257" s="475">
        <f t="shared" si="155"/>
        <v>0</v>
      </c>
      <c r="AY257" s="3266">
        <f t="shared" si="156"/>
        <v>0</v>
      </c>
      <c r="AZ257" s="3199">
        <f t="shared" si="157"/>
        <v>0</v>
      </c>
      <c r="BA257" s="3199">
        <f t="shared" si="158"/>
        <v>0</v>
      </c>
      <c r="BB257" s="3199">
        <f t="shared" si="159"/>
        <v>0</v>
      </c>
      <c r="BC257" s="3199">
        <f t="shared" si="160"/>
        <v>0</v>
      </c>
      <c r="BD257" s="3199">
        <f t="shared" si="161"/>
        <v>0</v>
      </c>
      <c r="BE257" s="3199">
        <f t="shared" si="162"/>
        <v>0</v>
      </c>
      <c r="BF257" s="3199">
        <f t="shared" si="163"/>
        <v>0</v>
      </c>
      <c r="BG257" s="3199">
        <f t="shared" si="164"/>
        <v>0</v>
      </c>
      <c r="BH257" s="3199">
        <f t="shared" si="165"/>
        <v>0</v>
      </c>
      <c r="BI257" s="3199">
        <f t="shared" si="166"/>
        <v>0</v>
      </c>
      <c r="BJ257" s="3199">
        <f t="shared" si="167"/>
        <v>0</v>
      </c>
      <c r="BK257" s="3199">
        <f t="shared" si="168"/>
        <v>0</v>
      </c>
      <c r="BL257" s="3199">
        <f t="shared" si="169"/>
        <v>0</v>
      </c>
      <c r="BM257" s="3199">
        <f t="shared" si="170"/>
        <v>0</v>
      </c>
      <c r="BN257" s="3199">
        <f t="shared" si="171"/>
        <v>0</v>
      </c>
      <c r="BO257" s="3199">
        <f t="shared" si="172"/>
        <v>0</v>
      </c>
      <c r="BP257" s="3199">
        <f t="shared" si="173"/>
        <v>0</v>
      </c>
      <c r="BQ257" s="3199">
        <f t="shared" si="174"/>
        <v>0</v>
      </c>
      <c r="BR257" s="3199">
        <f t="shared" si="175"/>
        <v>0</v>
      </c>
      <c r="BS257" s="3199">
        <f t="shared" si="176"/>
        <v>0</v>
      </c>
      <c r="BT257" s="3271">
        <f t="shared" si="177"/>
        <v>0</v>
      </c>
    </row>
    <row r="258" spans="1:72">
      <c r="A258" s="3197"/>
      <c r="B258" s="3198"/>
      <c r="C258" s="3198"/>
      <c r="D258" s="3193"/>
      <c r="E258" s="3199">
        <f t="shared" si="149"/>
        <v>0</v>
      </c>
      <c r="F258" s="3200"/>
      <c r="G258" s="3201">
        <f t="shared" si="150"/>
        <v>0</v>
      </c>
      <c r="H258" s="3202">
        <f t="shared" si="151"/>
        <v>0</v>
      </c>
      <c r="I258" s="3218"/>
      <c r="J258" s="3218"/>
      <c r="K258" s="3218"/>
      <c r="L258" s="3218"/>
      <c r="M258" s="3218"/>
      <c r="N258" s="3218"/>
      <c r="O258" s="3218"/>
      <c r="P258" s="3218"/>
      <c r="Q258" s="3218"/>
      <c r="R258" s="3218"/>
      <c r="S258" s="3218"/>
      <c r="T258" s="3218"/>
      <c r="U258" s="3218"/>
      <c r="V258" s="3218"/>
      <c r="W258" s="3218"/>
      <c r="X258" s="3218"/>
      <c r="Y258" s="3218"/>
      <c r="Z258" s="3218"/>
      <c r="AA258" s="3218"/>
      <c r="AB258" s="3218"/>
      <c r="AC258" s="3199">
        <f t="shared" si="152"/>
        <v>0</v>
      </c>
      <c r="AD258" s="3229"/>
      <c r="AE258" s="3229"/>
      <c r="AF258" s="3229"/>
      <c r="AG258" s="3229"/>
      <c r="AH258" s="3229"/>
      <c r="AI258" s="3229"/>
      <c r="AJ258" s="3229"/>
      <c r="AK258" s="3229"/>
      <c r="AL258" s="3229"/>
      <c r="AM258" s="3229"/>
      <c r="AN258" s="3229"/>
      <c r="AO258" s="3229"/>
      <c r="AP258" s="3229"/>
      <c r="AQ258" s="3229"/>
      <c r="AR258" s="3229"/>
      <c r="AS258" s="3229"/>
      <c r="AT258" s="3249"/>
      <c r="AU258" s="3250"/>
      <c r="AV258" s="475">
        <f t="shared" si="153"/>
        <v>0</v>
      </c>
      <c r="AW258" s="475">
        <f t="shared" si="154"/>
        <v>0</v>
      </c>
      <c r="AX258" s="475">
        <f t="shared" si="155"/>
        <v>0</v>
      </c>
      <c r="AY258" s="3266">
        <f t="shared" si="156"/>
        <v>0</v>
      </c>
      <c r="AZ258" s="3199">
        <f t="shared" si="157"/>
        <v>0</v>
      </c>
      <c r="BA258" s="3199">
        <f t="shared" si="158"/>
        <v>0</v>
      </c>
      <c r="BB258" s="3199">
        <f t="shared" si="159"/>
        <v>0</v>
      </c>
      <c r="BC258" s="3199">
        <f t="shared" si="160"/>
        <v>0</v>
      </c>
      <c r="BD258" s="3199">
        <f t="shared" si="161"/>
        <v>0</v>
      </c>
      <c r="BE258" s="3199">
        <f t="shared" si="162"/>
        <v>0</v>
      </c>
      <c r="BF258" s="3199">
        <f t="shared" si="163"/>
        <v>0</v>
      </c>
      <c r="BG258" s="3199">
        <f t="shared" si="164"/>
        <v>0</v>
      </c>
      <c r="BH258" s="3199">
        <f t="shared" si="165"/>
        <v>0</v>
      </c>
      <c r="BI258" s="3199">
        <f t="shared" si="166"/>
        <v>0</v>
      </c>
      <c r="BJ258" s="3199">
        <f t="shared" si="167"/>
        <v>0</v>
      </c>
      <c r="BK258" s="3199">
        <f t="shared" si="168"/>
        <v>0</v>
      </c>
      <c r="BL258" s="3199">
        <f t="shared" si="169"/>
        <v>0</v>
      </c>
      <c r="BM258" s="3199">
        <f t="shared" si="170"/>
        <v>0</v>
      </c>
      <c r="BN258" s="3199">
        <f t="shared" si="171"/>
        <v>0</v>
      </c>
      <c r="BO258" s="3199">
        <f t="shared" si="172"/>
        <v>0</v>
      </c>
      <c r="BP258" s="3199">
        <f t="shared" si="173"/>
        <v>0</v>
      </c>
      <c r="BQ258" s="3199">
        <f t="shared" si="174"/>
        <v>0</v>
      </c>
      <c r="BR258" s="3199">
        <f t="shared" si="175"/>
        <v>0</v>
      </c>
      <c r="BS258" s="3199">
        <f t="shared" si="176"/>
        <v>0</v>
      </c>
      <c r="BT258" s="3271">
        <f t="shared" si="177"/>
        <v>0</v>
      </c>
    </row>
    <row r="259" spans="1:72">
      <c r="A259" s="3197"/>
      <c r="B259" s="3198"/>
      <c r="C259" s="3198"/>
      <c r="D259" s="3193"/>
      <c r="E259" s="3199">
        <f t="shared" si="149"/>
        <v>0</v>
      </c>
      <c r="F259" s="3200"/>
      <c r="G259" s="3201">
        <f t="shared" si="150"/>
        <v>0</v>
      </c>
      <c r="H259" s="3202">
        <f t="shared" si="151"/>
        <v>0</v>
      </c>
      <c r="I259" s="3218"/>
      <c r="J259" s="3218"/>
      <c r="K259" s="3218"/>
      <c r="L259" s="3218"/>
      <c r="M259" s="3218"/>
      <c r="N259" s="3218"/>
      <c r="O259" s="3218"/>
      <c r="P259" s="3218"/>
      <c r="Q259" s="3218"/>
      <c r="R259" s="3218"/>
      <c r="S259" s="3218"/>
      <c r="T259" s="3218"/>
      <c r="U259" s="3218"/>
      <c r="V259" s="3218"/>
      <c r="W259" s="3218"/>
      <c r="X259" s="3218"/>
      <c r="Y259" s="3218"/>
      <c r="Z259" s="3218"/>
      <c r="AA259" s="3218"/>
      <c r="AB259" s="3218"/>
      <c r="AC259" s="3199">
        <f t="shared" si="152"/>
        <v>0</v>
      </c>
      <c r="AD259" s="3229"/>
      <c r="AE259" s="3229"/>
      <c r="AF259" s="3229"/>
      <c r="AG259" s="3229"/>
      <c r="AH259" s="3229"/>
      <c r="AI259" s="3229"/>
      <c r="AJ259" s="3229"/>
      <c r="AK259" s="3229"/>
      <c r="AL259" s="3229"/>
      <c r="AM259" s="3229"/>
      <c r="AN259" s="3229"/>
      <c r="AO259" s="3229"/>
      <c r="AP259" s="3229"/>
      <c r="AQ259" s="3229"/>
      <c r="AR259" s="3229"/>
      <c r="AS259" s="3229"/>
      <c r="AT259" s="3249"/>
      <c r="AU259" s="3250"/>
      <c r="AV259" s="475">
        <f t="shared" si="153"/>
        <v>0</v>
      </c>
      <c r="AW259" s="475">
        <f t="shared" si="154"/>
        <v>0</v>
      </c>
      <c r="AX259" s="475">
        <f t="shared" si="155"/>
        <v>0</v>
      </c>
      <c r="AY259" s="3266">
        <f t="shared" si="156"/>
        <v>0</v>
      </c>
      <c r="AZ259" s="3199">
        <f t="shared" si="157"/>
        <v>0</v>
      </c>
      <c r="BA259" s="3199">
        <f t="shared" si="158"/>
        <v>0</v>
      </c>
      <c r="BB259" s="3199">
        <f t="shared" si="159"/>
        <v>0</v>
      </c>
      <c r="BC259" s="3199">
        <f t="shared" si="160"/>
        <v>0</v>
      </c>
      <c r="BD259" s="3199">
        <f t="shared" si="161"/>
        <v>0</v>
      </c>
      <c r="BE259" s="3199">
        <f t="shared" si="162"/>
        <v>0</v>
      </c>
      <c r="BF259" s="3199">
        <f t="shared" si="163"/>
        <v>0</v>
      </c>
      <c r="BG259" s="3199">
        <f t="shared" si="164"/>
        <v>0</v>
      </c>
      <c r="BH259" s="3199">
        <f t="shared" si="165"/>
        <v>0</v>
      </c>
      <c r="BI259" s="3199">
        <f t="shared" si="166"/>
        <v>0</v>
      </c>
      <c r="BJ259" s="3199">
        <f t="shared" si="167"/>
        <v>0</v>
      </c>
      <c r="BK259" s="3199">
        <f t="shared" si="168"/>
        <v>0</v>
      </c>
      <c r="BL259" s="3199">
        <f t="shared" si="169"/>
        <v>0</v>
      </c>
      <c r="BM259" s="3199">
        <f t="shared" si="170"/>
        <v>0</v>
      </c>
      <c r="BN259" s="3199">
        <f t="shared" si="171"/>
        <v>0</v>
      </c>
      <c r="BO259" s="3199">
        <f t="shared" si="172"/>
        <v>0</v>
      </c>
      <c r="BP259" s="3199">
        <f t="shared" si="173"/>
        <v>0</v>
      </c>
      <c r="BQ259" s="3199">
        <f t="shared" si="174"/>
        <v>0</v>
      </c>
      <c r="BR259" s="3199">
        <f t="shared" si="175"/>
        <v>0</v>
      </c>
      <c r="BS259" s="3199">
        <f t="shared" si="176"/>
        <v>0</v>
      </c>
      <c r="BT259" s="3271">
        <f t="shared" si="177"/>
        <v>0</v>
      </c>
    </row>
    <row r="260" spans="1:72">
      <c r="A260" s="3197"/>
      <c r="B260" s="3198"/>
      <c r="C260" s="3198"/>
      <c r="D260" s="3193"/>
      <c r="E260" s="3199">
        <f t="shared" si="149"/>
        <v>0</v>
      </c>
      <c r="F260" s="3200"/>
      <c r="G260" s="3201">
        <f t="shared" si="150"/>
        <v>0</v>
      </c>
      <c r="H260" s="3202">
        <f t="shared" si="151"/>
        <v>0</v>
      </c>
      <c r="I260" s="3218"/>
      <c r="J260" s="3218"/>
      <c r="K260" s="3218"/>
      <c r="L260" s="3218"/>
      <c r="M260" s="3218"/>
      <c r="N260" s="3218"/>
      <c r="O260" s="3218"/>
      <c r="P260" s="3218"/>
      <c r="Q260" s="3218"/>
      <c r="R260" s="3218"/>
      <c r="S260" s="3218"/>
      <c r="T260" s="3218"/>
      <c r="U260" s="3218"/>
      <c r="V260" s="3218"/>
      <c r="W260" s="3218"/>
      <c r="X260" s="3218"/>
      <c r="Y260" s="3218"/>
      <c r="Z260" s="3218"/>
      <c r="AA260" s="3218"/>
      <c r="AB260" s="3218"/>
      <c r="AC260" s="3199">
        <f t="shared" si="152"/>
        <v>0</v>
      </c>
      <c r="AD260" s="3229"/>
      <c r="AE260" s="3229"/>
      <c r="AF260" s="3229"/>
      <c r="AG260" s="3229"/>
      <c r="AH260" s="3229"/>
      <c r="AI260" s="3229"/>
      <c r="AJ260" s="3229"/>
      <c r="AK260" s="3229"/>
      <c r="AL260" s="3229"/>
      <c r="AM260" s="3229"/>
      <c r="AN260" s="3229"/>
      <c r="AO260" s="3229"/>
      <c r="AP260" s="3229"/>
      <c r="AQ260" s="3229"/>
      <c r="AR260" s="3229"/>
      <c r="AS260" s="3229"/>
      <c r="AT260" s="3249"/>
      <c r="AU260" s="3250"/>
      <c r="AV260" s="475">
        <f t="shared" si="153"/>
        <v>0</v>
      </c>
      <c r="AW260" s="475">
        <f t="shared" si="154"/>
        <v>0</v>
      </c>
      <c r="AX260" s="475">
        <f t="shared" si="155"/>
        <v>0</v>
      </c>
      <c r="AY260" s="3266">
        <f t="shared" si="156"/>
        <v>0</v>
      </c>
      <c r="AZ260" s="3199">
        <f t="shared" si="157"/>
        <v>0</v>
      </c>
      <c r="BA260" s="3199">
        <f t="shared" si="158"/>
        <v>0</v>
      </c>
      <c r="BB260" s="3199">
        <f t="shared" si="159"/>
        <v>0</v>
      </c>
      <c r="BC260" s="3199">
        <f t="shared" si="160"/>
        <v>0</v>
      </c>
      <c r="BD260" s="3199">
        <f t="shared" si="161"/>
        <v>0</v>
      </c>
      <c r="BE260" s="3199">
        <f t="shared" si="162"/>
        <v>0</v>
      </c>
      <c r="BF260" s="3199">
        <f t="shared" si="163"/>
        <v>0</v>
      </c>
      <c r="BG260" s="3199">
        <f t="shared" si="164"/>
        <v>0</v>
      </c>
      <c r="BH260" s="3199">
        <f t="shared" si="165"/>
        <v>0</v>
      </c>
      <c r="BI260" s="3199">
        <f t="shared" si="166"/>
        <v>0</v>
      </c>
      <c r="BJ260" s="3199">
        <f t="shared" si="167"/>
        <v>0</v>
      </c>
      <c r="BK260" s="3199">
        <f t="shared" si="168"/>
        <v>0</v>
      </c>
      <c r="BL260" s="3199">
        <f t="shared" si="169"/>
        <v>0</v>
      </c>
      <c r="BM260" s="3199">
        <f t="shared" si="170"/>
        <v>0</v>
      </c>
      <c r="BN260" s="3199">
        <f t="shared" si="171"/>
        <v>0</v>
      </c>
      <c r="BO260" s="3199">
        <f t="shared" si="172"/>
        <v>0</v>
      </c>
      <c r="BP260" s="3199">
        <f t="shared" si="173"/>
        <v>0</v>
      </c>
      <c r="BQ260" s="3199">
        <f t="shared" si="174"/>
        <v>0</v>
      </c>
      <c r="BR260" s="3199">
        <f t="shared" si="175"/>
        <v>0</v>
      </c>
      <c r="BS260" s="3199">
        <f t="shared" si="176"/>
        <v>0</v>
      </c>
      <c r="BT260" s="3271">
        <f t="shared" si="177"/>
        <v>0</v>
      </c>
    </row>
    <row r="261" spans="1:72">
      <c r="A261" s="3197"/>
      <c r="B261" s="3198"/>
      <c r="C261" s="3198"/>
      <c r="D261" s="3193"/>
      <c r="E261" s="3199">
        <f t="shared" si="149"/>
        <v>0</v>
      </c>
      <c r="F261" s="3200"/>
      <c r="G261" s="3201">
        <f t="shared" si="150"/>
        <v>0</v>
      </c>
      <c r="H261" s="3202">
        <f t="shared" si="151"/>
        <v>0</v>
      </c>
      <c r="I261" s="3218"/>
      <c r="J261" s="3218"/>
      <c r="K261" s="3218"/>
      <c r="L261" s="3218"/>
      <c r="M261" s="3218"/>
      <c r="N261" s="3218"/>
      <c r="O261" s="3218"/>
      <c r="P261" s="3218"/>
      <c r="Q261" s="3218"/>
      <c r="R261" s="3218"/>
      <c r="S261" s="3218"/>
      <c r="T261" s="3218"/>
      <c r="U261" s="3218"/>
      <c r="V261" s="3218"/>
      <c r="W261" s="3218"/>
      <c r="X261" s="3218"/>
      <c r="Y261" s="3218"/>
      <c r="Z261" s="3218"/>
      <c r="AA261" s="3218"/>
      <c r="AB261" s="3218"/>
      <c r="AC261" s="3199">
        <f t="shared" si="152"/>
        <v>0</v>
      </c>
      <c r="AD261" s="3229"/>
      <c r="AE261" s="3229"/>
      <c r="AF261" s="3229"/>
      <c r="AG261" s="3229"/>
      <c r="AH261" s="3229"/>
      <c r="AI261" s="3229"/>
      <c r="AJ261" s="3229"/>
      <c r="AK261" s="3229"/>
      <c r="AL261" s="3229"/>
      <c r="AM261" s="3229"/>
      <c r="AN261" s="3229"/>
      <c r="AO261" s="3229"/>
      <c r="AP261" s="3229"/>
      <c r="AQ261" s="3229"/>
      <c r="AR261" s="3229"/>
      <c r="AS261" s="3229"/>
      <c r="AT261" s="3249"/>
      <c r="AU261" s="3250"/>
      <c r="AV261" s="475">
        <f t="shared" si="153"/>
        <v>0</v>
      </c>
      <c r="AW261" s="475">
        <f t="shared" si="154"/>
        <v>0</v>
      </c>
      <c r="AX261" s="475">
        <f t="shared" si="155"/>
        <v>0</v>
      </c>
      <c r="AY261" s="3266">
        <f t="shared" si="156"/>
        <v>0</v>
      </c>
      <c r="AZ261" s="3199">
        <f t="shared" si="157"/>
        <v>0</v>
      </c>
      <c r="BA261" s="3199">
        <f t="shared" si="158"/>
        <v>0</v>
      </c>
      <c r="BB261" s="3199">
        <f t="shared" si="159"/>
        <v>0</v>
      </c>
      <c r="BC261" s="3199">
        <f t="shared" si="160"/>
        <v>0</v>
      </c>
      <c r="BD261" s="3199">
        <f t="shared" si="161"/>
        <v>0</v>
      </c>
      <c r="BE261" s="3199">
        <f t="shared" si="162"/>
        <v>0</v>
      </c>
      <c r="BF261" s="3199">
        <f t="shared" si="163"/>
        <v>0</v>
      </c>
      <c r="BG261" s="3199">
        <f t="shared" si="164"/>
        <v>0</v>
      </c>
      <c r="BH261" s="3199">
        <f t="shared" si="165"/>
        <v>0</v>
      </c>
      <c r="BI261" s="3199">
        <f t="shared" si="166"/>
        <v>0</v>
      </c>
      <c r="BJ261" s="3199">
        <f t="shared" si="167"/>
        <v>0</v>
      </c>
      <c r="BK261" s="3199">
        <f t="shared" si="168"/>
        <v>0</v>
      </c>
      <c r="BL261" s="3199">
        <f t="shared" si="169"/>
        <v>0</v>
      </c>
      <c r="BM261" s="3199">
        <f t="shared" si="170"/>
        <v>0</v>
      </c>
      <c r="BN261" s="3199">
        <f t="shared" si="171"/>
        <v>0</v>
      </c>
      <c r="BO261" s="3199">
        <f t="shared" si="172"/>
        <v>0</v>
      </c>
      <c r="BP261" s="3199">
        <f t="shared" si="173"/>
        <v>0</v>
      </c>
      <c r="BQ261" s="3199">
        <f t="shared" si="174"/>
        <v>0</v>
      </c>
      <c r="BR261" s="3199">
        <f t="shared" si="175"/>
        <v>0</v>
      </c>
      <c r="BS261" s="3199">
        <f t="shared" si="176"/>
        <v>0</v>
      </c>
      <c r="BT261" s="3271">
        <f t="shared" si="177"/>
        <v>0</v>
      </c>
    </row>
    <row r="262" spans="1:72">
      <c r="A262" s="3197"/>
      <c r="B262" s="3198"/>
      <c r="C262" s="3198"/>
      <c r="D262" s="3193"/>
      <c r="E262" s="3199">
        <f t="shared" si="149"/>
        <v>0</v>
      </c>
      <c r="F262" s="3200"/>
      <c r="G262" s="3201">
        <f t="shared" si="150"/>
        <v>0</v>
      </c>
      <c r="H262" s="3202">
        <f t="shared" si="151"/>
        <v>0</v>
      </c>
      <c r="I262" s="3218"/>
      <c r="J262" s="3218"/>
      <c r="K262" s="3218"/>
      <c r="L262" s="3218"/>
      <c r="M262" s="3218"/>
      <c r="N262" s="3218"/>
      <c r="O262" s="3218"/>
      <c r="P262" s="3218"/>
      <c r="Q262" s="3218"/>
      <c r="R262" s="3218"/>
      <c r="S262" s="3218"/>
      <c r="T262" s="3218"/>
      <c r="U262" s="3218"/>
      <c r="V262" s="3218"/>
      <c r="W262" s="3218"/>
      <c r="X262" s="3218"/>
      <c r="Y262" s="3218"/>
      <c r="Z262" s="3218"/>
      <c r="AA262" s="3218"/>
      <c r="AB262" s="3218"/>
      <c r="AC262" s="3199">
        <f t="shared" si="152"/>
        <v>0</v>
      </c>
      <c r="AD262" s="3229"/>
      <c r="AE262" s="3229"/>
      <c r="AF262" s="3229"/>
      <c r="AG262" s="3229"/>
      <c r="AH262" s="3229"/>
      <c r="AI262" s="3229"/>
      <c r="AJ262" s="3229"/>
      <c r="AK262" s="3229"/>
      <c r="AL262" s="3229"/>
      <c r="AM262" s="3229"/>
      <c r="AN262" s="3229"/>
      <c r="AO262" s="3229"/>
      <c r="AP262" s="3229"/>
      <c r="AQ262" s="3229"/>
      <c r="AR262" s="3229"/>
      <c r="AS262" s="3229"/>
      <c r="AT262" s="3249"/>
      <c r="AU262" s="3250"/>
      <c r="AV262" s="475">
        <f t="shared" si="153"/>
        <v>0</v>
      </c>
      <c r="AW262" s="475">
        <f t="shared" si="154"/>
        <v>0</v>
      </c>
      <c r="AX262" s="475">
        <f t="shared" si="155"/>
        <v>0</v>
      </c>
      <c r="AY262" s="3266">
        <f t="shared" si="156"/>
        <v>0</v>
      </c>
      <c r="AZ262" s="3199">
        <f t="shared" si="157"/>
        <v>0</v>
      </c>
      <c r="BA262" s="3199">
        <f t="shared" si="158"/>
        <v>0</v>
      </c>
      <c r="BB262" s="3199">
        <f t="shared" si="159"/>
        <v>0</v>
      </c>
      <c r="BC262" s="3199">
        <f t="shared" si="160"/>
        <v>0</v>
      </c>
      <c r="BD262" s="3199">
        <f t="shared" si="161"/>
        <v>0</v>
      </c>
      <c r="BE262" s="3199">
        <f t="shared" si="162"/>
        <v>0</v>
      </c>
      <c r="BF262" s="3199">
        <f t="shared" si="163"/>
        <v>0</v>
      </c>
      <c r="BG262" s="3199">
        <f t="shared" si="164"/>
        <v>0</v>
      </c>
      <c r="BH262" s="3199">
        <f t="shared" si="165"/>
        <v>0</v>
      </c>
      <c r="BI262" s="3199">
        <f t="shared" si="166"/>
        <v>0</v>
      </c>
      <c r="BJ262" s="3199">
        <f t="shared" si="167"/>
        <v>0</v>
      </c>
      <c r="BK262" s="3199">
        <f t="shared" si="168"/>
        <v>0</v>
      </c>
      <c r="BL262" s="3199">
        <f t="shared" si="169"/>
        <v>0</v>
      </c>
      <c r="BM262" s="3199">
        <f t="shared" si="170"/>
        <v>0</v>
      </c>
      <c r="BN262" s="3199">
        <f t="shared" si="171"/>
        <v>0</v>
      </c>
      <c r="BO262" s="3199">
        <f t="shared" si="172"/>
        <v>0</v>
      </c>
      <c r="BP262" s="3199">
        <f t="shared" si="173"/>
        <v>0</v>
      </c>
      <c r="BQ262" s="3199">
        <f t="shared" si="174"/>
        <v>0</v>
      </c>
      <c r="BR262" s="3199">
        <f t="shared" si="175"/>
        <v>0</v>
      </c>
      <c r="BS262" s="3199">
        <f t="shared" si="176"/>
        <v>0</v>
      </c>
      <c r="BT262" s="3271">
        <f t="shared" si="177"/>
        <v>0</v>
      </c>
    </row>
    <row r="263" spans="1:72">
      <c r="A263" s="3197"/>
      <c r="B263" s="3198"/>
      <c r="C263" s="3198"/>
      <c r="D263" s="3193"/>
      <c r="E263" s="3199">
        <f t="shared" si="149"/>
        <v>0</v>
      </c>
      <c r="F263" s="3200"/>
      <c r="G263" s="3201">
        <f t="shared" si="150"/>
        <v>0</v>
      </c>
      <c r="H263" s="3202">
        <f t="shared" si="151"/>
        <v>0</v>
      </c>
      <c r="I263" s="3218"/>
      <c r="J263" s="3218"/>
      <c r="K263" s="3218"/>
      <c r="L263" s="3218"/>
      <c r="M263" s="3218"/>
      <c r="N263" s="3218"/>
      <c r="O263" s="3218"/>
      <c r="P263" s="3218"/>
      <c r="Q263" s="3218"/>
      <c r="R263" s="3218"/>
      <c r="S263" s="3218"/>
      <c r="T263" s="3218"/>
      <c r="U263" s="3218"/>
      <c r="V263" s="3218"/>
      <c r="W263" s="3218"/>
      <c r="X263" s="3218"/>
      <c r="Y263" s="3218"/>
      <c r="Z263" s="3218"/>
      <c r="AA263" s="3218"/>
      <c r="AB263" s="3218"/>
      <c r="AC263" s="3199">
        <f t="shared" si="152"/>
        <v>0</v>
      </c>
      <c r="AD263" s="3229"/>
      <c r="AE263" s="3229"/>
      <c r="AF263" s="3229"/>
      <c r="AG263" s="3229"/>
      <c r="AH263" s="3229"/>
      <c r="AI263" s="3229"/>
      <c r="AJ263" s="3229"/>
      <c r="AK263" s="3229"/>
      <c r="AL263" s="3229"/>
      <c r="AM263" s="3229"/>
      <c r="AN263" s="3229"/>
      <c r="AO263" s="3229"/>
      <c r="AP263" s="3229"/>
      <c r="AQ263" s="3229"/>
      <c r="AR263" s="3229"/>
      <c r="AS263" s="3229"/>
      <c r="AT263" s="3249"/>
      <c r="AU263" s="3250"/>
      <c r="AV263" s="475">
        <f t="shared" si="153"/>
        <v>0</v>
      </c>
      <c r="AW263" s="475">
        <f t="shared" si="154"/>
        <v>0</v>
      </c>
      <c r="AX263" s="475">
        <f t="shared" si="155"/>
        <v>0</v>
      </c>
      <c r="AY263" s="3266">
        <f t="shared" si="156"/>
        <v>0</v>
      </c>
      <c r="AZ263" s="3199">
        <f t="shared" si="157"/>
        <v>0</v>
      </c>
      <c r="BA263" s="3199">
        <f t="shared" si="158"/>
        <v>0</v>
      </c>
      <c r="BB263" s="3199">
        <f t="shared" si="159"/>
        <v>0</v>
      </c>
      <c r="BC263" s="3199">
        <f t="shared" si="160"/>
        <v>0</v>
      </c>
      <c r="BD263" s="3199">
        <f t="shared" si="161"/>
        <v>0</v>
      </c>
      <c r="BE263" s="3199">
        <f t="shared" si="162"/>
        <v>0</v>
      </c>
      <c r="BF263" s="3199">
        <f t="shared" si="163"/>
        <v>0</v>
      </c>
      <c r="BG263" s="3199">
        <f t="shared" si="164"/>
        <v>0</v>
      </c>
      <c r="BH263" s="3199">
        <f t="shared" si="165"/>
        <v>0</v>
      </c>
      <c r="BI263" s="3199">
        <f t="shared" si="166"/>
        <v>0</v>
      </c>
      <c r="BJ263" s="3199">
        <f t="shared" si="167"/>
        <v>0</v>
      </c>
      <c r="BK263" s="3199">
        <f t="shared" si="168"/>
        <v>0</v>
      </c>
      <c r="BL263" s="3199">
        <f t="shared" si="169"/>
        <v>0</v>
      </c>
      <c r="BM263" s="3199">
        <f t="shared" si="170"/>
        <v>0</v>
      </c>
      <c r="BN263" s="3199">
        <f t="shared" si="171"/>
        <v>0</v>
      </c>
      <c r="BO263" s="3199">
        <f t="shared" si="172"/>
        <v>0</v>
      </c>
      <c r="BP263" s="3199">
        <f t="shared" si="173"/>
        <v>0</v>
      </c>
      <c r="BQ263" s="3199">
        <f t="shared" si="174"/>
        <v>0</v>
      </c>
      <c r="BR263" s="3199">
        <f t="shared" si="175"/>
        <v>0</v>
      </c>
      <c r="BS263" s="3199">
        <f t="shared" si="176"/>
        <v>0</v>
      </c>
      <c r="BT263" s="3271">
        <f t="shared" si="177"/>
        <v>0</v>
      </c>
    </row>
    <row r="264" spans="1:72">
      <c r="A264" s="3197"/>
      <c r="B264" s="3198"/>
      <c r="C264" s="3198"/>
      <c r="D264" s="3193"/>
      <c r="E264" s="3199">
        <f t="shared" si="149"/>
        <v>0</v>
      </c>
      <c r="F264" s="3200"/>
      <c r="G264" s="3201">
        <f t="shared" si="150"/>
        <v>0</v>
      </c>
      <c r="H264" s="3202">
        <f t="shared" si="151"/>
        <v>0</v>
      </c>
      <c r="I264" s="3218"/>
      <c r="J264" s="3218"/>
      <c r="K264" s="3218"/>
      <c r="L264" s="3218"/>
      <c r="M264" s="3218"/>
      <c r="N264" s="3218"/>
      <c r="O264" s="3218"/>
      <c r="P264" s="3218"/>
      <c r="Q264" s="3218"/>
      <c r="R264" s="3218"/>
      <c r="S264" s="3218"/>
      <c r="T264" s="3218"/>
      <c r="U264" s="3218"/>
      <c r="V264" s="3218"/>
      <c r="W264" s="3218"/>
      <c r="X264" s="3218"/>
      <c r="Y264" s="3218"/>
      <c r="Z264" s="3218"/>
      <c r="AA264" s="3218"/>
      <c r="AB264" s="3218"/>
      <c r="AC264" s="3199">
        <f t="shared" si="152"/>
        <v>0</v>
      </c>
      <c r="AD264" s="3229"/>
      <c r="AE264" s="3229"/>
      <c r="AF264" s="3229"/>
      <c r="AG264" s="3229"/>
      <c r="AH264" s="3229"/>
      <c r="AI264" s="3229"/>
      <c r="AJ264" s="3229"/>
      <c r="AK264" s="3229"/>
      <c r="AL264" s="3229"/>
      <c r="AM264" s="3229"/>
      <c r="AN264" s="3229"/>
      <c r="AO264" s="3229"/>
      <c r="AP264" s="3229"/>
      <c r="AQ264" s="3229"/>
      <c r="AR264" s="3229"/>
      <c r="AS264" s="3229"/>
      <c r="AT264" s="3249"/>
      <c r="AU264" s="3250"/>
      <c r="AV264" s="475">
        <f t="shared" si="153"/>
        <v>0</v>
      </c>
      <c r="AW264" s="475">
        <f t="shared" si="154"/>
        <v>0</v>
      </c>
      <c r="AX264" s="475">
        <f t="shared" si="155"/>
        <v>0</v>
      </c>
      <c r="AY264" s="3266">
        <f t="shared" si="156"/>
        <v>0</v>
      </c>
      <c r="AZ264" s="3199">
        <f t="shared" si="157"/>
        <v>0</v>
      </c>
      <c r="BA264" s="3199">
        <f t="shared" si="158"/>
        <v>0</v>
      </c>
      <c r="BB264" s="3199">
        <f t="shared" si="159"/>
        <v>0</v>
      </c>
      <c r="BC264" s="3199">
        <f t="shared" si="160"/>
        <v>0</v>
      </c>
      <c r="BD264" s="3199">
        <f t="shared" si="161"/>
        <v>0</v>
      </c>
      <c r="BE264" s="3199">
        <f t="shared" si="162"/>
        <v>0</v>
      </c>
      <c r="BF264" s="3199">
        <f t="shared" si="163"/>
        <v>0</v>
      </c>
      <c r="BG264" s="3199">
        <f t="shared" si="164"/>
        <v>0</v>
      </c>
      <c r="BH264" s="3199">
        <f t="shared" si="165"/>
        <v>0</v>
      </c>
      <c r="BI264" s="3199">
        <f t="shared" si="166"/>
        <v>0</v>
      </c>
      <c r="BJ264" s="3199">
        <f t="shared" si="167"/>
        <v>0</v>
      </c>
      <c r="BK264" s="3199">
        <f t="shared" si="168"/>
        <v>0</v>
      </c>
      <c r="BL264" s="3199">
        <f t="shared" si="169"/>
        <v>0</v>
      </c>
      <c r="BM264" s="3199">
        <f t="shared" si="170"/>
        <v>0</v>
      </c>
      <c r="BN264" s="3199">
        <f t="shared" si="171"/>
        <v>0</v>
      </c>
      <c r="BO264" s="3199">
        <f t="shared" si="172"/>
        <v>0</v>
      </c>
      <c r="BP264" s="3199">
        <f t="shared" si="173"/>
        <v>0</v>
      </c>
      <c r="BQ264" s="3199">
        <f t="shared" si="174"/>
        <v>0</v>
      </c>
      <c r="BR264" s="3199">
        <f t="shared" si="175"/>
        <v>0</v>
      </c>
      <c r="BS264" s="3199">
        <f t="shared" si="176"/>
        <v>0</v>
      </c>
      <c r="BT264" s="3271">
        <f t="shared" si="177"/>
        <v>0</v>
      </c>
    </row>
    <row r="265" spans="1:72">
      <c r="A265" s="3197"/>
      <c r="B265" s="3198"/>
      <c r="C265" s="3198"/>
      <c r="D265" s="3193"/>
      <c r="E265" s="3199">
        <f t="shared" si="149"/>
        <v>0</v>
      </c>
      <c r="F265" s="3200"/>
      <c r="G265" s="3201">
        <f t="shared" si="150"/>
        <v>0</v>
      </c>
      <c r="H265" s="3202">
        <f t="shared" si="151"/>
        <v>0</v>
      </c>
      <c r="I265" s="3218"/>
      <c r="J265" s="3218"/>
      <c r="K265" s="3218"/>
      <c r="L265" s="3218"/>
      <c r="M265" s="3218"/>
      <c r="N265" s="3218"/>
      <c r="O265" s="3218"/>
      <c r="P265" s="3218"/>
      <c r="Q265" s="3218"/>
      <c r="R265" s="3218"/>
      <c r="S265" s="3218"/>
      <c r="T265" s="3218"/>
      <c r="U265" s="3218"/>
      <c r="V265" s="3218"/>
      <c r="W265" s="3218"/>
      <c r="X265" s="3218"/>
      <c r="Y265" s="3218"/>
      <c r="Z265" s="3218"/>
      <c r="AA265" s="3218"/>
      <c r="AB265" s="3218"/>
      <c r="AC265" s="3199">
        <f t="shared" si="152"/>
        <v>0</v>
      </c>
      <c r="AD265" s="3229"/>
      <c r="AE265" s="3229"/>
      <c r="AF265" s="3229"/>
      <c r="AG265" s="3229"/>
      <c r="AH265" s="3229"/>
      <c r="AI265" s="3229"/>
      <c r="AJ265" s="3229"/>
      <c r="AK265" s="3229"/>
      <c r="AL265" s="3229"/>
      <c r="AM265" s="3229"/>
      <c r="AN265" s="3229"/>
      <c r="AO265" s="3229"/>
      <c r="AP265" s="3229"/>
      <c r="AQ265" s="3229"/>
      <c r="AR265" s="3229"/>
      <c r="AS265" s="3229"/>
      <c r="AT265" s="3249"/>
      <c r="AU265" s="3250"/>
      <c r="AV265" s="475">
        <f t="shared" si="153"/>
        <v>0</v>
      </c>
      <c r="AW265" s="475">
        <f t="shared" si="154"/>
        <v>0</v>
      </c>
      <c r="AX265" s="475">
        <f t="shared" si="155"/>
        <v>0</v>
      </c>
      <c r="AY265" s="3266">
        <f t="shared" si="156"/>
        <v>0</v>
      </c>
      <c r="AZ265" s="3199">
        <f t="shared" si="157"/>
        <v>0</v>
      </c>
      <c r="BA265" s="3199">
        <f t="shared" si="158"/>
        <v>0</v>
      </c>
      <c r="BB265" s="3199">
        <f t="shared" si="159"/>
        <v>0</v>
      </c>
      <c r="BC265" s="3199">
        <f t="shared" si="160"/>
        <v>0</v>
      </c>
      <c r="BD265" s="3199">
        <f t="shared" si="161"/>
        <v>0</v>
      </c>
      <c r="BE265" s="3199">
        <f t="shared" si="162"/>
        <v>0</v>
      </c>
      <c r="BF265" s="3199">
        <f t="shared" si="163"/>
        <v>0</v>
      </c>
      <c r="BG265" s="3199">
        <f t="shared" si="164"/>
        <v>0</v>
      </c>
      <c r="BH265" s="3199">
        <f t="shared" si="165"/>
        <v>0</v>
      </c>
      <c r="BI265" s="3199">
        <f t="shared" si="166"/>
        <v>0</v>
      </c>
      <c r="BJ265" s="3199">
        <f t="shared" si="167"/>
        <v>0</v>
      </c>
      <c r="BK265" s="3199">
        <f t="shared" si="168"/>
        <v>0</v>
      </c>
      <c r="BL265" s="3199">
        <f t="shared" si="169"/>
        <v>0</v>
      </c>
      <c r="BM265" s="3199">
        <f t="shared" si="170"/>
        <v>0</v>
      </c>
      <c r="BN265" s="3199">
        <f t="shared" si="171"/>
        <v>0</v>
      </c>
      <c r="BO265" s="3199">
        <f t="shared" si="172"/>
        <v>0</v>
      </c>
      <c r="BP265" s="3199">
        <f t="shared" si="173"/>
        <v>0</v>
      </c>
      <c r="BQ265" s="3199">
        <f t="shared" si="174"/>
        <v>0</v>
      </c>
      <c r="BR265" s="3199">
        <f t="shared" si="175"/>
        <v>0</v>
      </c>
      <c r="BS265" s="3199">
        <f t="shared" si="176"/>
        <v>0</v>
      </c>
      <c r="BT265" s="3271">
        <f t="shared" si="177"/>
        <v>0</v>
      </c>
    </row>
    <row r="266" spans="1:72">
      <c r="A266" s="3197"/>
      <c r="B266" s="3198"/>
      <c r="C266" s="3198"/>
      <c r="D266" s="3193"/>
      <c r="E266" s="3199">
        <f t="shared" si="149"/>
        <v>0</v>
      </c>
      <c r="F266" s="3200"/>
      <c r="G266" s="3201">
        <f t="shared" si="150"/>
        <v>0</v>
      </c>
      <c r="H266" s="3202">
        <f t="shared" si="151"/>
        <v>0</v>
      </c>
      <c r="I266" s="3218"/>
      <c r="J266" s="3218"/>
      <c r="K266" s="3218"/>
      <c r="L266" s="3218"/>
      <c r="M266" s="3218"/>
      <c r="N266" s="3218"/>
      <c r="O266" s="3218"/>
      <c r="P266" s="3218"/>
      <c r="Q266" s="3218"/>
      <c r="R266" s="3218"/>
      <c r="S266" s="3218"/>
      <c r="T266" s="3218"/>
      <c r="U266" s="3218"/>
      <c r="V266" s="3218"/>
      <c r="W266" s="3218"/>
      <c r="X266" s="3218"/>
      <c r="Y266" s="3218"/>
      <c r="Z266" s="3218"/>
      <c r="AA266" s="3218"/>
      <c r="AB266" s="3218"/>
      <c r="AC266" s="3199">
        <f t="shared" si="152"/>
        <v>0</v>
      </c>
      <c r="AD266" s="3229"/>
      <c r="AE266" s="3229"/>
      <c r="AF266" s="3229"/>
      <c r="AG266" s="3229"/>
      <c r="AH266" s="3229"/>
      <c r="AI266" s="3229"/>
      <c r="AJ266" s="3229"/>
      <c r="AK266" s="3229"/>
      <c r="AL266" s="3229"/>
      <c r="AM266" s="3229"/>
      <c r="AN266" s="3229"/>
      <c r="AO266" s="3229"/>
      <c r="AP266" s="3229"/>
      <c r="AQ266" s="3229"/>
      <c r="AR266" s="3229"/>
      <c r="AS266" s="3229"/>
      <c r="AT266" s="3249"/>
      <c r="AU266" s="3250"/>
      <c r="AV266" s="475">
        <f t="shared" si="153"/>
        <v>0</v>
      </c>
      <c r="AW266" s="475">
        <f t="shared" si="154"/>
        <v>0</v>
      </c>
      <c r="AX266" s="475">
        <f t="shared" si="155"/>
        <v>0</v>
      </c>
      <c r="AY266" s="3266">
        <f t="shared" si="156"/>
        <v>0</v>
      </c>
      <c r="AZ266" s="3199">
        <f t="shared" si="157"/>
        <v>0</v>
      </c>
      <c r="BA266" s="3199">
        <f t="shared" si="158"/>
        <v>0</v>
      </c>
      <c r="BB266" s="3199">
        <f t="shared" si="159"/>
        <v>0</v>
      </c>
      <c r="BC266" s="3199">
        <f t="shared" si="160"/>
        <v>0</v>
      </c>
      <c r="BD266" s="3199">
        <f t="shared" si="161"/>
        <v>0</v>
      </c>
      <c r="BE266" s="3199">
        <f t="shared" si="162"/>
        <v>0</v>
      </c>
      <c r="BF266" s="3199">
        <f t="shared" si="163"/>
        <v>0</v>
      </c>
      <c r="BG266" s="3199">
        <f t="shared" si="164"/>
        <v>0</v>
      </c>
      <c r="BH266" s="3199">
        <f t="shared" si="165"/>
        <v>0</v>
      </c>
      <c r="BI266" s="3199">
        <f t="shared" si="166"/>
        <v>0</v>
      </c>
      <c r="BJ266" s="3199">
        <f t="shared" si="167"/>
        <v>0</v>
      </c>
      <c r="BK266" s="3199">
        <f t="shared" si="168"/>
        <v>0</v>
      </c>
      <c r="BL266" s="3199">
        <f t="shared" si="169"/>
        <v>0</v>
      </c>
      <c r="BM266" s="3199">
        <f t="shared" si="170"/>
        <v>0</v>
      </c>
      <c r="BN266" s="3199">
        <f t="shared" si="171"/>
        <v>0</v>
      </c>
      <c r="BO266" s="3199">
        <f t="shared" si="172"/>
        <v>0</v>
      </c>
      <c r="BP266" s="3199">
        <f t="shared" si="173"/>
        <v>0</v>
      </c>
      <c r="BQ266" s="3199">
        <f t="shared" si="174"/>
        <v>0</v>
      </c>
      <c r="BR266" s="3199">
        <f t="shared" si="175"/>
        <v>0</v>
      </c>
      <c r="BS266" s="3199">
        <f t="shared" si="176"/>
        <v>0</v>
      </c>
      <c r="BT266" s="3271">
        <f t="shared" si="177"/>
        <v>0</v>
      </c>
    </row>
    <row r="267" spans="1:72">
      <c r="A267" s="3197"/>
      <c r="B267" s="3198"/>
      <c r="C267" s="3198"/>
      <c r="D267" s="3193"/>
      <c r="E267" s="3199">
        <f t="shared" si="149"/>
        <v>0</v>
      </c>
      <c r="F267" s="3200"/>
      <c r="G267" s="3201">
        <f t="shared" si="150"/>
        <v>0</v>
      </c>
      <c r="H267" s="3202">
        <f t="shared" si="151"/>
        <v>0</v>
      </c>
      <c r="I267" s="3218"/>
      <c r="J267" s="3218"/>
      <c r="K267" s="3218"/>
      <c r="L267" s="3218"/>
      <c r="M267" s="3218"/>
      <c r="N267" s="3218"/>
      <c r="O267" s="3218"/>
      <c r="P267" s="3218"/>
      <c r="Q267" s="3218"/>
      <c r="R267" s="3218"/>
      <c r="S267" s="3218"/>
      <c r="T267" s="3218"/>
      <c r="U267" s="3218"/>
      <c r="V267" s="3218"/>
      <c r="W267" s="3218"/>
      <c r="X267" s="3218"/>
      <c r="Y267" s="3218"/>
      <c r="Z267" s="3218"/>
      <c r="AA267" s="3218"/>
      <c r="AB267" s="3218"/>
      <c r="AC267" s="3199">
        <f t="shared" si="152"/>
        <v>0</v>
      </c>
      <c r="AD267" s="3229"/>
      <c r="AE267" s="3229"/>
      <c r="AF267" s="3229"/>
      <c r="AG267" s="3229"/>
      <c r="AH267" s="3229"/>
      <c r="AI267" s="3229"/>
      <c r="AJ267" s="3229"/>
      <c r="AK267" s="3229"/>
      <c r="AL267" s="3229"/>
      <c r="AM267" s="3229"/>
      <c r="AN267" s="3229"/>
      <c r="AO267" s="3229"/>
      <c r="AP267" s="3229"/>
      <c r="AQ267" s="3229"/>
      <c r="AR267" s="3229"/>
      <c r="AS267" s="3229"/>
      <c r="AT267" s="3249"/>
      <c r="AU267" s="3250"/>
      <c r="AV267" s="475">
        <f t="shared" si="153"/>
        <v>0</v>
      </c>
      <c r="AW267" s="475">
        <f t="shared" si="154"/>
        <v>0</v>
      </c>
      <c r="AX267" s="475">
        <f t="shared" si="155"/>
        <v>0</v>
      </c>
      <c r="AY267" s="3266">
        <f t="shared" si="156"/>
        <v>0</v>
      </c>
      <c r="AZ267" s="3199">
        <f t="shared" si="157"/>
        <v>0</v>
      </c>
      <c r="BA267" s="3199">
        <f t="shared" si="158"/>
        <v>0</v>
      </c>
      <c r="BB267" s="3199">
        <f t="shared" si="159"/>
        <v>0</v>
      </c>
      <c r="BC267" s="3199">
        <f t="shared" si="160"/>
        <v>0</v>
      </c>
      <c r="BD267" s="3199">
        <f t="shared" si="161"/>
        <v>0</v>
      </c>
      <c r="BE267" s="3199">
        <f t="shared" si="162"/>
        <v>0</v>
      </c>
      <c r="BF267" s="3199">
        <f t="shared" si="163"/>
        <v>0</v>
      </c>
      <c r="BG267" s="3199">
        <f t="shared" si="164"/>
        <v>0</v>
      </c>
      <c r="BH267" s="3199">
        <f t="shared" si="165"/>
        <v>0</v>
      </c>
      <c r="BI267" s="3199">
        <f t="shared" si="166"/>
        <v>0</v>
      </c>
      <c r="BJ267" s="3199">
        <f t="shared" si="167"/>
        <v>0</v>
      </c>
      <c r="BK267" s="3199">
        <f t="shared" si="168"/>
        <v>0</v>
      </c>
      <c r="BL267" s="3199">
        <f t="shared" si="169"/>
        <v>0</v>
      </c>
      <c r="BM267" s="3199">
        <f t="shared" si="170"/>
        <v>0</v>
      </c>
      <c r="BN267" s="3199">
        <f t="shared" si="171"/>
        <v>0</v>
      </c>
      <c r="BO267" s="3199">
        <f t="shared" si="172"/>
        <v>0</v>
      </c>
      <c r="BP267" s="3199">
        <f t="shared" si="173"/>
        <v>0</v>
      </c>
      <c r="BQ267" s="3199">
        <f t="shared" si="174"/>
        <v>0</v>
      </c>
      <c r="BR267" s="3199">
        <f t="shared" si="175"/>
        <v>0</v>
      </c>
      <c r="BS267" s="3199">
        <f t="shared" si="176"/>
        <v>0</v>
      </c>
      <c r="BT267" s="3271">
        <f t="shared" si="177"/>
        <v>0</v>
      </c>
    </row>
    <row r="268" spans="1:72">
      <c r="A268" s="3197"/>
      <c r="B268" s="3198"/>
      <c r="C268" s="3198"/>
      <c r="D268" s="3193"/>
      <c r="E268" s="3199">
        <f t="shared" si="149"/>
        <v>0</v>
      </c>
      <c r="F268" s="3200"/>
      <c r="G268" s="3201">
        <f t="shared" si="150"/>
        <v>0</v>
      </c>
      <c r="H268" s="3202">
        <f t="shared" si="151"/>
        <v>0</v>
      </c>
      <c r="I268" s="3218"/>
      <c r="J268" s="3218"/>
      <c r="K268" s="3218"/>
      <c r="L268" s="3218"/>
      <c r="M268" s="3218"/>
      <c r="N268" s="3218"/>
      <c r="O268" s="3218"/>
      <c r="P268" s="3218"/>
      <c r="Q268" s="3218"/>
      <c r="R268" s="3218"/>
      <c r="S268" s="3218"/>
      <c r="T268" s="3218"/>
      <c r="U268" s="3218"/>
      <c r="V268" s="3218"/>
      <c r="W268" s="3218"/>
      <c r="X268" s="3218"/>
      <c r="Y268" s="3218"/>
      <c r="Z268" s="3218"/>
      <c r="AA268" s="3218"/>
      <c r="AB268" s="3218"/>
      <c r="AC268" s="3199">
        <f t="shared" si="152"/>
        <v>0</v>
      </c>
      <c r="AD268" s="3229"/>
      <c r="AE268" s="3229"/>
      <c r="AF268" s="3229"/>
      <c r="AG268" s="3229"/>
      <c r="AH268" s="3229"/>
      <c r="AI268" s="3229"/>
      <c r="AJ268" s="3229"/>
      <c r="AK268" s="3229"/>
      <c r="AL268" s="3229"/>
      <c r="AM268" s="3229"/>
      <c r="AN268" s="3229"/>
      <c r="AO268" s="3229"/>
      <c r="AP268" s="3229"/>
      <c r="AQ268" s="3229"/>
      <c r="AR268" s="3229"/>
      <c r="AS268" s="3229"/>
      <c r="AT268" s="3249"/>
      <c r="AU268" s="3250"/>
      <c r="AV268" s="475">
        <f t="shared" si="153"/>
        <v>0</v>
      </c>
      <c r="AW268" s="475">
        <f t="shared" si="154"/>
        <v>0</v>
      </c>
      <c r="AX268" s="475">
        <f t="shared" si="155"/>
        <v>0</v>
      </c>
      <c r="AY268" s="3266">
        <f t="shared" si="156"/>
        <v>0</v>
      </c>
      <c r="AZ268" s="3199">
        <f t="shared" si="157"/>
        <v>0</v>
      </c>
      <c r="BA268" s="3199">
        <f t="shared" si="158"/>
        <v>0</v>
      </c>
      <c r="BB268" s="3199">
        <f t="shared" si="159"/>
        <v>0</v>
      </c>
      <c r="BC268" s="3199">
        <f t="shared" si="160"/>
        <v>0</v>
      </c>
      <c r="BD268" s="3199">
        <f t="shared" si="161"/>
        <v>0</v>
      </c>
      <c r="BE268" s="3199">
        <f t="shared" si="162"/>
        <v>0</v>
      </c>
      <c r="BF268" s="3199">
        <f t="shared" si="163"/>
        <v>0</v>
      </c>
      <c r="BG268" s="3199">
        <f t="shared" si="164"/>
        <v>0</v>
      </c>
      <c r="BH268" s="3199">
        <f t="shared" si="165"/>
        <v>0</v>
      </c>
      <c r="BI268" s="3199">
        <f t="shared" si="166"/>
        <v>0</v>
      </c>
      <c r="BJ268" s="3199">
        <f t="shared" si="167"/>
        <v>0</v>
      </c>
      <c r="BK268" s="3199">
        <f t="shared" si="168"/>
        <v>0</v>
      </c>
      <c r="BL268" s="3199">
        <f t="shared" si="169"/>
        <v>0</v>
      </c>
      <c r="BM268" s="3199">
        <f t="shared" si="170"/>
        <v>0</v>
      </c>
      <c r="BN268" s="3199">
        <f t="shared" si="171"/>
        <v>0</v>
      </c>
      <c r="BO268" s="3199">
        <f t="shared" si="172"/>
        <v>0</v>
      </c>
      <c r="BP268" s="3199">
        <f t="shared" si="173"/>
        <v>0</v>
      </c>
      <c r="BQ268" s="3199">
        <f t="shared" si="174"/>
        <v>0</v>
      </c>
      <c r="BR268" s="3199">
        <f t="shared" si="175"/>
        <v>0</v>
      </c>
      <c r="BS268" s="3199">
        <f t="shared" si="176"/>
        <v>0</v>
      </c>
      <c r="BT268" s="3271">
        <f t="shared" si="177"/>
        <v>0</v>
      </c>
    </row>
    <row r="269" spans="1:72">
      <c r="A269" s="3197"/>
      <c r="B269" s="3198"/>
      <c r="C269" s="3198"/>
      <c r="D269" s="3193"/>
      <c r="E269" s="3199">
        <f t="shared" si="149"/>
        <v>0</v>
      </c>
      <c r="F269" s="3200"/>
      <c r="G269" s="3201">
        <f t="shared" si="150"/>
        <v>0</v>
      </c>
      <c r="H269" s="3202">
        <f t="shared" si="151"/>
        <v>0</v>
      </c>
      <c r="I269" s="3218"/>
      <c r="J269" s="3218"/>
      <c r="K269" s="3218"/>
      <c r="L269" s="3218"/>
      <c r="M269" s="3218"/>
      <c r="N269" s="3218"/>
      <c r="O269" s="3218"/>
      <c r="P269" s="3218"/>
      <c r="Q269" s="3218"/>
      <c r="R269" s="3218"/>
      <c r="S269" s="3218"/>
      <c r="T269" s="3218"/>
      <c r="U269" s="3218"/>
      <c r="V269" s="3218"/>
      <c r="W269" s="3218"/>
      <c r="X269" s="3218"/>
      <c r="Y269" s="3218"/>
      <c r="Z269" s="3218"/>
      <c r="AA269" s="3218"/>
      <c r="AB269" s="3218"/>
      <c r="AC269" s="3199">
        <f t="shared" si="152"/>
        <v>0</v>
      </c>
      <c r="AD269" s="3229"/>
      <c r="AE269" s="3229"/>
      <c r="AF269" s="3229"/>
      <c r="AG269" s="3229"/>
      <c r="AH269" s="3229"/>
      <c r="AI269" s="3229"/>
      <c r="AJ269" s="3229"/>
      <c r="AK269" s="3229"/>
      <c r="AL269" s="3229"/>
      <c r="AM269" s="3229"/>
      <c r="AN269" s="3229"/>
      <c r="AO269" s="3229"/>
      <c r="AP269" s="3229"/>
      <c r="AQ269" s="3229"/>
      <c r="AR269" s="3229"/>
      <c r="AS269" s="3229"/>
      <c r="AT269" s="3249"/>
      <c r="AU269" s="3250"/>
      <c r="AV269" s="475">
        <f t="shared" si="153"/>
        <v>0</v>
      </c>
      <c r="AW269" s="475">
        <f t="shared" si="154"/>
        <v>0</v>
      </c>
      <c r="AX269" s="475">
        <f t="shared" si="155"/>
        <v>0</v>
      </c>
      <c r="AY269" s="3266">
        <f t="shared" si="156"/>
        <v>0</v>
      </c>
      <c r="AZ269" s="3199">
        <f t="shared" si="157"/>
        <v>0</v>
      </c>
      <c r="BA269" s="3199">
        <f t="shared" si="158"/>
        <v>0</v>
      </c>
      <c r="BB269" s="3199">
        <f t="shared" si="159"/>
        <v>0</v>
      </c>
      <c r="BC269" s="3199">
        <f t="shared" si="160"/>
        <v>0</v>
      </c>
      <c r="BD269" s="3199">
        <f t="shared" si="161"/>
        <v>0</v>
      </c>
      <c r="BE269" s="3199">
        <f t="shared" si="162"/>
        <v>0</v>
      </c>
      <c r="BF269" s="3199">
        <f t="shared" si="163"/>
        <v>0</v>
      </c>
      <c r="BG269" s="3199">
        <f t="shared" si="164"/>
        <v>0</v>
      </c>
      <c r="BH269" s="3199">
        <f t="shared" si="165"/>
        <v>0</v>
      </c>
      <c r="BI269" s="3199">
        <f t="shared" si="166"/>
        <v>0</v>
      </c>
      <c r="BJ269" s="3199">
        <f t="shared" si="167"/>
        <v>0</v>
      </c>
      <c r="BK269" s="3199">
        <f t="shared" si="168"/>
        <v>0</v>
      </c>
      <c r="BL269" s="3199">
        <f t="shared" si="169"/>
        <v>0</v>
      </c>
      <c r="BM269" s="3199">
        <f t="shared" si="170"/>
        <v>0</v>
      </c>
      <c r="BN269" s="3199">
        <f t="shared" si="171"/>
        <v>0</v>
      </c>
      <c r="BO269" s="3199">
        <f t="shared" si="172"/>
        <v>0</v>
      </c>
      <c r="BP269" s="3199">
        <f t="shared" si="173"/>
        <v>0</v>
      </c>
      <c r="BQ269" s="3199">
        <f t="shared" si="174"/>
        <v>0</v>
      </c>
      <c r="BR269" s="3199">
        <f t="shared" si="175"/>
        <v>0</v>
      </c>
      <c r="BS269" s="3199">
        <f t="shared" si="176"/>
        <v>0</v>
      </c>
      <c r="BT269" s="3271">
        <f t="shared" si="177"/>
        <v>0</v>
      </c>
    </row>
    <row r="270" spans="1:72">
      <c r="A270" s="3197"/>
      <c r="B270" s="3198"/>
      <c r="C270" s="3198"/>
      <c r="D270" s="3193"/>
      <c r="E270" s="3199">
        <f t="shared" si="149"/>
        <v>0</v>
      </c>
      <c r="F270" s="3200"/>
      <c r="G270" s="3201">
        <f t="shared" si="150"/>
        <v>0</v>
      </c>
      <c r="H270" s="3202">
        <f t="shared" si="151"/>
        <v>0</v>
      </c>
      <c r="I270" s="3218"/>
      <c r="J270" s="3218"/>
      <c r="K270" s="3218"/>
      <c r="L270" s="3218"/>
      <c r="M270" s="3218"/>
      <c r="N270" s="3218"/>
      <c r="O270" s="3218"/>
      <c r="P270" s="3218"/>
      <c r="Q270" s="3218"/>
      <c r="R270" s="3218"/>
      <c r="S270" s="3218"/>
      <c r="T270" s="3218"/>
      <c r="U270" s="3218"/>
      <c r="V270" s="3218"/>
      <c r="W270" s="3218"/>
      <c r="X270" s="3218"/>
      <c r="Y270" s="3218"/>
      <c r="Z270" s="3218"/>
      <c r="AA270" s="3218"/>
      <c r="AB270" s="3218"/>
      <c r="AC270" s="3199">
        <f t="shared" si="152"/>
        <v>0</v>
      </c>
      <c r="AD270" s="3229"/>
      <c r="AE270" s="3229"/>
      <c r="AF270" s="3229"/>
      <c r="AG270" s="3229"/>
      <c r="AH270" s="3229"/>
      <c r="AI270" s="3229"/>
      <c r="AJ270" s="3229"/>
      <c r="AK270" s="3229"/>
      <c r="AL270" s="3229"/>
      <c r="AM270" s="3229"/>
      <c r="AN270" s="3229"/>
      <c r="AO270" s="3229"/>
      <c r="AP270" s="3229"/>
      <c r="AQ270" s="3229"/>
      <c r="AR270" s="3229"/>
      <c r="AS270" s="3229"/>
      <c r="AT270" s="3249"/>
      <c r="AU270" s="3250"/>
      <c r="AV270" s="475">
        <f t="shared" si="153"/>
        <v>0</v>
      </c>
      <c r="AW270" s="475">
        <f t="shared" si="154"/>
        <v>0</v>
      </c>
      <c r="AX270" s="475">
        <f t="shared" si="155"/>
        <v>0</v>
      </c>
      <c r="AY270" s="3266">
        <f t="shared" si="156"/>
        <v>0</v>
      </c>
      <c r="AZ270" s="3199">
        <f t="shared" si="157"/>
        <v>0</v>
      </c>
      <c r="BA270" s="3199">
        <f t="shared" si="158"/>
        <v>0</v>
      </c>
      <c r="BB270" s="3199">
        <f t="shared" si="159"/>
        <v>0</v>
      </c>
      <c r="BC270" s="3199">
        <f t="shared" si="160"/>
        <v>0</v>
      </c>
      <c r="BD270" s="3199">
        <f t="shared" si="161"/>
        <v>0</v>
      </c>
      <c r="BE270" s="3199">
        <f t="shared" si="162"/>
        <v>0</v>
      </c>
      <c r="BF270" s="3199">
        <f t="shared" si="163"/>
        <v>0</v>
      </c>
      <c r="BG270" s="3199">
        <f t="shared" si="164"/>
        <v>0</v>
      </c>
      <c r="BH270" s="3199">
        <f t="shared" si="165"/>
        <v>0</v>
      </c>
      <c r="BI270" s="3199">
        <f t="shared" si="166"/>
        <v>0</v>
      </c>
      <c r="BJ270" s="3199">
        <f t="shared" si="167"/>
        <v>0</v>
      </c>
      <c r="BK270" s="3199">
        <f t="shared" si="168"/>
        <v>0</v>
      </c>
      <c r="BL270" s="3199">
        <f t="shared" si="169"/>
        <v>0</v>
      </c>
      <c r="BM270" s="3199">
        <f t="shared" si="170"/>
        <v>0</v>
      </c>
      <c r="BN270" s="3199">
        <f t="shared" si="171"/>
        <v>0</v>
      </c>
      <c r="BO270" s="3199">
        <f t="shared" si="172"/>
        <v>0</v>
      </c>
      <c r="BP270" s="3199">
        <f t="shared" si="173"/>
        <v>0</v>
      </c>
      <c r="BQ270" s="3199">
        <f t="shared" si="174"/>
        <v>0</v>
      </c>
      <c r="BR270" s="3199">
        <f t="shared" si="175"/>
        <v>0</v>
      </c>
      <c r="BS270" s="3199">
        <f t="shared" si="176"/>
        <v>0</v>
      </c>
      <c r="BT270" s="3271">
        <f t="shared" si="177"/>
        <v>0</v>
      </c>
    </row>
    <row r="271" spans="1:72">
      <c r="A271" s="3197"/>
      <c r="B271" s="3198"/>
      <c r="C271" s="3198"/>
      <c r="D271" s="3193"/>
      <c r="E271" s="3199">
        <f t="shared" si="149"/>
        <v>0</v>
      </c>
      <c r="F271" s="3200"/>
      <c r="G271" s="3201">
        <f t="shared" si="150"/>
        <v>0</v>
      </c>
      <c r="H271" s="3202">
        <f t="shared" si="151"/>
        <v>0</v>
      </c>
      <c r="I271" s="3218"/>
      <c r="J271" s="3218"/>
      <c r="K271" s="3218"/>
      <c r="L271" s="3218"/>
      <c r="M271" s="3218"/>
      <c r="N271" s="3218"/>
      <c r="O271" s="3218"/>
      <c r="P271" s="3218"/>
      <c r="Q271" s="3218"/>
      <c r="R271" s="3218"/>
      <c r="S271" s="3218"/>
      <c r="T271" s="3218"/>
      <c r="U271" s="3218"/>
      <c r="V271" s="3218"/>
      <c r="W271" s="3218"/>
      <c r="X271" s="3218"/>
      <c r="Y271" s="3218"/>
      <c r="Z271" s="3218"/>
      <c r="AA271" s="3218"/>
      <c r="AB271" s="3218"/>
      <c r="AC271" s="3199">
        <f t="shared" si="152"/>
        <v>0</v>
      </c>
      <c r="AD271" s="3229"/>
      <c r="AE271" s="3229"/>
      <c r="AF271" s="3229"/>
      <c r="AG271" s="3229"/>
      <c r="AH271" s="3229"/>
      <c r="AI271" s="3229"/>
      <c r="AJ271" s="3229"/>
      <c r="AK271" s="3229"/>
      <c r="AL271" s="3229"/>
      <c r="AM271" s="3229"/>
      <c r="AN271" s="3229"/>
      <c r="AO271" s="3229"/>
      <c r="AP271" s="3229"/>
      <c r="AQ271" s="3229"/>
      <c r="AR271" s="3229"/>
      <c r="AS271" s="3229"/>
      <c r="AT271" s="3249"/>
      <c r="AU271" s="3250"/>
      <c r="AV271" s="475">
        <f t="shared" si="153"/>
        <v>0</v>
      </c>
      <c r="AW271" s="475">
        <f t="shared" si="154"/>
        <v>0</v>
      </c>
      <c r="AX271" s="475">
        <f t="shared" si="155"/>
        <v>0</v>
      </c>
      <c r="AY271" s="3266">
        <f t="shared" si="156"/>
        <v>0</v>
      </c>
      <c r="AZ271" s="3199">
        <f t="shared" si="157"/>
        <v>0</v>
      </c>
      <c r="BA271" s="3199">
        <f t="shared" si="158"/>
        <v>0</v>
      </c>
      <c r="BB271" s="3199">
        <f t="shared" si="159"/>
        <v>0</v>
      </c>
      <c r="BC271" s="3199">
        <f t="shared" si="160"/>
        <v>0</v>
      </c>
      <c r="BD271" s="3199">
        <f t="shared" si="161"/>
        <v>0</v>
      </c>
      <c r="BE271" s="3199">
        <f t="shared" si="162"/>
        <v>0</v>
      </c>
      <c r="BF271" s="3199">
        <f t="shared" si="163"/>
        <v>0</v>
      </c>
      <c r="BG271" s="3199">
        <f t="shared" si="164"/>
        <v>0</v>
      </c>
      <c r="BH271" s="3199">
        <f t="shared" si="165"/>
        <v>0</v>
      </c>
      <c r="BI271" s="3199">
        <f t="shared" si="166"/>
        <v>0</v>
      </c>
      <c r="BJ271" s="3199">
        <f t="shared" si="167"/>
        <v>0</v>
      </c>
      <c r="BK271" s="3199">
        <f t="shared" si="168"/>
        <v>0</v>
      </c>
      <c r="BL271" s="3199">
        <f t="shared" si="169"/>
        <v>0</v>
      </c>
      <c r="BM271" s="3199">
        <f t="shared" si="170"/>
        <v>0</v>
      </c>
      <c r="BN271" s="3199">
        <f t="shared" si="171"/>
        <v>0</v>
      </c>
      <c r="BO271" s="3199">
        <f t="shared" si="172"/>
        <v>0</v>
      </c>
      <c r="BP271" s="3199">
        <f t="shared" si="173"/>
        <v>0</v>
      </c>
      <c r="BQ271" s="3199">
        <f t="shared" si="174"/>
        <v>0</v>
      </c>
      <c r="BR271" s="3199">
        <f t="shared" si="175"/>
        <v>0</v>
      </c>
      <c r="BS271" s="3199">
        <f t="shared" si="176"/>
        <v>0</v>
      </c>
      <c r="BT271" s="3271">
        <f t="shared" si="177"/>
        <v>0</v>
      </c>
    </row>
    <row r="272" spans="1:72">
      <c r="A272" s="3197"/>
      <c r="B272" s="3198"/>
      <c r="C272" s="3198"/>
      <c r="D272" s="3193"/>
      <c r="E272" s="3199">
        <f t="shared" si="149"/>
        <v>0</v>
      </c>
      <c r="F272" s="3200"/>
      <c r="G272" s="3201">
        <f t="shared" si="150"/>
        <v>0</v>
      </c>
      <c r="H272" s="3202">
        <f t="shared" si="151"/>
        <v>0</v>
      </c>
      <c r="I272" s="3218"/>
      <c r="J272" s="3218"/>
      <c r="K272" s="3218"/>
      <c r="L272" s="3218"/>
      <c r="M272" s="3218"/>
      <c r="N272" s="3218"/>
      <c r="O272" s="3218"/>
      <c r="P272" s="3218"/>
      <c r="Q272" s="3218"/>
      <c r="R272" s="3218"/>
      <c r="S272" s="3218"/>
      <c r="T272" s="3218"/>
      <c r="U272" s="3218"/>
      <c r="V272" s="3218"/>
      <c r="W272" s="3218"/>
      <c r="X272" s="3218"/>
      <c r="Y272" s="3218"/>
      <c r="Z272" s="3218"/>
      <c r="AA272" s="3218"/>
      <c r="AB272" s="3218"/>
      <c r="AC272" s="3199">
        <f t="shared" si="152"/>
        <v>0</v>
      </c>
      <c r="AD272" s="3229"/>
      <c r="AE272" s="3229"/>
      <c r="AF272" s="3229"/>
      <c r="AG272" s="3229"/>
      <c r="AH272" s="3229"/>
      <c r="AI272" s="3229"/>
      <c r="AJ272" s="3229"/>
      <c r="AK272" s="3229"/>
      <c r="AL272" s="3229"/>
      <c r="AM272" s="3229"/>
      <c r="AN272" s="3229"/>
      <c r="AO272" s="3229"/>
      <c r="AP272" s="3229"/>
      <c r="AQ272" s="3229"/>
      <c r="AR272" s="3229"/>
      <c r="AS272" s="3229"/>
      <c r="AT272" s="3249"/>
      <c r="AU272" s="3250"/>
      <c r="AV272" s="475">
        <f t="shared" si="153"/>
        <v>0</v>
      </c>
      <c r="AW272" s="475">
        <f t="shared" si="154"/>
        <v>0</v>
      </c>
      <c r="AX272" s="475">
        <f t="shared" si="155"/>
        <v>0</v>
      </c>
      <c r="AY272" s="3266">
        <f t="shared" si="156"/>
        <v>0</v>
      </c>
      <c r="AZ272" s="3199">
        <f t="shared" si="157"/>
        <v>0</v>
      </c>
      <c r="BA272" s="3199">
        <f t="shared" si="158"/>
        <v>0</v>
      </c>
      <c r="BB272" s="3199">
        <f t="shared" si="159"/>
        <v>0</v>
      </c>
      <c r="BC272" s="3199">
        <f t="shared" si="160"/>
        <v>0</v>
      </c>
      <c r="BD272" s="3199">
        <f t="shared" si="161"/>
        <v>0</v>
      </c>
      <c r="BE272" s="3199">
        <f t="shared" si="162"/>
        <v>0</v>
      </c>
      <c r="BF272" s="3199">
        <f t="shared" si="163"/>
        <v>0</v>
      </c>
      <c r="BG272" s="3199">
        <f t="shared" si="164"/>
        <v>0</v>
      </c>
      <c r="BH272" s="3199">
        <f t="shared" si="165"/>
        <v>0</v>
      </c>
      <c r="BI272" s="3199">
        <f t="shared" si="166"/>
        <v>0</v>
      </c>
      <c r="BJ272" s="3199">
        <f t="shared" si="167"/>
        <v>0</v>
      </c>
      <c r="BK272" s="3199">
        <f t="shared" si="168"/>
        <v>0</v>
      </c>
      <c r="BL272" s="3199">
        <f t="shared" si="169"/>
        <v>0</v>
      </c>
      <c r="BM272" s="3199">
        <f t="shared" si="170"/>
        <v>0</v>
      </c>
      <c r="BN272" s="3199">
        <f t="shared" si="171"/>
        <v>0</v>
      </c>
      <c r="BO272" s="3199">
        <f t="shared" si="172"/>
        <v>0</v>
      </c>
      <c r="BP272" s="3199">
        <f t="shared" si="173"/>
        <v>0</v>
      </c>
      <c r="BQ272" s="3199">
        <f t="shared" si="174"/>
        <v>0</v>
      </c>
      <c r="BR272" s="3199">
        <f t="shared" si="175"/>
        <v>0</v>
      </c>
      <c r="BS272" s="3199">
        <f t="shared" si="176"/>
        <v>0</v>
      </c>
      <c r="BT272" s="3271">
        <f t="shared" si="177"/>
        <v>0</v>
      </c>
    </row>
    <row r="273" spans="1:72">
      <c r="A273" s="3197"/>
      <c r="B273" s="3198"/>
      <c r="C273" s="3198"/>
      <c r="D273" s="3193"/>
      <c r="E273" s="3199">
        <f t="shared" si="149"/>
        <v>0</v>
      </c>
      <c r="F273" s="3200"/>
      <c r="G273" s="3201">
        <f t="shared" si="150"/>
        <v>0</v>
      </c>
      <c r="H273" s="3202">
        <f t="shared" si="151"/>
        <v>0</v>
      </c>
      <c r="I273" s="3218"/>
      <c r="J273" s="3218"/>
      <c r="K273" s="3218"/>
      <c r="L273" s="3218"/>
      <c r="M273" s="3218"/>
      <c r="N273" s="3218"/>
      <c r="O273" s="3218"/>
      <c r="P273" s="3218"/>
      <c r="Q273" s="3218"/>
      <c r="R273" s="3218"/>
      <c r="S273" s="3218"/>
      <c r="T273" s="3218"/>
      <c r="U273" s="3218"/>
      <c r="V273" s="3218"/>
      <c r="W273" s="3218"/>
      <c r="X273" s="3218"/>
      <c r="Y273" s="3218"/>
      <c r="Z273" s="3218"/>
      <c r="AA273" s="3218"/>
      <c r="AB273" s="3218"/>
      <c r="AC273" s="3199">
        <f t="shared" si="152"/>
        <v>0</v>
      </c>
      <c r="AD273" s="3229"/>
      <c r="AE273" s="3229"/>
      <c r="AF273" s="3229"/>
      <c r="AG273" s="3229"/>
      <c r="AH273" s="3229"/>
      <c r="AI273" s="3229"/>
      <c r="AJ273" s="3229"/>
      <c r="AK273" s="3229"/>
      <c r="AL273" s="3229"/>
      <c r="AM273" s="3229"/>
      <c r="AN273" s="3229"/>
      <c r="AO273" s="3229"/>
      <c r="AP273" s="3229"/>
      <c r="AQ273" s="3229"/>
      <c r="AR273" s="3229"/>
      <c r="AS273" s="3229"/>
      <c r="AT273" s="3249"/>
      <c r="AU273" s="3250"/>
      <c r="AV273" s="475">
        <f t="shared" si="153"/>
        <v>0</v>
      </c>
      <c r="AW273" s="475">
        <f t="shared" si="154"/>
        <v>0</v>
      </c>
      <c r="AX273" s="475">
        <f t="shared" si="155"/>
        <v>0</v>
      </c>
      <c r="AY273" s="3266">
        <f t="shared" si="156"/>
        <v>0</v>
      </c>
      <c r="AZ273" s="3199">
        <f t="shared" si="157"/>
        <v>0</v>
      </c>
      <c r="BA273" s="3199">
        <f t="shared" si="158"/>
        <v>0</v>
      </c>
      <c r="BB273" s="3199">
        <f t="shared" si="159"/>
        <v>0</v>
      </c>
      <c r="BC273" s="3199">
        <f t="shared" si="160"/>
        <v>0</v>
      </c>
      <c r="BD273" s="3199">
        <f t="shared" si="161"/>
        <v>0</v>
      </c>
      <c r="BE273" s="3199">
        <f t="shared" si="162"/>
        <v>0</v>
      </c>
      <c r="BF273" s="3199">
        <f t="shared" si="163"/>
        <v>0</v>
      </c>
      <c r="BG273" s="3199">
        <f t="shared" si="164"/>
        <v>0</v>
      </c>
      <c r="BH273" s="3199">
        <f t="shared" si="165"/>
        <v>0</v>
      </c>
      <c r="BI273" s="3199">
        <f t="shared" si="166"/>
        <v>0</v>
      </c>
      <c r="BJ273" s="3199">
        <f t="shared" si="167"/>
        <v>0</v>
      </c>
      <c r="BK273" s="3199">
        <f t="shared" si="168"/>
        <v>0</v>
      </c>
      <c r="BL273" s="3199">
        <f t="shared" si="169"/>
        <v>0</v>
      </c>
      <c r="BM273" s="3199">
        <f t="shared" si="170"/>
        <v>0</v>
      </c>
      <c r="BN273" s="3199">
        <f t="shared" si="171"/>
        <v>0</v>
      </c>
      <c r="BO273" s="3199">
        <f t="shared" si="172"/>
        <v>0</v>
      </c>
      <c r="BP273" s="3199">
        <f t="shared" si="173"/>
        <v>0</v>
      </c>
      <c r="BQ273" s="3199">
        <f t="shared" si="174"/>
        <v>0</v>
      </c>
      <c r="BR273" s="3199">
        <f t="shared" si="175"/>
        <v>0</v>
      </c>
      <c r="BS273" s="3199">
        <f t="shared" si="176"/>
        <v>0</v>
      </c>
      <c r="BT273" s="3271">
        <f t="shared" si="177"/>
        <v>0</v>
      </c>
    </row>
    <row r="274" spans="1:72">
      <c r="A274" s="3197"/>
      <c r="B274" s="3198"/>
      <c r="C274" s="3198"/>
      <c r="D274" s="3193"/>
      <c r="E274" s="3199">
        <f t="shared" si="149"/>
        <v>0</v>
      </c>
      <c r="F274" s="3200"/>
      <c r="G274" s="3201">
        <f t="shared" si="150"/>
        <v>0</v>
      </c>
      <c r="H274" s="3202">
        <f t="shared" si="151"/>
        <v>0</v>
      </c>
      <c r="I274" s="3218"/>
      <c r="J274" s="3218"/>
      <c r="K274" s="3218"/>
      <c r="L274" s="3218"/>
      <c r="M274" s="3218"/>
      <c r="N274" s="3218"/>
      <c r="O274" s="3218"/>
      <c r="P274" s="3218"/>
      <c r="Q274" s="3218"/>
      <c r="R274" s="3218"/>
      <c r="S274" s="3218"/>
      <c r="T274" s="3218"/>
      <c r="U274" s="3218"/>
      <c r="V274" s="3218"/>
      <c r="W274" s="3218"/>
      <c r="X274" s="3218"/>
      <c r="Y274" s="3218"/>
      <c r="Z274" s="3218"/>
      <c r="AA274" s="3218"/>
      <c r="AB274" s="3218"/>
      <c r="AC274" s="3199">
        <f t="shared" si="152"/>
        <v>0</v>
      </c>
      <c r="AD274" s="3229"/>
      <c r="AE274" s="3229"/>
      <c r="AF274" s="3229"/>
      <c r="AG274" s="3229"/>
      <c r="AH274" s="3229"/>
      <c r="AI274" s="3229"/>
      <c r="AJ274" s="3229"/>
      <c r="AK274" s="3229"/>
      <c r="AL274" s="3229"/>
      <c r="AM274" s="3229"/>
      <c r="AN274" s="3229"/>
      <c r="AO274" s="3229"/>
      <c r="AP274" s="3229"/>
      <c r="AQ274" s="3229"/>
      <c r="AR274" s="3229"/>
      <c r="AS274" s="3229"/>
      <c r="AT274" s="3249"/>
      <c r="AU274" s="3250"/>
      <c r="AV274" s="475">
        <f t="shared" si="153"/>
        <v>0</v>
      </c>
      <c r="AW274" s="475">
        <f t="shared" si="154"/>
        <v>0</v>
      </c>
      <c r="AX274" s="475">
        <f t="shared" si="155"/>
        <v>0</v>
      </c>
      <c r="AY274" s="3266">
        <f t="shared" si="156"/>
        <v>0</v>
      </c>
      <c r="AZ274" s="3199">
        <f t="shared" si="157"/>
        <v>0</v>
      </c>
      <c r="BA274" s="3199">
        <f t="shared" si="158"/>
        <v>0</v>
      </c>
      <c r="BB274" s="3199">
        <f t="shared" si="159"/>
        <v>0</v>
      </c>
      <c r="BC274" s="3199">
        <f t="shared" si="160"/>
        <v>0</v>
      </c>
      <c r="BD274" s="3199">
        <f t="shared" si="161"/>
        <v>0</v>
      </c>
      <c r="BE274" s="3199">
        <f t="shared" si="162"/>
        <v>0</v>
      </c>
      <c r="BF274" s="3199">
        <f t="shared" si="163"/>
        <v>0</v>
      </c>
      <c r="BG274" s="3199">
        <f t="shared" si="164"/>
        <v>0</v>
      </c>
      <c r="BH274" s="3199">
        <f t="shared" si="165"/>
        <v>0</v>
      </c>
      <c r="BI274" s="3199">
        <f t="shared" si="166"/>
        <v>0</v>
      </c>
      <c r="BJ274" s="3199">
        <f t="shared" si="167"/>
        <v>0</v>
      </c>
      <c r="BK274" s="3199">
        <f t="shared" si="168"/>
        <v>0</v>
      </c>
      <c r="BL274" s="3199">
        <f t="shared" si="169"/>
        <v>0</v>
      </c>
      <c r="BM274" s="3199">
        <f t="shared" si="170"/>
        <v>0</v>
      </c>
      <c r="BN274" s="3199">
        <f t="shared" si="171"/>
        <v>0</v>
      </c>
      <c r="BO274" s="3199">
        <f t="shared" si="172"/>
        <v>0</v>
      </c>
      <c r="BP274" s="3199">
        <f t="shared" si="173"/>
        <v>0</v>
      </c>
      <c r="BQ274" s="3199">
        <f t="shared" si="174"/>
        <v>0</v>
      </c>
      <c r="BR274" s="3199">
        <f t="shared" si="175"/>
        <v>0</v>
      </c>
      <c r="BS274" s="3199">
        <f t="shared" si="176"/>
        <v>0</v>
      </c>
      <c r="BT274" s="3271">
        <f t="shared" si="177"/>
        <v>0</v>
      </c>
    </row>
    <row r="275" spans="1:72">
      <c r="A275" s="3197"/>
      <c r="B275" s="3198"/>
      <c r="C275" s="3198"/>
      <c r="D275" s="3193"/>
      <c r="E275" s="3199">
        <f t="shared" si="149"/>
        <v>0</v>
      </c>
      <c r="F275" s="3200"/>
      <c r="G275" s="3201">
        <f t="shared" si="150"/>
        <v>0</v>
      </c>
      <c r="H275" s="3202">
        <f t="shared" si="151"/>
        <v>0</v>
      </c>
      <c r="I275" s="3218"/>
      <c r="J275" s="3218"/>
      <c r="K275" s="3218"/>
      <c r="L275" s="3218"/>
      <c r="M275" s="3218"/>
      <c r="N275" s="3218"/>
      <c r="O275" s="3218"/>
      <c r="P275" s="3218"/>
      <c r="Q275" s="3218"/>
      <c r="R275" s="3218"/>
      <c r="S275" s="3218"/>
      <c r="T275" s="3218"/>
      <c r="U275" s="3218"/>
      <c r="V275" s="3218"/>
      <c r="W275" s="3218"/>
      <c r="X275" s="3218"/>
      <c r="Y275" s="3218"/>
      <c r="Z275" s="3218"/>
      <c r="AA275" s="3218"/>
      <c r="AB275" s="3218"/>
      <c r="AC275" s="3199">
        <f t="shared" si="152"/>
        <v>0</v>
      </c>
      <c r="AD275" s="3229"/>
      <c r="AE275" s="3229"/>
      <c r="AF275" s="3229"/>
      <c r="AG275" s="3229"/>
      <c r="AH275" s="3229"/>
      <c r="AI275" s="3229"/>
      <c r="AJ275" s="3229"/>
      <c r="AK275" s="3229"/>
      <c r="AL275" s="3229"/>
      <c r="AM275" s="3229"/>
      <c r="AN275" s="3229"/>
      <c r="AO275" s="3229"/>
      <c r="AP275" s="3229"/>
      <c r="AQ275" s="3229"/>
      <c r="AR275" s="3229"/>
      <c r="AS275" s="3229"/>
      <c r="AT275" s="3249"/>
      <c r="AU275" s="3250"/>
      <c r="AV275" s="475">
        <f t="shared" si="153"/>
        <v>0</v>
      </c>
      <c r="AW275" s="475">
        <f t="shared" si="154"/>
        <v>0</v>
      </c>
      <c r="AX275" s="475">
        <f t="shared" si="155"/>
        <v>0</v>
      </c>
      <c r="AY275" s="3266">
        <f t="shared" si="156"/>
        <v>0</v>
      </c>
      <c r="AZ275" s="3199">
        <f t="shared" si="157"/>
        <v>0</v>
      </c>
      <c r="BA275" s="3199">
        <f t="shared" si="158"/>
        <v>0</v>
      </c>
      <c r="BB275" s="3199">
        <f t="shared" si="159"/>
        <v>0</v>
      </c>
      <c r="BC275" s="3199">
        <f t="shared" si="160"/>
        <v>0</v>
      </c>
      <c r="BD275" s="3199">
        <f t="shared" si="161"/>
        <v>0</v>
      </c>
      <c r="BE275" s="3199">
        <f t="shared" si="162"/>
        <v>0</v>
      </c>
      <c r="BF275" s="3199">
        <f t="shared" si="163"/>
        <v>0</v>
      </c>
      <c r="BG275" s="3199">
        <f t="shared" si="164"/>
        <v>0</v>
      </c>
      <c r="BH275" s="3199">
        <f t="shared" si="165"/>
        <v>0</v>
      </c>
      <c r="BI275" s="3199">
        <f t="shared" si="166"/>
        <v>0</v>
      </c>
      <c r="BJ275" s="3199">
        <f t="shared" si="167"/>
        <v>0</v>
      </c>
      <c r="BK275" s="3199">
        <f t="shared" si="168"/>
        <v>0</v>
      </c>
      <c r="BL275" s="3199">
        <f t="shared" si="169"/>
        <v>0</v>
      </c>
      <c r="BM275" s="3199">
        <f t="shared" si="170"/>
        <v>0</v>
      </c>
      <c r="BN275" s="3199">
        <f t="shared" si="171"/>
        <v>0</v>
      </c>
      <c r="BO275" s="3199">
        <f t="shared" si="172"/>
        <v>0</v>
      </c>
      <c r="BP275" s="3199">
        <f t="shared" si="173"/>
        <v>0</v>
      </c>
      <c r="BQ275" s="3199">
        <f t="shared" si="174"/>
        <v>0</v>
      </c>
      <c r="BR275" s="3199">
        <f t="shared" si="175"/>
        <v>0</v>
      </c>
      <c r="BS275" s="3199">
        <f t="shared" si="176"/>
        <v>0</v>
      </c>
      <c r="BT275" s="3271">
        <f t="shared" si="177"/>
        <v>0</v>
      </c>
    </row>
    <row r="276" spans="1:72">
      <c r="A276" s="3197"/>
      <c r="B276" s="3198"/>
      <c r="C276" s="3198"/>
      <c r="D276" s="3193"/>
      <c r="E276" s="3199">
        <f t="shared" si="149"/>
        <v>0</v>
      </c>
      <c r="F276" s="3200"/>
      <c r="G276" s="3201">
        <f t="shared" si="150"/>
        <v>0</v>
      </c>
      <c r="H276" s="3202">
        <f t="shared" si="151"/>
        <v>0</v>
      </c>
      <c r="I276" s="3218"/>
      <c r="J276" s="3218"/>
      <c r="K276" s="3218"/>
      <c r="L276" s="3218"/>
      <c r="M276" s="3218"/>
      <c r="N276" s="3218"/>
      <c r="O276" s="3218"/>
      <c r="P276" s="3218"/>
      <c r="Q276" s="3218"/>
      <c r="R276" s="3218"/>
      <c r="S276" s="3218"/>
      <c r="T276" s="3218"/>
      <c r="U276" s="3218"/>
      <c r="V276" s="3218"/>
      <c r="W276" s="3218"/>
      <c r="X276" s="3218"/>
      <c r="Y276" s="3218"/>
      <c r="Z276" s="3218"/>
      <c r="AA276" s="3218"/>
      <c r="AB276" s="3218"/>
      <c r="AC276" s="3199">
        <f t="shared" si="152"/>
        <v>0</v>
      </c>
      <c r="AD276" s="3229"/>
      <c r="AE276" s="3229"/>
      <c r="AF276" s="3229"/>
      <c r="AG276" s="3229"/>
      <c r="AH276" s="3229"/>
      <c r="AI276" s="3229"/>
      <c r="AJ276" s="3229"/>
      <c r="AK276" s="3229"/>
      <c r="AL276" s="3229"/>
      <c r="AM276" s="3229"/>
      <c r="AN276" s="3229"/>
      <c r="AO276" s="3229"/>
      <c r="AP276" s="3229"/>
      <c r="AQ276" s="3229"/>
      <c r="AR276" s="3229"/>
      <c r="AS276" s="3229"/>
      <c r="AT276" s="3249"/>
      <c r="AU276" s="3250"/>
      <c r="AV276" s="475">
        <f t="shared" si="153"/>
        <v>0</v>
      </c>
      <c r="AW276" s="475">
        <f t="shared" si="154"/>
        <v>0</v>
      </c>
      <c r="AX276" s="475">
        <f t="shared" si="155"/>
        <v>0</v>
      </c>
      <c r="AY276" s="3266">
        <f t="shared" si="156"/>
        <v>0</v>
      </c>
      <c r="AZ276" s="3199">
        <f t="shared" si="157"/>
        <v>0</v>
      </c>
      <c r="BA276" s="3199">
        <f t="shared" si="158"/>
        <v>0</v>
      </c>
      <c r="BB276" s="3199">
        <f t="shared" si="159"/>
        <v>0</v>
      </c>
      <c r="BC276" s="3199">
        <f t="shared" si="160"/>
        <v>0</v>
      </c>
      <c r="BD276" s="3199">
        <f t="shared" si="161"/>
        <v>0</v>
      </c>
      <c r="BE276" s="3199">
        <f t="shared" si="162"/>
        <v>0</v>
      </c>
      <c r="BF276" s="3199">
        <f t="shared" si="163"/>
        <v>0</v>
      </c>
      <c r="BG276" s="3199">
        <f t="shared" si="164"/>
        <v>0</v>
      </c>
      <c r="BH276" s="3199">
        <f t="shared" si="165"/>
        <v>0</v>
      </c>
      <c r="BI276" s="3199">
        <f t="shared" si="166"/>
        <v>0</v>
      </c>
      <c r="BJ276" s="3199">
        <f t="shared" si="167"/>
        <v>0</v>
      </c>
      <c r="BK276" s="3199">
        <f t="shared" si="168"/>
        <v>0</v>
      </c>
      <c r="BL276" s="3199">
        <f t="shared" si="169"/>
        <v>0</v>
      </c>
      <c r="BM276" s="3199">
        <f t="shared" si="170"/>
        <v>0</v>
      </c>
      <c r="BN276" s="3199">
        <f t="shared" si="171"/>
        <v>0</v>
      </c>
      <c r="BO276" s="3199">
        <f t="shared" si="172"/>
        <v>0</v>
      </c>
      <c r="BP276" s="3199">
        <f t="shared" si="173"/>
        <v>0</v>
      </c>
      <c r="BQ276" s="3199">
        <f t="shared" si="174"/>
        <v>0</v>
      </c>
      <c r="BR276" s="3199">
        <f t="shared" si="175"/>
        <v>0</v>
      </c>
      <c r="BS276" s="3199">
        <f t="shared" si="176"/>
        <v>0</v>
      </c>
      <c r="BT276" s="3271">
        <f t="shared" si="177"/>
        <v>0</v>
      </c>
    </row>
    <row r="277" spans="1:72">
      <c r="A277" s="3197"/>
      <c r="B277" s="3198"/>
      <c r="C277" s="3198"/>
      <c r="D277" s="3193"/>
      <c r="E277" s="3199">
        <f t="shared" si="149"/>
        <v>0</v>
      </c>
      <c r="F277" s="3200"/>
      <c r="G277" s="3201">
        <f t="shared" si="150"/>
        <v>0</v>
      </c>
      <c r="H277" s="3202">
        <f t="shared" si="151"/>
        <v>0</v>
      </c>
      <c r="I277" s="3218"/>
      <c r="J277" s="3218"/>
      <c r="K277" s="3218"/>
      <c r="L277" s="3218"/>
      <c r="M277" s="3218"/>
      <c r="N277" s="3218"/>
      <c r="O277" s="3218"/>
      <c r="P277" s="3218"/>
      <c r="Q277" s="3218"/>
      <c r="R277" s="3218"/>
      <c r="S277" s="3218"/>
      <c r="T277" s="3218"/>
      <c r="U277" s="3218"/>
      <c r="V277" s="3218"/>
      <c r="W277" s="3218"/>
      <c r="X277" s="3218"/>
      <c r="Y277" s="3218"/>
      <c r="Z277" s="3218"/>
      <c r="AA277" s="3218"/>
      <c r="AB277" s="3218"/>
      <c r="AC277" s="3199">
        <f t="shared" si="152"/>
        <v>0</v>
      </c>
      <c r="AD277" s="3229"/>
      <c r="AE277" s="3229"/>
      <c r="AF277" s="3229"/>
      <c r="AG277" s="3229"/>
      <c r="AH277" s="3229"/>
      <c r="AI277" s="3229"/>
      <c r="AJ277" s="3229"/>
      <c r="AK277" s="3229"/>
      <c r="AL277" s="3229"/>
      <c r="AM277" s="3229"/>
      <c r="AN277" s="3229"/>
      <c r="AO277" s="3229"/>
      <c r="AP277" s="3229"/>
      <c r="AQ277" s="3229"/>
      <c r="AR277" s="3229"/>
      <c r="AS277" s="3229"/>
      <c r="AT277" s="3249"/>
      <c r="AU277" s="3250"/>
      <c r="AV277" s="475">
        <f t="shared" si="153"/>
        <v>0</v>
      </c>
      <c r="AW277" s="475">
        <f t="shared" si="154"/>
        <v>0</v>
      </c>
      <c r="AX277" s="475">
        <f t="shared" si="155"/>
        <v>0</v>
      </c>
      <c r="AY277" s="3266">
        <f t="shared" si="156"/>
        <v>0</v>
      </c>
      <c r="AZ277" s="3199">
        <f t="shared" si="157"/>
        <v>0</v>
      </c>
      <c r="BA277" s="3199">
        <f t="shared" si="158"/>
        <v>0</v>
      </c>
      <c r="BB277" s="3199">
        <f t="shared" si="159"/>
        <v>0</v>
      </c>
      <c r="BC277" s="3199">
        <f t="shared" si="160"/>
        <v>0</v>
      </c>
      <c r="BD277" s="3199">
        <f t="shared" si="161"/>
        <v>0</v>
      </c>
      <c r="BE277" s="3199">
        <f t="shared" si="162"/>
        <v>0</v>
      </c>
      <c r="BF277" s="3199">
        <f t="shared" si="163"/>
        <v>0</v>
      </c>
      <c r="BG277" s="3199">
        <f t="shared" si="164"/>
        <v>0</v>
      </c>
      <c r="BH277" s="3199">
        <f t="shared" si="165"/>
        <v>0</v>
      </c>
      <c r="BI277" s="3199">
        <f t="shared" si="166"/>
        <v>0</v>
      </c>
      <c r="BJ277" s="3199">
        <f t="shared" si="167"/>
        <v>0</v>
      </c>
      <c r="BK277" s="3199">
        <f t="shared" si="168"/>
        <v>0</v>
      </c>
      <c r="BL277" s="3199">
        <f t="shared" si="169"/>
        <v>0</v>
      </c>
      <c r="BM277" s="3199">
        <f t="shared" si="170"/>
        <v>0</v>
      </c>
      <c r="BN277" s="3199">
        <f t="shared" si="171"/>
        <v>0</v>
      </c>
      <c r="BO277" s="3199">
        <f t="shared" si="172"/>
        <v>0</v>
      </c>
      <c r="BP277" s="3199">
        <f t="shared" si="173"/>
        <v>0</v>
      </c>
      <c r="BQ277" s="3199">
        <f t="shared" si="174"/>
        <v>0</v>
      </c>
      <c r="BR277" s="3199">
        <f t="shared" si="175"/>
        <v>0</v>
      </c>
      <c r="BS277" s="3199">
        <f t="shared" si="176"/>
        <v>0</v>
      </c>
      <c r="BT277" s="3271">
        <f t="shared" si="177"/>
        <v>0</v>
      </c>
    </row>
    <row r="278" spans="1:72">
      <c r="A278" s="3197"/>
      <c r="B278" s="3198"/>
      <c r="C278" s="3198"/>
      <c r="D278" s="3193"/>
      <c r="E278" s="3199">
        <f t="shared" si="149"/>
        <v>0</v>
      </c>
      <c r="F278" s="3200"/>
      <c r="G278" s="3201">
        <f t="shared" si="150"/>
        <v>0</v>
      </c>
      <c r="H278" s="3202">
        <f t="shared" si="151"/>
        <v>0</v>
      </c>
      <c r="I278" s="3218"/>
      <c r="J278" s="3218"/>
      <c r="K278" s="3218"/>
      <c r="L278" s="3218"/>
      <c r="M278" s="3218"/>
      <c r="N278" s="3218"/>
      <c r="O278" s="3218"/>
      <c r="P278" s="3218"/>
      <c r="Q278" s="3218"/>
      <c r="R278" s="3218"/>
      <c r="S278" s="3218"/>
      <c r="T278" s="3218"/>
      <c r="U278" s="3218"/>
      <c r="V278" s="3218"/>
      <c r="W278" s="3218"/>
      <c r="X278" s="3218"/>
      <c r="Y278" s="3218"/>
      <c r="Z278" s="3218"/>
      <c r="AA278" s="3218"/>
      <c r="AB278" s="3218"/>
      <c r="AC278" s="3199">
        <f t="shared" si="152"/>
        <v>0</v>
      </c>
      <c r="AD278" s="3229"/>
      <c r="AE278" s="3229"/>
      <c r="AF278" s="3229"/>
      <c r="AG278" s="3229"/>
      <c r="AH278" s="3229"/>
      <c r="AI278" s="3229"/>
      <c r="AJ278" s="3229"/>
      <c r="AK278" s="3229"/>
      <c r="AL278" s="3229"/>
      <c r="AM278" s="3229"/>
      <c r="AN278" s="3229"/>
      <c r="AO278" s="3229"/>
      <c r="AP278" s="3229"/>
      <c r="AQ278" s="3229"/>
      <c r="AR278" s="3229"/>
      <c r="AS278" s="3229"/>
      <c r="AT278" s="3249"/>
      <c r="AU278" s="3250"/>
      <c r="AV278" s="475">
        <f t="shared" si="153"/>
        <v>0</v>
      </c>
      <c r="AW278" s="475">
        <f t="shared" si="154"/>
        <v>0</v>
      </c>
      <c r="AX278" s="475">
        <f t="shared" si="155"/>
        <v>0</v>
      </c>
      <c r="AY278" s="3266">
        <f t="shared" si="156"/>
        <v>0</v>
      </c>
      <c r="AZ278" s="3199">
        <f t="shared" si="157"/>
        <v>0</v>
      </c>
      <c r="BA278" s="3199">
        <f t="shared" si="158"/>
        <v>0</v>
      </c>
      <c r="BB278" s="3199">
        <f t="shared" si="159"/>
        <v>0</v>
      </c>
      <c r="BC278" s="3199">
        <f t="shared" si="160"/>
        <v>0</v>
      </c>
      <c r="BD278" s="3199">
        <f t="shared" si="161"/>
        <v>0</v>
      </c>
      <c r="BE278" s="3199">
        <f t="shared" si="162"/>
        <v>0</v>
      </c>
      <c r="BF278" s="3199">
        <f t="shared" si="163"/>
        <v>0</v>
      </c>
      <c r="BG278" s="3199">
        <f t="shared" si="164"/>
        <v>0</v>
      </c>
      <c r="BH278" s="3199">
        <f t="shared" si="165"/>
        <v>0</v>
      </c>
      <c r="BI278" s="3199">
        <f t="shared" si="166"/>
        <v>0</v>
      </c>
      <c r="BJ278" s="3199">
        <f t="shared" si="167"/>
        <v>0</v>
      </c>
      <c r="BK278" s="3199">
        <f t="shared" si="168"/>
        <v>0</v>
      </c>
      <c r="BL278" s="3199">
        <f t="shared" si="169"/>
        <v>0</v>
      </c>
      <c r="BM278" s="3199">
        <f t="shared" si="170"/>
        <v>0</v>
      </c>
      <c r="BN278" s="3199">
        <f t="shared" si="171"/>
        <v>0</v>
      </c>
      <c r="BO278" s="3199">
        <f t="shared" si="172"/>
        <v>0</v>
      </c>
      <c r="BP278" s="3199">
        <f t="shared" si="173"/>
        <v>0</v>
      </c>
      <c r="BQ278" s="3199">
        <f t="shared" si="174"/>
        <v>0</v>
      </c>
      <c r="BR278" s="3199">
        <f t="shared" si="175"/>
        <v>0</v>
      </c>
      <c r="BS278" s="3199">
        <f t="shared" si="176"/>
        <v>0</v>
      </c>
      <c r="BT278" s="3271">
        <f t="shared" si="177"/>
        <v>0</v>
      </c>
    </row>
    <row r="279" spans="1:72">
      <c r="A279" s="3197"/>
      <c r="B279" s="3198"/>
      <c r="C279" s="3198"/>
      <c r="D279" s="3193"/>
      <c r="E279" s="3199">
        <f t="shared" si="149"/>
        <v>0</v>
      </c>
      <c r="F279" s="3200"/>
      <c r="G279" s="3201">
        <f t="shared" si="150"/>
        <v>0</v>
      </c>
      <c r="H279" s="3202">
        <f t="shared" si="151"/>
        <v>0</v>
      </c>
      <c r="I279" s="3218"/>
      <c r="J279" s="3218"/>
      <c r="K279" s="3218"/>
      <c r="L279" s="3218"/>
      <c r="M279" s="3218"/>
      <c r="N279" s="3218"/>
      <c r="O279" s="3218"/>
      <c r="P279" s="3218"/>
      <c r="Q279" s="3218"/>
      <c r="R279" s="3218"/>
      <c r="S279" s="3218"/>
      <c r="T279" s="3218"/>
      <c r="U279" s="3218"/>
      <c r="V279" s="3218"/>
      <c r="W279" s="3218"/>
      <c r="X279" s="3218"/>
      <c r="Y279" s="3218"/>
      <c r="Z279" s="3218"/>
      <c r="AA279" s="3218"/>
      <c r="AB279" s="3218"/>
      <c r="AC279" s="3199">
        <f t="shared" si="152"/>
        <v>0</v>
      </c>
      <c r="AD279" s="3229"/>
      <c r="AE279" s="3229"/>
      <c r="AF279" s="3229"/>
      <c r="AG279" s="3229"/>
      <c r="AH279" s="3229"/>
      <c r="AI279" s="3229"/>
      <c r="AJ279" s="3229"/>
      <c r="AK279" s="3229"/>
      <c r="AL279" s="3229"/>
      <c r="AM279" s="3229"/>
      <c r="AN279" s="3229"/>
      <c r="AO279" s="3229"/>
      <c r="AP279" s="3229"/>
      <c r="AQ279" s="3229"/>
      <c r="AR279" s="3229"/>
      <c r="AS279" s="3229"/>
      <c r="AT279" s="3249"/>
      <c r="AU279" s="3250"/>
      <c r="AV279" s="475">
        <f t="shared" si="153"/>
        <v>0</v>
      </c>
      <c r="AW279" s="475">
        <f t="shared" si="154"/>
        <v>0</v>
      </c>
      <c r="AX279" s="475">
        <f t="shared" si="155"/>
        <v>0</v>
      </c>
      <c r="AY279" s="3266">
        <f t="shared" si="156"/>
        <v>0</v>
      </c>
      <c r="AZ279" s="3199">
        <f t="shared" si="157"/>
        <v>0</v>
      </c>
      <c r="BA279" s="3199">
        <f t="shared" si="158"/>
        <v>0</v>
      </c>
      <c r="BB279" s="3199">
        <f t="shared" si="159"/>
        <v>0</v>
      </c>
      <c r="BC279" s="3199">
        <f t="shared" si="160"/>
        <v>0</v>
      </c>
      <c r="BD279" s="3199">
        <f t="shared" si="161"/>
        <v>0</v>
      </c>
      <c r="BE279" s="3199">
        <f t="shared" si="162"/>
        <v>0</v>
      </c>
      <c r="BF279" s="3199">
        <f t="shared" si="163"/>
        <v>0</v>
      </c>
      <c r="BG279" s="3199">
        <f t="shared" si="164"/>
        <v>0</v>
      </c>
      <c r="BH279" s="3199">
        <f t="shared" si="165"/>
        <v>0</v>
      </c>
      <c r="BI279" s="3199">
        <f t="shared" si="166"/>
        <v>0</v>
      </c>
      <c r="BJ279" s="3199">
        <f t="shared" si="167"/>
        <v>0</v>
      </c>
      <c r="BK279" s="3199">
        <f t="shared" si="168"/>
        <v>0</v>
      </c>
      <c r="BL279" s="3199">
        <f t="shared" si="169"/>
        <v>0</v>
      </c>
      <c r="BM279" s="3199">
        <f t="shared" si="170"/>
        <v>0</v>
      </c>
      <c r="BN279" s="3199">
        <f t="shared" si="171"/>
        <v>0</v>
      </c>
      <c r="BO279" s="3199">
        <f t="shared" si="172"/>
        <v>0</v>
      </c>
      <c r="BP279" s="3199">
        <f t="shared" si="173"/>
        <v>0</v>
      </c>
      <c r="BQ279" s="3199">
        <f t="shared" si="174"/>
        <v>0</v>
      </c>
      <c r="BR279" s="3199">
        <f t="shared" si="175"/>
        <v>0</v>
      </c>
      <c r="BS279" s="3199">
        <f t="shared" si="176"/>
        <v>0</v>
      </c>
      <c r="BT279" s="3271">
        <f t="shared" si="177"/>
        <v>0</v>
      </c>
    </row>
    <row r="280" spans="1:72">
      <c r="A280" s="3197"/>
      <c r="B280" s="3198"/>
      <c r="C280" s="3198"/>
      <c r="D280" s="3193"/>
      <c r="E280" s="3199">
        <f t="shared" si="149"/>
        <v>0</v>
      </c>
      <c r="F280" s="3200"/>
      <c r="G280" s="3201">
        <f t="shared" si="150"/>
        <v>0</v>
      </c>
      <c r="H280" s="3202">
        <f t="shared" si="151"/>
        <v>0</v>
      </c>
      <c r="I280" s="3218"/>
      <c r="J280" s="3218"/>
      <c r="K280" s="3218"/>
      <c r="L280" s="3218"/>
      <c r="M280" s="3218"/>
      <c r="N280" s="3218"/>
      <c r="O280" s="3218"/>
      <c r="P280" s="3218"/>
      <c r="Q280" s="3218"/>
      <c r="R280" s="3218"/>
      <c r="S280" s="3218"/>
      <c r="T280" s="3218"/>
      <c r="U280" s="3218"/>
      <c r="V280" s="3218"/>
      <c r="W280" s="3218"/>
      <c r="X280" s="3218"/>
      <c r="Y280" s="3218"/>
      <c r="Z280" s="3218"/>
      <c r="AA280" s="3218"/>
      <c r="AB280" s="3218"/>
      <c r="AC280" s="3199">
        <f t="shared" si="152"/>
        <v>0</v>
      </c>
      <c r="AD280" s="3229"/>
      <c r="AE280" s="3229"/>
      <c r="AF280" s="3229"/>
      <c r="AG280" s="3229"/>
      <c r="AH280" s="3229"/>
      <c r="AI280" s="3229"/>
      <c r="AJ280" s="3229"/>
      <c r="AK280" s="3229"/>
      <c r="AL280" s="3229"/>
      <c r="AM280" s="3229"/>
      <c r="AN280" s="3229"/>
      <c r="AO280" s="3229"/>
      <c r="AP280" s="3229"/>
      <c r="AQ280" s="3229"/>
      <c r="AR280" s="3229"/>
      <c r="AS280" s="3229"/>
      <c r="AT280" s="3249"/>
      <c r="AU280" s="3250"/>
      <c r="AV280" s="475">
        <f t="shared" si="153"/>
        <v>0</v>
      </c>
      <c r="AW280" s="475">
        <f t="shared" si="154"/>
        <v>0</v>
      </c>
      <c r="AX280" s="475">
        <f t="shared" si="155"/>
        <v>0</v>
      </c>
      <c r="AY280" s="3266">
        <f t="shared" si="156"/>
        <v>0</v>
      </c>
      <c r="AZ280" s="3199">
        <f t="shared" si="157"/>
        <v>0</v>
      </c>
      <c r="BA280" s="3199">
        <f t="shared" si="158"/>
        <v>0</v>
      </c>
      <c r="BB280" s="3199">
        <f t="shared" si="159"/>
        <v>0</v>
      </c>
      <c r="BC280" s="3199">
        <f t="shared" si="160"/>
        <v>0</v>
      </c>
      <c r="BD280" s="3199">
        <f t="shared" si="161"/>
        <v>0</v>
      </c>
      <c r="BE280" s="3199">
        <f t="shared" si="162"/>
        <v>0</v>
      </c>
      <c r="BF280" s="3199">
        <f t="shared" si="163"/>
        <v>0</v>
      </c>
      <c r="BG280" s="3199">
        <f t="shared" si="164"/>
        <v>0</v>
      </c>
      <c r="BH280" s="3199">
        <f t="shared" si="165"/>
        <v>0</v>
      </c>
      <c r="BI280" s="3199">
        <f t="shared" si="166"/>
        <v>0</v>
      </c>
      <c r="BJ280" s="3199">
        <f t="shared" si="167"/>
        <v>0</v>
      </c>
      <c r="BK280" s="3199">
        <f t="shared" si="168"/>
        <v>0</v>
      </c>
      <c r="BL280" s="3199">
        <f t="shared" si="169"/>
        <v>0</v>
      </c>
      <c r="BM280" s="3199">
        <f t="shared" si="170"/>
        <v>0</v>
      </c>
      <c r="BN280" s="3199">
        <f t="shared" si="171"/>
        <v>0</v>
      </c>
      <c r="BO280" s="3199">
        <f t="shared" si="172"/>
        <v>0</v>
      </c>
      <c r="BP280" s="3199">
        <f t="shared" si="173"/>
        <v>0</v>
      </c>
      <c r="BQ280" s="3199">
        <f t="shared" si="174"/>
        <v>0</v>
      </c>
      <c r="BR280" s="3199">
        <f t="shared" si="175"/>
        <v>0</v>
      </c>
      <c r="BS280" s="3199">
        <f t="shared" si="176"/>
        <v>0</v>
      </c>
      <c r="BT280" s="3271">
        <f t="shared" si="177"/>
        <v>0</v>
      </c>
    </row>
    <row r="281" spans="1:72">
      <c r="A281" s="3197"/>
      <c r="B281" s="3198"/>
      <c r="C281" s="3198"/>
      <c r="D281" s="3193"/>
      <c r="E281" s="3199">
        <f t="shared" si="149"/>
        <v>0</v>
      </c>
      <c r="F281" s="3200"/>
      <c r="G281" s="3201">
        <f t="shared" si="150"/>
        <v>0</v>
      </c>
      <c r="H281" s="3202">
        <f t="shared" si="151"/>
        <v>0</v>
      </c>
      <c r="I281" s="3218"/>
      <c r="J281" s="3218"/>
      <c r="K281" s="3218"/>
      <c r="L281" s="3218"/>
      <c r="M281" s="3218"/>
      <c r="N281" s="3218"/>
      <c r="O281" s="3218"/>
      <c r="P281" s="3218"/>
      <c r="Q281" s="3218"/>
      <c r="R281" s="3218"/>
      <c r="S281" s="3218"/>
      <c r="T281" s="3218"/>
      <c r="U281" s="3218"/>
      <c r="V281" s="3218"/>
      <c r="W281" s="3218"/>
      <c r="X281" s="3218"/>
      <c r="Y281" s="3218"/>
      <c r="Z281" s="3218"/>
      <c r="AA281" s="3218"/>
      <c r="AB281" s="3218"/>
      <c r="AC281" s="3199">
        <f t="shared" si="152"/>
        <v>0</v>
      </c>
      <c r="AD281" s="3229"/>
      <c r="AE281" s="3229"/>
      <c r="AF281" s="3229"/>
      <c r="AG281" s="3229"/>
      <c r="AH281" s="3229"/>
      <c r="AI281" s="3229"/>
      <c r="AJ281" s="3229"/>
      <c r="AK281" s="3229"/>
      <c r="AL281" s="3229"/>
      <c r="AM281" s="3229"/>
      <c r="AN281" s="3229"/>
      <c r="AO281" s="3229"/>
      <c r="AP281" s="3229"/>
      <c r="AQ281" s="3229"/>
      <c r="AR281" s="3229"/>
      <c r="AS281" s="3229"/>
      <c r="AT281" s="3249"/>
      <c r="AU281" s="3250"/>
      <c r="AV281" s="475">
        <f t="shared" si="153"/>
        <v>0</v>
      </c>
      <c r="AW281" s="475">
        <f t="shared" si="154"/>
        <v>0</v>
      </c>
      <c r="AX281" s="475">
        <f t="shared" si="155"/>
        <v>0</v>
      </c>
      <c r="AY281" s="3266">
        <f t="shared" si="156"/>
        <v>0</v>
      </c>
      <c r="AZ281" s="3199">
        <f t="shared" si="157"/>
        <v>0</v>
      </c>
      <c r="BA281" s="3199">
        <f t="shared" si="158"/>
        <v>0</v>
      </c>
      <c r="BB281" s="3199">
        <f t="shared" si="159"/>
        <v>0</v>
      </c>
      <c r="BC281" s="3199">
        <f t="shared" si="160"/>
        <v>0</v>
      </c>
      <c r="BD281" s="3199">
        <f t="shared" si="161"/>
        <v>0</v>
      </c>
      <c r="BE281" s="3199">
        <f t="shared" si="162"/>
        <v>0</v>
      </c>
      <c r="BF281" s="3199">
        <f t="shared" si="163"/>
        <v>0</v>
      </c>
      <c r="BG281" s="3199">
        <f t="shared" si="164"/>
        <v>0</v>
      </c>
      <c r="BH281" s="3199">
        <f t="shared" si="165"/>
        <v>0</v>
      </c>
      <c r="BI281" s="3199">
        <f t="shared" si="166"/>
        <v>0</v>
      </c>
      <c r="BJ281" s="3199">
        <f t="shared" si="167"/>
        <v>0</v>
      </c>
      <c r="BK281" s="3199">
        <f t="shared" si="168"/>
        <v>0</v>
      </c>
      <c r="BL281" s="3199">
        <f t="shared" si="169"/>
        <v>0</v>
      </c>
      <c r="BM281" s="3199">
        <f t="shared" si="170"/>
        <v>0</v>
      </c>
      <c r="BN281" s="3199">
        <f t="shared" si="171"/>
        <v>0</v>
      </c>
      <c r="BO281" s="3199">
        <f t="shared" si="172"/>
        <v>0</v>
      </c>
      <c r="BP281" s="3199">
        <f t="shared" si="173"/>
        <v>0</v>
      </c>
      <c r="BQ281" s="3199">
        <f t="shared" si="174"/>
        <v>0</v>
      </c>
      <c r="BR281" s="3199">
        <f t="shared" si="175"/>
        <v>0</v>
      </c>
      <c r="BS281" s="3199">
        <f t="shared" si="176"/>
        <v>0</v>
      </c>
      <c r="BT281" s="3271">
        <f t="shared" si="177"/>
        <v>0</v>
      </c>
    </row>
    <row r="282" spans="1:72">
      <c r="A282" s="3197"/>
      <c r="B282" s="3198"/>
      <c r="C282" s="3198"/>
      <c r="D282" s="3193"/>
      <c r="E282" s="3199">
        <f t="shared" si="149"/>
        <v>0</v>
      </c>
      <c r="F282" s="3200"/>
      <c r="G282" s="3201">
        <f t="shared" si="150"/>
        <v>0</v>
      </c>
      <c r="H282" s="3202">
        <f t="shared" si="151"/>
        <v>0</v>
      </c>
      <c r="I282" s="3218"/>
      <c r="J282" s="3218"/>
      <c r="K282" s="3218"/>
      <c r="L282" s="3218"/>
      <c r="M282" s="3218"/>
      <c r="N282" s="3218"/>
      <c r="O282" s="3218"/>
      <c r="P282" s="3218"/>
      <c r="Q282" s="3218"/>
      <c r="R282" s="3218"/>
      <c r="S282" s="3218"/>
      <c r="T282" s="3218"/>
      <c r="U282" s="3218"/>
      <c r="V282" s="3218"/>
      <c r="W282" s="3218"/>
      <c r="X282" s="3218"/>
      <c r="Y282" s="3218"/>
      <c r="Z282" s="3218"/>
      <c r="AA282" s="3218"/>
      <c r="AB282" s="3218"/>
      <c r="AC282" s="3199">
        <f t="shared" si="152"/>
        <v>0</v>
      </c>
      <c r="AD282" s="3229"/>
      <c r="AE282" s="3229"/>
      <c r="AF282" s="3229"/>
      <c r="AG282" s="3229"/>
      <c r="AH282" s="3229"/>
      <c r="AI282" s="3229"/>
      <c r="AJ282" s="3229"/>
      <c r="AK282" s="3229"/>
      <c r="AL282" s="3229"/>
      <c r="AM282" s="3229"/>
      <c r="AN282" s="3229"/>
      <c r="AO282" s="3229"/>
      <c r="AP282" s="3229"/>
      <c r="AQ282" s="3229"/>
      <c r="AR282" s="3229"/>
      <c r="AS282" s="3229"/>
      <c r="AT282" s="3249"/>
      <c r="AU282" s="3250"/>
      <c r="AV282" s="475">
        <f t="shared" si="153"/>
        <v>0</v>
      </c>
      <c r="AW282" s="475">
        <f t="shared" si="154"/>
        <v>0</v>
      </c>
      <c r="AX282" s="475">
        <f t="shared" si="155"/>
        <v>0</v>
      </c>
      <c r="AY282" s="3266">
        <f t="shared" si="156"/>
        <v>0</v>
      </c>
      <c r="AZ282" s="3199">
        <f t="shared" si="157"/>
        <v>0</v>
      </c>
      <c r="BA282" s="3199">
        <f t="shared" si="158"/>
        <v>0</v>
      </c>
      <c r="BB282" s="3199">
        <f t="shared" si="159"/>
        <v>0</v>
      </c>
      <c r="BC282" s="3199">
        <f t="shared" si="160"/>
        <v>0</v>
      </c>
      <c r="BD282" s="3199">
        <f t="shared" si="161"/>
        <v>0</v>
      </c>
      <c r="BE282" s="3199">
        <f t="shared" si="162"/>
        <v>0</v>
      </c>
      <c r="BF282" s="3199">
        <f t="shared" si="163"/>
        <v>0</v>
      </c>
      <c r="BG282" s="3199">
        <f t="shared" si="164"/>
        <v>0</v>
      </c>
      <c r="BH282" s="3199">
        <f t="shared" si="165"/>
        <v>0</v>
      </c>
      <c r="BI282" s="3199">
        <f t="shared" si="166"/>
        <v>0</v>
      </c>
      <c r="BJ282" s="3199">
        <f t="shared" si="167"/>
        <v>0</v>
      </c>
      <c r="BK282" s="3199">
        <f t="shared" si="168"/>
        <v>0</v>
      </c>
      <c r="BL282" s="3199">
        <f t="shared" si="169"/>
        <v>0</v>
      </c>
      <c r="BM282" s="3199">
        <f t="shared" si="170"/>
        <v>0</v>
      </c>
      <c r="BN282" s="3199">
        <f t="shared" si="171"/>
        <v>0</v>
      </c>
      <c r="BO282" s="3199">
        <f t="shared" si="172"/>
        <v>0</v>
      </c>
      <c r="BP282" s="3199">
        <f t="shared" si="173"/>
        <v>0</v>
      </c>
      <c r="BQ282" s="3199">
        <f t="shared" si="174"/>
        <v>0</v>
      </c>
      <c r="BR282" s="3199">
        <f t="shared" si="175"/>
        <v>0</v>
      </c>
      <c r="BS282" s="3199">
        <f t="shared" si="176"/>
        <v>0</v>
      </c>
      <c r="BT282" s="3271">
        <f t="shared" si="177"/>
        <v>0</v>
      </c>
    </row>
    <row r="283" spans="1:72">
      <c r="A283" s="3197"/>
      <c r="B283" s="3198"/>
      <c r="C283" s="3198"/>
      <c r="D283" s="3193"/>
      <c r="E283" s="3199">
        <f t="shared" si="149"/>
        <v>0</v>
      </c>
      <c r="F283" s="3200"/>
      <c r="G283" s="3201">
        <f t="shared" si="150"/>
        <v>0</v>
      </c>
      <c r="H283" s="3202">
        <f t="shared" si="151"/>
        <v>0</v>
      </c>
      <c r="I283" s="3218"/>
      <c r="J283" s="3218"/>
      <c r="K283" s="3218"/>
      <c r="L283" s="3218"/>
      <c r="M283" s="3218"/>
      <c r="N283" s="3218"/>
      <c r="O283" s="3218"/>
      <c r="P283" s="3218"/>
      <c r="Q283" s="3218"/>
      <c r="R283" s="3218"/>
      <c r="S283" s="3218"/>
      <c r="T283" s="3218"/>
      <c r="U283" s="3218"/>
      <c r="V283" s="3218"/>
      <c r="W283" s="3218"/>
      <c r="X283" s="3218"/>
      <c r="Y283" s="3218"/>
      <c r="Z283" s="3218"/>
      <c r="AA283" s="3218"/>
      <c r="AB283" s="3218"/>
      <c r="AC283" s="3199">
        <f t="shared" si="152"/>
        <v>0</v>
      </c>
      <c r="AD283" s="3229"/>
      <c r="AE283" s="3229"/>
      <c r="AF283" s="3229"/>
      <c r="AG283" s="3229"/>
      <c r="AH283" s="3229"/>
      <c r="AI283" s="3229"/>
      <c r="AJ283" s="3229"/>
      <c r="AK283" s="3229"/>
      <c r="AL283" s="3229"/>
      <c r="AM283" s="3229"/>
      <c r="AN283" s="3229"/>
      <c r="AO283" s="3229"/>
      <c r="AP283" s="3229"/>
      <c r="AQ283" s="3229"/>
      <c r="AR283" s="3229"/>
      <c r="AS283" s="3229"/>
      <c r="AT283" s="3249"/>
      <c r="AU283" s="3250"/>
      <c r="AV283" s="475">
        <f t="shared" si="153"/>
        <v>0</v>
      </c>
      <c r="AW283" s="475">
        <f t="shared" si="154"/>
        <v>0</v>
      </c>
      <c r="AX283" s="475">
        <f t="shared" si="155"/>
        <v>0</v>
      </c>
      <c r="AY283" s="3266">
        <f t="shared" si="156"/>
        <v>0</v>
      </c>
      <c r="AZ283" s="3199">
        <f t="shared" si="157"/>
        <v>0</v>
      </c>
      <c r="BA283" s="3199">
        <f t="shared" si="158"/>
        <v>0</v>
      </c>
      <c r="BB283" s="3199">
        <f t="shared" si="159"/>
        <v>0</v>
      </c>
      <c r="BC283" s="3199">
        <f t="shared" si="160"/>
        <v>0</v>
      </c>
      <c r="BD283" s="3199">
        <f t="shared" si="161"/>
        <v>0</v>
      </c>
      <c r="BE283" s="3199">
        <f t="shared" si="162"/>
        <v>0</v>
      </c>
      <c r="BF283" s="3199">
        <f t="shared" si="163"/>
        <v>0</v>
      </c>
      <c r="BG283" s="3199">
        <f t="shared" si="164"/>
        <v>0</v>
      </c>
      <c r="BH283" s="3199">
        <f t="shared" si="165"/>
        <v>0</v>
      </c>
      <c r="BI283" s="3199">
        <f t="shared" si="166"/>
        <v>0</v>
      </c>
      <c r="BJ283" s="3199">
        <f t="shared" si="167"/>
        <v>0</v>
      </c>
      <c r="BK283" s="3199">
        <f t="shared" si="168"/>
        <v>0</v>
      </c>
      <c r="BL283" s="3199">
        <f t="shared" si="169"/>
        <v>0</v>
      </c>
      <c r="BM283" s="3199">
        <f t="shared" si="170"/>
        <v>0</v>
      </c>
      <c r="BN283" s="3199">
        <f t="shared" si="171"/>
        <v>0</v>
      </c>
      <c r="BO283" s="3199">
        <f t="shared" si="172"/>
        <v>0</v>
      </c>
      <c r="BP283" s="3199">
        <f t="shared" si="173"/>
        <v>0</v>
      </c>
      <c r="BQ283" s="3199">
        <f t="shared" si="174"/>
        <v>0</v>
      </c>
      <c r="BR283" s="3199">
        <f t="shared" si="175"/>
        <v>0</v>
      </c>
      <c r="BS283" s="3199">
        <f t="shared" si="176"/>
        <v>0</v>
      </c>
      <c r="BT283" s="3271">
        <f t="shared" si="177"/>
        <v>0</v>
      </c>
    </row>
    <row r="284" spans="1:72">
      <c r="A284" s="3197"/>
      <c r="B284" s="3198"/>
      <c r="C284" s="3198"/>
      <c r="D284" s="3193"/>
      <c r="E284" s="3199">
        <f t="shared" si="149"/>
        <v>0</v>
      </c>
      <c r="F284" s="3200"/>
      <c r="G284" s="3201">
        <f t="shared" si="150"/>
        <v>0</v>
      </c>
      <c r="H284" s="3202">
        <f t="shared" si="151"/>
        <v>0</v>
      </c>
      <c r="I284" s="3218"/>
      <c r="J284" s="3218"/>
      <c r="K284" s="3218"/>
      <c r="L284" s="3218"/>
      <c r="M284" s="3218"/>
      <c r="N284" s="3218"/>
      <c r="O284" s="3218"/>
      <c r="P284" s="3218"/>
      <c r="Q284" s="3218"/>
      <c r="R284" s="3218"/>
      <c r="S284" s="3218"/>
      <c r="T284" s="3218"/>
      <c r="U284" s="3218"/>
      <c r="V284" s="3218"/>
      <c r="W284" s="3218"/>
      <c r="X284" s="3218"/>
      <c r="Y284" s="3218"/>
      <c r="Z284" s="3218"/>
      <c r="AA284" s="3218"/>
      <c r="AB284" s="3218"/>
      <c r="AC284" s="3199">
        <f t="shared" si="152"/>
        <v>0</v>
      </c>
      <c r="AD284" s="3229"/>
      <c r="AE284" s="3229"/>
      <c r="AF284" s="3229"/>
      <c r="AG284" s="3229"/>
      <c r="AH284" s="3229"/>
      <c r="AI284" s="3229"/>
      <c r="AJ284" s="3229"/>
      <c r="AK284" s="3229"/>
      <c r="AL284" s="3229"/>
      <c r="AM284" s="3229"/>
      <c r="AN284" s="3229"/>
      <c r="AO284" s="3229"/>
      <c r="AP284" s="3229"/>
      <c r="AQ284" s="3229"/>
      <c r="AR284" s="3229"/>
      <c r="AS284" s="3229"/>
      <c r="AT284" s="3249"/>
      <c r="AU284" s="3250"/>
      <c r="AV284" s="475">
        <f t="shared" si="153"/>
        <v>0</v>
      </c>
      <c r="AW284" s="475">
        <f t="shared" si="154"/>
        <v>0</v>
      </c>
      <c r="AX284" s="475">
        <f t="shared" si="155"/>
        <v>0</v>
      </c>
      <c r="AY284" s="3266">
        <f t="shared" si="156"/>
        <v>0</v>
      </c>
      <c r="AZ284" s="3199">
        <f t="shared" si="157"/>
        <v>0</v>
      </c>
      <c r="BA284" s="3199">
        <f t="shared" si="158"/>
        <v>0</v>
      </c>
      <c r="BB284" s="3199">
        <f t="shared" si="159"/>
        <v>0</v>
      </c>
      <c r="BC284" s="3199">
        <f t="shared" si="160"/>
        <v>0</v>
      </c>
      <c r="BD284" s="3199">
        <f t="shared" si="161"/>
        <v>0</v>
      </c>
      <c r="BE284" s="3199">
        <f t="shared" si="162"/>
        <v>0</v>
      </c>
      <c r="BF284" s="3199">
        <f t="shared" si="163"/>
        <v>0</v>
      </c>
      <c r="BG284" s="3199">
        <f t="shared" si="164"/>
        <v>0</v>
      </c>
      <c r="BH284" s="3199">
        <f t="shared" si="165"/>
        <v>0</v>
      </c>
      <c r="BI284" s="3199">
        <f t="shared" si="166"/>
        <v>0</v>
      </c>
      <c r="BJ284" s="3199">
        <f t="shared" si="167"/>
        <v>0</v>
      </c>
      <c r="BK284" s="3199">
        <f t="shared" si="168"/>
        <v>0</v>
      </c>
      <c r="BL284" s="3199">
        <f t="shared" si="169"/>
        <v>0</v>
      </c>
      <c r="BM284" s="3199">
        <f t="shared" si="170"/>
        <v>0</v>
      </c>
      <c r="BN284" s="3199">
        <f t="shared" si="171"/>
        <v>0</v>
      </c>
      <c r="BO284" s="3199">
        <f t="shared" si="172"/>
        <v>0</v>
      </c>
      <c r="BP284" s="3199">
        <f t="shared" si="173"/>
        <v>0</v>
      </c>
      <c r="BQ284" s="3199">
        <f t="shared" si="174"/>
        <v>0</v>
      </c>
      <c r="BR284" s="3199">
        <f t="shared" si="175"/>
        <v>0</v>
      </c>
      <c r="BS284" s="3199">
        <f t="shared" si="176"/>
        <v>0</v>
      </c>
      <c r="BT284" s="3271">
        <f t="shared" si="177"/>
        <v>0</v>
      </c>
    </row>
    <row r="285" spans="1:72">
      <c r="A285" s="3197"/>
      <c r="B285" s="3198"/>
      <c r="C285" s="3198"/>
      <c r="D285" s="3193"/>
      <c r="E285" s="3199">
        <f t="shared" si="149"/>
        <v>0</v>
      </c>
      <c r="F285" s="3200"/>
      <c r="G285" s="3201">
        <f t="shared" si="150"/>
        <v>0</v>
      </c>
      <c r="H285" s="3202">
        <f t="shared" si="151"/>
        <v>0</v>
      </c>
      <c r="I285" s="3218"/>
      <c r="J285" s="3218"/>
      <c r="K285" s="3218"/>
      <c r="L285" s="3218"/>
      <c r="M285" s="3218"/>
      <c r="N285" s="3218"/>
      <c r="O285" s="3218"/>
      <c r="P285" s="3218"/>
      <c r="Q285" s="3218"/>
      <c r="R285" s="3218"/>
      <c r="S285" s="3218"/>
      <c r="T285" s="3218"/>
      <c r="U285" s="3218"/>
      <c r="V285" s="3218"/>
      <c r="W285" s="3218"/>
      <c r="X285" s="3218"/>
      <c r="Y285" s="3218"/>
      <c r="Z285" s="3218"/>
      <c r="AA285" s="3218"/>
      <c r="AB285" s="3218"/>
      <c r="AC285" s="3199">
        <f t="shared" si="152"/>
        <v>0</v>
      </c>
      <c r="AD285" s="3229"/>
      <c r="AE285" s="3229"/>
      <c r="AF285" s="3229"/>
      <c r="AG285" s="3229"/>
      <c r="AH285" s="3229"/>
      <c r="AI285" s="3229"/>
      <c r="AJ285" s="3229"/>
      <c r="AK285" s="3229"/>
      <c r="AL285" s="3229"/>
      <c r="AM285" s="3229"/>
      <c r="AN285" s="3229"/>
      <c r="AO285" s="3229"/>
      <c r="AP285" s="3229"/>
      <c r="AQ285" s="3229"/>
      <c r="AR285" s="3229"/>
      <c r="AS285" s="3229"/>
      <c r="AT285" s="3249"/>
      <c r="AU285" s="3250"/>
      <c r="AV285" s="475">
        <f t="shared" si="153"/>
        <v>0</v>
      </c>
      <c r="AW285" s="475">
        <f t="shared" si="154"/>
        <v>0</v>
      </c>
      <c r="AX285" s="475">
        <f t="shared" si="155"/>
        <v>0</v>
      </c>
      <c r="AY285" s="3266">
        <f t="shared" si="156"/>
        <v>0</v>
      </c>
      <c r="AZ285" s="3199">
        <f t="shared" si="157"/>
        <v>0</v>
      </c>
      <c r="BA285" s="3199">
        <f t="shared" si="158"/>
        <v>0</v>
      </c>
      <c r="BB285" s="3199">
        <f t="shared" si="159"/>
        <v>0</v>
      </c>
      <c r="BC285" s="3199">
        <f t="shared" si="160"/>
        <v>0</v>
      </c>
      <c r="BD285" s="3199">
        <f t="shared" si="161"/>
        <v>0</v>
      </c>
      <c r="BE285" s="3199">
        <f t="shared" si="162"/>
        <v>0</v>
      </c>
      <c r="BF285" s="3199">
        <f t="shared" si="163"/>
        <v>0</v>
      </c>
      <c r="BG285" s="3199">
        <f t="shared" si="164"/>
        <v>0</v>
      </c>
      <c r="BH285" s="3199">
        <f t="shared" si="165"/>
        <v>0</v>
      </c>
      <c r="BI285" s="3199">
        <f t="shared" si="166"/>
        <v>0</v>
      </c>
      <c r="BJ285" s="3199">
        <f t="shared" si="167"/>
        <v>0</v>
      </c>
      <c r="BK285" s="3199">
        <f t="shared" si="168"/>
        <v>0</v>
      </c>
      <c r="BL285" s="3199">
        <f t="shared" si="169"/>
        <v>0</v>
      </c>
      <c r="BM285" s="3199">
        <f t="shared" si="170"/>
        <v>0</v>
      </c>
      <c r="BN285" s="3199">
        <f t="shared" si="171"/>
        <v>0</v>
      </c>
      <c r="BO285" s="3199">
        <f t="shared" si="172"/>
        <v>0</v>
      </c>
      <c r="BP285" s="3199">
        <f t="shared" si="173"/>
        <v>0</v>
      </c>
      <c r="BQ285" s="3199">
        <f t="shared" si="174"/>
        <v>0</v>
      </c>
      <c r="BR285" s="3199">
        <f t="shared" si="175"/>
        <v>0</v>
      </c>
      <c r="BS285" s="3199">
        <f t="shared" si="176"/>
        <v>0</v>
      </c>
      <c r="BT285" s="3271">
        <f t="shared" si="177"/>
        <v>0</v>
      </c>
    </row>
    <row r="286" spans="1:72">
      <c r="A286" s="3197"/>
      <c r="B286" s="3198"/>
      <c r="C286" s="3198"/>
      <c r="D286" s="3193"/>
      <c r="E286" s="3199">
        <f t="shared" si="149"/>
        <v>0</v>
      </c>
      <c r="F286" s="3200"/>
      <c r="G286" s="3201">
        <f t="shared" si="150"/>
        <v>0</v>
      </c>
      <c r="H286" s="3202">
        <f t="shared" si="151"/>
        <v>0</v>
      </c>
      <c r="I286" s="3218"/>
      <c r="J286" s="3218"/>
      <c r="K286" s="3218"/>
      <c r="L286" s="3218"/>
      <c r="M286" s="3218"/>
      <c r="N286" s="3218"/>
      <c r="O286" s="3218"/>
      <c r="P286" s="3218"/>
      <c r="Q286" s="3218"/>
      <c r="R286" s="3218"/>
      <c r="S286" s="3218"/>
      <c r="T286" s="3218"/>
      <c r="U286" s="3218"/>
      <c r="V286" s="3218"/>
      <c r="W286" s="3218"/>
      <c r="X286" s="3218"/>
      <c r="Y286" s="3218"/>
      <c r="Z286" s="3218"/>
      <c r="AA286" s="3218"/>
      <c r="AB286" s="3218"/>
      <c r="AC286" s="3199">
        <f t="shared" si="152"/>
        <v>0</v>
      </c>
      <c r="AD286" s="3229"/>
      <c r="AE286" s="3229"/>
      <c r="AF286" s="3229"/>
      <c r="AG286" s="3229"/>
      <c r="AH286" s="3229"/>
      <c r="AI286" s="3229"/>
      <c r="AJ286" s="3229"/>
      <c r="AK286" s="3229"/>
      <c r="AL286" s="3229"/>
      <c r="AM286" s="3229"/>
      <c r="AN286" s="3229"/>
      <c r="AO286" s="3229"/>
      <c r="AP286" s="3229"/>
      <c r="AQ286" s="3229"/>
      <c r="AR286" s="3229"/>
      <c r="AS286" s="3229"/>
      <c r="AT286" s="3249"/>
      <c r="AU286" s="3250"/>
      <c r="AV286" s="475">
        <f t="shared" si="153"/>
        <v>0</v>
      </c>
      <c r="AW286" s="475">
        <f t="shared" si="154"/>
        <v>0</v>
      </c>
      <c r="AX286" s="475">
        <f t="shared" si="155"/>
        <v>0</v>
      </c>
      <c r="AY286" s="3266">
        <f t="shared" si="156"/>
        <v>0</v>
      </c>
      <c r="AZ286" s="3199">
        <f t="shared" si="157"/>
        <v>0</v>
      </c>
      <c r="BA286" s="3199">
        <f t="shared" si="158"/>
        <v>0</v>
      </c>
      <c r="BB286" s="3199">
        <f t="shared" si="159"/>
        <v>0</v>
      </c>
      <c r="BC286" s="3199">
        <f t="shared" si="160"/>
        <v>0</v>
      </c>
      <c r="BD286" s="3199">
        <f t="shared" si="161"/>
        <v>0</v>
      </c>
      <c r="BE286" s="3199">
        <f t="shared" si="162"/>
        <v>0</v>
      </c>
      <c r="BF286" s="3199">
        <f t="shared" si="163"/>
        <v>0</v>
      </c>
      <c r="BG286" s="3199">
        <f t="shared" si="164"/>
        <v>0</v>
      </c>
      <c r="BH286" s="3199">
        <f t="shared" si="165"/>
        <v>0</v>
      </c>
      <c r="BI286" s="3199">
        <f t="shared" si="166"/>
        <v>0</v>
      </c>
      <c r="BJ286" s="3199">
        <f t="shared" si="167"/>
        <v>0</v>
      </c>
      <c r="BK286" s="3199">
        <f t="shared" si="168"/>
        <v>0</v>
      </c>
      <c r="BL286" s="3199">
        <f t="shared" si="169"/>
        <v>0</v>
      </c>
      <c r="BM286" s="3199">
        <f t="shared" si="170"/>
        <v>0</v>
      </c>
      <c r="BN286" s="3199">
        <f t="shared" si="171"/>
        <v>0</v>
      </c>
      <c r="BO286" s="3199">
        <f t="shared" si="172"/>
        <v>0</v>
      </c>
      <c r="BP286" s="3199">
        <f t="shared" si="173"/>
        <v>0</v>
      </c>
      <c r="BQ286" s="3199">
        <f t="shared" si="174"/>
        <v>0</v>
      </c>
      <c r="BR286" s="3199">
        <f t="shared" si="175"/>
        <v>0</v>
      </c>
      <c r="BS286" s="3199">
        <f t="shared" si="176"/>
        <v>0</v>
      </c>
      <c r="BT286" s="3271">
        <f t="shared" si="177"/>
        <v>0</v>
      </c>
    </row>
    <row r="287" spans="1:72">
      <c r="A287" s="3197"/>
      <c r="B287" s="3198"/>
      <c r="C287" s="3198"/>
      <c r="D287" s="3193"/>
      <c r="E287" s="3199">
        <f t="shared" si="149"/>
        <v>0</v>
      </c>
      <c r="F287" s="3200"/>
      <c r="G287" s="3201">
        <f t="shared" si="150"/>
        <v>0</v>
      </c>
      <c r="H287" s="3202">
        <f t="shared" si="151"/>
        <v>0</v>
      </c>
      <c r="I287" s="3218"/>
      <c r="J287" s="3218"/>
      <c r="K287" s="3218"/>
      <c r="L287" s="3218"/>
      <c r="M287" s="3218"/>
      <c r="N287" s="3218"/>
      <c r="O287" s="3218"/>
      <c r="P287" s="3218"/>
      <c r="Q287" s="3218"/>
      <c r="R287" s="3218"/>
      <c r="S287" s="3218"/>
      <c r="T287" s="3218"/>
      <c r="U287" s="3218"/>
      <c r="V287" s="3218"/>
      <c r="W287" s="3218"/>
      <c r="X287" s="3218"/>
      <c r="Y287" s="3218"/>
      <c r="Z287" s="3218"/>
      <c r="AA287" s="3218"/>
      <c r="AB287" s="3218"/>
      <c r="AC287" s="3199">
        <f t="shared" si="152"/>
        <v>0</v>
      </c>
      <c r="AD287" s="3229"/>
      <c r="AE287" s="3229"/>
      <c r="AF287" s="3229"/>
      <c r="AG287" s="3229"/>
      <c r="AH287" s="3229"/>
      <c r="AI287" s="3229"/>
      <c r="AJ287" s="3229"/>
      <c r="AK287" s="3229"/>
      <c r="AL287" s="3229"/>
      <c r="AM287" s="3229"/>
      <c r="AN287" s="3229"/>
      <c r="AO287" s="3229"/>
      <c r="AP287" s="3229"/>
      <c r="AQ287" s="3229"/>
      <c r="AR287" s="3229"/>
      <c r="AS287" s="3229"/>
      <c r="AT287" s="3249"/>
      <c r="AU287" s="3250"/>
      <c r="AV287" s="475">
        <f t="shared" si="153"/>
        <v>0</v>
      </c>
      <c r="AW287" s="475">
        <f t="shared" si="154"/>
        <v>0</v>
      </c>
      <c r="AX287" s="475">
        <f t="shared" si="155"/>
        <v>0</v>
      </c>
      <c r="AY287" s="3266">
        <f t="shared" si="156"/>
        <v>0</v>
      </c>
      <c r="AZ287" s="3199">
        <f t="shared" si="157"/>
        <v>0</v>
      </c>
      <c r="BA287" s="3199">
        <f t="shared" si="158"/>
        <v>0</v>
      </c>
      <c r="BB287" s="3199">
        <f t="shared" si="159"/>
        <v>0</v>
      </c>
      <c r="BC287" s="3199">
        <f t="shared" si="160"/>
        <v>0</v>
      </c>
      <c r="BD287" s="3199">
        <f t="shared" si="161"/>
        <v>0</v>
      </c>
      <c r="BE287" s="3199">
        <f t="shared" si="162"/>
        <v>0</v>
      </c>
      <c r="BF287" s="3199">
        <f t="shared" si="163"/>
        <v>0</v>
      </c>
      <c r="BG287" s="3199">
        <f t="shared" si="164"/>
        <v>0</v>
      </c>
      <c r="BH287" s="3199">
        <f t="shared" si="165"/>
        <v>0</v>
      </c>
      <c r="BI287" s="3199">
        <f t="shared" si="166"/>
        <v>0</v>
      </c>
      <c r="BJ287" s="3199">
        <f t="shared" si="167"/>
        <v>0</v>
      </c>
      <c r="BK287" s="3199">
        <f t="shared" si="168"/>
        <v>0</v>
      </c>
      <c r="BL287" s="3199">
        <f t="shared" si="169"/>
        <v>0</v>
      </c>
      <c r="BM287" s="3199">
        <f t="shared" si="170"/>
        <v>0</v>
      </c>
      <c r="BN287" s="3199">
        <f t="shared" si="171"/>
        <v>0</v>
      </c>
      <c r="BO287" s="3199">
        <f t="shared" si="172"/>
        <v>0</v>
      </c>
      <c r="BP287" s="3199">
        <f t="shared" si="173"/>
        <v>0</v>
      </c>
      <c r="BQ287" s="3199">
        <f t="shared" si="174"/>
        <v>0</v>
      </c>
      <c r="BR287" s="3199">
        <f t="shared" si="175"/>
        <v>0</v>
      </c>
      <c r="BS287" s="3199">
        <f t="shared" si="176"/>
        <v>0</v>
      </c>
      <c r="BT287" s="3271">
        <f t="shared" si="177"/>
        <v>0</v>
      </c>
    </row>
    <row r="288" spans="1:72">
      <c r="A288" s="3197"/>
      <c r="B288" s="3198"/>
      <c r="C288" s="3198"/>
      <c r="D288" s="3193"/>
      <c r="E288" s="3199">
        <f t="shared" si="149"/>
        <v>0</v>
      </c>
      <c r="F288" s="3200"/>
      <c r="G288" s="3201">
        <f t="shared" si="150"/>
        <v>0</v>
      </c>
      <c r="H288" s="3202">
        <f t="shared" si="151"/>
        <v>0</v>
      </c>
      <c r="I288" s="3218"/>
      <c r="J288" s="3218"/>
      <c r="K288" s="3218"/>
      <c r="L288" s="3218"/>
      <c r="M288" s="3218"/>
      <c r="N288" s="3218"/>
      <c r="O288" s="3218"/>
      <c r="P288" s="3218"/>
      <c r="Q288" s="3218"/>
      <c r="R288" s="3218"/>
      <c r="S288" s="3218"/>
      <c r="T288" s="3218"/>
      <c r="U288" s="3218"/>
      <c r="V288" s="3218"/>
      <c r="W288" s="3218"/>
      <c r="X288" s="3218"/>
      <c r="Y288" s="3218"/>
      <c r="Z288" s="3218"/>
      <c r="AA288" s="3218"/>
      <c r="AB288" s="3218"/>
      <c r="AC288" s="3199">
        <f t="shared" si="152"/>
        <v>0</v>
      </c>
      <c r="AD288" s="3229"/>
      <c r="AE288" s="3229"/>
      <c r="AF288" s="3229"/>
      <c r="AG288" s="3229"/>
      <c r="AH288" s="3229"/>
      <c r="AI288" s="3229"/>
      <c r="AJ288" s="3229"/>
      <c r="AK288" s="3229"/>
      <c r="AL288" s="3229"/>
      <c r="AM288" s="3229"/>
      <c r="AN288" s="3229"/>
      <c r="AO288" s="3229"/>
      <c r="AP288" s="3229"/>
      <c r="AQ288" s="3229"/>
      <c r="AR288" s="3229"/>
      <c r="AS288" s="3229"/>
      <c r="AT288" s="3249"/>
      <c r="AU288" s="3250"/>
      <c r="AV288" s="475">
        <f t="shared" si="153"/>
        <v>0</v>
      </c>
      <c r="AW288" s="475">
        <f t="shared" si="154"/>
        <v>0</v>
      </c>
      <c r="AX288" s="475">
        <f t="shared" si="155"/>
        <v>0</v>
      </c>
      <c r="AY288" s="3266">
        <f t="shared" si="156"/>
        <v>0</v>
      </c>
      <c r="AZ288" s="3199">
        <f t="shared" si="157"/>
        <v>0</v>
      </c>
      <c r="BA288" s="3199">
        <f t="shared" si="158"/>
        <v>0</v>
      </c>
      <c r="BB288" s="3199">
        <f t="shared" si="159"/>
        <v>0</v>
      </c>
      <c r="BC288" s="3199">
        <f t="shared" si="160"/>
        <v>0</v>
      </c>
      <c r="BD288" s="3199">
        <f t="shared" si="161"/>
        <v>0</v>
      </c>
      <c r="BE288" s="3199">
        <f t="shared" si="162"/>
        <v>0</v>
      </c>
      <c r="BF288" s="3199">
        <f t="shared" si="163"/>
        <v>0</v>
      </c>
      <c r="BG288" s="3199">
        <f t="shared" si="164"/>
        <v>0</v>
      </c>
      <c r="BH288" s="3199">
        <f t="shared" si="165"/>
        <v>0</v>
      </c>
      <c r="BI288" s="3199">
        <f t="shared" si="166"/>
        <v>0</v>
      </c>
      <c r="BJ288" s="3199">
        <f t="shared" si="167"/>
        <v>0</v>
      </c>
      <c r="BK288" s="3199">
        <f t="shared" si="168"/>
        <v>0</v>
      </c>
      <c r="BL288" s="3199">
        <f t="shared" si="169"/>
        <v>0</v>
      </c>
      <c r="BM288" s="3199">
        <f t="shared" si="170"/>
        <v>0</v>
      </c>
      <c r="BN288" s="3199">
        <f t="shared" si="171"/>
        <v>0</v>
      </c>
      <c r="BO288" s="3199">
        <f t="shared" si="172"/>
        <v>0</v>
      </c>
      <c r="BP288" s="3199">
        <f t="shared" si="173"/>
        <v>0</v>
      </c>
      <c r="BQ288" s="3199">
        <f t="shared" si="174"/>
        <v>0</v>
      </c>
      <c r="BR288" s="3199">
        <f t="shared" si="175"/>
        <v>0</v>
      </c>
      <c r="BS288" s="3199">
        <f t="shared" si="176"/>
        <v>0</v>
      </c>
      <c r="BT288" s="3271">
        <f t="shared" si="177"/>
        <v>0</v>
      </c>
    </row>
    <row r="289" spans="1:72">
      <c r="A289" s="3197"/>
      <c r="B289" s="3198"/>
      <c r="C289" s="3198"/>
      <c r="D289" s="3193"/>
      <c r="E289" s="3199">
        <f t="shared" si="149"/>
        <v>0</v>
      </c>
      <c r="F289" s="3200"/>
      <c r="G289" s="3201">
        <f t="shared" si="150"/>
        <v>0</v>
      </c>
      <c r="H289" s="3202">
        <f t="shared" si="151"/>
        <v>0</v>
      </c>
      <c r="I289" s="3218"/>
      <c r="J289" s="3218"/>
      <c r="K289" s="3218"/>
      <c r="L289" s="3218"/>
      <c r="M289" s="3218"/>
      <c r="N289" s="3218"/>
      <c r="O289" s="3218"/>
      <c r="P289" s="3218"/>
      <c r="Q289" s="3218"/>
      <c r="R289" s="3218"/>
      <c r="S289" s="3218"/>
      <c r="T289" s="3218"/>
      <c r="U289" s="3218"/>
      <c r="V289" s="3218"/>
      <c r="W289" s="3218"/>
      <c r="X289" s="3218"/>
      <c r="Y289" s="3218"/>
      <c r="Z289" s="3218"/>
      <c r="AA289" s="3218"/>
      <c r="AB289" s="3218"/>
      <c r="AC289" s="3199">
        <f t="shared" si="152"/>
        <v>0</v>
      </c>
      <c r="AD289" s="3229"/>
      <c r="AE289" s="3229"/>
      <c r="AF289" s="3229"/>
      <c r="AG289" s="3229"/>
      <c r="AH289" s="3229"/>
      <c r="AI289" s="3229"/>
      <c r="AJ289" s="3229"/>
      <c r="AK289" s="3229"/>
      <c r="AL289" s="3229"/>
      <c r="AM289" s="3229"/>
      <c r="AN289" s="3229"/>
      <c r="AO289" s="3229"/>
      <c r="AP289" s="3229"/>
      <c r="AQ289" s="3229"/>
      <c r="AR289" s="3229"/>
      <c r="AS289" s="3229"/>
      <c r="AT289" s="3249"/>
      <c r="AU289" s="3250"/>
      <c r="AV289" s="475">
        <f t="shared" si="153"/>
        <v>0</v>
      </c>
      <c r="AW289" s="475">
        <f t="shared" si="154"/>
        <v>0</v>
      </c>
      <c r="AX289" s="475">
        <f t="shared" si="155"/>
        <v>0</v>
      </c>
      <c r="AY289" s="3266">
        <f t="shared" si="156"/>
        <v>0</v>
      </c>
      <c r="AZ289" s="3199">
        <f t="shared" si="157"/>
        <v>0</v>
      </c>
      <c r="BA289" s="3199">
        <f t="shared" si="158"/>
        <v>0</v>
      </c>
      <c r="BB289" s="3199">
        <f t="shared" si="159"/>
        <v>0</v>
      </c>
      <c r="BC289" s="3199">
        <f t="shared" si="160"/>
        <v>0</v>
      </c>
      <c r="BD289" s="3199">
        <f t="shared" si="161"/>
        <v>0</v>
      </c>
      <c r="BE289" s="3199">
        <f t="shared" si="162"/>
        <v>0</v>
      </c>
      <c r="BF289" s="3199">
        <f t="shared" si="163"/>
        <v>0</v>
      </c>
      <c r="BG289" s="3199">
        <f t="shared" si="164"/>
        <v>0</v>
      </c>
      <c r="BH289" s="3199">
        <f t="shared" si="165"/>
        <v>0</v>
      </c>
      <c r="BI289" s="3199">
        <f t="shared" si="166"/>
        <v>0</v>
      </c>
      <c r="BJ289" s="3199">
        <f t="shared" si="167"/>
        <v>0</v>
      </c>
      <c r="BK289" s="3199">
        <f t="shared" si="168"/>
        <v>0</v>
      </c>
      <c r="BL289" s="3199">
        <f t="shared" si="169"/>
        <v>0</v>
      </c>
      <c r="BM289" s="3199">
        <f t="shared" si="170"/>
        <v>0</v>
      </c>
      <c r="BN289" s="3199">
        <f t="shared" si="171"/>
        <v>0</v>
      </c>
      <c r="BO289" s="3199">
        <f t="shared" si="172"/>
        <v>0</v>
      </c>
      <c r="BP289" s="3199">
        <f t="shared" si="173"/>
        <v>0</v>
      </c>
      <c r="BQ289" s="3199">
        <f t="shared" si="174"/>
        <v>0</v>
      </c>
      <c r="BR289" s="3199">
        <f t="shared" si="175"/>
        <v>0</v>
      </c>
      <c r="BS289" s="3199">
        <f t="shared" si="176"/>
        <v>0</v>
      </c>
      <c r="BT289" s="3271">
        <f t="shared" si="177"/>
        <v>0</v>
      </c>
    </row>
    <row r="290" spans="1:72">
      <c r="A290" s="3197"/>
      <c r="B290" s="3198"/>
      <c r="C290" s="3198"/>
      <c r="D290" s="3193"/>
      <c r="E290" s="3199">
        <f t="shared" si="149"/>
        <v>0</v>
      </c>
      <c r="F290" s="3200"/>
      <c r="G290" s="3201">
        <f t="shared" si="150"/>
        <v>0</v>
      </c>
      <c r="H290" s="3202">
        <f t="shared" si="151"/>
        <v>0</v>
      </c>
      <c r="I290" s="3218"/>
      <c r="J290" s="3218"/>
      <c r="K290" s="3218"/>
      <c r="L290" s="3218"/>
      <c r="M290" s="3218"/>
      <c r="N290" s="3218"/>
      <c r="O290" s="3218"/>
      <c r="P290" s="3218"/>
      <c r="Q290" s="3218"/>
      <c r="R290" s="3218"/>
      <c r="S290" s="3218"/>
      <c r="T290" s="3218"/>
      <c r="U290" s="3218"/>
      <c r="V290" s="3218"/>
      <c r="W290" s="3218"/>
      <c r="X290" s="3218"/>
      <c r="Y290" s="3218"/>
      <c r="Z290" s="3218"/>
      <c r="AA290" s="3218"/>
      <c r="AB290" s="3218"/>
      <c r="AC290" s="3199">
        <f t="shared" si="152"/>
        <v>0</v>
      </c>
      <c r="AD290" s="3229"/>
      <c r="AE290" s="3229"/>
      <c r="AF290" s="3229"/>
      <c r="AG290" s="3229"/>
      <c r="AH290" s="3229"/>
      <c r="AI290" s="3229"/>
      <c r="AJ290" s="3229"/>
      <c r="AK290" s="3229"/>
      <c r="AL290" s="3229"/>
      <c r="AM290" s="3229"/>
      <c r="AN290" s="3229"/>
      <c r="AO290" s="3229"/>
      <c r="AP290" s="3229"/>
      <c r="AQ290" s="3229"/>
      <c r="AR290" s="3229"/>
      <c r="AS290" s="3229"/>
      <c r="AT290" s="3249"/>
      <c r="AU290" s="3250"/>
      <c r="AV290" s="475">
        <f t="shared" si="153"/>
        <v>0</v>
      </c>
      <c r="AW290" s="475">
        <f t="shared" si="154"/>
        <v>0</v>
      </c>
      <c r="AX290" s="475">
        <f t="shared" si="155"/>
        <v>0</v>
      </c>
      <c r="AY290" s="3266">
        <f t="shared" si="156"/>
        <v>0</v>
      </c>
      <c r="AZ290" s="3199">
        <f t="shared" si="157"/>
        <v>0</v>
      </c>
      <c r="BA290" s="3199">
        <f t="shared" si="158"/>
        <v>0</v>
      </c>
      <c r="BB290" s="3199">
        <f t="shared" si="159"/>
        <v>0</v>
      </c>
      <c r="BC290" s="3199">
        <f t="shared" si="160"/>
        <v>0</v>
      </c>
      <c r="BD290" s="3199">
        <f t="shared" si="161"/>
        <v>0</v>
      </c>
      <c r="BE290" s="3199">
        <f t="shared" si="162"/>
        <v>0</v>
      </c>
      <c r="BF290" s="3199">
        <f t="shared" si="163"/>
        <v>0</v>
      </c>
      <c r="BG290" s="3199">
        <f t="shared" si="164"/>
        <v>0</v>
      </c>
      <c r="BH290" s="3199">
        <f t="shared" si="165"/>
        <v>0</v>
      </c>
      <c r="BI290" s="3199">
        <f t="shared" si="166"/>
        <v>0</v>
      </c>
      <c r="BJ290" s="3199">
        <f t="shared" si="167"/>
        <v>0</v>
      </c>
      <c r="BK290" s="3199">
        <f t="shared" si="168"/>
        <v>0</v>
      </c>
      <c r="BL290" s="3199">
        <f t="shared" si="169"/>
        <v>0</v>
      </c>
      <c r="BM290" s="3199">
        <f t="shared" si="170"/>
        <v>0</v>
      </c>
      <c r="BN290" s="3199">
        <f t="shared" si="171"/>
        <v>0</v>
      </c>
      <c r="BO290" s="3199">
        <f t="shared" si="172"/>
        <v>0</v>
      </c>
      <c r="BP290" s="3199">
        <f t="shared" si="173"/>
        <v>0</v>
      </c>
      <c r="BQ290" s="3199">
        <f t="shared" si="174"/>
        <v>0</v>
      </c>
      <c r="BR290" s="3199">
        <f t="shared" si="175"/>
        <v>0</v>
      </c>
      <c r="BS290" s="3199">
        <f t="shared" si="176"/>
        <v>0</v>
      </c>
      <c r="BT290" s="3271">
        <f t="shared" si="177"/>
        <v>0</v>
      </c>
    </row>
    <row r="291" spans="1:72">
      <c r="A291" s="3197"/>
      <c r="B291" s="3198"/>
      <c r="C291" s="3198"/>
      <c r="D291" s="3193"/>
      <c r="E291" s="3199">
        <f t="shared" si="149"/>
        <v>0</v>
      </c>
      <c r="F291" s="3200"/>
      <c r="G291" s="3201">
        <f t="shared" si="150"/>
        <v>0</v>
      </c>
      <c r="H291" s="3202">
        <f t="shared" si="151"/>
        <v>0</v>
      </c>
      <c r="I291" s="3218"/>
      <c r="J291" s="3218"/>
      <c r="K291" s="3218"/>
      <c r="L291" s="3218"/>
      <c r="M291" s="3218"/>
      <c r="N291" s="3218"/>
      <c r="O291" s="3218"/>
      <c r="P291" s="3218"/>
      <c r="Q291" s="3218"/>
      <c r="R291" s="3218"/>
      <c r="S291" s="3218"/>
      <c r="T291" s="3218"/>
      <c r="U291" s="3218"/>
      <c r="V291" s="3218"/>
      <c r="W291" s="3218"/>
      <c r="X291" s="3218"/>
      <c r="Y291" s="3218"/>
      <c r="Z291" s="3218"/>
      <c r="AA291" s="3218"/>
      <c r="AB291" s="3218"/>
      <c r="AC291" s="3199">
        <f t="shared" si="152"/>
        <v>0</v>
      </c>
      <c r="AD291" s="3229"/>
      <c r="AE291" s="3229"/>
      <c r="AF291" s="3229"/>
      <c r="AG291" s="3229"/>
      <c r="AH291" s="3229"/>
      <c r="AI291" s="3229"/>
      <c r="AJ291" s="3229"/>
      <c r="AK291" s="3229"/>
      <c r="AL291" s="3229"/>
      <c r="AM291" s="3229"/>
      <c r="AN291" s="3229"/>
      <c r="AO291" s="3229"/>
      <c r="AP291" s="3229"/>
      <c r="AQ291" s="3229"/>
      <c r="AR291" s="3229"/>
      <c r="AS291" s="3229"/>
      <c r="AT291" s="3249"/>
      <c r="AU291" s="3250"/>
      <c r="AV291" s="475">
        <f t="shared" si="153"/>
        <v>0</v>
      </c>
      <c r="AW291" s="475">
        <f t="shared" si="154"/>
        <v>0</v>
      </c>
      <c r="AX291" s="475">
        <f t="shared" si="155"/>
        <v>0</v>
      </c>
      <c r="AY291" s="3266">
        <f t="shared" si="156"/>
        <v>0</v>
      </c>
      <c r="AZ291" s="3199">
        <f t="shared" si="157"/>
        <v>0</v>
      </c>
      <c r="BA291" s="3199">
        <f t="shared" si="158"/>
        <v>0</v>
      </c>
      <c r="BB291" s="3199">
        <f t="shared" si="159"/>
        <v>0</v>
      </c>
      <c r="BC291" s="3199">
        <f t="shared" si="160"/>
        <v>0</v>
      </c>
      <c r="BD291" s="3199">
        <f t="shared" si="161"/>
        <v>0</v>
      </c>
      <c r="BE291" s="3199">
        <f t="shared" si="162"/>
        <v>0</v>
      </c>
      <c r="BF291" s="3199">
        <f t="shared" si="163"/>
        <v>0</v>
      </c>
      <c r="BG291" s="3199">
        <f t="shared" si="164"/>
        <v>0</v>
      </c>
      <c r="BH291" s="3199">
        <f t="shared" si="165"/>
        <v>0</v>
      </c>
      <c r="BI291" s="3199">
        <f t="shared" si="166"/>
        <v>0</v>
      </c>
      <c r="BJ291" s="3199">
        <f t="shared" si="167"/>
        <v>0</v>
      </c>
      <c r="BK291" s="3199">
        <f t="shared" si="168"/>
        <v>0</v>
      </c>
      <c r="BL291" s="3199">
        <f t="shared" si="169"/>
        <v>0</v>
      </c>
      <c r="BM291" s="3199">
        <f t="shared" si="170"/>
        <v>0</v>
      </c>
      <c r="BN291" s="3199">
        <f t="shared" si="171"/>
        <v>0</v>
      </c>
      <c r="BO291" s="3199">
        <f t="shared" si="172"/>
        <v>0</v>
      </c>
      <c r="BP291" s="3199">
        <f t="shared" si="173"/>
        <v>0</v>
      </c>
      <c r="BQ291" s="3199">
        <f t="shared" si="174"/>
        <v>0</v>
      </c>
      <c r="BR291" s="3199">
        <f t="shared" si="175"/>
        <v>0</v>
      </c>
      <c r="BS291" s="3199">
        <f t="shared" si="176"/>
        <v>0</v>
      </c>
      <c r="BT291" s="3271">
        <f t="shared" si="177"/>
        <v>0</v>
      </c>
    </row>
    <row r="292" spans="1:72">
      <c r="A292" s="3197"/>
      <c r="B292" s="3198"/>
      <c r="C292" s="3198"/>
      <c r="D292" s="3193"/>
      <c r="E292" s="3199">
        <f t="shared" si="149"/>
        <v>0</v>
      </c>
      <c r="F292" s="3200"/>
      <c r="G292" s="3201">
        <f t="shared" si="150"/>
        <v>0</v>
      </c>
      <c r="H292" s="3202">
        <f t="shared" si="151"/>
        <v>0</v>
      </c>
      <c r="I292" s="3218"/>
      <c r="J292" s="3218"/>
      <c r="K292" s="3218"/>
      <c r="L292" s="3218"/>
      <c r="M292" s="3218"/>
      <c r="N292" s="3218"/>
      <c r="O292" s="3218"/>
      <c r="P292" s="3218"/>
      <c r="Q292" s="3218"/>
      <c r="R292" s="3218"/>
      <c r="S292" s="3218"/>
      <c r="T292" s="3218"/>
      <c r="U292" s="3218"/>
      <c r="V292" s="3218"/>
      <c r="W292" s="3218"/>
      <c r="X292" s="3218"/>
      <c r="Y292" s="3218"/>
      <c r="Z292" s="3218"/>
      <c r="AA292" s="3218"/>
      <c r="AB292" s="3218"/>
      <c r="AC292" s="3199">
        <f t="shared" si="152"/>
        <v>0</v>
      </c>
      <c r="AD292" s="3229"/>
      <c r="AE292" s="3229"/>
      <c r="AF292" s="3229"/>
      <c r="AG292" s="3229"/>
      <c r="AH292" s="3229"/>
      <c r="AI292" s="3229"/>
      <c r="AJ292" s="3229"/>
      <c r="AK292" s="3229"/>
      <c r="AL292" s="3229"/>
      <c r="AM292" s="3229"/>
      <c r="AN292" s="3229"/>
      <c r="AO292" s="3229"/>
      <c r="AP292" s="3229"/>
      <c r="AQ292" s="3229"/>
      <c r="AR292" s="3229"/>
      <c r="AS292" s="3229"/>
      <c r="AT292" s="3249"/>
      <c r="AU292" s="3250"/>
      <c r="AV292" s="475">
        <f t="shared" si="153"/>
        <v>0</v>
      </c>
      <c r="AW292" s="475">
        <f t="shared" si="154"/>
        <v>0</v>
      </c>
      <c r="AX292" s="475">
        <f t="shared" si="155"/>
        <v>0</v>
      </c>
      <c r="AY292" s="3266">
        <f t="shared" si="156"/>
        <v>0</v>
      </c>
      <c r="AZ292" s="3199">
        <f t="shared" si="157"/>
        <v>0</v>
      </c>
      <c r="BA292" s="3199">
        <f t="shared" si="158"/>
        <v>0</v>
      </c>
      <c r="BB292" s="3199">
        <f t="shared" si="159"/>
        <v>0</v>
      </c>
      <c r="BC292" s="3199">
        <f t="shared" si="160"/>
        <v>0</v>
      </c>
      <c r="BD292" s="3199">
        <f t="shared" si="161"/>
        <v>0</v>
      </c>
      <c r="BE292" s="3199">
        <f t="shared" si="162"/>
        <v>0</v>
      </c>
      <c r="BF292" s="3199">
        <f t="shared" si="163"/>
        <v>0</v>
      </c>
      <c r="BG292" s="3199">
        <f t="shared" si="164"/>
        <v>0</v>
      </c>
      <c r="BH292" s="3199">
        <f t="shared" si="165"/>
        <v>0</v>
      </c>
      <c r="BI292" s="3199">
        <f t="shared" si="166"/>
        <v>0</v>
      </c>
      <c r="BJ292" s="3199">
        <f t="shared" si="167"/>
        <v>0</v>
      </c>
      <c r="BK292" s="3199">
        <f t="shared" si="168"/>
        <v>0</v>
      </c>
      <c r="BL292" s="3199">
        <f t="shared" si="169"/>
        <v>0</v>
      </c>
      <c r="BM292" s="3199">
        <f t="shared" si="170"/>
        <v>0</v>
      </c>
      <c r="BN292" s="3199">
        <f t="shared" si="171"/>
        <v>0</v>
      </c>
      <c r="BO292" s="3199">
        <f t="shared" si="172"/>
        <v>0</v>
      </c>
      <c r="BP292" s="3199">
        <f t="shared" si="173"/>
        <v>0</v>
      </c>
      <c r="BQ292" s="3199">
        <f t="shared" si="174"/>
        <v>0</v>
      </c>
      <c r="BR292" s="3199">
        <f t="shared" si="175"/>
        <v>0</v>
      </c>
      <c r="BS292" s="3199">
        <f t="shared" si="176"/>
        <v>0</v>
      </c>
      <c r="BT292" s="3271">
        <f t="shared" si="177"/>
        <v>0</v>
      </c>
    </row>
    <row r="293" spans="1:72">
      <c r="A293" s="3197"/>
      <c r="B293" s="3198"/>
      <c r="C293" s="3198"/>
      <c r="D293" s="3193"/>
      <c r="E293" s="3199">
        <f t="shared" si="149"/>
        <v>0</v>
      </c>
      <c r="F293" s="3200"/>
      <c r="G293" s="3201">
        <f t="shared" si="150"/>
        <v>0</v>
      </c>
      <c r="H293" s="3202">
        <f t="shared" si="151"/>
        <v>0</v>
      </c>
      <c r="I293" s="3218"/>
      <c r="J293" s="3218"/>
      <c r="K293" s="3218"/>
      <c r="L293" s="3218"/>
      <c r="M293" s="3218"/>
      <c r="N293" s="3218"/>
      <c r="O293" s="3218"/>
      <c r="P293" s="3218"/>
      <c r="Q293" s="3218"/>
      <c r="R293" s="3218"/>
      <c r="S293" s="3218"/>
      <c r="T293" s="3218"/>
      <c r="U293" s="3218"/>
      <c r="V293" s="3218"/>
      <c r="W293" s="3218"/>
      <c r="X293" s="3218"/>
      <c r="Y293" s="3218"/>
      <c r="Z293" s="3218"/>
      <c r="AA293" s="3218"/>
      <c r="AB293" s="3218"/>
      <c r="AC293" s="3199">
        <f t="shared" si="152"/>
        <v>0</v>
      </c>
      <c r="AD293" s="3229"/>
      <c r="AE293" s="3229"/>
      <c r="AF293" s="3229"/>
      <c r="AG293" s="3229"/>
      <c r="AH293" s="3229"/>
      <c r="AI293" s="3229"/>
      <c r="AJ293" s="3229"/>
      <c r="AK293" s="3229"/>
      <c r="AL293" s="3229"/>
      <c r="AM293" s="3229"/>
      <c r="AN293" s="3229"/>
      <c r="AO293" s="3229"/>
      <c r="AP293" s="3229"/>
      <c r="AQ293" s="3229"/>
      <c r="AR293" s="3229"/>
      <c r="AS293" s="3229"/>
      <c r="AT293" s="3249"/>
      <c r="AU293" s="3250"/>
      <c r="AV293" s="475">
        <f t="shared" si="153"/>
        <v>0</v>
      </c>
      <c r="AW293" s="475">
        <f t="shared" si="154"/>
        <v>0</v>
      </c>
      <c r="AX293" s="475">
        <f t="shared" si="155"/>
        <v>0</v>
      </c>
      <c r="AY293" s="3266">
        <f t="shared" si="156"/>
        <v>0</v>
      </c>
      <c r="AZ293" s="3199">
        <f t="shared" si="157"/>
        <v>0</v>
      </c>
      <c r="BA293" s="3199">
        <f t="shared" si="158"/>
        <v>0</v>
      </c>
      <c r="BB293" s="3199">
        <f t="shared" si="159"/>
        <v>0</v>
      </c>
      <c r="BC293" s="3199">
        <f t="shared" si="160"/>
        <v>0</v>
      </c>
      <c r="BD293" s="3199">
        <f t="shared" si="161"/>
        <v>0</v>
      </c>
      <c r="BE293" s="3199">
        <f t="shared" si="162"/>
        <v>0</v>
      </c>
      <c r="BF293" s="3199">
        <f t="shared" si="163"/>
        <v>0</v>
      </c>
      <c r="BG293" s="3199">
        <f t="shared" si="164"/>
        <v>0</v>
      </c>
      <c r="BH293" s="3199">
        <f t="shared" si="165"/>
        <v>0</v>
      </c>
      <c r="BI293" s="3199">
        <f t="shared" si="166"/>
        <v>0</v>
      </c>
      <c r="BJ293" s="3199">
        <f t="shared" si="167"/>
        <v>0</v>
      </c>
      <c r="BK293" s="3199">
        <f t="shared" si="168"/>
        <v>0</v>
      </c>
      <c r="BL293" s="3199">
        <f t="shared" si="169"/>
        <v>0</v>
      </c>
      <c r="BM293" s="3199">
        <f t="shared" si="170"/>
        <v>0</v>
      </c>
      <c r="BN293" s="3199">
        <f t="shared" si="171"/>
        <v>0</v>
      </c>
      <c r="BO293" s="3199">
        <f t="shared" si="172"/>
        <v>0</v>
      </c>
      <c r="BP293" s="3199">
        <f t="shared" si="173"/>
        <v>0</v>
      </c>
      <c r="BQ293" s="3199">
        <f t="shared" si="174"/>
        <v>0</v>
      </c>
      <c r="BR293" s="3199">
        <f t="shared" si="175"/>
        <v>0</v>
      </c>
      <c r="BS293" s="3199">
        <f t="shared" si="176"/>
        <v>0</v>
      </c>
      <c r="BT293" s="3271">
        <f t="shared" si="177"/>
        <v>0</v>
      </c>
    </row>
    <row r="294" spans="1:72">
      <c r="A294" s="3197"/>
      <c r="B294" s="3197"/>
      <c r="C294" s="3197"/>
      <c r="D294" s="3193"/>
      <c r="E294" s="3199">
        <f t="shared" si="149"/>
        <v>0</v>
      </c>
      <c r="F294" s="3272"/>
      <c r="G294" s="3201">
        <f t="shared" ref="G294:G325" si="178">H294+AC294+AT294</f>
        <v>0</v>
      </c>
      <c r="H294" s="3202">
        <f t="shared" ref="H294:H325" si="179">SUMIF(I$12:AB$12,"总值",I294:AB294)</f>
        <v>0</v>
      </c>
      <c r="I294" s="3273"/>
      <c r="J294" s="3273"/>
      <c r="K294" s="3218"/>
      <c r="L294" s="3218"/>
      <c r="M294" s="3218"/>
      <c r="N294" s="3218"/>
      <c r="O294" s="3218"/>
      <c r="P294" s="3218"/>
      <c r="Q294" s="3218"/>
      <c r="R294" s="3218"/>
      <c r="S294" s="3218"/>
      <c r="T294" s="3218"/>
      <c r="U294" s="3218"/>
      <c r="V294" s="3218"/>
      <c r="W294" s="3218"/>
      <c r="X294" s="3218"/>
      <c r="Y294" s="3218"/>
      <c r="Z294" s="3218"/>
      <c r="AA294" s="3218"/>
      <c r="AB294" s="3218"/>
      <c r="AC294" s="3199">
        <f t="shared" ref="AC294:AC325" si="180">SUMIF(AD$12:AS$12,"总值",AD294:AS294)</f>
        <v>0</v>
      </c>
      <c r="AD294" s="3229"/>
      <c r="AE294" s="3229"/>
      <c r="AF294" s="3229"/>
      <c r="AG294" s="3229"/>
      <c r="AH294" s="3229"/>
      <c r="AI294" s="3229"/>
      <c r="AJ294" s="3229"/>
      <c r="AK294" s="3229"/>
      <c r="AL294" s="3229"/>
      <c r="AM294" s="3229"/>
      <c r="AN294" s="3229"/>
      <c r="AO294" s="3229"/>
      <c r="AP294" s="3229"/>
      <c r="AQ294" s="3229"/>
      <c r="AR294" s="3229"/>
      <c r="AS294" s="3229"/>
      <c r="AT294" s="3229"/>
      <c r="AU294" s="3274"/>
      <c r="AV294" s="475">
        <f t="shared" si="153"/>
        <v>0</v>
      </c>
      <c r="AW294" s="475">
        <f t="shared" si="154"/>
        <v>0</v>
      </c>
      <c r="AX294" s="475">
        <f t="shared" si="155"/>
        <v>0</v>
      </c>
      <c r="AY294" s="3266">
        <f t="shared" ref="AY294:AY325" si="181">ROUND($AY$6*AZ294/$AZ$5,2)</f>
        <v>0</v>
      </c>
      <c r="AZ294" s="3199">
        <f t="shared" ref="AZ294:AZ325" si="182">BA294+BL294</f>
        <v>0</v>
      </c>
      <c r="BA294" s="3199">
        <f t="shared" ref="BA294:BA325" si="183">SUM(BB294:BK294)</f>
        <v>0</v>
      </c>
      <c r="BB294" s="3199">
        <f t="shared" ref="BB294:BB325" si="184">IF($D294="是",I294-J294,0)</f>
        <v>0</v>
      </c>
      <c r="BC294" s="3199">
        <f t="shared" ref="BC294:BC325" si="185">IF($D294="是",K294-L294,0)</f>
        <v>0</v>
      </c>
      <c r="BD294" s="3199">
        <f t="shared" ref="BD294:BD325" si="186">IF($D294="是",M294-N294,0)</f>
        <v>0</v>
      </c>
      <c r="BE294" s="3199">
        <f t="shared" ref="BE294:BE325" si="187">IF($D294="是",O294-P294,0)</f>
        <v>0</v>
      </c>
      <c r="BF294" s="3199">
        <f t="shared" ref="BF294:BF325" si="188">IF($D294="是",Q294-R294,0)</f>
        <v>0</v>
      </c>
      <c r="BG294" s="3199">
        <f t="shared" ref="BG294:BG325" si="189">IF($D294="是",S294-T294,0)</f>
        <v>0</v>
      </c>
      <c r="BH294" s="3199">
        <f t="shared" ref="BH294:BH325" si="190">IF($D294="是",U294-V294,0)</f>
        <v>0</v>
      </c>
      <c r="BI294" s="3199">
        <f t="shared" ref="BI294:BI325" si="191">IF($D294="是",W294-X294,0)</f>
        <v>0</v>
      </c>
      <c r="BJ294" s="3199">
        <f t="shared" ref="BJ294:BJ325" si="192">IF($D294="是",Y294-Z294,0)</f>
        <v>0</v>
      </c>
      <c r="BK294" s="3199">
        <f t="shared" ref="BK294:BK325" si="193">IF($D294="是",AA294-AB294,0)</f>
        <v>0</v>
      </c>
      <c r="BL294" s="3199">
        <f t="shared" ref="BL294:BL325" si="194">SUM(BM294:BT294)</f>
        <v>0</v>
      </c>
      <c r="BM294" s="3199">
        <f t="shared" ref="BM294:BM325" si="195">IF($D294="是",AD294-AE294,0)</f>
        <v>0</v>
      </c>
      <c r="BN294" s="3199">
        <f t="shared" ref="BN294:BN325" si="196">IF($D294="是",AF294-AG294,0)</f>
        <v>0</v>
      </c>
      <c r="BO294" s="3199">
        <f t="shared" ref="BO294:BO325" si="197">IF($D294="是",AH294-AI294,0)</f>
        <v>0</v>
      </c>
      <c r="BP294" s="3199">
        <f t="shared" ref="BP294:BP325" si="198">IF($D294="是",AJ294-AK294,0)</f>
        <v>0</v>
      </c>
      <c r="BQ294" s="3199">
        <f t="shared" ref="BQ294:BQ325" si="199">IF($D294="是",AL294-AM294,0)</f>
        <v>0</v>
      </c>
      <c r="BR294" s="3199">
        <f t="shared" ref="BR294:BR325" si="200">IF($D294="是",AN294-AO294,0)</f>
        <v>0</v>
      </c>
      <c r="BS294" s="3199">
        <f t="shared" ref="BS294:BS325" si="201">IF($D294="是",AP294-AQ294,0)</f>
        <v>0</v>
      </c>
      <c r="BT294" s="3271">
        <f t="shared" ref="BT294:BT325" si="202">IF($D294="是",AR294-AS294,0)</f>
        <v>0</v>
      </c>
    </row>
    <row r="295" spans="1:72">
      <c r="A295" s="3197"/>
      <c r="B295" s="3197"/>
      <c r="C295" s="3197"/>
      <c r="D295" s="3193"/>
      <c r="E295" s="3199">
        <f t="shared" si="149"/>
        <v>0</v>
      </c>
      <c r="F295" s="3272"/>
      <c r="G295" s="3201">
        <f t="shared" si="178"/>
        <v>0</v>
      </c>
      <c r="H295" s="3202">
        <f t="shared" si="179"/>
        <v>0</v>
      </c>
      <c r="I295" s="3218"/>
      <c r="J295" s="3218"/>
      <c r="K295" s="3218"/>
      <c r="L295" s="3218"/>
      <c r="M295" s="3218"/>
      <c r="N295" s="3218"/>
      <c r="O295" s="3218"/>
      <c r="P295" s="3218"/>
      <c r="Q295" s="3218"/>
      <c r="R295" s="3218"/>
      <c r="S295" s="3218"/>
      <c r="T295" s="3218"/>
      <c r="U295" s="3218"/>
      <c r="V295" s="3218"/>
      <c r="W295" s="3218"/>
      <c r="X295" s="3218"/>
      <c r="Y295" s="3218"/>
      <c r="Z295" s="3218"/>
      <c r="AA295" s="3218"/>
      <c r="AB295" s="3218"/>
      <c r="AC295" s="3199">
        <f t="shared" si="180"/>
        <v>0</v>
      </c>
      <c r="AD295" s="3229"/>
      <c r="AE295" s="3229"/>
      <c r="AF295" s="3229"/>
      <c r="AG295" s="3229"/>
      <c r="AH295" s="3229"/>
      <c r="AI295" s="3229"/>
      <c r="AJ295" s="3229"/>
      <c r="AK295" s="3229"/>
      <c r="AL295" s="3229"/>
      <c r="AM295" s="3229"/>
      <c r="AN295" s="3229"/>
      <c r="AO295" s="3229"/>
      <c r="AP295" s="3229"/>
      <c r="AQ295" s="3229"/>
      <c r="AR295" s="3229"/>
      <c r="AS295" s="3229"/>
      <c r="AT295" s="3229"/>
      <c r="AU295" s="3274"/>
      <c r="AV295" s="475">
        <f t="shared" si="153"/>
        <v>0</v>
      </c>
      <c r="AW295" s="475">
        <f t="shared" si="154"/>
        <v>0</v>
      </c>
      <c r="AX295" s="475">
        <f t="shared" si="155"/>
        <v>0</v>
      </c>
      <c r="AY295" s="3266">
        <f t="shared" si="181"/>
        <v>0</v>
      </c>
      <c r="AZ295" s="3199">
        <f t="shared" si="182"/>
        <v>0</v>
      </c>
      <c r="BA295" s="3199">
        <f t="shared" si="183"/>
        <v>0</v>
      </c>
      <c r="BB295" s="3199">
        <f t="shared" si="184"/>
        <v>0</v>
      </c>
      <c r="BC295" s="3199">
        <f t="shared" si="185"/>
        <v>0</v>
      </c>
      <c r="BD295" s="3199">
        <f t="shared" si="186"/>
        <v>0</v>
      </c>
      <c r="BE295" s="3199">
        <f t="shared" si="187"/>
        <v>0</v>
      </c>
      <c r="BF295" s="3199">
        <f t="shared" si="188"/>
        <v>0</v>
      </c>
      <c r="BG295" s="3199">
        <f t="shared" si="189"/>
        <v>0</v>
      </c>
      <c r="BH295" s="3199">
        <f t="shared" si="190"/>
        <v>0</v>
      </c>
      <c r="BI295" s="3199">
        <f t="shared" si="191"/>
        <v>0</v>
      </c>
      <c r="BJ295" s="3199">
        <f t="shared" si="192"/>
        <v>0</v>
      </c>
      <c r="BK295" s="3199">
        <f t="shared" si="193"/>
        <v>0</v>
      </c>
      <c r="BL295" s="3199">
        <f t="shared" si="194"/>
        <v>0</v>
      </c>
      <c r="BM295" s="3199">
        <f t="shared" si="195"/>
        <v>0</v>
      </c>
      <c r="BN295" s="3199">
        <f t="shared" si="196"/>
        <v>0</v>
      </c>
      <c r="BO295" s="3199">
        <f t="shared" si="197"/>
        <v>0</v>
      </c>
      <c r="BP295" s="3199">
        <f t="shared" si="198"/>
        <v>0</v>
      </c>
      <c r="BQ295" s="3199">
        <f t="shared" si="199"/>
        <v>0</v>
      </c>
      <c r="BR295" s="3199">
        <f t="shared" si="200"/>
        <v>0</v>
      </c>
      <c r="BS295" s="3199">
        <f t="shared" si="201"/>
        <v>0</v>
      </c>
      <c r="BT295" s="3271">
        <f t="shared" si="202"/>
        <v>0</v>
      </c>
    </row>
    <row r="296" spans="1:72">
      <c r="A296" s="3197"/>
      <c r="B296" s="3197"/>
      <c r="C296" s="3197"/>
      <c r="D296" s="3193"/>
      <c r="E296" s="3199">
        <f t="shared" si="149"/>
        <v>0</v>
      </c>
      <c r="F296" s="3272"/>
      <c r="G296" s="3201">
        <f t="shared" si="178"/>
        <v>0</v>
      </c>
      <c r="H296" s="3202">
        <f t="shared" si="179"/>
        <v>0</v>
      </c>
      <c r="I296" s="3218"/>
      <c r="J296" s="3218"/>
      <c r="K296" s="3218"/>
      <c r="L296" s="3218"/>
      <c r="M296" s="3218"/>
      <c r="N296" s="3218"/>
      <c r="O296" s="3218"/>
      <c r="P296" s="3218"/>
      <c r="Q296" s="3218"/>
      <c r="R296" s="3218"/>
      <c r="S296" s="3218"/>
      <c r="T296" s="3218"/>
      <c r="U296" s="3218"/>
      <c r="V296" s="3218"/>
      <c r="W296" s="3218"/>
      <c r="X296" s="3218"/>
      <c r="Y296" s="3218"/>
      <c r="Z296" s="3218"/>
      <c r="AA296" s="3218"/>
      <c r="AB296" s="3218"/>
      <c r="AC296" s="3199">
        <f t="shared" si="180"/>
        <v>0</v>
      </c>
      <c r="AD296" s="3229"/>
      <c r="AE296" s="3229"/>
      <c r="AF296" s="3229"/>
      <c r="AG296" s="3229"/>
      <c r="AH296" s="3229"/>
      <c r="AI296" s="3229"/>
      <c r="AJ296" s="3229"/>
      <c r="AK296" s="3229"/>
      <c r="AL296" s="3229"/>
      <c r="AM296" s="3229"/>
      <c r="AN296" s="3229"/>
      <c r="AO296" s="3229"/>
      <c r="AP296" s="3229"/>
      <c r="AQ296" s="3229"/>
      <c r="AR296" s="3229"/>
      <c r="AS296" s="3229"/>
      <c r="AT296" s="3229"/>
      <c r="AU296" s="3274"/>
      <c r="AV296" s="475">
        <f t="shared" si="153"/>
        <v>0</v>
      </c>
      <c r="AW296" s="475">
        <f t="shared" si="154"/>
        <v>0</v>
      </c>
      <c r="AX296" s="475">
        <f t="shared" si="155"/>
        <v>0</v>
      </c>
      <c r="AY296" s="3266">
        <f t="shared" si="181"/>
        <v>0</v>
      </c>
      <c r="AZ296" s="3199">
        <f t="shared" si="182"/>
        <v>0</v>
      </c>
      <c r="BA296" s="3199">
        <f t="shared" si="183"/>
        <v>0</v>
      </c>
      <c r="BB296" s="3199">
        <f t="shared" si="184"/>
        <v>0</v>
      </c>
      <c r="BC296" s="3199">
        <f t="shared" si="185"/>
        <v>0</v>
      </c>
      <c r="BD296" s="3199">
        <f t="shared" si="186"/>
        <v>0</v>
      </c>
      <c r="BE296" s="3199">
        <f t="shared" si="187"/>
        <v>0</v>
      </c>
      <c r="BF296" s="3199">
        <f t="shared" si="188"/>
        <v>0</v>
      </c>
      <c r="BG296" s="3199">
        <f t="shared" si="189"/>
        <v>0</v>
      </c>
      <c r="BH296" s="3199">
        <f t="shared" si="190"/>
        <v>0</v>
      </c>
      <c r="BI296" s="3199">
        <f t="shared" si="191"/>
        <v>0</v>
      </c>
      <c r="BJ296" s="3199">
        <f t="shared" si="192"/>
        <v>0</v>
      </c>
      <c r="BK296" s="3199">
        <f t="shared" si="193"/>
        <v>0</v>
      </c>
      <c r="BL296" s="3199">
        <f t="shared" si="194"/>
        <v>0</v>
      </c>
      <c r="BM296" s="3199">
        <f t="shared" si="195"/>
        <v>0</v>
      </c>
      <c r="BN296" s="3199">
        <f t="shared" si="196"/>
        <v>0</v>
      </c>
      <c r="BO296" s="3199">
        <f t="shared" si="197"/>
        <v>0</v>
      </c>
      <c r="BP296" s="3199">
        <f t="shared" si="198"/>
        <v>0</v>
      </c>
      <c r="BQ296" s="3199">
        <f t="shared" si="199"/>
        <v>0</v>
      </c>
      <c r="BR296" s="3199">
        <f t="shared" si="200"/>
        <v>0</v>
      </c>
      <c r="BS296" s="3199">
        <f t="shared" si="201"/>
        <v>0</v>
      </c>
      <c r="BT296" s="3271">
        <f t="shared" si="202"/>
        <v>0</v>
      </c>
    </row>
    <row r="297" spans="1:72">
      <c r="A297" s="3197"/>
      <c r="B297" s="3205"/>
      <c r="C297" s="3204"/>
      <c r="D297" s="3193"/>
      <c r="E297" s="3199">
        <f t="shared" ref="E297:E328" si="203">IF($C$3="是",ROUND($A$3*G297/$B$3,2),ROUND($A$3*(G297-AT297)/$B$3,2))</f>
        <v>0</v>
      </c>
      <c r="F297" s="3200"/>
      <c r="G297" s="3201">
        <f t="shared" si="178"/>
        <v>0</v>
      </c>
      <c r="H297" s="3202">
        <f t="shared" si="179"/>
        <v>0</v>
      </c>
      <c r="I297" s="3207"/>
      <c r="J297" s="3218"/>
      <c r="K297" s="3207"/>
      <c r="L297" s="3218"/>
      <c r="M297" s="3218"/>
      <c r="N297" s="3218"/>
      <c r="O297" s="3218"/>
      <c r="P297" s="3218"/>
      <c r="Q297" s="3218"/>
      <c r="R297" s="3218"/>
      <c r="S297" s="3218"/>
      <c r="T297" s="3218"/>
      <c r="U297" s="3218"/>
      <c r="V297" s="3218"/>
      <c r="W297" s="3218"/>
      <c r="X297" s="3218"/>
      <c r="Y297" s="3218"/>
      <c r="Z297" s="3218"/>
      <c r="AA297" s="3218"/>
      <c r="AB297" s="3218"/>
      <c r="AC297" s="3199">
        <f t="shared" si="180"/>
        <v>0</v>
      </c>
      <c r="AD297" s="3229"/>
      <c r="AE297" s="3229"/>
      <c r="AF297" s="3230"/>
      <c r="AG297" s="3229"/>
      <c r="AH297" s="3229"/>
      <c r="AI297" s="3229"/>
      <c r="AJ297" s="3229"/>
      <c r="AK297" s="3229"/>
      <c r="AL297" s="3229"/>
      <c r="AM297" s="3229"/>
      <c r="AN297" s="3219"/>
      <c r="AO297" s="3229"/>
      <c r="AP297" s="3229"/>
      <c r="AQ297" s="3229"/>
      <c r="AR297" s="3229"/>
      <c r="AS297" s="3229"/>
      <c r="AT297" s="3249"/>
      <c r="AU297" s="3250"/>
      <c r="AV297" s="475">
        <f t="shared" ref="AV297:AV328" si="204">A297</f>
        <v>0</v>
      </c>
      <c r="AW297" s="475">
        <f t="shared" ref="AW297:AW328" si="205">B297</f>
        <v>0</v>
      </c>
      <c r="AX297" s="475">
        <f t="shared" ref="AX297:AX328" si="206">C297</f>
        <v>0</v>
      </c>
      <c r="AY297" s="3266">
        <f t="shared" si="181"/>
        <v>0</v>
      </c>
      <c r="AZ297" s="3199">
        <f t="shared" si="182"/>
        <v>0</v>
      </c>
      <c r="BA297" s="3199">
        <f t="shared" si="183"/>
        <v>0</v>
      </c>
      <c r="BB297" s="3199">
        <f t="shared" si="184"/>
        <v>0</v>
      </c>
      <c r="BC297" s="3199">
        <f t="shared" si="185"/>
        <v>0</v>
      </c>
      <c r="BD297" s="3199">
        <f t="shared" si="186"/>
        <v>0</v>
      </c>
      <c r="BE297" s="3199">
        <f t="shared" si="187"/>
        <v>0</v>
      </c>
      <c r="BF297" s="3199">
        <f t="shared" si="188"/>
        <v>0</v>
      </c>
      <c r="BG297" s="3199">
        <f t="shared" si="189"/>
        <v>0</v>
      </c>
      <c r="BH297" s="3199">
        <f t="shared" si="190"/>
        <v>0</v>
      </c>
      <c r="BI297" s="3199">
        <f t="shared" si="191"/>
        <v>0</v>
      </c>
      <c r="BJ297" s="3199">
        <f t="shared" si="192"/>
        <v>0</v>
      </c>
      <c r="BK297" s="3199">
        <f t="shared" si="193"/>
        <v>0</v>
      </c>
      <c r="BL297" s="3199">
        <f t="shared" si="194"/>
        <v>0</v>
      </c>
      <c r="BM297" s="3199">
        <f t="shared" si="195"/>
        <v>0</v>
      </c>
      <c r="BN297" s="3199">
        <f t="shared" si="196"/>
        <v>0</v>
      </c>
      <c r="BO297" s="3199">
        <f t="shared" si="197"/>
        <v>0</v>
      </c>
      <c r="BP297" s="3199">
        <f t="shared" si="198"/>
        <v>0</v>
      </c>
      <c r="BQ297" s="3199">
        <f t="shared" si="199"/>
        <v>0</v>
      </c>
      <c r="BR297" s="3199">
        <f t="shared" si="200"/>
        <v>0</v>
      </c>
      <c r="BS297" s="3199">
        <f t="shared" si="201"/>
        <v>0</v>
      </c>
      <c r="BT297" s="3271">
        <f t="shared" si="202"/>
        <v>0</v>
      </c>
    </row>
    <row r="298" spans="1:72">
      <c r="A298" s="3197"/>
      <c r="B298" s="3205"/>
      <c r="C298" s="3204"/>
      <c r="D298" s="3193"/>
      <c r="E298" s="3199">
        <f t="shared" si="203"/>
        <v>0</v>
      </c>
      <c r="F298" s="3200"/>
      <c r="G298" s="3201">
        <f t="shared" si="178"/>
        <v>0</v>
      </c>
      <c r="H298" s="3202">
        <f t="shared" si="179"/>
        <v>0</v>
      </c>
      <c r="I298" s="3207"/>
      <c r="J298" s="3218"/>
      <c r="K298" s="3207"/>
      <c r="L298" s="3218"/>
      <c r="M298" s="3219"/>
      <c r="N298" s="3218"/>
      <c r="O298" s="3218"/>
      <c r="P298" s="3218"/>
      <c r="Q298" s="3218"/>
      <c r="R298" s="3218"/>
      <c r="S298" s="3218"/>
      <c r="T298" s="3218"/>
      <c r="U298" s="3218"/>
      <c r="V298" s="3218"/>
      <c r="W298" s="3218"/>
      <c r="X298" s="3218"/>
      <c r="Y298" s="3218"/>
      <c r="Z298" s="3218"/>
      <c r="AA298" s="3218"/>
      <c r="AB298" s="3218"/>
      <c r="AC298" s="3199">
        <f t="shared" si="180"/>
        <v>0</v>
      </c>
      <c r="AD298" s="3219"/>
      <c r="AE298" s="3229"/>
      <c r="AF298" s="3230"/>
      <c r="AG298" s="3229"/>
      <c r="AH298" s="3229"/>
      <c r="AI298" s="3229"/>
      <c r="AJ298" s="3229"/>
      <c r="AK298" s="3229"/>
      <c r="AL298" s="3219"/>
      <c r="AM298" s="3229"/>
      <c r="AN298" s="3219"/>
      <c r="AO298" s="3229"/>
      <c r="AP298" s="3229"/>
      <c r="AQ298" s="3229"/>
      <c r="AR298" s="3229"/>
      <c r="AS298" s="3229"/>
      <c r="AT298" s="3249"/>
      <c r="AU298" s="3250"/>
      <c r="AV298" s="475">
        <f t="shared" si="204"/>
        <v>0</v>
      </c>
      <c r="AW298" s="475">
        <f t="shared" si="205"/>
        <v>0</v>
      </c>
      <c r="AX298" s="475">
        <f t="shared" si="206"/>
        <v>0</v>
      </c>
      <c r="AY298" s="3266">
        <f t="shared" si="181"/>
        <v>0</v>
      </c>
      <c r="AZ298" s="3199">
        <f t="shared" si="182"/>
        <v>0</v>
      </c>
      <c r="BA298" s="3199">
        <f t="shared" si="183"/>
        <v>0</v>
      </c>
      <c r="BB298" s="3199">
        <f t="shared" si="184"/>
        <v>0</v>
      </c>
      <c r="BC298" s="3199">
        <f t="shared" si="185"/>
        <v>0</v>
      </c>
      <c r="BD298" s="3199">
        <f t="shared" si="186"/>
        <v>0</v>
      </c>
      <c r="BE298" s="3199">
        <f t="shared" si="187"/>
        <v>0</v>
      </c>
      <c r="BF298" s="3199">
        <f t="shared" si="188"/>
        <v>0</v>
      </c>
      <c r="BG298" s="3199">
        <f t="shared" si="189"/>
        <v>0</v>
      </c>
      <c r="BH298" s="3199">
        <f t="shared" si="190"/>
        <v>0</v>
      </c>
      <c r="BI298" s="3199">
        <f t="shared" si="191"/>
        <v>0</v>
      </c>
      <c r="BJ298" s="3199">
        <f t="shared" si="192"/>
        <v>0</v>
      </c>
      <c r="BK298" s="3199">
        <f t="shared" si="193"/>
        <v>0</v>
      </c>
      <c r="BL298" s="3199">
        <f t="shared" si="194"/>
        <v>0</v>
      </c>
      <c r="BM298" s="3199">
        <f t="shared" si="195"/>
        <v>0</v>
      </c>
      <c r="BN298" s="3199">
        <f t="shared" si="196"/>
        <v>0</v>
      </c>
      <c r="BO298" s="3199">
        <f t="shared" si="197"/>
        <v>0</v>
      </c>
      <c r="BP298" s="3199">
        <f t="shared" si="198"/>
        <v>0</v>
      </c>
      <c r="BQ298" s="3199">
        <f t="shared" si="199"/>
        <v>0</v>
      </c>
      <c r="BR298" s="3199">
        <f t="shared" si="200"/>
        <v>0</v>
      </c>
      <c r="BS298" s="3199">
        <f t="shared" si="201"/>
        <v>0</v>
      </c>
      <c r="BT298" s="3271">
        <f t="shared" si="202"/>
        <v>0</v>
      </c>
    </row>
    <row r="299" spans="1:72">
      <c r="A299" s="3197"/>
      <c r="B299" s="3205"/>
      <c r="C299" s="3204"/>
      <c r="D299" s="3193"/>
      <c r="E299" s="3199">
        <f t="shared" si="203"/>
        <v>0</v>
      </c>
      <c r="F299" s="3200"/>
      <c r="G299" s="3201">
        <f t="shared" si="178"/>
        <v>0</v>
      </c>
      <c r="H299" s="3202">
        <f t="shared" si="179"/>
        <v>0</v>
      </c>
      <c r="I299" s="3207"/>
      <c r="J299" s="3218"/>
      <c r="K299" s="3207"/>
      <c r="L299" s="3218"/>
      <c r="M299" s="3219"/>
      <c r="N299" s="3218"/>
      <c r="O299" s="3218"/>
      <c r="P299" s="3218"/>
      <c r="Q299" s="3218"/>
      <c r="R299" s="3218"/>
      <c r="S299" s="3218"/>
      <c r="T299" s="3218"/>
      <c r="U299" s="3218"/>
      <c r="V299" s="3218"/>
      <c r="W299" s="3218"/>
      <c r="X299" s="3218"/>
      <c r="Y299" s="3218"/>
      <c r="Z299" s="3218"/>
      <c r="AA299" s="3218"/>
      <c r="AB299" s="3218"/>
      <c r="AC299" s="3199">
        <f t="shared" si="180"/>
        <v>0</v>
      </c>
      <c r="AD299" s="3229"/>
      <c r="AE299" s="3229"/>
      <c r="AF299" s="3230"/>
      <c r="AG299" s="3229"/>
      <c r="AH299" s="3229"/>
      <c r="AI299" s="3229"/>
      <c r="AJ299" s="3229"/>
      <c r="AK299" s="3229"/>
      <c r="AL299" s="3219"/>
      <c r="AM299" s="3229"/>
      <c r="AN299" s="3219"/>
      <c r="AO299" s="3229"/>
      <c r="AP299" s="3229"/>
      <c r="AQ299" s="3229"/>
      <c r="AR299" s="3229"/>
      <c r="AS299" s="3229"/>
      <c r="AT299" s="3249"/>
      <c r="AU299" s="3250"/>
      <c r="AV299" s="475">
        <f t="shared" si="204"/>
        <v>0</v>
      </c>
      <c r="AW299" s="475">
        <f t="shared" si="205"/>
        <v>0</v>
      </c>
      <c r="AX299" s="475">
        <f t="shared" si="206"/>
        <v>0</v>
      </c>
      <c r="AY299" s="3266">
        <f t="shared" si="181"/>
        <v>0</v>
      </c>
      <c r="AZ299" s="3199">
        <f t="shared" si="182"/>
        <v>0</v>
      </c>
      <c r="BA299" s="3199">
        <f t="shared" si="183"/>
        <v>0</v>
      </c>
      <c r="BB299" s="3199">
        <f t="shared" si="184"/>
        <v>0</v>
      </c>
      <c r="BC299" s="3199">
        <f t="shared" si="185"/>
        <v>0</v>
      </c>
      <c r="BD299" s="3199">
        <f t="shared" si="186"/>
        <v>0</v>
      </c>
      <c r="BE299" s="3199">
        <f t="shared" si="187"/>
        <v>0</v>
      </c>
      <c r="BF299" s="3199">
        <f t="shared" si="188"/>
        <v>0</v>
      </c>
      <c r="BG299" s="3199">
        <f t="shared" si="189"/>
        <v>0</v>
      </c>
      <c r="BH299" s="3199">
        <f t="shared" si="190"/>
        <v>0</v>
      </c>
      <c r="BI299" s="3199">
        <f t="shared" si="191"/>
        <v>0</v>
      </c>
      <c r="BJ299" s="3199">
        <f t="shared" si="192"/>
        <v>0</v>
      </c>
      <c r="BK299" s="3199">
        <f t="shared" si="193"/>
        <v>0</v>
      </c>
      <c r="BL299" s="3199">
        <f t="shared" si="194"/>
        <v>0</v>
      </c>
      <c r="BM299" s="3199">
        <f t="shared" si="195"/>
        <v>0</v>
      </c>
      <c r="BN299" s="3199">
        <f t="shared" si="196"/>
        <v>0</v>
      </c>
      <c r="BO299" s="3199">
        <f t="shared" si="197"/>
        <v>0</v>
      </c>
      <c r="BP299" s="3199">
        <f t="shared" si="198"/>
        <v>0</v>
      </c>
      <c r="BQ299" s="3199">
        <f t="shared" si="199"/>
        <v>0</v>
      </c>
      <c r="BR299" s="3199">
        <f t="shared" si="200"/>
        <v>0</v>
      </c>
      <c r="BS299" s="3199">
        <f t="shared" si="201"/>
        <v>0</v>
      </c>
      <c r="BT299" s="3271">
        <f t="shared" si="202"/>
        <v>0</v>
      </c>
    </row>
    <row r="300" spans="1:72">
      <c r="A300" s="3197"/>
      <c r="B300" s="3205"/>
      <c r="C300" s="3204"/>
      <c r="D300" s="3193"/>
      <c r="E300" s="3199">
        <f t="shared" si="203"/>
        <v>0</v>
      </c>
      <c r="F300" s="3200"/>
      <c r="G300" s="3201">
        <f t="shared" si="178"/>
        <v>0</v>
      </c>
      <c r="H300" s="3202">
        <f t="shared" si="179"/>
        <v>0</v>
      </c>
      <c r="I300" s="3207"/>
      <c r="J300" s="3218"/>
      <c r="K300" s="3207"/>
      <c r="L300" s="3218"/>
      <c r="M300" s="3218"/>
      <c r="N300" s="3218"/>
      <c r="O300" s="3219"/>
      <c r="P300" s="3218"/>
      <c r="Q300" s="3218"/>
      <c r="R300" s="3218"/>
      <c r="S300" s="3218"/>
      <c r="T300" s="3218"/>
      <c r="U300" s="3218"/>
      <c r="V300" s="3218"/>
      <c r="W300" s="3218"/>
      <c r="X300" s="3218"/>
      <c r="Y300" s="3218"/>
      <c r="Z300" s="3218"/>
      <c r="AA300" s="3218"/>
      <c r="AB300" s="3218"/>
      <c r="AC300" s="3199">
        <f t="shared" si="180"/>
        <v>0</v>
      </c>
      <c r="AD300" s="3229"/>
      <c r="AE300" s="3229"/>
      <c r="AF300" s="3230"/>
      <c r="AG300" s="3229"/>
      <c r="AH300" s="3229"/>
      <c r="AI300" s="3229"/>
      <c r="AJ300" s="3229"/>
      <c r="AK300" s="3229"/>
      <c r="AL300" s="3229"/>
      <c r="AM300" s="3229"/>
      <c r="AN300" s="3219"/>
      <c r="AO300" s="3229"/>
      <c r="AP300" s="3229"/>
      <c r="AQ300" s="3229"/>
      <c r="AR300" s="3229"/>
      <c r="AS300" s="3229"/>
      <c r="AT300" s="3249"/>
      <c r="AU300" s="3250"/>
      <c r="AV300" s="475">
        <f t="shared" si="204"/>
        <v>0</v>
      </c>
      <c r="AW300" s="475">
        <f t="shared" si="205"/>
        <v>0</v>
      </c>
      <c r="AX300" s="475">
        <f t="shared" si="206"/>
        <v>0</v>
      </c>
      <c r="AY300" s="3266">
        <f t="shared" si="181"/>
        <v>0</v>
      </c>
      <c r="AZ300" s="3199">
        <f t="shared" si="182"/>
        <v>0</v>
      </c>
      <c r="BA300" s="3199">
        <f t="shared" si="183"/>
        <v>0</v>
      </c>
      <c r="BB300" s="3199">
        <f t="shared" si="184"/>
        <v>0</v>
      </c>
      <c r="BC300" s="3199">
        <f t="shared" si="185"/>
        <v>0</v>
      </c>
      <c r="BD300" s="3199">
        <f t="shared" si="186"/>
        <v>0</v>
      </c>
      <c r="BE300" s="3199">
        <f t="shared" si="187"/>
        <v>0</v>
      </c>
      <c r="BF300" s="3199">
        <f t="shared" si="188"/>
        <v>0</v>
      </c>
      <c r="BG300" s="3199">
        <f t="shared" si="189"/>
        <v>0</v>
      </c>
      <c r="BH300" s="3199">
        <f t="shared" si="190"/>
        <v>0</v>
      </c>
      <c r="BI300" s="3199">
        <f t="shared" si="191"/>
        <v>0</v>
      </c>
      <c r="BJ300" s="3199">
        <f t="shared" si="192"/>
        <v>0</v>
      </c>
      <c r="BK300" s="3199">
        <f t="shared" si="193"/>
        <v>0</v>
      </c>
      <c r="BL300" s="3199">
        <f t="shared" si="194"/>
        <v>0</v>
      </c>
      <c r="BM300" s="3199">
        <f t="shared" si="195"/>
        <v>0</v>
      </c>
      <c r="BN300" s="3199">
        <f t="shared" si="196"/>
        <v>0</v>
      </c>
      <c r="BO300" s="3199">
        <f t="shared" si="197"/>
        <v>0</v>
      </c>
      <c r="BP300" s="3199">
        <f t="shared" si="198"/>
        <v>0</v>
      </c>
      <c r="BQ300" s="3199">
        <f t="shared" si="199"/>
        <v>0</v>
      </c>
      <c r="BR300" s="3199">
        <f t="shared" si="200"/>
        <v>0</v>
      </c>
      <c r="BS300" s="3199">
        <f t="shared" si="201"/>
        <v>0</v>
      </c>
      <c r="BT300" s="3271">
        <f t="shared" si="202"/>
        <v>0</v>
      </c>
    </row>
    <row r="301" spans="1:72">
      <c r="A301" s="3197"/>
      <c r="B301" s="3205"/>
      <c r="C301" s="3204"/>
      <c r="D301" s="3193"/>
      <c r="E301" s="3199">
        <f t="shared" si="203"/>
        <v>0</v>
      </c>
      <c r="F301" s="3200"/>
      <c r="G301" s="3201">
        <f t="shared" si="178"/>
        <v>0</v>
      </c>
      <c r="H301" s="3202">
        <f t="shared" si="179"/>
        <v>0</v>
      </c>
      <c r="I301" s="3207"/>
      <c r="J301" s="3218"/>
      <c r="K301" s="3207"/>
      <c r="L301" s="3218"/>
      <c r="M301" s="3218"/>
      <c r="N301" s="3218"/>
      <c r="O301" s="3218"/>
      <c r="P301" s="3218"/>
      <c r="Q301" s="3218"/>
      <c r="R301" s="3218"/>
      <c r="S301" s="3218"/>
      <c r="T301" s="3218"/>
      <c r="U301" s="3218"/>
      <c r="V301" s="3218"/>
      <c r="W301" s="3218"/>
      <c r="X301" s="3218"/>
      <c r="Y301" s="3218"/>
      <c r="Z301" s="3218"/>
      <c r="AA301" s="3218"/>
      <c r="AB301" s="3218"/>
      <c r="AC301" s="3199">
        <f t="shared" si="180"/>
        <v>0</v>
      </c>
      <c r="AD301" s="3229"/>
      <c r="AE301" s="3229"/>
      <c r="AF301" s="3230"/>
      <c r="AG301" s="3229"/>
      <c r="AH301" s="3229"/>
      <c r="AI301" s="3229"/>
      <c r="AJ301" s="3229"/>
      <c r="AK301" s="3229"/>
      <c r="AL301" s="3229"/>
      <c r="AM301" s="3229"/>
      <c r="AN301" s="3229"/>
      <c r="AO301" s="3229"/>
      <c r="AP301" s="3229"/>
      <c r="AQ301" s="3229"/>
      <c r="AR301" s="3229"/>
      <c r="AS301" s="3229"/>
      <c r="AT301" s="3249"/>
      <c r="AU301" s="3250"/>
      <c r="AV301" s="475">
        <f t="shared" si="204"/>
        <v>0</v>
      </c>
      <c r="AW301" s="475">
        <f t="shared" si="205"/>
        <v>0</v>
      </c>
      <c r="AX301" s="475">
        <f t="shared" si="206"/>
        <v>0</v>
      </c>
      <c r="AY301" s="3266">
        <f t="shared" si="181"/>
        <v>0</v>
      </c>
      <c r="AZ301" s="3199">
        <f t="shared" si="182"/>
        <v>0</v>
      </c>
      <c r="BA301" s="3199">
        <f t="shared" si="183"/>
        <v>0</v>
      </c>
      <c r="BB301" s="3199">
        <f t="shared" si="184"/>
        <v>0</v>
      </c>
      <c r="BC301" s="3199">
        <f t="shared" si="185"/>
        <v>0</v>
      </c>
      <c r="BD301" s="3199">
        <f t="shared" si="186"/>
        <v>0</v>
      </c>
      <c r="BE301" s="3199">
        <f t="shared" si="187"/>
        <v>0</v>
      </c>
      <c r="BF301" s="3199">
        <f t="shared" si="188"/>
        <v>0</v>
      </c>
      <c r="BG301" s="3199">
        <f t="shared" si="189"/>
        <v>0</v>
      </c>
      <c r="BH301" s="3199">
        <f t="shared" si="190"/>
        <v>0</v>
      </c>
      <c r="BI301" s="3199">
        <f t="shared" si="191"/>
        <v>0</v>
      </c>
      <c r="BJ301" s="3199">
        <f t="shared" si="192"/>
        <v>0</v>
      </c>
      <c r="BK301" s="3199">
        <f t="shared" si="193"/>
        <v>0</v>
      </c>
      <c r="BL301" s="3199">
        <f t="shared" si="194"/>
        <v>0</v>
      </c>
      <c r="BM301" s="3199">
        <f t="shared" si="195"/>
        <v>0</v>
      </c>
      <c r="BN301" s="3199">
        <f t="shared" si="196"/>
        <v>0</v>
      </c>
      <c r="BO301" s="3199">
        <f t="shared" si="197"/>
        <v>0</v>
      </c>
      <c r="BP301" s="3199">
        <f t="shared" si="198"/>
        <v>0</v>
      </c>
      <c r="BQ301" s="3199">
        <f t="shared" si="199"/>
        <v>0</v>
      </c>
      <c r="BR301" s="3199">
        <f t="shared" si="200"/>
        <v>0</v>
      </c>
      <c r="BS301" s="3199">
        <f t="shared" si="201"/>
        <v>0</v>
      </c>
      <c r="BT301" s="3271">
        <f t="shared" si="202"/>
        <v>0</v>
      </c>
    </row>
    <row r="302" spans="1:72">
      <c r="A302" s="3197"/>
      <c r="B302" s="3205"/>
      <c r="C302" s="3204"/>
      <c r="D302" s="3193"/>
      <c r="E302" s="3199">
        <f t="shared" si="203"/>
        <v>0</v>
      </c>
      <c r="F302" s="3200"/>
      <c r="G302" s="3201">
        <f t="shared" si="178"/>
        <v>0</v>
      </c>
      <c r="H302" s="3202">
        <f t="shared" si="179"/>
        <v>0</v>
      </c>
      <c r="I302" s="3207"/>
      <c r="J302" s="3218"/>
      <c r="K302" s="3207"/>
      <c r="L302" s="3218"/>
      <c r="M302" s="3218"/>
      <c r="N302" s="3218"/>
      <c r="O302" s="3218"/>
      <c r="P302" s="3218"/>
      <c r="Q302" s="3218"/>
      <c r="R302" s="3218"/>
      <c r="S302" s="3218"/>
      <c r="T302" s="3218"/>
      <c r="U302" s="3218"/>
      <c r="V302" s="3218"/>
      <c r="W302" s="3218"/>
      <c r="X302" s="3218"/>
      <c r="Y302" s="3218"/>
      <c r="Z302" s="3218"/>
      <c r="AA302" s="3218"/>
      <c r="AB302" s="3218"/>
      <c r="AC302" s="3199">
        <f t="shared" si="180"/>
        <v>0</v>
      </c>
      <c r="AD302" s="3229"/>
      <c r="AE302" s="3229"/>
      <c r="AF302" s="3230"/>
      <c r="AG302" s="3229"/>
      <c r="AH302" s="3229"/>
      <c r="AI302" s="3229"/>
      <c r="AJ302" s="3229"/>
      <c r="AK302" s="3229"/>
      <c r="AL302" s="3229"/>
      <c r="AM302" s="3229"/>
      <c r="AN302" s="3229"/>
      <c r="AO302" s="3229"/>
      <c r="AP302" s="3229"/>
      <c r="AQ302" s="3229"/>
      <c r="AR302" s="3229"/>
      <c r="AS302" s="3229"/>
      <c r="AT302" s="3249"/>
      <c r="AU302" s="3250"/>
      <c r="AV302" s="475">
        <f t="shared" si="204"/>
        <v>0</v>
      </c>
      <c r="AW302" s="475">
        <f t="shared" si="205"/>
        <v>0</v>
      </c>
      <c r="AX302" s="475">
        <f t="shared" si="206"/>
        <v>0</v>
      </c>
      <c r="AY302" s="3266">
        <f t="shared" si="181"/>
        <v>0</v>
      </c>
      <c r="AZ302" s="3199">
        <f t="shared" si="182"/>
        <v>0</v>
      </c>
      <c r="BA302" s="3199">
        <f t="shared" si="183"/>
        <v>0</v>
      </c>
      <c r="BB302" s="3199">
        <f t="shared" si="184"/>
        <v>0</v>
      </c>
      <c r="BC302" s="3199">
        <f t="shared" si="185"/>
        <v>0</v>
      </c>
      <c r="BD302" s="3199">
        <f t="shared" si="186"/>
        <v>0</v>
      </c>
      <c r="BE302" s="3199">
        <f t="shared" si="187"/>
        <v>0</v>
      </c>
      <c r="BF302" s="3199">
        <f t="shared" si="188"/>
        <v>0</v>
      </c>
      <c r="BG302" s="3199">
        <f t="shared" si="189"/>
        <v>0</v>
      </c>
      <c r="BH302" s="3199">
        <f t="shared" si="190"/>
        <v>0</v>
      </c>
      <c r="BI302" s="3199">
        <f t="shared" si="191"/>
        <v>0</v>
      </c>
      <c r="BJ302" s="3199">
        <f t="shared" si="192"/>
        <v>0</v>
      </c>
      <c r="BK302" s="3199">
        <f t="shared" si="193"/>
        <v>0</v>
      </c>
      <c r="BL302" s="3199">
        <f t="shared" si="194"/>
        <v>0</v>
      </c>
      <c r="BM302" s="3199">
        <f t="shared" si="195"/>
        <v>0</v>
      </c>
      <c r="BN302" s="3199">
        <f t="shared" si="196"/>
        <v>0</v>
      </c>
      <c r="BO302" s="3199">
        <f t="shared" si="197"/>
        <v>0</v>
      </c>
      <c r="BP302" s="3199">
        <f t="shared" si="198"/>
        <v>0</v>
      </c>
      <c r="BQ302" s="3199">
        <f t="shared" si="199"/>
        <v>0</v>
      </c>
      <c r="BR302" s="3199">
        <f t="shared" si="200"/>
        <v>0</v>
      </c>
      <c r="BS302" s="3199">
        <f t="shared" si="201"/>
        <v>0</v>
      </c>
      <c r="BT302" s="3271">
        <f t="shared" si="202"/>
        <v>0</v>
      </c>
    </row>
    <row r="303" spans="1:72">
      <c r="A303" s="3197"/>
      <c r="B303" s="3205"/>
      <c r="C303" s="3204"/>
      <c r="D303" s="3193"/>
      <c r="E303" s="3199">
        <f t="shared" si="203"/>
        <v>0</v>
      </c>
      <c r="F303" s="3200"/>
      <c r="G303" s="3201">
        <f t="shared" si="178"/>
        <v>0</v>
      </c>
      <c r="H303" s="3202">
        <f t="shared" si="179"/>
        <v>0</v>
      </c>
      <c r="I303" s="3207"/>
      <c r="J303" s="3218"/>
      <c r="K303" s="3207"/>
      <c r="L303" s="3218"/>
      <c r="M303" s="3218"/>
      <c r="N303" s="3218"/>
      <c r="O303" s="3218"/>
      <c r="P303" s="3218"/>
      <c r="Q303" s="3218"/>
      <c r="R303" s="3218"/>
      <c r="S303" s="3218"/>
      <c r="T303" s="3218"/>
      <c r="U303" s="3218"/>
      <c r="V303" s="3218"/>
      <c r="W303" s="3218"/>
      <c r="X303" s="3218"/>
      <c r="Y303" s="3218"/>
      <c r="Z303" s="3218"/>
      <c r="AA303" s="3218"/>
      <c r="AB303" s="3218"/>
      <c r="AC303" s="3199">
        <f t="shared" si="180"/>
        <v>0</v>
      </c>
      <c r="AD303" s="3229"/>
      <c r="AE303" s="3229"/>
      <c r="AF303" s="3230"/>
      <c r="AG303" s="3229"/>
      <c r="AH303" s="3229"/>
      <c r="AI303" s="3229"/>
      <c r="AJ303" s="3229"/>
      <c r="AK303" s="3229"/>
      <c r="AL303" s="3229"/>
      <c r="AM303" s="3229"/>
      <c r="AN303" s="3229"/>
      <c r="AO303" s="3229"/>
      <c r="AP303" s="3229"/>
      <c r="AQ303" s="3229"/>
      <c r="AR303" s="3229"/>
      <c r="AS303" s="3229"/>
      <c r="AT303" s="3249"/>
      <c r="AU303" s="3250"/>
      <c r="AV303" s="475">
        <f t="shared" si="204"/>
        <v>0</v>
      </c>
      <c r="AW303" s="475">
        <f t="shared" si="205"/>
        <v>0</v>
      </c>
      <c r="AX303" s="475">
        <f t="shared" si="206"/>
        <v>0</v>
      </c>
      <c r="AY303" s="3266">
        <f t="shared" si="181"/>
        <v>0</v>
      </c>
      <c r="AZ303" s="3199">
        <f t="shared" si="182"/>
        <v>0</v>
      </c>
      <c r="BA303" s="3199">
        <f t="shared" si="183"/>
        <v>0</v>
      </c>
      <c r="BB303" s="3199">
        <f t="shared" si="184"/>
        <v>0</v>
      </c>
      <c r="BC303" s="3199">
        <f t="shared" si="185"/>
        <v>0</v>
      </c>
      <c r="BD303" s="3199">
        <f t="shared" si="186"/>
        <v>0</v>
      </c>
      <c r="BE303" s="3199">
        <f t="shared" si="187"/>
        <v>0</v>
      </c>
      <c r="BF303" s="3199">
        <f t="shared" si="188"/>
        <v>0</v>
      </c>
      <c r="BG303" s="3199">
        <f t="shared" si="189"/>
        <v>0</v>
      </c>
      <c r="BH303" s="3199">
        <f t="shared" si="190"/>
        <v>0</v>
      </c>
      <c r="BI303" s="3199">
        <f t="shared" si="191"/>
        <v>0</v>
      </c>
      <c r="BJ303" s="3199">
        <f t="shared" si="192"/>
        <v>0</v>
      </c>
      <c r="BK303" s="3199">
        <f t="shared" si="193"/>
        <v>0</v>
      </c>
      <c r="BL303" s="3199">
        <f t="shared" si="194"/>
        <v>0</v>
      </c>
      <c r="BM303" s="3199">
        <f t="shared" si="195"/>
        <v>0</v>
      </c>
      <c r="BN303" s="3199">
        <f t="shared" si="196"/>
        <v>0</v>
      </c>
      <c r="BO303" s="3199">
        <f t="shared" si="197"/>
        <v>0</v>
      </c>
      <c r="BP303" s="3199">
        <f t="shared" si="198"/>
        <v>0</v>
      </c>
      <c r="BQ303" s="3199">
        <f t="shared" si="199"/>
        <v>0</v>
      </c>
      <c r="BR303" s="3199">
        <f t="shared" si="200"/>
        <v>0</v>
      </c>
      <c r="BS303" s="3199">
        <f t="shared" si="201"/>
        <v>0</v>
      </c>
      <c r="BT303" s="3271">
        <f t="shared" si="202"/>
        <v>0</v>
      </c>
    </row>
    <row r="304" spans="1:72">
      <c r="A304" s="3197"/>
      <c r="B304" s="3205"/>
      <c r="C304" s="3204"/>
      <c r="D304" s="3193"/>
      <c r="E304" s="3199">
        <f t="shared" si="203"/>
        <v>0</v>
      </c>
      <c r="F304" s="3200"/>
      <c r="G304" s="3201">
        <f t="shared" si="178"/>
        <v>0</v>
      </c>
      <c r="H304" s="3202">
        <f t="shared" si="179"/>
        <v>0</v>
      </c>
      <c r="I304" s="3207"/>
      <c r="J304" s="3218"/>
      <c r="K304" s="3207"/>
      <c r="L304" s="3218"/>
      <c r="M304" s="3218"/>
      <c r="N304" s="3218"/>
      <c r="O304" s="3218"/>
      <c r="P304" s="3218"/>
      <c r="Q304" s="3218"/>
      <c r="R304" s="3218"/>
      <c r="S304" s="3218"/>
      <c r="T304" s="3218"/>
      <c r="U304" s="3218"/>
      <c r="V304" s="3218"/>
      <c r="W304" s="3218"/>
      <c r="X304" s="3218"/>
      <c r="Y304" s="3218"/>
      <c r="Z304" s="3218"/>
      <c r="AA304" s="3218"/>
      <c r="AB304" s="3218"/>
      <c r="AC304" s="3199">
        <f t="shared" si="180"/>
        <v>0</v>
      </c>
      <c r="AD304" s="3229"/>
      <c r="AE304" s="3229"/>
      <c r="AF304" s="3207"/>
      <c r="AG304" s="3229"/>
      <c r="AH304" s="3229"/>
      <c r="AI304" s="3229"/>
      <c r="AJ304" s="3229"/>
      <c r="AK304" s="3229"/>
      <c r="AL304" s="3229"/>
      <c r="AM304" s="3229"/>
      <c r="AN304" s="3229"/>
      <c r="AO304" s="3229"/>
      <c r="AP304" s="3229"/>
      <c r="AQ304" s="3229"/>
      <c r="AR304" s="3229"/>
      <c r="AS304" s="3229"/>
      <c r="AT304" s="3249"/>
      <c r="AU304" s="3250"/>
      <c r="AV304" s="475">
        <f t="shared" si="204"/>
        <v>0</v>
      </c>
      <c r="AW304" s="475">
        <f t="shared" si="205"/>
        <v>0</v>
      </c>
      <c r="AX304" s="475">
        <f t="shared" si="206"/>
        <v>0</v>
      </c>
      <c r="AY304" s="3266">
        <f t="shared" si="181"/>
        <v>0</v>
      </c>
      <c r="AZ304" s="3199">
        <f t="shared" si="182"/>
        <v>0</v>
      </c>
      <c r="BA304" s="3199">
        <f t="shared" si="183"/>
        <v>0</v>
      </c>
      <c r="BB304" s="3199">
        <f t="shared" si="184"/>
        <v>0</v>
      </c>
      <c r="BC304" s="3199">
        <f t="shared" si="185"/>
        <v>0</v>
      </c>
      <c r="BD304" s="3199">
        <f t="shared" si="186"/>
        <v>0</v>
      </c>
      <c r="BE304" s="3199">
        <f t="shared" si="187"/>
        <v>0</v>
      </c>
      <c r="BF304" s="3199">
        <f t="shared" si="188"/>
        <v>0</v>
      </c>
      <c r="BG304" s="3199">
        <f t="shared" si="189"/>
        <v>0</v>
      </c>
      <c r="BH304" s="3199">
        <f t="shared" si="190"/>
        <v>0</v>
      </c>
      <c r="BI304" s="3199">
        <f t="shared" si="191"/>
        <v>0</v>
      </c>
      <c r="BJ304" s="3199">
        <f t="shared" si="192"/>
        <v>0</v>
      </c>
      <c r="BK304" s="3199">
        <f t="shared" si="193"/>
        <v>0</v>
      </c>
      <c r="BL304" s="3199">
        <f t="shared" si="194"/>
        <v>0</v>
      </c>
      <c r="BM304" s="3199">
        <f t="shared" si="195"/>
        <v>0</v>
      </c>
      <c r="BN304" s="3199">
        <f t="shared" si="196"/>
        <v>0</v>
      </c>
      <c r="BO304" s="3199">
        <f t="shared" si="197"/>
        <v>0</v>
      </c>
      <c r="BP304" s="3199">
        <f t="shared" si="198"/>
        <v>0</v>
      </c>
      <c r="BQ304" s="3199">
        <f t="shared" si="199"/>
        <v>0</v>
      </c>
      <c r="BR304" s="3199">
        <f t="shared" si="200"/>
        <v>0</v>
      </c>
      <c r="BS304" s="3199">
        <f t="shared" si="201"/>
        <v>0</v>
      </c>
      <c r="BT304" s="3271">
        <f t="shared" si="202"/>
        <v>0</v>
      </c>
    </row>
    <row r="305" spans="1:72">
      <c r="A305" s="3197"/>
      <c r="B305" s="3206"/>
      <c r="C305" s="3207"/>
      <c r="D305" s="3193"/>
      <c r="E305" s="3199">
        <f t="shared" si="203"/>
        <v>0</v>
      </c>
      <c r="F305" s="3200"/>
      <c r="G305" s="3201">
        <f t="shared" si="178"/>
        <v>0</v>
      </c>
      <c r="H305" s="3202">
        <f t="shared" si="179"/>
        <v>0</v>
      </c>
      <c r="I305" s="3207"/>
      <c r="J305" s="3218"/>
      <c r="K305" s="3207"/>
      <c r="L305" s="3218"/>
      <c r="M305" s="3218"/>
      <c r="N305" s="3218"/>
      <c r="O305" s="3218"/>
      <c r="P305" s="3218"/>
      <c r="Q305" s="3218"/>
      <c r="R305" s="3218"/>
      <c r="S305" s="3218"/>
      <c r="T305" s="3218"/>
      <c r="U305" s="3218"/>
      <c r="V305" s="3218"/>
      <c r="W305" s="3218"/>
      <c r="X305" s="3218"/>
      <c r="Y305" s="3218"/>
      <c r="Z305" s="3218"/>
      <c r="AA305" s="3218"/>
      <c r="AB305" s="3218"/>
      <c r="AC305" s="3199">
        <f t="shared" si="180"/>
        <v>0</v>
      </c>
      <c r="AD305" s="3229"/>
      <c r="AE305" s="3229"/>
      <c r="AF305" s="3207"/>
      <c r="AG305" s="3229"/>
      <c r="AH305" s="3229"/>
      <c r="AI305" s="3229"/>
      <c r="AJ305" s="3229"/>
      <c r="AK305" s="3229"/>
      <c r="AL305" s="3229"/>
      <c r="AM305" s="3229"/>
      <c r="AN305" s="3229"/>
      <c r="AO305" s="3229"/>
      <c r="AP305" s="3229"/>
      <c r="AQ305" s="3229"/>
      <c r="AR305" s="3229"/>
      <c r="AS305" s="3229"/>
      <c r="AT305" s="3249"/>
      <c r="AU305" s="3250"/>
      <c r="AV305" s="475">
        <f t="shared" si="204"/>
        <v>0</v>
      </c>
      <c r="AW305" s="475">
        <f t="shared" si="205"/>
        <v>0</v>
      </c>
      <c r="AX305" s="475">
        <f t="shared" si="206"/>
        <v>0</v>
      </c>
      <c r="AY305" s="3266">
        <f t="shared" si="181"/>
        <v>0</v>
      </c>
      <c r="AZ305" s="3199">
        <f t="shared" si="182"/>
        <v>0</v>
      </c>
      <c r="BA305" s="3199">
        <f t="shared" si="183"/>
        <v>0</v>
      </c>
      <c r="BB305" s="3199">
        <f t="shared" si="184"/>
        <v>0</v>
      </c>
      <c r="BC305" s="3199">
        <f t="shared" si="185"/>
        <v>0</v>
      </c>
      <c r="BD305" s="3199">
        <f t="shared" si="186"/>
        <v>0</v>
      </c>
      <c r="BE305" s="3199">
        <f t="shared" si="187"/>
        <v>0</v>
      </c>
      <c r="BF305" s="3199">
        <f t="shared" si="188"/>
        <v>0</v>
      </c>
      <c r="BG305" s="3199">
        <f t="shared" si="189"/>
        <v>0</v>
      </c>
      <c r="BH305" s="3199">
        <f t="shared" si="190"/>
        <v>0</v>
      </c>
      <c r="BI305" s="3199">
        <f t="shared" si="191"/>
        <v>0</v>
      </c>
      <c r="BJ305" s="3199">
        <f t="shared" si="192"/>
        <v>0</v>
      </c>
      <c r="BK305" s="3199">
        <f t="shared" si="193"/>
        <v>0</v>
      </c>
      <c r="BL305" s="3199">
        <f t="shared" si="194"/>
        <v>0</v>
      </c>
      <c r="BM305" s="3199">
        <f t="shared" si="195"/>
        <v>0</v>
      </c>
      <c r="BN305" s="3199">
        <f t="shared" si="196"/>
        <v>0</v>
      </c>
      <c r="BO305" s="3199">
        <f t="shared" si="197"/>
        <v>0</v>
      </c>
      <c r="BP305" s="3199">
        <f t="shared" si="198"/>
        <v>0</v>
      </c>
      <c r="BQ305" s="3199">
        <f t="shared" si="199"/>
        <v>0</v>
      </c>
      <c r="BR305" s="3199">
        <f t="shared" si="200"/>
        <v>0</v>
      </c>
      <c r="BS305" s="3199">
        <f t="shared" si="201"/>
        <v>0</v>
      </c>
      <c r="BT305" s="3271">
        <f t="shared" si="202"/>
        <v>0</v>
      </c>
    </row>
    <row r="306" spans="1:72">
      <c r="A306" s="3197"/>
      <c r="B306" s="3205"/>
      <c r="C306" s="3204"/>
      <c r="D306" s="3193"/>
      <c r="E306" s="3199">
        <f t="shared" si="203"/>
        <v>0</v>
      </c>
      <c r="F306" s="3200"/>
      <c r="G306" s="3201">
        <f t="shared" si="178"/>
        <v>0</v>
      </c>
      <c r="H306" s="3202">
        <f t="shared" si="179"/>
        <v>0</v>
      </c>
      <c r="I306" s="3207"/>
      <c r="J306" s="3218"/>
      <c r="K306" s="3207"/>
      <c r="L306" s="3218"/>
      <c r="M306" s="3218"/>
      <c r="N306" s="3218"/>
      <c r="O306" s="3218"/>
      <c r="P306" s="3218"/>
      <c r="Q306" s="3218"/>
      <c r="R306" s="3218"/>
      <c r="S306" s="3218"/>
      <c r="T306" s="3218"/>
      <c r="U306" s="3218"/>
      <c r="V306" s="3218"/>
      <c r="W306" s="3218"/>
      <c r="X306" s="3218"/>
      <c r="Y306" s="3218"/>
      <c r="Z306" s="3218"/>
      <c r="AA306" s="3218"/>
      <c r="AB306" s="3218"/>
      <c r="AC306" s="3199">
        <f t="shared" si="180"/>
        <v>0</v>
      </c>
      <c r="AD306" s="3229"/>
      <c r="AE306" s="3229"/>
      <c r="AF306" s="3207"/>
      <c r="AG306" s="3229"/>
      <c r="AH306" s="3229"/>
      <c r="AI306" s="3229"/>
      <c r="AJ306" s="3229"/>
      <c r="AK306" s="3229"/>
      <c r="AL306" s="3229"/>
      <c r="AM306" s="3229"/>
      <c r="AN306" s="3229"/>
      <c r="AO306" s="3229"/>
      <c r="AP306" s="3229"/>
      <c r="AQ306" s="3229"/>
      <c r="AR306" s="3229"/>
      <c r="AS306" s="3229"/>
      <c r="AT306" s="3249"/>
      <c r="AU306" s="3250"/>
      <c r="AV306" s="475">
        <f t="shared" si="204"/>
        <v>0</v>
      </c>
      <c r="AW306" s="475">
        <f t="shared" si="205"/>
        <v>0</v>
      </c>
      <c r="AX306" s="475">
        <f t="shared" si="206"/>
        <v>0</v>
      </c>
      <c r="AY306" s="3266">
        <f t="shared" si="181"/>
        <v>0</v>
      </c>
      <c r="AZ306" s="3199">
        <f t="shared" si="182"/>
        <v>0</v>
      </c>
      <c r="BA306" s="3199">
        <f t="shared" si="183"/>
        <v>0</v>
      </c>
      <c r="BB306" s="3199">
        <f t="shared" si="184"/>
        <v>0</v>
      </c>
      <c r="BC306" s="3199">
        <f t="shared" si="185"/>
        <v>0</v>
      </c>
      <c r="BD306" s="3199">
        <f t="shared" si="186"/>
        <v>0</v>
      </c>
      <c r="BE306" s="3199">
        <f t="shared" si="187"/>
        <v>0</v>
      </c>
      <c r="BF306" s="3199">
        <f t="shared" si="188"/>
        <v>0</v>
      </c>
      <c r="BG306" s="3199">
        <f t="shared" si="189"/>
        <v>0</v>
      </c>
      <c r="BH306" s="3199">
        <f t="shared" si="190"/>
        <v>0</v>
      </c>
      <c r="BI306" s="3199">
        <f t="shared" si="191"/>
        <v>0</v>
      </c>
      <c r="BJ306" s="3199">
        <f t="shared" si="192"/>
        <v>0</v>
      </c>
      <c r="BK306" s="3199">
        <f t="shared" si="193"/>
        <v>0</v>
      </c>
      <c r="BL306" s="3199">
        <f t="shared" si="194"/>
        <v>0</v>
      </c>
      <c r="BM306" s="3199">
        <f t="shared" si="195"/>
        <v>0</v>
      </c>
      <c r="BN306" s="3199">
        <f t="shared" si="196"/>
        <v>0</v>
      </c>
      <c r="BO306" s="3199">
        <f t="shared" si="197"/>
        <v>0</v>
      </c>
      <c r="BP306" s="3199">
        <f t="shared" si="198"/>
        <v>0</v>
      </c>
      <c r="BQ306" s="3199">
        <f t="shared" si="199"/>
        <v>0</v>
      </c>
      <c r="BR306" s="3199">
        <f t="shared" si="200"/>
        <v>0</v>
      </c>
      <c r="BS306" s="3199">
        <f t="shared" si="201"/>
        <v>0</v>
      </c>
      <c r="BT306" s="3271">
        <f t="shared" si="202"/>
        <v>0</v>
      </c>
    </row>
    <row r="307" spans="1:72">
      <c r="A307" s="3197"/>
      <c r="B307" s="3205"/>
      <c r="C307" s="3204"/>
      <c r="D307" s="3193"/>
      <c r="E307" s="3199">
        <f t="shared" si="203"/>
        <v>0</v>
      </c>
      <c r="F307" s="3200"/>
      <c r="G307" s="3201">
        <f t="shared" si="178"/>
        <v>0</v>
      </c>
      <c r="H307" s="3202">
        <f t="shared" si="179"/>
        <v>0</v>
      </c>
      <c r="I307" s="3207"/>
      <c r="J307" s="3218"/>
      <c r="K307" s="3207"/>
      <c r="L307" s="3218"/>
      <c r="M307" s="3218"/>
      <c r="N307" s="3218"/>
      <c r="O307" s="3218"/>
      <c r="P307" s="3218"/>
      <c r="Q307" s="3218"/>
      <c r="R307" s="3218"/>
      <c r="S307" s="3218"/>
      <c r="T307" s="3218"/>
      <c r="U307" s="3218"/>
      <c r="V307" s="3218"/>
      <c r="W307" s="3218"/>
      <c r="X307" s="3218"/>
      <c r="Y307" s="3218"/>
      <c r="Z307" s="3218"/>
      <c r="AA307" s="3218"/>
      <c r="AB307" s="3218"/>
      <c r="AC307" s="3199">
        <f t="shared" si="180"/>
        <v>0</v>
      </c>
      <c r="AD307" s="3229"/>
      <c r="AE307" s="3229"/>
      <c r="AF307" s="3207"/>
      <c r="AG307" s="3229"/>
      <c r="AH307" s="3229"/>
      <c r="AI307" s="3229"/>
      <c r="AJ307" s="3229"/>
      <c r="AK307" s="3229"/>
      <c r="AL307" s="3229"/>
      <c r="AM307" s="3229"/>
      <c r="AN307" s="3229"/>
      <c r="AO307" s="3229"/>
      <c r="AP307" s="3229"/>
      <c r="AQ307" s="3229"/>
      <c r="AR307" s="3229"/>
      <c r="AS307" s="3229"/>
      <c r="AT307" s="3249"/>
      <c r="AU307" s="3250"/>
      <c r="AV307" s="475">
        <f t="shared" si="204"/>
        <v>0</v>
      </c>
      <c r="AW307" s="475">
        <f t="shared" si="205"/>
        <v>0</v>
      </c>
      <c r="AX307" s="475">
        <f t="shared" si="206"/>
        <v>0</v>
      </c>
      <c r="AY307" s="3266">
        <f t="shared" si="181"/>
        <v>0</v>
      </c>
      <c r="AZ307" s="3199">
        <f t="shared" si="182"/>
        <v>0</v>
      </c>
      <c r="BA307" s="3199">
        <f t="shared" si="183"/>
        <v>0</v>
      </c>
      <c r="BB307" s="3199">
        <f t="shared" si="184"/>
        <v>0</v>
      </c>
      <c r="BC307" s="3199">
        <f t="shared" si="185"/>
        <v>0</v>
      </c>
      <c r="BD307" s="3199">
        <f t="shared" si="186"/>
        <v>0</v>
      </c>
      <c r="BE307" s="3199">
        <f t="shared" si="187"/>
        <v>0</v>
      </c>
      <c r="BF307" s="3199">
        <f t="shared" si="188"/>
        <v>0</v>
      </c>
      <c r="BG307" s="3199">
        <f t="shared" si="189"/>
        <v>0</v>
      </c>
      <c r="BH307" s="3199">
        <f t="shared" si="190"/>
        <v>0</v>
      </c>
      <c r="BI307" s="3199">
        <f t="shared" si="191"/>
        <v>0</v>
      </c>
      <c r="BJ307" s="3199">
        <f t="shared" si="192"/>
        <v>0</v>
      </c>
      <c r="BK307" s="3199">
        <f t="shared" si="193"/>
        <v>0</v>
      </c>
      <c r="BL307" s="3199">
        <f t="shared" si="194"/>
        <v>0</v>
      </c>
      <c r="BM307" s="3199">
        <f t="shared" si="195"/>
        <v>0</v>
      </c>
      <c r="BN307" s="3199">
        <f t="shared" si="196"/>
        <v>0</v>
      </c>
      <c r="BO307" s="3199">
        <f t="shared" si="197"/>
        <v>0</v>
      </c>
      <c r="BP307" s="3199">
        <f t="shared" si="198"/>
        <v>0</v>
      </c>
      <c r="BQ307" s="3199">
        <f t="shared" si="199"/>
        <v>0</v>
      </c>
      <c r="BR307" s="3199">
        <f t="shared" si="200"/>
        <v>0</v>
      </c>
      <c r="BS307" s="3199">
        <f t="shared" si="201"/>
        <v>0</v>
      </c>
      <c r="BT307" s="3271">
        <f t="shared" si="202"/>
        <v>0</v>
      </c>
    </row>
    <row r="308" spans="1:72">
      <c r="A308" s="3197"/>
      <c r="B308" s="3205"/>
      <c r="C308" s="3204"/>
      <c r="D308" s="3193"/>
      <c r="E308" s="3199">
        <f t="shared" si="203"/>
        <v>0</v>
      </c>
      <c r="F308" s="3200"/>
      <c r="G308" s="3201">
        <f t="shared" si="178"/>
        <v>0</v>
      </c>
      <c r="H308" s="3202">
        <f t="shared" si="179"/>
        <v>0</v>
      </c>
      <c r="I308" s="3207"/>
      <c r="J308" s="3218"/>
      <c r="K308" s="3207"/>
      <c r="L308" s="3218"/>
      <c r="M308" s="3218"/>
      <c r="N308" s="3218"/>
      <c r="O308" s="3218"/>
      <c r="P308" s="3218"/>
      <c r="Q308" s="3218"/>
      <c r="R308" s="3218"/>
      <c r="S308" s="3218"/>
      <c r="T308" s="3218"/>
      <c r="U308" s="3218"/>
      <c r="V308" s="3218"/>
      <c r="W308" s="3218"/>
      <c r="X308" s="3218"/>
      <c r="Y308" s="3218"/>
      <c r="Z308" s="3218"/>
      <c r="AA308" s="3218"/>
      <c r="AB308" s="3218"/>
      <c r="AC308" s="3199">
        <f t="shared" si="180"/>
        <v>0</v>
      </c>
      <c r="AD308" s="3229"/>
      <c r="AE308" s="3229"/>
      <c r="AF308" s="3207"/>
      <c r="AG308" s="3229"/>
      <c r="AH308" s="3229"/>
      <c r="AI308" s="3229"/>
      <c r="AJ308" s="3229"/>
      <c r="AK308" s="3229"/>
      <c r="AL308" s="3229"/>
      <c r="AM308" s="3229"/>
      <c r="AN308" s="3229"/>
      <c r="AO308" s="3229"/>
      <c r="AP308" s="3229"/>
      <c r="AQ308" s="3229"/>
      <c r="AR308" s="3229"/>
      <c r="AS308" s="3229"/>
      <c r="AT308" s="3249"/>
      <c r="AU308" s="3250"/>
      <c r="AV308" s="475">
        <f t="shared" si="204"/>
        <v>0</v>
      </c>
      <c r="AW308" s="475">
        <f t="shared" si="205"/>
        <v>0</v>
      </c>
      <c r="AX308" s="475">
        <f t="shared" si="206"/>
        <v>0</v>
      </c>
      <c r="AY308" s="3266">
        <f t="shared" si="181"/>
        <v>0</v>
      </c>
      <c r="AZ308" s="3199">
        <f t="shared" si="182"/>
        <v>0</v>
      </c>
      <c r="BA308" s="3199">
        <f t="shared" si="183"/>
        <v>0</v>
      </c>
      <c r="BB308" s="3199">
        <f t="shared" si="184"/>
        <v>0</v>
      </c>
      <c r="BC308" s="3199">
        <f t="shared" si="185"/>
        <v>0</v>
      </c>
      <c r="BD308" s="3199">
        <f t="shared" si="186"/>
        <v>0</v>
      </c>
      <c r="BE308" s="3199">
        <f t="shared" si="187"/>
        <v>0</v>
      </c>
      <c r="BF308" s="3199">
        <f t="shared" si="188"/>
        <v>0</v>
      </c>
      <c r="BG308" s="3199">
        <f t="shared" si="189"/>
        <v>0</v>
      </c>
      <c r="BH308" s="3199">
        <f t="shared" si="190"/>
        <v>0</v>
      </c>
      <c r="BI308" s="3199">
        <f t="shared" si="191"/>
        <v>0</v>
      </c>
      <c r="BJ308" s="3199">
        <f t="shared" si="192"/>
        <v>0</v>
      </c>
      <c r="BK308" s="3199">
        <f t="shared" si="193"/>
        <v>0</v>
      </c>
      <c r="BL308" s="3199">
        <f t="shared" si="194"/>
        <v>0</v>
      </c>
      <c r="BM308" s="3199">
        <f t="shared" si="195"/>
        <v>0</v>
      </c>
      <c r="BN308" s="3199">
        <f t="shared" si="196"/>
        <v>0</v>
      </c>
      <c r="BO308" s="3199">
        <f t="shared" si="197"/>
        <v>0</v>
      </c>
      <c r="BP308" s="3199">
        <f t="shared" si="198"/>
        <v>0</v>
      </c>
      <c r="BQ308" s="3199">
        <f t="shared" si="199"/>
        <v>0</v>
      </c>
      <c r="BR308" s="3199">
        <f t="shared" si="200"/>
        <v>0</v>
      </c>
      <c r="BS308" s="3199">
        <f t="shared" si="201"/>
        <v>0</v>
      </c>
      <c r="BT308" s="3271">
        <f t="shared" si="202"/>
        <v>0</v>
      </c>
    </row>
    <row r="309" spans="1:72">
      <c r="A309" s="3197"/>
      <c r="B309" s="3205"/>
      <c r="C309" s="3204"/>
      <c r="D309" s="3193"/>
      <c r="E309" s="3199">
        <f t="shared" si="203"/>
        <v>0</v>
      </c>
      <c r="F309" s="3200"/>
      <c r="G309" s="3201">
        <f t="shared" si="178"/>
        <v>0</v>
      </c>
      <c r="H309" s="3202">
        <f t="shared" si="179"/>
        <v>0</v>
      </c>
      <c r="I309" s="3207"/>
      <c r="J309" s="3218"/>
      <c r="K309" s="3207"/>
      <c r="L309" s="3218"/>
      <c r="M309" s="3218"/>
      <c r="N309" s="3218"/>
      <c r="O309" s="3218"/>
      <c r="P309" s="3218"/>
      <c r="Q309" s="3218"/>
      <c r="R309" s="3218"/>
      <c r="S309" s="3218"/>
      <c r="T309" s="3218"/>
      <c r="U309" s="3218"/>
      <c r="V309" s="3218"/>
      <c r="W309" s="3218"/>
      <c r="X309" s="3218"/>
      <c r="Y309" s="3218"/>
      <c r="Z309" s="3218"/>
      <c r="AA309" s="3218"/>
      <c r="AB309" s="3218"/>
      <c r="AC309" s="3199">
        <f t="shared" si="180"/>
        <v>0</v>
      </c>
      <c r="AD309" s="3229"/>
      <c r="AE309" s="3229"/>
      <c r="AF309" s="3207"/>
      <c r="AG309" s="3229"/>
      <c r="AH309" s="3229"/>
      <c r="AI309" s="3229"/>
      <c r="AJ309" s="3229"/>
      <c r="AK309" s="3229"/>
      <c r="AL309" s="3229"/>
      <c r="AM309" s="3229"/>
      <c r="AN309" s="3229"/>
      <c r="AO309" s="3229"/>
      <c r="AP309" s="3229"/>
      <c r="AQ309" s="3229"/>
      <c r="AR309" s="3229"/>
      <c r="AS309" s="3229"/>
      <c r="AT309" s="3249"/>
      <c r="AU309" s="3250"/>
      <c r="AV309" s="475">
        <f t="shared" si="204"/>
        <v>0</v>
      </c>
      <c r="AW309" s="475">
        <f t="shared" si="205"/>
        <v>0</v>
      </c>
      <c r="AX309" s="475">
        <f t="shared" si="206"/>
        <v>0</v>
      </c>
      <c r="AY309" s="3266">
        <f t="shared" si="181"/>
        <v>0</v>
      </c>
      <c r="AZ309" s="3199">
        <f t="shared" si="182"/>
        <v>0</v>
      </c>
      <c r="BA309" s="3199">
        <f t="shared" si="183"/>
        <v>0</v>
      </c>
      <c r="BB309" s="3199">
        <f t="shared" si="184"/>
        <v>0</v>
      </c>
      <c r="BC309" s="3199">
        <f t="shared" si="185"/>
        <v>0</v>
      </c>
      <c r="BD309" s="3199">
        <f t="shared" si="186"/>
        <v>0</v>
      </c>
      <c r="BE309" s="3199">
        <f t="shared" si="187"/>
        <v>0</v>
      </c>
      <c r="BF309" s="3199">
        <f t="shared" si="188"/>
        <v>0</v>
      </c>
      <c r="BG309" s="3199">
        <f t="shared" si="189"/>
        <v>0</v>
      </c>
      <c r="BH309" s="3199">
        <f t="shared" si="190"/>
        <v>0</v>
      </c>
      <c r="BI309" s="3199">
        <f t="shared" si="191"/>
        <v>0</v>
      </c>
      <c r="BJ309" s="3199">
        <f t="shared" si="192"/>
        <v>0</v>
      </c>
      <c r="BK309" s="3199">
        <f t="shared" si="193"/>
        <v>0</v>
      </c>
      <c r="BL309" s="3199">
        <f t="shared" si="194"/>
        <v>0</v>
      </c>
      <c r="BM309" s="3199">
        <f t="shared" si="195"/>
        <v>0</v>
      </c>
      <c r="BN309" s="3199">
        <f t="shared" si="196"/>
        <v>0</v>
      </c>
      <c r="BO309" s="3199">
        <f t="shared" si="197"/>
        <v>0</v>
      </c>
      <c r="BP309" s="3199">
        <f t="shared" si="198"/>
        <v>0</v>
      </c>
      <c r="BQ309" s="3199">
        <f t="shared" si="199"/>
        <v>0</v>
      </c>
      <c r="BR309" s="3199">
        <f t="shared" si="200"/>
        <v>0</v>
      </c>
      <c r="BS309" s="3199">
        <f t="shared" si="201"/>
        <v>0</v>
      </c>
      <c r="BT309" s="3271">
        <f t="shared" si="202"/>
        <v>0</v>
      </c>
    </row>
    <row r="310" spans="1:72">
      <c r="A310" s="3197"/>
      <c r="B310" s="3205"/>
      <c r="C310" s="3204"/>
      <c r="D310" s="3193"/>
      <c r="E310" s="3199">
        <f t="shared" si="203"/>
        <v>0</v>
      </c>
      <c r="F310" s="3200"/>
      <c r="G310" s="3201">
        <f t="shared" si="178"/>
        <v>0</v>
      </c>
      <c r="H310" s="3202">
        <f t="shared" si="179"/>
        <v>0</v>
      </c>
      <c r="I310" s="3207"/>
      <c r="J310" s="3218"/>
      <c r="K310" s="3207"/>
      <c r="L310" s="3218"/>
      <c r="M310" s="3218"/>
      <c r="N310" s="3218"/>
      <c r="O310" s="3218"/>
      <c r="P310" s="3218"/>
      <c r="Q310" s="3218"/>
      <c r="R310" s="3218"/>
      <c r="S310" s="3218"/>
      <c r="T310" s="3218"/>
      <c r="U310" s="3218"/>
      <c r="V310" s="3218"/>
      <c r="W310" s="3218"/>
      <c r="X310" s="3218"/>
      <c r="Y310" s="3218"/>
      <c r="Z310" s="3218"/>
      <c r="AA310" s="3218"/>
      <c r="AB310" s="3218"/>
      <c r="AC310" s="3199">
        <f t="shared" si="180"/>
        <v>0</v>
      </c>
      <c r="AD310" s="3229"/>
      <c r="AE310" s="3229"/>
      <c r="AF310" s="3207"/>
      <c r="AG310" s="3229"/>
      <c r="AH310" s="3229"/>
      <c r="AI310" s="3229"/>
      <c r="AJ310" s="3229"/>
      <c r="AK310" s="3229"/>
      <c r="AL310" s="3229"/>
      <c r="AM310" s="3229"/>
      <c r="AN310" s="3229"/>
      <c r="AO310" s="3229"/>
      <c r="AP310" s="3229"/>
      <c r="AQ310" s="3229"/>
      <c r="AR310" s="3229"/>
      <c r="AS310" s="3229"/>
      <c r="AT310" s="3249"/>
      <c r="AU310" s="3250"/>
      <c r="AV310" s="475">
        <f t="shared" si="204"/>
        <v>0</v>
      </c>
      <c r="AW310" s="475">
        <f t="shared" si="205"/>
        <v>0</v>
      </c>
      <c r="AX310" s="475">
        <f t="shared" si="206"/>
        <v>0</v>
      </c>
      <c r="AY310" s="3266">
        <f t="shared" si="181"/>
        <v>0</v>
      </c>
      <c r="AZ310" s="3199">
        <f t="shared" si="182"/>
        <v>0</v>
      </c>
      <c r="BA310" s="3199">
        <f t="shared" si="183"/>
        <v>0</v>
      </c>
      <c r="BB310" s="3199">
        <f t="shared" si="184"/>
        <v>0</v>
      </c>
      <c r="BC310" s="3199">
        <f t="shared" si="185"/>
        <v>0</v>
      </c>
      <c r="BD310" s="3199">
        <f t="shared" si="186"/>
        <v>0</v>
      </c>
      <c r="BE310" s="3199">
        <f t="shared" si="187"/>
        <v>0</v>
      </c>
      <c r="BF310" s="3199">
        <f t="shared" si="188"/>
        <v>0</v>
      </c>
      <c r="BG310" s="3199">
        <f t="shared" si="189"/>
        <v>0</v>
      </c>
      <c r="BH310" s="3199">
        <f t="shared" si="190"/>
        <v>0</v>
      </c>
      <c r="BI310" s="3199">
        <f t="shared" si="191"/>
        <v>0</v>
      </c>
      <c r="BJ310" s="3199">
        <f t="shared" si="192"/>
        <v>0</v>
      </c>
      <c r="BK310" s="3199">
        <f t="shared" si="193"/>
        <v>0</v>
      </c>
      <c r="BL310" s="3199">
        <f t="shared" si="194"/>
        <v>0</v>
      </c>
      <c r="BM310" s="3199">
        <f t="shared" si="195"/>
        <v>0</v>
      </c>
      <c r="BN310" s="3199">
        <f t="shared" si="196"/>
        <v>0</v>
      </c>
      <c r="BO310" s="3199">
        <f t="shared" si="197"/>
        <v>0</v>
      </c>
      <c r="BP310" s="3199">
        <f t="shared" si="198"/>
        <v>0</v>
      </c>
      <c r="BQ310" s="3199">
        <f t="shared" si="199"/>
        <v>0</v>
      </c>
      <c r="BR310" s="3199">
        <f t="shared" si="200"/>
        <v>0</v>
      </c>
      <c r="BS310" s="3199">
        <f t="shared" si="201"/>
        <v>0</v>
      </c>
      <c r="BT310" s="3271">
        <f t="shared" si="202"/>
        <v>0</v>
      </c>
    </row>
    <row r="311" spans="1:72">
      <c r="A311" s="3197"/>
      <c r="B311" s="3205"/>
      <c r="C311" s="3204"/>
      <c r="D311" s="3193"/>
      <c r="E311" s="3199">
        <f t="shared" si="203"/>
        <v>0</v>
      </c>
      <c r="F311" s="3200"/>
      <c r="G311" s="3201">
        <f t="shared" si="178"/>
        <v>0</v>
      </c>
      <c r="H311" s="3202">
        <f t="shared" si="179"/>
        <v>0</v>
      </c>
      <c r="I311" s="3207"/>
      <c r="J311" s="3218"/>
      <c r="K311" s="3207"/>
      <c r="L311" s="3218"/>
      <c r="M311" s="3218"/>
      <c r="N311" s="3218"/>
      <c r="O311" s="3218"/>
      <c r="P311" s="3218"/>
      <c r="Q311" s="3218"/>
      <c r="R311" s="3218"/>
      <c r="S311" s="3218"/>
      <c r="T311" s="3218"/>
      <c r="U311" s="3218"/>
      <c r="V311" s="3218"/>
      <c r="W311" s="3218"/>
      <c r="X311" s="3218"/>
      <c r="Y311" s="3218"/>
      <c r="Z311" s="3218"/>
      <c r="AA311" s="3218"/>
      <c r="AB311" s="3218"/>
      <c r="AC311" s="3199">
        <f t="shared" si="180"/>
        <v>0</v>
      </c>
      <c r="AD311" s="3229"/>
      <c r="AE311" s="3229"/>
      <c r="AF311" s="3207"/>
      <c r="AG311" s="3229"/>
      <c r="AH311" s="3229"/>
      <c r="AI311" s="3229"/>
      <c r="AJ311" s="3229"/>
      <c r="AK311" s="3229"/>
      <c r="AL311" s="3229"/>
      <c r="AM311" s="3229"/>
      <c r="AN311" s="3229"/>
      <c r="AO311" s="3229"/>
      <c r="AP311" s="3229"/>
      <c r="AQ311" s="3229"/>
      <c r="AR311" s="3229"/>
      <c r="AS311" s="3229"/>
      <c r="AT311" s="3249"/>
      <c r="AU311" s="3250"/>
      <c r="AV311" s="475">
        <f t="shared" si="204"/>
        <v>0</v>
      </c>
      <c r="AW311" s="475">
        <f t="shared" si="205"/>
        <v>0</v>
      </c>
      <c r="AX311" s="475">
        <f t="shared" si="206"/>
        <v>0</v>
      </c>
      <c r="AY311" s="3266">
        <f t="shared" si="181"/>
        <v>0</v>
      </c>
      <c r="AZ311" s="3199">
        <f t="shared" si="182"/>
        <v>0</v>
      </c>
      <c r="BA311" s="3199">
        <f t="shared" si="183"/>
        <v>0</v>
      </c>
      <c r="BB311" s="3199">
        <f t="shared" si="184"/>
        <v>0</v>
      </c>
      <c r="BC311" s="3199">
        <f t="shared" si="185"/>
        <v>0</v>
      </c>
      <c r="BD311" s="3199">
        <f t="shared" si="186"/>
        <v>0</v>
      </c>
      <c r="BE311" s="3199">
        <f t="shared" si="187"/>
        <v>0</v>
      </c>
      <c r="BF311" s="3199">
        <f t="shared" si="188"/>
        <v>0</v>
      </c>
      <c r="BG311" s="3199">
        <f t="shared" si="189"/>
        <v>0</v>
      </c>
      <c r="BH311" s="3199">
        <f t="shared" si="190"/>
        <v>0</v>
      </c>
      <c r="BI311" s="3199">
        <f t="shared" si="191"/>
        <v>0</v>
      </c>
      <c r="BJ311" s="3199">
        <f t="shared" si="192"/>
        <v>0</v>
      </c>
      <c r="BK311" s="3199">
        <f t="shared" si="193"/>
        <v>0</v>
      </c>
      <c r="BL311" s="3199">
        <f t="shared" si="194"/>
        <v>0</v>
      </c>
      <c r="BM311" s="3199">
        <f t="shared" si="195"/>
        <v>0</v>
      </c>
      <c r="BN311" s="3199">
        <f t="shared" si="196"/>
        <v>0</v>
      </c>
      <c r="BO311" s="3199">
        <f t="shared" si="197"/>
        <v>0</v>
      </c>
      <c r="BP311" s="3199">
        <f t="shared" si="198"/>
        <v>0</v>
      </c>
      <c r="BQ311" s="3199">
        <f t="shared" si="199"/>
        <v>0</v>
      </c>
      <c r="BR311" s="3199">
        <f t="shared" si="200"/>
        <v>0</v>
      </c>
      <c r="BS311" s="3199">
        <f t="shared" si="201"/>
        <v>0</v>
      </c>
      <c r="BT311" s="3271">
        <f t="shared" si="202"/>
        <v>0</v>
      </c>
    </row>
    <row r="312" spans="1:72">
      <c r="A312" s="3197"/>
      <c r="B312" s="3205"/>
      <c r="C312" s="3204"/>
      <c r="D312" s="3193"/>
      <c r="E312" s="3199">
        <f t="shared" si="203"/>
        <v>0</v>
      </c>
      <c r="F312" s="3200"/>
      <c r="G312" s="3201">
        <f t="shared" si="178"/>
        <v>0</v>
      </c>
      <c r="H312" s="3202">
        <f t="shared" si="179"/>
        <v>0</v>
      </c>
      <c r="I312" s="3207"/>
      <c r="J312" s="3218"/>
      <c r="K312" s="3207"/>
      <c r="L312" s="3218"/>
      <c r="M312" s="3218"/>
      <c r="N312" s="3218"/>
      <c r="O312" s="3218"/>
      <c r="P312" s="3218"/>
      <c r="Q312" s="3218"/>
      <c r="R312" s="3218"/>
      <c r="S312" s="3218"/>
      <c r="T312" s="3218"/>
      <c r="U312" s="3218"/>
      <c r="V312" s="3218"/>
      <c r="W312" s="3218"/>
      <c r="X312" s="3218"/>
      <c r="Y312" s="3218"/>
      <c r="Z312" s="3218"/>
      <c r="AA312" s="3218"/>
      <c r="AB312" s="3218"/>
      <c r="AC312" s="3199">
        <f t="shared" si="180"/>
        <v>0</v>
      </c>
      <c r="AD312" s="3229"/>
      <c r="AE312" s="3229"/>
      <c r="AF312" s="3207"/>
      <c r="AG312" s="3229"/>
      <c r="AH312" s="3229"/>
      <c r="AI312" s="3229"/>
      <c r="AJ312" s="3229"/>
      <c r="AK312" s="3229"/>
      <c r="AL312" s="3229"/>
      <c r="AM312" s="3229"/>
      <c r="AN312" s="3229"/>
      <c r="AO312" s="3229"/>
      <c r="AP312" s="3229"/>
      <c r="AQ312" s="3229"/>
      <c r="AR312" s="3229"/>
      <c r="AS312" s="3229"/>
      <c r="AT312" s="3249"/>
      <c r="AU312" s="3250"/>
      <c r="AV312" s="475">
        <f t="shared" si="204"/>
        <v>0</v>
      </c>
      <c r="AW312" s="475">
        <f t="shared" si="205"/>
        <v>0</v>
      </c>
      <c r="AX312" s="475">
        <f t="shared" si="206"/>
        <v>0</v>
      </c>
      <c r="AY312" s="3266">
        <f t="shared" si="181"/>
        <v>0</v>
      </c>
      <c r="AZ312" s="3199">
        <f t="shared" si="182"/>
        <v>0</v>
      </c>
      <c r="BA312" s="3199">
        <f t="shared" si="183"/>
        <v>0</v>
      </c>
      <c r="BB312" s="3199">
        <f t="shared" si="184"/>
        <v>0</v>
      </c>
      <c r="BC312" s="3199">
        <f t="shared" si="185"/>
        <v>0</v>
      </c>
      <c r="BD312" s="3199">
        <f t="shared" si="186"/>
        <v>0</v>
      </c>
      <c r="BE312" s="3199">
        <f t="shared" si="187"/>
        <v>0</v>
      </c>
      <c r="BF312" s="3199">
        <f t="shared" si="188"/>
        <v>0</v>
      </c>
      <c r="BG312" s="3199">
        <f t="shared" si="189"/>
        <v>0</v>
      </c>
      <c r="BH312" s="3199">
        <f t="shared" si="190"/>
        <v>0</v>
      </c>
      <c r="BI312" s="3199">
        <f t="shared" si="191"/>
        <v>0</v>
      </c>
      <c r="BJ312" s="3199">
        <f t="shared" si="192"/>
        <v>0</v>
      </c>
      <c r="BK312" s="3199">
        <f t="shared" si="193"/>
        <v>0</v>
      </c>
      <c r="BL312" s="3199">
        <f t="shared" si="194"/>
        <v>0</v>
      </c>
      <c r="BM312" s="3199">
        <f t="shared" si="195"/>
        <v>0</v>
      </c>
      <c r="BN312" s="3199">
        <f t="shared" si="196"/>
        <v>0</v>
      </c>
      <c r="BO312" s="3199">
        <f t="shared" si="197"/>
        <v>0</v>
      </c>
      <c r="BP312" s="3199">
        <f t="shared" si="198"/>
        <v>0</v>
      </c>
      <c r="BQ312" s="3199">
        <f t="shared" si="199"/>
        <v>0</v>
      </c>
      <c r="BR312" s="3199">
        <f t="shared" si="200"/>
        <v>0</v>
      </c>
      <c r="BS312" s="3199">
        <f t="shared" si="201"/>
        <v>0</v>
      </c>
      <c r="BT312" s="3271">
        <f t="shared" si="202"/>
        <v>0</v>
      </c>
    </row>
    <row r="313" spans="1:72">
      <c r="A313" s="3197"/>
      <c r="B313" s="3205"/>
      <c r="C313" s="3204"/>
      <c r="D313" s="3193"/>
      <c r="E313" s="3199">
        <f t="shared" si="203"/>
        <v>0</v>
      </c>
      <c r="F313" s="3200"/>
      <c r="G313" s="3201">
        <f t="shared" si="178"/>
        <v>0</v>
      </c>
      <c r="H313" s="3202">
        <f t="shared" si="179"/>
        <v>0</v>
      </c>
      <c r="I313" s="3207"/>
      <c r="J313" s="3218"/>
      <c r="K313" s="3207"/>
      <c r="L313" s="3218"/>
      <c r="M313" s="3218"/>
      <c r="N313" s="3218"/>
      <c r="O313" s="3218"/>
      <c r="P313" s="3218"/>
      <c r="Q313" s="3218"/>
      <c r="R313" s="3218"/>
      <c r="S313" s="3218"/>
      <c r="T313" s="3218"/>
      <c r="U313" s="3218"/>
      <c r="V313" s="3218"/>
      <c r="W313" s="3218"/>
      <c r="X313" s="3218"/>
      <c r="Y313" s="3218"/>
      <c r="Z313" s="3218"/>
      <c r="AA313" s="3218"/>
      <c r="AB313" s="3218"/>
      <c r="AC313" s="3199">
        <f t="shared" si="180"/>
        <v>0</v>
      </c>
      <c r="AD313" s="3229"/>
      <c r="AE313" s="3229"/>
      <c r="AF313" s="3207"/>
      <c r="AG313" s="3229"/>
      <c r="AH313" s="3229"/>
      <c r="AI313" s="3229"/>
      <c r="AJ313" s="3229"/>
      <c r="AK313" s="3229"/>
      <c r="AL313" s="3229"/>
      <c r="AM313" s="3229"/>
      <c r="AN313" s="3229"/>
      <c r="AO313" s="3229"/>
      <c r="AP313" s="3229"/>
      <c r="AQ313" s="3229"/>
      <c r="AR313" s="3229"/>
      <c r="AS313" s="3229"/>
      <c r="AT313" s="3249"/>
      <c r="AU313" s="3250"/>
      <c r="AV313" s="475">
        <f t="shared" si="204"/>
        <v>0</v>
      </c>
      <c r="AW313" s="475">
        <f t="shared" si="205"/>
        <v>0</v>
      </c>
      <c r="AX313" s="475">
        <f t="shared" si="206"/>
        <v>0</v>
      </c>
      <c r="AY313" s="3266">
        <f t="shared" si="181"/>
        <v>0</v>
      </c>
      <c r="AZ313" s="3199">
        <f t="shared" si="182"/>
        <v>0</v>
      </c>
      <c r="BA313" s="3199">
        <f t="shared" si="183"/>
        <v>0</v>
      </c>
      <c r="BB313" s="3199">
        <f t="shared" si="184"/>
        <v>0</v>
      </c>
      <c r="BC313" s="3199">
        <f t="shared" si="185"/>
        <v>0</v>
      </c>
      <c r="BD313" s="3199">
        <f t="shared" si="186"/>
        <v>0</v>
      </c>
      <c r="BE313" s="3199">
        <f t="shared" si="187"/>
        <v>0</v>
      </c>
      <c r="BF313" s="3199">
        <f t="shared" si="188"/>
        <v>0</v>
      </c>
      <c r="BG313" s="3199">
        <f t="shared" si="189"/>
        <v>0</v>
      </c>
      <c r="BH313" s="3199">
        <f t="shared" si="190"/>
        <v>0</v>
      </c>
      <c r="BI313" s="3199">
        <f t="shared" si="191"/>
        <v>0</v>
      </c>
      <c r="BJ313" s="3199">
        <f t="shared" si="192"/>
        <v>0</v>
      </c>
      <c r="BK313" s="3199">
        <f t="shared" si="193"/>
        <v>0</v>
      </c>
      <c r="BL313" s="3199">
        <f t="shared" si="194"/>
        <v>0</v>
      </c>
      <c r="BM313" s="3199">
        <f t="shared" si="195"/>
        <v>0</v>
      </c>
      <c r="BN313" s="3199">
        <f t="shared" si="196"/>
        <v>0</v>
      </c>
      <c r="BO313" s="3199">
        <f t="shared" si="197"/>
        <v>0</v>
      </c>
      <c r="BP313" s="3199">
        <f t="shared" si="198"/>
        <v>0</v>
      </c>
      <c r="BQ313" s="3199">
        <f t="shared" si="199"/>
        <v>0</v>
      </c>
      <c r="BR313" s="3199">
        <f t="shared" si="200"/>
        <v>0</v>
      </c>
      <c r="BS313" s="3199">
        <f t="shared" si="201"/>
        <v>0</v>
      </c>
      <c r="BT313" s="3271">
        <f t="shared" si="202"/>
        <v>0</v>
      </c>
    </row>
    <row r="314" spans="1:72">
      <c r="A314" s="3197"/>
      <c r="B314" s="3205"/>
      <c r="C314" s="3204"/>
      <c r="D314" s="3193"/>
      <c r="E314" s="3199">
        <f t="shared" si="203"/>
        <v>0</v>
      </c>
      <c r="F314" s="3200"/>
      <c r="G314" s="3201">
        <f t="shared" si="178"/>
        <v>0</v>
      </c>
      <c r="H314" s="3202">
        <f t="shared" si="179"/>
        <v>0</v>
      </c>
      <c r="I314" s="3207"/>
      <c r="J314" s="3218"/>
      <c r="K314" s="3207"/>
      <c r="L314" s="3218"/>
      <c r="M314" s="3218"/>
      <c r="N314" s="3218"/>
      <c r="O314" s="3218"/>
      <c r="P314" s="3218"/>
      <c r="Q314" s="3218"/>
      <c r="R314" s="3218"/>
      <c r="S314" s="3218"/>
      <c r="T314" s="3218"/>
      <c r="U314" s="3218"/>
      <c r="V314" s="3218"/>
      <c r="W314" s="3218"/>
      <c r="X314" s="3218"/>
      <c r="Y314" s="3218"/>
      <c r="Z314" s="3218"/>
      <c r="AA314" s="3218"/>
      <c r="AB314" s="3218"/>
      <c r="AC314" s="3199">
        <f t="shared" si="180"/>
        <v>0</v>
      </c>
      <c r="AD314" s="3229"/>
      <c r="AE314" s="3229"/>
      <c r="AF314" s="3207"/>
      <c r="AG314" s="3229"/>
      <c r="AH314" s="3229"/>
      <c r="AI314" s="3229"/>
      <c r="AJ314" s="3229"/>
      <c r="AK314" s="3229"/>
      <c r="AL314" s="3229"/>
      <c r="AM314" s="3229"/>
      <c r="AN314" s="3229"/>
      <c r="AO314" s="3229"/>
      <c r="AP314" s="3229"/>
      <c r="AQ314" s="3229"/>
      <c r="AR314" s="3229"/>
      <c r="AS314" s="3229"/>
      <c r="AT314" s="3249"/>
      <c r="AU314" s="3250"/>
      <c r="AV314" s="475">
        <f t="shared" si="204"/>
        <v>0</v>
      </c>
      <c r="AW314" s="475">
        <f t="shared" si="205"/>
        <v>0</v>
      </c>
      <c r="AX314" s="475">
        <f t="shared" si="206"/>
        <v>0</v>
      </c>
      <c r="AY314" s="3266">
        <f t="shared" si="181"/>
        <v>0</v>
      </c>
      <c r="AZ314" s="3199">
        <f t="shared" si="182"/>
        <v>0</v>
      </c>
      <c r="BA314" s="3199">
        <f t="shared" si="183"/>
        <v>0</v>
      </c>
      <c r="BB314" s="3199">
        <f t="shared" si="184"/>
        <v>0</v>
      </c>
      <c r="BC314" s="3199">
        <f t="shared" si="185"/>
        <v>0</v>
      </c>
      <c r="BD314" s="3199">
        <f t="shared" si="186"/>
        <v>0</v>
      </c>
      <c r="BE314" s="3199">
        <f t="shared" si="187"/>
        <v>0</v>
      </c>
      <c r="BF314" s="3199">
        <f t="shared" si="188"/>
        <v>0</v>
      </c>
      <c r="BG314" s="3199">
        <f t="shared" si="189"/>
        <v>0</v>
      </c>
      <c r="BH314" s="3199">
        <f t="shared" si="190"/>
        <v>0</v>
      </c>
      <c r="BI314" s="3199">
        <f t="shared" si="191"/>
        <v>0</v>
      </c>
      <c r="BJ314" s="3199">
        <f t="shared" si="192"/>
        <v>0</v>
      </c>
      <c r="BK314" s="3199">
        <f t="shared" si="193"/>
        <v>0</v>
      </c>
      <c r="BL314" s="3199">
        <f t="shared" si="194"/>
        <v>0</v>
      </c>
      <c r="BM314" s="3199">
        <f t="shared" si="195"/>
        <v>0</v>
      </c>
      <c r="BN314" s="3199">
        <f t="shared" si="196"/>
        <v>0</v>
      </c>
      <c r="BO314" s="3199">
        <f t="shared" si="197"/>
        <v>0</v>
      </c>
      <c r="BP314" s="3199">
        <f t="shared" si="198"/>
        <v>0</v>
      </c>
      <c r="BQ314" s="3199">
        <f t="shared" si="199"/>
        <v>0</v>
      </c>
      <c r="BR314" s="3199">
        <f t="shared" si="200"/>
        <v>0</v>
      </c>
      <c r="BS314" s="3199">
        <f t="shared" si="201"/>
        <v>0</v>
      </c>
      <c r="BT314" s="3271">
        <f t="shared" si="202"/>
        <v>0</v>
      </c>
    </row>
    <row r="315" spans="1:72">
      <c r="A315" s="3197"/>
      <c r="B315" s="3205"/>
      <c r="C315" s="3204"/>
      <c r="D315" s="3193"/>
      <c r="E315" s="3199">
        <f t="shared" si="203"/>
        <v>0</v>
      </c>
      <c r="F315" s="3200"/>
      <c r="G315" s="3201">
        <f t="shared" si="178"/>
        <v>0</v>
      </c>
      <c r="H315" s="3202">
        <f t="shared" si="179"/>
        <v>0</v>
      </c>
      <c r="I315" s="3207"/>
      <c r="J315" s="3218"/>
      <c r="K315" s="3207"/>
      <c r="L315" s="3218"/>
      <c r="M315" s="3218"/>
      <c r="N315" s="3218"/>
      <c r="O315" s="3218"/>
      <c r="P315" s="3218"/>
      <c r="Q315" s="3218"/>
      <c r="R315" s="3218"/>
      <c r="S315" s="3218"/>
      <c r="T315" s="3218"/>
      <c r="U315" s="3218"/>
      <c r="V315" s="3218"/>
      <c r="W315" s="3218"/>
      <c r="X315" s="3218"/>
      <c r="Y315" s="3218"/>
      <c r="Z315" s="3218"/>
      <c r="AA315" s="3218"/>
      <c r="AB315" s="3218"/>
      <c r="AC315" s="3199">
        <f t="shared" si="180"/>
        <v>0</v>
      </c>
      <c r="AD315" s="3229"/>
      <c r="AE315" s="3229"/>
      <c r="AF315" s="3207"/>
      <c r="AG315" s="3229"/>
      <c r="AH315" s="3229"/>
      <c r="AI315" s="3229"/>
      <c r="AJ315" s="3229"/>
      <c r="AK315" s="3229"/>
      <c r="AL315" s="3229"/>
      <c r="AM315" s="3229"/>
      <c r="AN315" s="3229"/>
      <c r="AO315" s="3229"/>
      <c r="AP315" s="3229"/>
      <c r="AQ315" s="3229"/>
      <c r="AR315" s="3229"/>
      <c r="AS315" s="3229"/>
      <c r="AT315" s="3249"/>
      <c r="AU315" s="3250"/>
      <c r="AV315" s="475">
        <f t="shared" si="204"/>
        <v>0</v>
      </c>
      <c r="AW315" s="475">
        <f t="shared" si="205"/>
        <v>0</v>
      </c>
      <c r="AX315" s="475">
        <f t="shared" si="206"/>
        <v>0</v>
      </c>
      <c r="AY315" s="3266">
        <f t="shared" si="181"/>
        <v>0</v>
      </c>
      <c r="AZ315" s="3199">
        <f t="shared" si="182"/>
        <v>0</v>
      </c>
      <c r="BA315" s="3199">
        <f t="shared" si="183"/>
        <v>0</v>
      </c>
      <c r="BB315" s="3199">
        <f t="shared" si="184"/>
        <v>0</v>
      </c>
      <c r="BC315" s="3199">
        <f t="shared" si="185"/>
        <v>0</v>
      </c>
      <c r="BD315" s="3199">
        <f t="shared" si="186"/>
        <v>0</v>
      </c>
      <c r="BE315" s="3199">
        <f t="shared" si="187"/>
        <v>0</v>
      </c>
      <c r="BF315" s="3199">
        <f t="shared" si="188"/>
        <v>0</v>
      </c>
      <c r="BG315" s="3199">
        <f t="shared" si="189"/>
        <v>0</v>
      </c>
      <c r="BH315" s="3199">
        <f t="shared" si="190"/>
        <v>0</v>
      </c>
      <c r="BI315" s="3199">
        <f t="shared" si="191"/>
        <v>0</v>
      </c>
      <c r="BJ315" s="3199">
        <f t="shared" si="192"/>
        <v>0</v>
      </c>
      <c r="BK315" s="3199">
        <f t="shared" si="193"/>
        <v>0</v>
      </c>
      <c r="BL315" s="3199">
        <f t="shared" si="194"/>
        <v>0</v>
      </c>
      <c r="BM315" s="3199">
        <f t="shared" si="195"/>
        <v>0</v>
      </c>
      <c r="BN315" s="3199">
        <f t="shared" si="196"/>
        <v>0</v>
      </c>
      <c r="BO315" s="3199">
        <f t="shared" si="197"/>
        <v>0</v>
      </c>
      <c r="BP315" s="3199">
        <f t="shared" si="198"/>
        <v>0</v>
      </c>
      <c r="BQ315" s="3199">
        <f t="shared" si="199"/>
        <v>0</v>
      </c>
      <c r="BR315" s="3199">
        <f t="shared" si="200"/>
        <v>0</v>
      </c>
      <c r="BS315" s="3199">
        <f t="shared" si="201"/>
        <v>0</v>
      </c>
      <c r="BT315" s="3271">
        <f t="shared" si="202"/>
        <v>0</v>
      </c>
    </row>
    <row r="316" spans="1:72">
      <c r="A316" s="3197"/>
      <c r="B316" s="3205"/>
      <c r="C316" s="3204"/>
      <c r="D316" s="3193"/>
      <c r="E316" s="3199">
        <f t="shared" si="203"/>
        <v>0</v>
      </c>
      <c r="F316" s="3200"/>
      <c r="G316" s="3201">
        <f t="shared" si="178"/>
        <v>0</v>
      </c>
      <c r="H316" s="3202">
        <f t="shared" si="179"/>
        <v>0</v>
      </c>
      <c r="I316" s="3207"/>
      <c r="J316" s="3218"/>
      <c r="K316" s="3207"/>
      <c r="L316" s="3218"/>
      <c r="M316" s="3218"/>
      <c r="N316" s="3218"/>
      <c r="O316" s="3218"/>
      <c r="P316" s="3218"/>
      <c r="Q316" s="3218"/>
      <c r="R316" s="3218"/>
      <c r="S316" s="3218"/>
      <c r="T316" s="3218"/>
      <c r="U316" s="3218"/>
      <c r="V316" s="3218"/>
      <c r="W316" s="3218"/>
      <c r="X316" s="3218"/>
      <c r="Y316" s="3218"/>
      <c r="Z316" s="3218"/>
      <c r="AA316" s="3218"/>
      <c r="AB316" s="3218"/>
      <c r="AC316" s="3199">
        <f t="shared" si="180"/>
        <v>0</v>
      </c>
      <c r="AD316" s="3229"/>
      <c r="AE316" s="3229"/>
      <c r="AF316" s="3207"/>
      <c r="AG316" s="3229"/>
      <c r="AH316" s="3229"/>
      <c r="AI316" s="3229"/>
      <c r="AJ316" s="3229"/>
      <c r="AK316" s="3229"/>
      <c r="AL316" s="3229"/>
      <c r="AM316" s="3229"/>
      <c r="AN316" s="3229"/>
      <c r="AO316" s="3229"/>
      <c r="AP316" s="3229"/>
      <c r="AQ316" s="3229"/>
      <c r="AR316" s="3229"/>
      <c r="AS316" s="3229"/>
      <c r="AT316" s="3249"/>
      <c r="AU316" s="3250"/>
      <c r="AV316" s="475">
        <f t="shared" si="204"/>
        <v>0</v>
      </c>
      <c r="AW316" s="475">
        <f t="shared" si="205"/>
        <v>0</v>
      </c>
      <c r="AX316" s="475">
        <f t="shared" si="206"/>
        <v>0</v>
      </c>
      <c r="AY316" s="3266">
        <f t="shared" si="181"/>
        <v>0</v>
      </c>
      <c r="AZ316" s="3199">
        <f t="shared" si="182"/>
        <v>0</v>
      </c>
      <c r="BA316" s="3199">
        <f t="shared" si="183"/>
        <v>0</v>
      </c>
      <c r="BB316" s="3199">
        <f t="shared" si="184"/>
        <v>0</v>
      </c>
      <c r="BC316" s="3199">
        <f t="shared" si="185"/>
        <v>0</v>
      </c>
      <c r="BD316" s="3199">
        <f t="shared" si="186"/>
        <v>0</v>
      </c>
      <c r="BE316" s="3199">
        <f t="shared" si="187"/>
        <v>0</v>
      </c>
      <c r="BF316" s="3199">
        <f t="shared" si="188"/>
        <v>0</v>
      </c>
      <c r="BG316" s="3199">
        <f t="shared" si="189"/>
        <v>0</v>
      </c>
      <c r="BH316" s="3199">
        <f t="shared" si="190"/>
        <v>0</v>
      </c>
      <c r="BI316" s="3199">
        <f t="shared" si="191"/>
        <v>0</v>
      </c>
      <c r="BJ316" s="3199">
        <f t="shared" si="192"/>
        <v>0</v>
      </c>
      <c r="BK316" s="3199">
        <f t="shared" si="193"/>
        <v>0</v>
      </c>
      <c r="BL316" s="3199">
        <f t="shared" si="194"/>
        <v>0</v>
      </c>
      <c r="BM316" s="3199">
        <f t="shared" si="195"/>
        <v>0</v>
      </c>
      <c r="BN316" s="3199">
        <f t="shared" si="196"/>
        <v>0</v>
      </c>
      <c r="BO316" s="3199">
        <f t="shared" si="197"/>
        <v>0</v>
      </c>
      <c r="BP316" s="3199">
        <f t="shared" si="198"/>
        <v>0</v>
      </c>
      <c r="BQ316" s="3199">
        <f t="shared" si="199"/>
        <v>0</v>
      </c>
      <c r="BR316" s="3199">
        <f t="shared" si="200"/>
        <v>0</v>
      </c>
      <c r="BS316" s="3199">
        <f t="shared" si="201"/>
        <v>0</v>
      </c>
      <c r="BT316" s="3271">
        <f t="shared" si="202"/>
        <v>0</v>
      </c>
    </row>
    <row r="317" spans="1:72">
      <c r="A317" s="3197"/>
      <c r="B317" s="3205"/>
      <c r="C317" s="3204"/>
      <c r="D317" s="3193"/>
      <c r="E317" s="3199">
        <f t="shared" si="203"/>
        <v>0</v>
      </c>
      <c r="F317" s="3200"/>
      <c r="G317" s="3201">
        <f t="shared" si="178"/>
        <v>0</v>
      </c>
      <c r="H317" s="3202">
        <f t="shared" si="179"/>
        <v>0</v>
      </c>
      <c r="I317" s="3207"/>
      <c r="J317" s="3218"/>
      <c r="K317" s="3207"/>
      <c r="L317" s="3218"/>
      <c r="M317" s="3218"/>
      <c r="N317" s="3218"/>
      <c r="O317" s="3218"/>
      <c r="P317" s="3218"/>
      <c r="Q317" s="3218"/>
      <c r="R317" s="3218"/>
      <c r="S317" s="3218"/>
      <c r="T317" s="3218"/>
      <c r="U317" s="3218"/>
      <c r="V317" s="3218"/>
      <c r="W317" s="3218"/>
      <c r="X317" s="3218"/>
      <c r="Y317" s="3218"/>
      <c r="Z317" s="3218"/>
      <c r="AA317" s="3218"/>
      <c r="AB317" s="3218"/>
      <c r="AC317" s="3199">
        <f t="shared" si="180"/>
        <v>0</v>
      </c>
      <c r="AD317" s="3229"/>
      <c r="AE317" s="3229"/>
      <c r="AF317" s="3207"/>
      <c r="AG317" s="3229"/>
      <c r="AH317" s="3229"/>
      <c r="AI317" s="3229"/>
      <c r="AJ317" s="3229"/>
      <c r="AK317" s="3229"/>
      <c r="AL317" s="3229"/>
      <c r="AM317" s="3229"/>
      <c r="AN317" s="3229"/>
      <c r="AO317" s="3229"/>
      <c r="AP317" s="3229"/>
      <c r="AQ317" s="3229"/>
      <c r="AR317" s="3229"/>
      <c r="AS317" s="3229"/>
      <c r="AT317" s="3249"/>
      <c r="AU317" s="3250"/>
      <c r="AV317" s="475">
        <f t="shared" si="204"/>
        <v>0</v>
      </c>
      <c r="AW317" s="475">
        <f t="shared" si="205"/>
        <v>0</v>
      </c>
      <c r="AX317" s="475">
        <f t="shared" si="206"/>
        <v>0</v>
      </c>
      <c r="AY317" s="3266">
        <f t="shared" si="181"/>
        <v>0</v>
      </c>
      <c r="AZ317" s="3199">
        <f t="shared" si="182"/>
        <v>0</v>
      </c>
      <c r="BA317" s="3199">
        <f t="shared" si="183"/>
        <v>0</v>
      </c>
      <c r="BB317" s="3199">
        <f t="shared" si="184"/>
        <v>0</v>
      </c>
      <c r="BC317" s="3199">
        <f t="shared" si="185"/>
        <v>0</v>
      </c>
      <c r="BD317" s="3199">
        <f t="shared" si="186"/>
        <v>0</v>
      </c>
      <c r="BE317" s="3199">
        <f t="shared" si="187"/>
        <v>0</v>
      </c>
      <c r="BF317" s="3199">
        <f t="shared" si="188"/>
        <v>0</v>
      </c>
      <c r="BG317" s="3199">
        <f t="shared" si="189"/>
        <v>0</v>
      </c>
      <c r="BH317" s="3199">
        <f t="shared" si="190"/>
        <v>0</v>
      </c>
      <c r="BI317" s="3199">
        <f t="shared" si="191"/>
        <v>0</v>
      </c>
      <c r="BJ317" s="3199">
        <f t="shared" si="192"/>
        <v>0</v>
      </c>
      <c r="BK317" s="3199">
        <f t="shared" si="193"/>
        <v>0</v>
      </c>
      <c r="BL317" s="3199">
        <f t="shared" si="194"/>
        <v>0</v>
      </c>
      <c r="BM317" s="3199">
        <f t="shared" si="195"/>
        <v>0</v>
      </c>
      <c r="BN317" s="3199">
        <f t="shared" si="196"/>
        <v>0</v>
      </c>
      <c r="BO317" s="3199">
        <f t="shared" si="197"/>
        <v>0</v>
      </c>
      <c r="BP317" s="3199">
        <f t="shared" si="198"/>
        <v>0</v>
      </c>
      <c r="BQ317" s="3199">
        <f t="shared" si="199"/>
        <v>0</v>
      </c>
      <c r="BR317" s="3199">
        <f t="shared" si="200"/>
        <v>0</v>
      </c>
      <c r="BS317" s="3199">
        <f t="shared" si="201"/>
        <v>0</v>
      </c>
      <c r="BT317" s="3271">
        <f t="shared" si="202"/>
        <v>0</v>
      </c>
    </row>
    <row r="318" spans="1:72">
      <c r="A318" s="3197"/>
      <c r="B318" s="3205"/>
      <c r="C318" s="3204"/>
      <c r="D318" s="3193"/>
      <c r="E318" s="3199">
        <f t="shared" si="203"/>
        <v>0</v>
      </c>
      <c r="F318" s="3200"/>
      <c r="G318" s="3201">
        <f t="shared" si="178"/>
        <v>0</v>
      </c>
      <c r="H318" s="3202">
        <f t="shared" si="179"/>
        <v>0</v>
      </c>
      <c r="I318" s="3207"/>
      <c r="J318" s="3218"/>
      <c r="K318" s="3207"/>
      <c r="L318" s="3218"/>
      <c r="M318" s="3218"/>
      <c r="N318" s="3218"/>
      <c r="O318" s="3218"/>
      <c r="P318" s="3218"/>
      <c r="Q318" s="3218"/>
      <c r="R318" s="3218"/>
      <c r="S318" s="3218"/>
      <c r="T318" s="3218"/>
      <c r="U318" s="3218"/>
      <c r="V318" s="3218"/>
      <c r="W318" s="3218"/>
      <c r="X318" s="3218"/>
      <c r="Y318" s="3218"/>
      <c r="Z318" s="3218"/>
      <c r="AA318" s="3218"/>
      <c r="AB318" s="3218"/>
      <c r="AC318" s="3199">
        <f t="shared" si="180"/>
        <v>0</v>
      </c>
      <c r="AD318" s="3229"/>
      <c r="AE318" s="3229"/>
      <c r="AF318" s="3207"/>
      <c r="AG318" s="3229"/>
      <c r="AH318" s="3229"/>
      <c r="AI318" s="3229"/>
      <c r="AJ318" s="3229"/>
      <c r="AK318" s="3229"/>
      <c r="AL318" s="3229"/>
      <c r="AM318" s="3229"/>
      <c r="AN318" s="3229"/>
      <c r="AO318" s="3229"/>
      <c r="AP318" s="3229"/>
      <c r="AQ318" s="3229"/>
      <c r="AR318" s="3229"/>
      <c r="AS318" s="3229"/>
      <c r="AT318" s="3249"/>
      <c r="AU318" s="3250"/>
      <c r="AV318" s="475">
        <f t="shared" si="204"/>
        <v>0</v>
      </c>
      <c r="AW318" s="475">
        <f t="shared" si="205"/>
        <v>0</v>
      </c>
      <c r="AX318" s="475">
        <f t="shared" si="206"/>
        <v>0</v>
      </c>
      <c r="AY318" s="3266">
        <f t="shared" si="181"/>
        <v>0</v>
      </c>
      <c r="AZ318" s="3199">
        <f t="shared" si="182"/>
        <v>0</v>
      </c>
      <c r="BA318" s="3199">
        <f t="shared" si="183"/>
        <v>0</v>
      </c>
      <c r="BB318" s="3199">
        <f t="shared" si="184"/>
        <v>0</v>
      </c>
      <c r="BC318" s="3199">
        <f t="shared" si="185"/>
        <v>0</v>
      </c>
      <c r="BD318" s="3199">
        <f t="shared" si="186"/>
        <v>0</v>
      </c>
      <c r="BE318" s="3199">
        <f t="shared" si="187"/>
        <v>0</v>
      </c>
      <c r="BF318" s="3199">
        <f t="shared" si="188"/>
        <v>0</v>
      </c>
      <c r="BG318" s="3199">
        <f t="shared" si="189"/>
        <v>0</v>
      </c>
      <c r="BH318" s="3199">
        <f t="shared" si="190"/>
        <v>0</v>
      </c>
      <c r="BI318" s="3199">
        <f t="shared" si="191"/>
        <v>0</v>
      </c>
      <c r="BJ318" s="3199">
        <f t="shared" si="192"/>
        <v>0</v>
      </c>
      <c r="BK318" s="3199">
        <f t="shared" si="193"/>
        <v>0</v>
      </c>
      <c r="BL318" s="3199">
        <f t="shared" si="194"/>
        <v>0</v>
      </c>
      <c r="BM318" s="3199">
        <f t="shared" si="195"/>
        <v>0</v>
      </c>
      <c r="BN318" s="3199">
        <f t="shared" si="196"/>
        <v>0</v>
      </c>
      <c r="BO318" s="3199">
        <f t="shared" si="197"/>
        <v>0</v>
      </c>
      <c r="BP318" s="3199">
        <f t="shared" si="198"/>
        <v>0</v>
      </c>
      <c r="BQ318" s="3199">
        <f t="shared" si="199"/>
        <v>0</v>
      </c>
      <c r="BR318" s="3199">
        <f t="shared" si="200"/>
        <v>0</v>
      </c>
      <c r="BS318" s="3199">
        <f t="shared" si="201"/>
        <v>0</v>
      </c>
      <c r="BT318" s="3271">
        <f t="shared" si="202"/>
        <v>0</v>
      </c>
    </row>
    <row r="319" spans="1:72">
      <c r="A319" s="3197"/>
      <c r="B319" s="3205"/>
      <c r="C319" s="3204"/>
      <c r="D319" s="3193"/>
      <c r="E319" s="3199">
        <f t="shared" si="203"/>
        <v>0</v>
      </c>
      <c r="F319" s="3200"/>
      <c r="G319" s="3201">
        <f t="shared" si="178"/>
        <v>0</v>
      </c>
      <c r="H319" s="3202">
        <f t="shared" si="179"/>
        <v>0</v>
      </c>
      <c r="I319" s="3207"/>
      <c r="J319" s="3218"/>
      <c r="K319" s="3207"/>
      <c r="L319" s="3218"/>
      <c r="M319" s="3218"/>
      <c r="N319" s="3218"/>
      <c r="O319" s="3218"/>
      <c r="P319" s="3218"/>
      <c r="Q319" s="3218"/>
      <c r="R319" s="3218"/>
      <c r="S319" s="3218"/>
      <c r="T319" s="3218"/>
      <c r="U319" s="3218"/>
      <c r="V319" s="3218"/>
      <c r="W319" s="3218"/>
      <c r="X319" s="3218"/>
      <c r="Y319" s="3218"/>
      <c r="Z319" s="3218"/>
      <c r="AA319" s="3218"/>
      <c r="AB319" s="3218"/>
      <c r="AC319" s="3199">
        <f t="shared" si="180"/>
        <v>0</v>
      </c>
      <c r="AD319" s="3229"/>
      <c r="AE319" s="3229"/>
      <c r="AF319" s="3207"/>
      <c r="AG319" s="3229"/>
      <c r="AH319" s="3229"/>
      <c r="AI319" s="3229"/>
      <c r="AJ319" s="3229"/>
      <c r="AK319" s="3229"/>
      <c r="AL319" s="3229"/>
      <c r="AM319" s="3229"/>
      <c r="AN319" s="3229"/>
      <c r="AO319" s="3229"/>
      <c r="AP319" s="3229"/>
      <c r="AQ319" s="3229"/>
      <c r="AR319" s="3229"/>
      <c r="AS319" s="3229"/>
      <c r="AT319" s="3249"/>
      <c r="AU319" s="3250"/>
      <c r="AV319" s="475">
        <f t="shared" si="204"/>
        <v>0</v>
      </c>
      <c r="AW319" s="475">
        <f t="shared" si="205"/>
        <v>0</v>
      </c>
      <c r="AX319" s="475">
        <f t="shared" si="206"/>
        <v>0</v>
      </c>
      <c r="AY319" s="3266">
        <f t="shared" si="181"/>
        <v>0</v>
      </c>
      <c r="AZ319" s="3199">
        <f t="shared" si="182"/>
        <v>0</v>
      </c>
      <c r="BA319" s="3199">
        <f t="shared" si="183"/>
        <v>0</v>
      </c>
      <c r="BB319" s="3199">
        <f t="shared" si="184"/>
        <v>0</v>
      </c>
      <c r="BC319" s="3199">
        <f t="shared" si="185"/>
        <v>0</v>
      </c>
      <c r="BD319" s="3199">
        <f t="shared" si="186"/>
        <v>0</v>
      </c>
      <c r="BE319" s="3199">
        <f t="shared" si="187"/>
        <v>0</v>
      </c>
      <c r="BF319" s="3199">
        <f t="shared" si="188"/>
        <v>0</v>
      </c>
      <c r="BG319" s="3199">
        <f t="shared" si="189"/>
        <v>0</v>
      </c>
      <c r="BH319" s="3199">
        <f t="shared" si="190"/>
        <v>0</v>
      </c>
      <c r="BI319" s="3199">
        <f t="shared" si="191"/>
        <v>0</v>
      </c>
      <c r="BJ319" s="3199">
        <f t="shared" si="192"/>
        <v>0</v>
      </c>
      <c r="BK319" s="3199">
        <f t="shared" si="193"/>
        <v>0</v>
      </c>
      <c r="BL319" s="3199">
        <f t="shared" si="194"/>
        <v>0</v>
      </c>
      <c r="BM319" s="3199">
        <f t="shared" si="195"/>
        <v>0</v>
      </c>
      <c r="BN319" s="3199">
        <f t="shared" si="196"/>
        <v>0</v>
      </c>
      <c r="BO319" s="3199">
        <f t="shared" si="197"/>
        <v>0</v>
      </c>
      <c r="BP319" s="3199">
        <f t="shared" si="198"/>
        <v>0</v>
      </c>
      <c r="BQ319" s="3199">
        <f t="shared" si="199"/>
        <v>0</v>
      </c>
      <c r="BR319" s="3199">
        <f t="shared" si="200"/>
        <v>0</v>
      </c>
      <c r="BS319" s="3199">
        <f t="shared" si="201"/>
        <v>0</v>
      </c>
      <c r="BT319" s="3271">
        <f t="shared" si="202"/>
        <v>0</v>
      </c>
    </row>
    <row r="320" spans="1:72">
      <c r="A320" s="3197"/>
      <c r="B320" s="3205"/>
      <c r="C320" s="3204"/>
      <c r="D320" s="3193"/>
      <c r="E320" s="3199">
        <f t="shared" si="203"/>
        <v>0</v>
      </c>
      <c r="F320" s="3200"/>
      <c r="G320" s="3201">
        <f t="shared" si="178"/>
        <v>0</v>
      </c>
      <c r="H320" s="3202">
        <f t="shared" si="179"/>
        <v>0</v>
      </c>
      <c r="I320" s="3207"/>
      <c r="J320" s="3218"/>
      <c r="K320" s="3207"/>
      <c r="L320" s="3218"/>
      <c r="M320" s="3218"/>
      <c r="N320" s="3218"/>
      <c r="O320" s="3218"/>
      <c r="P320" s="3218"/>
      <c r="Q320" s="3218"/>
      <c r="R320" s="3218"/>
      <c r="S320" s="3218"/>
      <c r="T320" s="3218"/>
      <c r="U320" s="3218"/>
      <c r="V320" s="3218"/>
      <c r="W320" s="3218"/>
      <c r="X320" s="3218"/>
      <c r="Y320" s="3218"/>
      <c r="Z320" s="3218"/>
      <c r="AA320" s="3218"/>
      <c r="AB320" s="3218"/>
      <c r="AC320" s="3199">
        <f t="shared" si="180"/>
        <v>0</v>
      </c>
      <c r="AD320" s="3229"/>
      <c r="AE320" s="3229"/>
      <c r="AF320" s="3207"/>
      <c r="AG320" s="3229"/>
      <c r="AH320" s="3229"/>
      <c r="AI320" s="3229"/>
      <c r="AJ320" s="3229"/>
      <c r="AK320" s="3229"/>
      <c r="AL320" s="3229"/>
      <c r="AM320" s="3229"/>
      <c r="AN320" s="3229"/>
      <c r="AO320" s="3229"/>
      <c r="AP320" s="3229"/>
      <c r="AQ320" s="3229"/>
      <c r="AR320" s="3229"/>
      <c r="AS320" s="3229"/>
      <c r="AT320" s="3249"/>
      <c r="AU320" s="3250"/>
      <c r="AV320" s="475">
        <f t="shared" si="204"/>
        <v>0</v>
      </c>
      <c r="AW320" s="475">
        <f t="shared" si="205"/>
        <v>0</v>
      </c>
      <c r="AX320" s="475">
        <f t="shared" si="206"/>
        <v>0</v>
      </c>
      <c r="AY320" s="3266">
        <f t="shared" si="181"/>
        <v>0</v>
      </c>
      <c r="AZ320" s="3199">
        <f t="shared" si="182"/>
        <v>0</v>
      </c>
      <c r="BA320" s="3199">
        <f t="shared" si="183"/>
        <v>0</v>
      </c>
      <c r="BB320" s="3199">
        <f t="shared" si="184"/>
        <v>0</v>
      </c>
      <c r="BC320" s="3199">
        <f t="shared" si="185"/>
        <v>0</v>
      </c>
      <c r="BD320" s="3199">
        <f t="shared" si="186"/>
        <v>0</v>
      </c>
      <c r="BE320" s="3199">
        <f t="shared" si="187"/>
        <v>0</v>
      </c>
      <c r="BF320" s="3199">
        <f t="shared" si="188"/>
        <v>0</v>
      </c>
      <c r="BG320" s="3199">
        <f t="shared" si="189"/>
        <v>0</v>
      </c>
      <c r="BH320" s="3199">
        <f t="shared" si="190"/>
        <v>0</v>
      </c>
      <c r="BI320" s="3199">
        <f t="shared" si="191"/>
        <v>0</v>
      </c>
      <c r="BJ320" s="3199">
        <f t="shared" si="192"/>
        <v>0</v>
      </c>
      <c r="BK320" s="3199">
        <f t="shared" si="193"/>
        <v>0</v>
      </c>
      <c r="BL320" s="3199">
        <f t="shared" si="194"/>
        <v>0</v>
      </c>
      <c r="BM320" s="3199">
        <f t="shared" si="195"/>
        <v>0</v>
      </c>
      <c r="BN320" s="3199">
        <f t="shared" si="196"/>
        <v>0</v>
      </c>
      <c r="BO320" s="3199">
        <f t="shared" si="197"/>
        <v>0</v>
      </c>
      <c r="BP320" s="3199">
        <f t="shared" si="198"/>
        <v>0</v>
      </c>
      <c r="BQ320" s="3199">
        <f t="shared" si="199"/>
        <v>0</v>
      </c>
      <c r="BR320" s="3199">
        <f t="shared" si="200"/>
        <v>0</v>
      </c>
      <c r="BS320" s="3199">
        <f t="shared" si="201"/>
        <v>0</v>
      </c>
      <c r="BT320" s="3271">
        <f t="shared" si="202"/>
        <v>0</v>
      </c>
    </row>
    <row r="321" spans="1:72">
      <c r="A321" s="3197"/>
      <c r="B321" s="3205"/>
      <c r="C321" s="3204"/>
      <c r="D321" s="3193"/>
      <c r="E321" s="3199">
        <f t="shared" si="203"/>
        <v>0</v>
      </c>
      <c r="F321" s="3200"/>
      <c r="G321" s="3201">
        <f t="shared" si="178"/>
        <v>0</v>
      </c>
      <c r="H321" s="3202">
        <f t="shared" si="179"/>
        <v>0</v>
      </c>
      <c r="I321" s="3207"/>
      <c r="J321" s="3218"/>
      <c r="K321" s="3207"/>
      <c r="L321" s="3218"/>
      <c r="M321" s="3218"/>
      <c r="N321" s="3218"/>
      <c r="O321" s="3218"/>
      <c r="P321" s="3218"/>
      <c r="Q321" s="3218"/>
      <c r="R321" s="3218"/>
      <c r="S321" s="3218"/>
      <c r="T321" s="3218"/>
      <c r="U321" s="3218"/>
      <c r="V321" s="3218"/>
      <c r="W321" s="3218"/>
      <c r="X321" s="3218"/>
      <c r="Y321" s="3218"/>
      <c r="Z321" s="3218"/>
      <c r="AA321" s="3218"/>
      <c r="AB321" s="3218"/>
      <c r="AC321" s="3199">
        <f t="shared" si="180"/>
        <v>0</v>
      </c>
      <c r="AD321" s="3229"/>
      <c r="AE321" s="3229"/>
      <c r="AF321" s="3207"/>
      <c r="AG321" s="3229"/>
      <c r="AH321" s="3229"/>
      <c r="AI321" s="3229"/>
      <c r="AJ321" s="3229"/>
      <c r="AK321" s="3229"/>
      <c r="AL321" s="3229"/>
      <c r="AM321" s="3229"/>
      <c r="AN321" s="3229"/>
      <c r="AO321" s="3229"/>
      <c r="AP321" s="3229"/>
      <c r="AQ321" s="3229"/>
      <c r="AR321" s="3229"/>
      <c r="AS321" s="3229"/>
      <c r="AT321" s="3249"/>
      <c r="AU321" s="3250"/>
      <c r="AV321" s="475">
        <f t="shared" si="204"/>
        <v>0</v>
      </c>
      <c r="AW321" s="475">
        <f t="shared" si="205"/>
        <v>0</v>
      </c>
      <c r="AX321" s="475">
        <f t="shared" si="206"/>
        <v>0</v>
      </c>
      <c r="AY321" s="3266">
        <f t="shared" si="181"/>
        <v>0</v>
      </c>
      <c r="AZ321" s="3199">
        <f t="shared" si="182"/>
        <v>0</v>
      </c>
      <c r="BA321" s="3199">
        <f t="shared" si="183"/>
        <v>0</v>
      </c>
      <c r="BB321" s="3199">
        <f t="shared" si="184"/>
        <v>0</v>
      </c>
      <c r="BC321" s="3199">
        <f t="shared" si="185"/>
        <v>0</v>
      </c>
      <c r="BD321" s="3199">
        <f t="shared" si="186"/>
        <v>0</v>
      </c>
      <c r="BE321" s="3199">
        <f t="shared" si="187"/>
        <v>0</v>
      </c>
      <c r="BF321" s="3199">
        <f t="shared" si="188"/>
        <v>0</v>
      </c>
      <c r="BG321" s="3199">
        <f t="shared" si="189"/>
        <v>0</v>
      </c>
      <c r="BH321" s="3199">
        <f t="shared" si="190"/>
        <v>0</v>
      </c>
      <c r="BI321" s="3199">
        <f t="shared" si="191"/>
        <v>0</v>
      </c>
      <c r="BJ321" s="3199">
        <f t="shared" si="192"/>
        <v>0</v>
      </c>
      <c r="BK321" s="3199">
        <f t="shared" si="193"/>
        <v>0</v>
      </c>
      <c r="BL321" s="3199">
        <f t="shared" si="194"/>
        <v>0</v>
      </c>
      <c r="BM321" s="3199">
        <f t="shared" si="195"/>
        <v>0</v>
      </c>
      <c r="BN321" s="3199">
        <f t="shared" si="196"/>
        <v>0</v>
      </c>
      <c r="BO321" s="3199">
        <f t="shared" si="197"/>
        <v>0</v>
      </c>
      <c r="BP321" s="3199">
        <f t="shared" si="198"/>
        <v>0</v>
      </c>
      <c r="BQ321" s="3199">
        <f t="shared" si="199"/>
        <v>0</v>
      </c>
      <c r="BR321" s="3199">
        <f t="shared" si="200"/>
        <v>0</v>
      </c>
      <c r="BS321" s="3199">
        <f t="shared" si="201"/>
        <v>0</v>
      </c>
      <c r="BT321" s="3271">
        <f t="shared" si="202"/>
        <v>0</v>
      </c>
    </row>
    <row r="322" spans="1:72">
      <c r="A322" s="3197"/>
      <c r="B322" s="3205"/>
      <c r="C322" s="3204"/>
      <c r="D322" s="3193"/>
      <c r="E322" s="3199">
        <f t="shared" si="203"/>
        <v>0</v>
      </c>
      <c r="F322" s="3200"/>
      <c r="G322" s="3201">
        <f t="shared" si="178"/>
        <v>0</v>
      </c>
      <c r="H322" s="3202">
        <f t="shared" si="179"/>
        <v>0</v>
      </c>
      <c r="I322" s="3207"/>
      <c r="J322" s="3218"/>
      <c r="K322" s="3207"/>
      <c r="L322" s="3218"/>
      <c r="M322" s="3218"/>
      <c r="N322" s="3218"/>
      <c r="O322" s="3218"/>
      <c r="P322" s="3218"/>
      <c r="Q322" s="3218"/>
      <c r="R322" s="3218"/>
      <c r="S322" s="3218"/>
      <c r="T322" s="3218"/>
      <c r="U322" s="3218"/>
      <c r="V322" s="3218"/>
      <c r="W322" s="3218"/>
      <c r="X322" s="3218"/>
      <c r="Y322" s="3218"/>
      <c r="Z322" s="3218"/>
      <c r="AA322" s="3218"/>
      <c r="AB322" s="3218"/>
      <c r="AC322" s="3199">
        <f t="shared" si="180"/>
        <v>0</v>
      </c>
      <c r="AD322" s="3229"/>
      <c r="AE322" s="3229"/>
      <c r="AF322" s="3207"/>
      <c r="AG322" s="3229"/>
      <c r="AH322" s="3229"/>
      <c r="AI322" s="3229"/>
      <c r="AJ322" s="3229"/>
      <c r="AK322" s="3229"/>
      <c r="AL322" s="3229"/>
      <c r="AM322" s="3229"/>
      <c r="AN322" s="3229"/>
      <c r="AO322" s="3229"/>
      <c r="AP322" s="3229"/>
      <c r="AQ322" s="3229"/>
      <c r="AR322" s="3229"/>
      <c r="AS322" s="3229"/>
      <c r="AT322" s="3249"/>
      <c r="AU322" s="3250"/>
      <c r="AV322" s="475">
        <f t="shared" si="204"/>
        <v>0</v>
      </c>
      <c r="AW322" s="475">
        <f t="shared" si="205"/>
        <v>0</v>
      </c>
      <c r="AX322" s="475">
        <f t="shared" si="206"/>
        <v>0</v>
      </c>
      <c r="AY322" s="3266">
        <f t="shared" si="181"/>
        <v>0</v>
      </c>
      <c r="AZ322" s="3199">
        <f t="shared" si="182"/>
        <v>0</v>
      </c>
      <c r="BA322" s="3199">
        <f t="shared" si="183"/>
        <v>0</v>
      </c>
      <c r="BB322" s="3199">
        <f t="shared" si="184"/>
        <v>0</v>
      </c>
      <c r="BC322" s="3199">
        <f t="shared" si="185"/>
        <v>0</v>
      </c>
      <c r="BD322" s="3199">
        <f t="shared" si="186"/>
        <v>0</v>
      </c>
      <c r="BE322" s="3199">
        <f t="shared" si="187"/>
        <v>0</v>
      </c>
      <c r="BF322" s="3199">
        <f t="shared" si="188"/>
        <v>0</v>
      </c>
      <c r="BG322" s="3199">
        <f t="shared" si="189"/>
        <v>0</v>
      </c>
      <c r="BH322" s="3199">
        <f t="shared" si="190"/>
        <v>0</v>
      </c>
      <c r="BI322" s="3199">
        <f t="shared" si="191"/>
        <v>0</v>
      </c>
      <c r="BJ322" s="3199">
        <f t="shared" si="192"/>
        <v>0</v>
      </c>
      <c r="BK322" s="3199">
        <f t="shared" si="193"/>
        <v>0</v>
      </c>
      <c r="BL322" s="3199">
        <f t="shared" si="194"/>
        <v>0</v>
      </c>
      <c r="BM322" s="3199">
        <f t="shared" si="195"/>
        <v>0</v>
      </c>
      <c r="BN322" s="3199">
        <f t="shared" si="196"/>
        <v>0</v>
      </c>
      <c r="BO322" s="3199">
        <f t="shared" si="197"/>
        <v>0</v>
      </c>
      <c r="BP322" s="3199">
        <f t="shared" si="198"/>
        <v>0</v>
      </c>
      <c r="BQ322" s="3199">
        <f t="shared" si="199"/>
        <v>0</v>
      </c>
      <c r="BR322" s="3199">
        <f t="shared" si="200"/>
        <v>0</v>
      </c>
      <c r="BS322" s="3199">
        <f t="shared" si="201"/>
        <v>0</v>
      </c>
      <c r="BT322" s="3271">
        <f t="shared" si="202"/>
        <v>0</v>
      </c>
    </row>
    <row r="323" spans="1:72">
      <c r="A323" s="3197"/>
      <c r="B323" s="3205"/>
      <c r="C323" s="3204"/>
      <c r="D323" s="3193"/>
      <c r="E323" s="3199">
        <f t="shared" si="203"/>
        <v>0</v>
      </c>
      <c r="F323" s="3200"/>
      <c r="G323" s="3201">
        <f t="shared" si="178"/>
        <v>0</v>
      </c>
      <c r="H323" s="3202">
        <f t="shared" si="179"/>
        <v>0</v>
      </c>
      <c r="I323" s="3207"/>
      <c r="J323" s="3218"/>
      <c r="K323" s="3207"/>
      <c r="L323" s="3218"/>
      <c r="M323" s="3218"/>
      <c r="N323" s="3218"/>
      <c r="O323" s="3218"/>
      <c r="P323" s="3218"/>
      <c r="Q323" s="3218"/>
      <c r="R323" s="3218"/>
      <c r="S323" s="3218"/>
      <c r="T323" s="3218"/>
      <c r="U323" s="3218"/>
      <c r="V323" s="3218"/>
      <c r="W323" s="3218"/>
      <c r="X323" s="3218"/>
      <c r="Y323" s="3218"/>
      <c r="Z323" s="3218"/>
      <c r="AA323" s="3218"/>
      <c r="AB323" s="3218"/>
      <c r="AC323" s="3199">
        <f t="shared" si="180"/>
        <v>0</v>
      </c>
      <c r="AD323" s="3229"/>
      <c r="AE323" s="3229"/>
      <c r="AF323" s="3204"/>
      <c r="AG323" s="3229"/>
      <c r="AH323" s="3229"/>
      <c r="AI323" s="3229"/>
      <c r="AJ323" s="3229"/>
      <c r="AK323" s="3229"/>
      <c r="AL323" s="3229"/>
      <c r="AM323" s="3229"/>
      <c r="AN323" s="3229"/>
      <c r="AO323" s="3229"/>
      <c r="AP323" s="3229"/>
      <c r="AQ323" s="3229"/>
      <c r="AR323" s="3229"/>
      <c r="AS323" s="3229"/>
      <c r="AT323" s="3249"/>
      <c r="AU323" s="3250"/>
      <c r="AV323" s="475">
        <f t="shared" si="204"/>
        <v>0</v>
      </c>
      <c r="AW323" s="475">
        <f t="shared" si="205"/>
        <v>0</v>
      </c>
      <c r="AX323" s="475">
        <f t="shared" si="206"/>
        <v>0</v>
      </c>
      <c r="AY323" s="3266">
        <f t="shared" si="181"/>
        <v>0</v>
      </c>
      <c r="AZ323" s="3199">
        <f t="shared" si="182"/>
        <v>0</v>
      </c>
      <c r="BA323" s="3199">
        <f t="shared" si="183"/>
        <v>0</v>
      </c>
      <c r="BB323" s="3199">
        <f t="shared" si="184"/>
        <v>0</v>
      </c>
      <c r="BC323" s="3199">
        <f t="shared" si="185"/>
        <v>0</v>
      </c>
      <c r="BD323" s="3199">
        <f t="shared" si="186"/>
        <v>0</v>
      </c>
      <c r="BE323" s="3199">
        <f t="shared" si="187"/>
        <v>0</v>
      </c>
      <c r="BF323" s="3199">
        <f t="shared" si="188"/>
        <v>0</v>
      </c>
      <c r="BG323" s="3199">
        <f t="shared" si="189"/>
        <v>0</v>
      </c>
      <c r="BH323" s="3199">
        <f t="shared" si="190"/>
        <v>0</v>
      </c>
      <c r="BI323" s="3199">
        <f t="shared" si="191"/>
        <v>0</v>
      </c>
      <c r="BJ323" s="3199">
        <f t="shared" si="192"/>
        <v>0</v>
      </c>
      <c r="BK323" s="3199">
        <f t="shared" si="193"/>
        <v>0</v>
      </c>
      <c r="BL323" s="3199">
        <f t="shared" si="194"/>
        <v>0</v>
      </c>
      <c r="BM323" s="3199">
        <f t="shared" si="195"/>
        <v>0</v>
      </c>
      <c r="BN323" s="3199">
        <f t="shared" si="196"/>
        <v>0</v>
      </c>
      <c r="BO323" s="3199">
        <f t="shared" si="197"/>
        <v>0</v>
      </c>
      <c r="BP323" s="3199">
        <f t="shared" si="198"/>
        <v>0</v>
      </c>
      <c r="BQ323" s="3199">
        <f t="shared" si="199"/>
        <v>0</v>
      </c>
      <c r="BR323" s="3199">
        <f t="shared" si="200"/>
        <v>0</v>
      </c>
      <c r="BS323" s="3199">
        <f t="shared" si="201"/>
        <v>0</v>
      </c>
      <c r="BT323" s="3271">
        <f t="shared" si="202"/>
        <v>0</v>
      </c>
    </row>
    <row r="324" spans="1:72">
      <c r="A324" s="3197"/>
      <c r="B324" s="3205"/>
      <c r="C324" s="3204"/>
      <c r="D324" s="3193"/>
      <c r="E324" s="3199">
        <f t="shared" si="203"/>
        <v>0</v>
      </c>
      <c r="F324" s="3200"/>
      <c r="G324" s="3201">
        <f t="shared" si="178"/>
        <v>0</v>
      </c>
      <c r="H324" s="3202">
        <f t="shared" si="179"/>
        <v>0</v>
      </c>
      <c r="I324" s="3204"/>
      <c r="J324" s="3218"/>
      <c r="K324" s="3204"/>
      <c r="L324" s="3218"/>
      <c r="M324" s="3218"/>
      <c r="N324" s="3218"/>
      <c r="O324" s="3218"/>
      <c r="P324" s="3218"/>
      <c r="Q324" s="3218"/>
      <c r="R324" s="3218"/>
      <c r="S324" s="3218"/>
      <c r="T324" s="3218"/>
      <c r="U324" s="3218"/>
      <c r="V324" s="3218"/>
      <c r="W324" s="3218"/>
      <c r="X324" s="3218"/>
      <c r="Y324" s="3218"/>
      <c r="Z324" s="3218"/>
      <c r="AA324" s="3218"/>
      <c r="AB324" s="3218"/>
      <c r="AC324" s="3199">
        <f t="shared" si="180"/>
        <v>0</v>
      </c>
      <c r="AD324" s="3229"/>
      <c r="AE324" s="3229"/>
      <c r="AF324" s="3204"/>
      <c r="AG324" s="3229"/>
      <c r="AH324" s="3229"/>
      <c r="AI324" s="3229"/>
      <c r="AJ324" s="3229"/>
      <c r="AK324" s="3229"/>
      <c r="AL324" s="3229"/>
      <c r="AM324" s="3229"/>
      <c r="AN324" s="3229"/>
      <c r="AO324" s="3229"/>
      <c r="AP324" s="3229"/>
      <c r="AQ324" s="3229"/>
      <c r="AR324" s="3229"/>
      <c r="AS324" s="3229"/>
      <c r="AT324" s="3249"/>
      <c r="AU324" s="3250"/>
      <c r="AV324" s="475">
        <f t="shared" si="204"/>
        <v>0</v>
      </c>
      <c r="AW324" s="475">
        <f t="shared" si="205"/>
        <v>0</v>
      </c>
      <c r="AX324" s="475">
        <f t="shared" si="206"/>
        <v>0</v>
      </c>
      <c r="AY324" s="3266">
        <f t="shared" si="181"/>
        <v>0</v>
      </c>
      <c r="AZ324" s="3199">
        <f t="shared" si="182"/>
        <v>0</v>
      </c>
      <c r="BA324" s="3199">
        <f t="shared" si="183"/>
        <v>0</v>
      </c>
      <c r="BB324" s="3199">
        <f t="shared" si="184"/>
        <v>0</v>
      </c>
      <c r="BC324" s="3199">
        <f t="shared" si="185"/>
        <v>0</v>
      </c>
      <c r="BD324" s="3199">
        <f t="shared" si="186"/>
        <v>0</v>
      </c>
      <c r="BE324" s="3199">
        <f t="shared" si="187"/>
        <v>0</v>
      </c>
      <c r="BF324" s="3199">
        <f t="shared" si="188"/>
        <v>0</v>
      </c>
      <c r="BG324" s="3199">
        <f t="shared" si="189"/>
        <v>0</v>
      </c>
      <c r="BH324" s="3199">
        <f t="shared" si="190"/>
        <v>0</v>
      </c>
      <c r="BI324" s="3199">
        <f t="shared" si="191"/>
        <v>0</v>
      </c>
      <c r="BJ324" s="3199">
        <f t="shared" si="192"/>
        <v>0</v>
      </c>
      <c r="BK324" s="3199">
        <f t="shared" si="193"/>
        <v>0</v>
      </c>
      <c r="BL324" s="3199">
        <f t="shared" si="194"/>
        <v>0</v>
      </c>
      <c r="BM324" s="3199">
        <f t="shared" si="195"/>
        <v>0</v>
      </c>
      <c r="BN324" s="3199">
        <f t="shared" si="196"/>
        <v>0</v>
      </c>
      <c r="BO324" s="3199">
        <f t="shared" si="197"/>
        <v>0</v>
      </c>
      <c r="BP324" s="3199">
        <f t="shared" si="198"/>
        <v>0</v>
      </c>
      <c r="BQ324" s="3199">
        <f t="shared" si="199"/>
        <v>0</v>
      </c>
      <c r="BR324" s="3199">
        <f t="shared" si="200"/>
        <v>0</v>
      </c>
      <c r="BS324" s="3199">
        <f t="shared" si="201"/>
        <v>0</v>
      </c>
      <c r="BT324" s="3271">
        <f t="shared" si="202"/>
        <v>0</v>
      </c>
    </row>
    <row r="325" spans="1:72">
      <c r="A325" s="3197"/>
      <c r="B325" s="3205"/>
      <c r="C325" s="3204"/>
      <c r="D325" s="3193"/>
      <c r="E325" s="3199">
        <f t="shared" si="203"/>
        <v>0</v>
      </c>
      <c r="F325" s="3200"/>
      <c r="G325" s="3201">
        <f t="shared" si="178"/>
        <v>0</v>
      </c>
      <c r="H325" s="3202">
        <f t="shared" si="179"/>
        <v>0</v>
      </c>
      <c r="I325" s="3204"/>
      <c r="J325" s="3218"/>
      <c r="K325" s="3204"/>
      <c r="L325" s="3218"/>
      <c r="M325" s="3218"/>
      <c r="N325" s="3218"/>
      <c r="O325" s="3218"/>
      <c r="P325" s="3218"/>
      <c r="Q325" s="3218"/>
      <c r="R325" s="3218"/>
      <c r="S325" s="3218"/>
      <c r="T325" s="3218"/>
      <c r="U325" s="3218"/>
      <c r="V325" s="3218"/>
      <c r="W325" s="3218"/>
      <c r="X325" s="3218"/>
      <c r="Y325" s="3218"/>
      <c r="Z325" s="3218"/>
      <c r="AA325" s="3218"/>
      <c r="AB325" s="3218"/>
      <c r="AC325" s="3199">
        <f t="shared" si="180"/>
        <v>0</v>
      </c>
      <c r="AD325" s="3229"/>
      <c r="AE325" s="3229"/>
      <c r="AF325" s="3204"/>
      <c r="AG325" s="3229"/>
      <c r="AH325" s="3229"/>
      <c r="AI325" s="3229"/>
      <c r="AJ325" s="3229"/>
      <c r="AK325" s="3229"/>
      <c r="AL325" s="3229"/>
      <c r="AM325" s="3229"/>
      <c r="AN325" s="3229"/>
      <c r="AO325" s="3229"/>
      <c r="AP325" s="3229"/>
      <c r="AQ325" s="3229"/>
      <c r="AR325" s="3229"/>
      <c r="AS325" s="3229"/>
      <c r="AT325" s="3249"/>
      <c r="AU325" s="3250"/>
      <c r="AV325" s="475">
        <f t="shared" si="204"/>
        <v>0</v>
      </c>
      <c r="AW325" s="475">
        <f t="shared" si="205"/>
        <v>0</v>
      </c>
      <c r="AX325" s="475">
        <f t="shared" si="206"/>
        <v>0</v>
      </c>
      <c r="AY325" s="3266">
        <f t="shared" si="181"/>
        <v>0</v>
      </c>
      <c r="AZ325" s="3199">
        <f t="shared" si="182"/>
        <v>0</v>
      </c>
      <c r="BA325" s="3199">
        <f t="shared" si="183"/>
        <v>0</v>
      </c>
      <c r="BB325" s="3199">
        <f t="shared" si="184"/>
        <v>0</v>
      </c>
      <c r="BC325" s="3199">
        <f t="shared" si="185"/>
        <v>0</v>
      </c>
      <c r="BD325" s="3199">
        <f t="shared" si="186"/>
        <v>0</v>
      </c>
      <c r="BE325" s="3199">
        <f t="shared" si="187"/>
        <v>0</v>
      </c>
      <c r="BF325" s="3199">
        <f t="shared" si="188"/>
        <v>0</v>
      </c>
      <c r="BG325" s="3199">
        <f t="shared" si="189"/>
        <v>0</v>
      </c>
      <c r="BH325" s="3199">
        <f t="shared" si="190"/>
        <v>0</v>
      </c>
      <c r="BI325" s="3199">
        <f t="shared" si="191"/>
        <v>0</v>
      </c>
      <c r="BJ325" s="3199">
        <f t="shared" si="192"/>
        <v>0</v>
      </c>
      <c r="BK325" s="3199">
        <f t="shared" si="193"/>
        <v>0</v>
      </c>
      <c r="BL325" s="3199">
        <f t="shared" si="194"/>
        <v>0</v>
      </c>
      <c r="BM325" s="3199">
        <f t="shared" si="195"/>
        <v>0</v>
      </c>
      <c r="BN325" s="3199">
        <f t="shared" si="196"/>
        <v>0</v>
      </c>
      <c r="BO325" s="3199">
        <f t="shared" si="197"/>
        <v>0</v>
      </c>
      <c r="BP325" s="3199">
        <f t="shared" si="198"/>
        <v>0</v>
      </c>
      <c r="BQ325" s="3199">
        <f t="shared" si="199"/>
        <v>0</v>
      </c>
      <c r="BR325" s="3199">
        <f t="shared" si="200"/>
        <v>0</v>
      </c>
      <c r="BS325" s="3199">
        <f t="shared" si="201"/>
        <v>0</v>
      </c>
      <c r="BT325" s="3271">
        <f t="shared" si="202"/>
        <v>0</v>
      </c>
    </row>
    <row r="326" spans="1:72">
      <c r="A326" s="3197"/>
      <c r="B326" s="3205"/>
      <c r="C326" s="3204"/>
      <c r="D326" s="3193"/>
      <c r="E326" s="3199">
        <f t="shared" si="203"/>
        <v>0</v>
      </c>
      <c r="F326" s="3200"/>
      <c r="G326" s="3201">
        <f t="shared" ref="G326:G357" si="207">H326+AC326+AT326</f>
        <v>0</v>
      </c>
      <c r="H326" s="3202">
        <f t="shared" ref="H326:H357" si="208">SUMIF(I$12:AB$12,"总值",I326:AB326)</f>
        <v>0</v>
      </c>
      <c r="I326" s="3204"/>
      <c r="J326" s="3218"/>
      <c r="K326" s="3204"/>
      <c r="L326" s="3218"/>
      <c r="M326" s="3218"/>
      <c r="N326" s="3218"/>
      <c r="O326" s="3218"/>
      <c r="P326" s="3218"/>
      <c r="Q326" s="3218"/>
      <c r="R326" s="3218"/>
      <c r="S326" s="3218"/>
      <c r="T326" s="3218"/>
      <c r="U326" s="3218"/>
      <c r="V326" s="3218"/>
      <c r="W326" s="3218"/>
      <c r="X326" s="3218"/>
      <c r="Y326" s="3218"/>
      <c r="Z326" s="3218"/>
      <c r="AA326" s="3218"/>
      <c r="AB326" s="3218"/>
      <c r="AC326" s="3199">
        <f t="shared" ref="AC326:AC357" si="209">SUMIF(AD$12:AS$12,"总值",AD326:AS326)</f>
        <v>0</v>
      </c>
      <c r="AD326" s="3229"/>
      <c r="AE326" s="3229"/>
      <c r="AF326" s="3204"/>
      <c r="AG326" s="3229"/>
      <c r="AH326" s="3229"/>
      <c r="AI326" s="3229"/>
      <c r="AJ326" s="3229"/>
      <c r="AK326" s="3229"/>
      <c r="AL326" s="3229"/>
      <c r="AM326" s="3229"/>
      <c r="AN326" s="3229"/>
      <c r="AO326" s="3229"/>
      <c r="AP326" s="3229"/>
      <c r="AQ326" s="3229"/>
      <c r="AR326" s="3229"/>
      <c r="AS326" s="3229"/>
      <c r="AT326" s="3249"/>
      <c r="AU326" s="3250"/>
      <c r="AV326" s="475">
        <f t="shared" si="204"/>
        <v>0</v>
      </c>
      <c r="AW326" s="475">
        <f t="shared" si="205"/>
        <v>0</v>
      </c>
      <c r="AX326" s="475">
        <f t="shared" si="206"/>
        <v>0</v>
      </c>
      <c r="AY326" s="3266">
        <f t="shared" ref="AY326:AY357" si="210">ROUND($AY$6*AZ326/$AZ$5,2)</f>
        <v>0</v>
      </c>
      <c r="AZ326" s="3199">
        <f t="shared" ref="AZ326:AZ357" si="211">BA326+BL326</f>
        <v>0</v>
      </c>
      <c r="BA326" s="3199">
        <f t="shared" ref="BA326:BA357" si="212">SUM(BB326:BK326)</f>
        <v>0</v>
      </c>
      <c r="BB326" s="3199">
        <f t="shared" ref="BB326:BB357" si="213">IF($D326="是",I326-J326,0)</f>
        <v>0</v>
      </c>
      <c r="BC326" s="3199">
        <f t="shared" ref="BC326:BC357" si="214">IF($D326="是",K326-L326,0)</f>
        <v>0</v>
      </c>
      <c r="BD326" s="3199">
        <f t="shared" ref="BD326:BD357" si="215">IF($D326="是",M326-N326,0)</f>
        <v>0</v>
      </c>
      <c r="BE326" s="3199">
        <f t="shared" ref="BE326:BE357" si="216">IF($D326="是",O326-P326,0)</f>
        <v>0</v>
      </c>
      <c r="BF326" s="3199">
        <f t="shared" ref="BF326:BF357" si="217">IF($D326="是",Q326-R326,0)</f>
        <v>0</v>
      </c>
      <c r="BG326" s="3199">
        <f t="shared" ref="BG326:BG357" si="218">IF($D326="是",S326-T326,0)</f>
        <v>0</v>
      </c>
      <c r="BH326" s="3199">
        <f t="shared" ref="BH326:BH357" si="219">IF($D326="是",U326-V326,0)</f>
        <v>0</v>
      </c>
      <c r="BI326" s="3199">
        <f t="shared" ref="BI326:BI357" si="220">IF($D326="是",W326-X326,0)</f>
        <v>0</v>
      </c>
      <c r="BJ326" s="3199">
        <f t="shared" ref="BJ326:BJ357" si="221">IF($D326="是",Y326-Z326,0)</f>
        <v>0</v>
      </c>
      <c r="BK326" s="3199">
        <f t="shared" ref="BK326:BK357" si="222">IF($D326="是",AA326-AB326,0)</f>
        <v>0</v>
      </c>
      <c r="BL326" s="3199">
        <f t="shared" ref="BL326:BL357" si="223">SUM(BM326:BT326)</f>
        <v>0</v>
      </c>
      <c r="BM326" s="3199">
        <f t="shared" ref="BM326:BM357" si="224">IF($D326="是",AD326-AE326,0)</f>
        <v>0</v>
      </c>
      <c r="BN326" s="3199">
        <f t="shared" ref="BN326:BN357" si="225">IF($D326="是",AF326-AG326,0)</f>
        <v>0</v>
      </c>
      <c r="BO326" s="3199">
        <f t="shared" ref="BO326:BO357" si="226">IF($D326="是",AH326-AI326,0)</f>
        <v>0</v>
      </c>
      <c r="BP326" s="3199">
        <f t="shared" ref="BP326:BP357" si="227">IF($D326="是",AJ326-AK326,0)</f>
        <v>0</v>
      </c>
      <c r="BQ326" s="3199">
        <f t="shared" ref="BQ326:BQ357" si="228">IF($D326="是",AL326-AM326,0)</f>
        <v>0</v>
      </c>
      <c r="BR326" s="3199">
        <f t="shared" ref="BR326:BR357" si="229">IF($D326="是",AN326-AO326,0)</f>
        <v>0</v>
      </c>
      <c r="BS326" s="3199">
        <f t="shared" ref="BS326:BS357" si="230">IF($D326="是",AP326-AQ326,0)</f>
        <v>0</v>
      </c>
      <c r="BT326" s="3271">
        <f t="shared" ref="BT326:BT357" si="231">IF($D326="是",AR326-AS326,0)</f>
        <v>0</v>
      </c>
    </row>
    <row r="327" spans="1:72">
      <c r="A327" s="3197"/>
      <c r="B327" s="3205"/>
      <c r="C327" s="3204"/>
      <c r="D327" s="3193"/>
      <c r="E327" s="3199">
        <f t="shared" si="203"/>
        <v>0</v>
      </c>
      <c r="F327" s="3200"/>
      <c r="G327" s="3201">
        <f t="shared" si="207"/>
        <v>0</v>
      </c>
      <c r="H327" s="3202">
        <f t="shared" si="208"/>
        <v>0</v>
      </c>
      <c r="I327" s="3204"/>
      <c r="J327" s="3218"/>
      <c r="K327" s="3204"/>
      <c r="L327" s="3218"/>
      <c r="M327" s="3218"/>
      <c r="N327" s="3218"/>
      <c r="O327" s="3218"/>
      <c r="P327" s="3218"/>
      <c r="Q327" s="3218"/>
      <c r="R327" s="3218"/>
      <c r="S327" s="3218"/>
      <c r="T327" s="3218"/>
      <c r="U327" s="3218"/>
      <c r="V327" s="3218"/>
      <c r="W327" s="3218"/>
      <c r="X327" s="3218"/>
      <c r="Y327" s="3218"/>
      <c r="Z327" s="3218"/>
      <c r="AA327" s="3218"/>
      <c r="AB327" s="3218"/>
      <c r="AC327" s="3199">
        <f t="shared" si="209"/>
        <v>0</v>
      </c>
      <c r="AD327" s="3229"/>
      <c r="AE327" s="3229"/>
      <c r="AF327" s="3204"/>
      <c r="AG327" s="3229"/>
      <c r="AH327" s="3229"/>
      <c r="AI327" s="3229"/>
      <c r="AJ327" s="3229"/>
      <c r="AK327" s="3229"/>
      <c r="AL327" s="3229"/>
      <c r="AM327" s="3229"/>
      <c r="AN327" s="3229"/>
      <c r="AO327" s="3229"/>
      <c r="AP327" s="3229"/>
      <c r="AQ327" s="3229"/>
      <c r="AR327" s="3229"/>
      <c r="AS327" s="3229"/>
      <c r="AT327" s="3249"/>
      <c r="AU327" s="3250"/>
      <c r="AV327" s="475">
        <f t="shared" si="204"/>
        <v>0</v>
      </c>
      <c r="AW327" s="475">
        <f t="shared" si="205"/>
        <v>0</v>
      </c>
      <c r="AX327" s="475">
        <f t="shared" si="206"/>
        <v>0</v>
      </c>
      <c r="AY327" s="3266">
        <f t="shared" si="210"/>
        <v>0</v>
      </c>
      <c r="AZ327" s="3199">
        <f t="shared" si="211"/>
        <v>0</v>
      </c>
      <c r="BA327" s="3199">
        <f t="shared" si="212"/>
        <v>0</v>
      </c>
      <c r="BB327" s="3199">
        <f t="shared" si="213"/>
        <v>0</v>
      </c>
      <c r="BC327" s="3199">
        <f t="shared" si="214"/>
        <v>0</v>
      </c>
      <c r="BD327" s="3199">
        <f t="shared" si="215"/>
        <v>0</v>
      </c>
      <c r="BE327" s="3199">
        <f t="shared" si="216"/>
        <v>0</v>
      </c>
      <c r="BF327" s="3199">
        <f t="shared" si="217"/>
        <v>0</v>
      </c>
      <c r="BG327" s="3199">
        <f t="shared" si="218"/>
        <v>0</v>
      </c>
      <c r="BH327" s="3199">
        <f t="shared" si="219"/>
        <v>0</v>
      </c>
      <c r="BI327" s="3199">
        <f t="shared" si="220"/>
        <v>0</v>
      </c>
      <c r="BJ327" s="3199">
        <f t="shared" si="221"/>
        <v>0</v>
      </c>
      <c r="BK327" s="3199">
        <f t="shared" si="222"/>
        <v>0</v>
      </c>
      <c r="BL327" s="3199">
        <f t="shared" si="223"/>
        <v>0</v>
      </c>
      <c r="BM327" s="3199">
        <f t="shared" si="224"/>
        <v>0</v>
      </c>
      <c r="BN327" s="3199">
        <f t="shared" si="225"/>
        <v>0</v>
      </c>
      <c r="BO327" s="3199">
        <f t="shared" si="226"/>
        <v>0</v>
      </c>
      <c r="BP327" s="3199">
        <f t="shared" si="227"/>
        <v>0</v>
      </c>
      <c r="BQ327" s="3199">
        <f t="shared" si="228"/>
        <v>0</v>
      </c>
      <c r="BR327" s="3199">
        <f t="shared" si="229"/>
        <v>0</v>
      </c>
      <c r="BS327" s="3199">
        <f t="shared" si="230"/>
        <v>0</v>
      </c>
      <c r="BT327" s="3271">
        <f t="shared" si="231"/>
        <v>0</v>
      </c>
    </row>
    <row r="328" spans="1:72">
      <c r="A328" s="3197"/>
      <c r="B328" s="3205"/>
      <c r="C328" s="3204"/>
      <c r="D328" s="3193"/>
      <c r="E328" s="3199">
        <f t="shared" si="203"/>
        <v>0</v>
      </c>
      <c r="F328" s="3200"/>
      <c r="G328" s="3201">
        <f t="shared" si="207"/>
        <v>0</v>
      </c>
      <c r="H328" s="3202">
        <f t="shared" si="208"/>
        <v>0</v>
      </c>
      <c r="I328" s="3204"/>
      <c r="J328" s="3218"/>
      <c r="K328" s="3204"/>
      <c r="L328" s="3218"/>
      <c r="M328" s="3218"/>
      <c r="N328" s="3218"/>
      <c r="O328" s="3218"/>
      <c r="P328" s="3218"/>
      <c r="Q328" s="3218"/>
      <c r="R328" s="3218"/>
      <c r="S328" s="3218"/>
      <c r="T328" s="3218"/>
      <c r="U328" s="3218"/>
      <c r="V328" s="3218"/>
      <c r="W328" s="3218"/>
      <c r="X328" s="3218"/>
      <c r="Y328" s="3218"/>
      <c r="Z328" s="3218"/>
      <c r="AA328" s="3218"/>
      <c r="AB328" s="3218"/>
      <c r="AC328" s="3199">
        <f t="shared" si="209"/>
        <v>0</v>
      </c>
      <c r="AD328" s="3229"/>
      <c r="AE328" s="3229"/>
      <c r="AF328" s="3204"/>
      <c r="AG328" s="3229"/>
      <c r="AH328" s="3229"/>
      <c r="AI328" s="3229"/>
      <c r="AJ328" s="3229"/>
      <c r="AK328" s="3229"/>
      <c r="AL328" s="3229"/>
      <c r="AM328" s="3229"/>
      <c r="AN328" s="3229"/>
      <c r="AO328" s="3229"/>
      <c r="AP328" s="3229"/>
      <c r="AQ328" s="3229"/>
      <c r="AR328" s="3229"/>
      <c r="AS328" s="3229"/>
      <c r="AT328" s="3249"/>
      <c r="AU328" s="3250"/>
      <c r="AV328" s="475">
        <f t="shared" si="204"/>
        <v>0</v>
      </c>
      <c r="AW328" s="475">
        <f t="shared" si="205"/>
        <v>0</v>
      </c>
      <c r="AX328" s="475">
        <f t="shared" si="206"/>
        <v>0</v>
      </c>
      <c r="AY328" s="3266">
        <f t="shared" si="210"/>
        <v>0</v>
      </c>
      <c r="AZ328" s="3199">
        <f t="shared" si="211"/>
        <v>0</v>
      </c>
      <c r="BA328" s="3199">
        <f t="shared" si="212"/>
        <v>0</v>
      </c>
      <c r="BB328" s="3199">
        <f t="shared" si="213"/>
        <v>0</v>
      </c>
      <c r="BC328" s="3199">
        <f t="shared" si="214"/>
        <v>0</v>
      </c>
      <c r="BD328" s="3199">
        <f t="shared" si="215"/>
        <v>0</v>
      </c>
      <c r="BE328" s="3199">
        <f t="shared" si="216"/>
        <v>0</v>
      </c>
      <c r="BF328" s="3199">
        <f t="shared" si="217"/>
        <v>0</v>
      </c>
      <c r="BG328" s="3199">
        <f t="shared" si="218"/>
        <v>0</v>
      </c>
      <c r="BH328" s="3199">
        <f t="shared" si="219"/>
        <v>0</v>
      </c>
      <c r="BI328" s="3199">
        <f t="shared" si="220"/>
        <v>0</v>
      </c>
      <c r="BJ328" s="3199">
        <f t="shared" si="221"/>
        <v>0</v>
      </c>
      <c r="BK328" s="3199">
        <f t="shared" si="222"/>
        <v>0</v>
      </c>
      <c r="BL328" s="3199">
        <f t="shared" si="223"/>
        <v>0</v>
      </c>
      <c r="BM328" s="3199">
        <f t="shared" si="224"/>
        <v>0</v>
      </c>
      <c r="BN328" s="3199">
        <f t="shared" si="225"/>
        <v>0</v>
      </c>
      <c r="BO328" s="3199">
        <f t="shared" si="226"/>
        <v>0</v>
      </c>
      <c r="BP328" s="3199">
        <f t="shared" si="227"/>
        <v>0</v>
      </c>
      <c r="BQ328" s="3199">
        <f t="shared" si="228"/>
        <v>0</v>
      </c>
      <c r="BR328" s="3199">
        <f t="shared" si="229"/>
        <v>0</v>
      </c>
      <c r="BS328" s="3199">
        <f t="shared" si="230"/>
        <v>0</v>
      </c>
      <c r="BT328" s="3271">
        <f t="shared" si="231"/>
        <v>0</v>
      </c>
    </row>
    <row r="329" spans="1:72">
      <c r="A329" s="3197"/>
      <c r="B329" s="3205"/>
      <c r="C329" s="3204"/>
      <c r="D329" s="3193"/>
      <c r="E329" s="3199">
        <f t="shared" ref="E329:E360" si="232">IF($C$3="是",ROUND($A$3*G329/$B$3,2),ROUND($A$3*(G329-AT329)/$B$3,2))</f>
        <v>0</v>
      </c>
      <c r="F329" s="3200"/>
      <c r="G329" s="3201">
        <f t="shared" si="207"/>
        <v>0</v>
      </c>
      <c r="H329" s="3202">
        <f t="shared" si="208"/>
        <v>0</v>
      </c>
      <c r="I329" s="3204"/>
      <c r="J329" s="3218"/>
      <c r="K329" s="3204"/>
      <c r="L329" s="3218"/>
      <c r="M329" s="3218"/>
      <c r="N329" s="3218"/>
      <c r="O329" s="3218"/>
      <c r="P329" s="3218"/>
      <c r="Q329" s="3218"/>
      <c r="R329" s="3218"/>
      <c r="S329" s="3218"/>
      <c r="T329" s="3218"/>
      <c r="U329" s="3218"/>
      <c r="V329" s="3218"/>
      <c r="W329" s="3218"/>
      <c r="X329" s="3218"/>
      <c r="Y329" s="3218"/>
      <c r="Z329" s="3218"/>
      <c r="AA329" s="3218"/>
      <c r="AB329" s="3218"/>
      <c r="AC329" s="3199">
        <f t="shared" si="209"/>
        <v>0</v>
      </c>
      <c r="AD329" s="3229"/>
      <c r="AE329" s="3229"/>
      <c r="AF329" s="3204"/>
      <c r="AG329" s="3229"/>
      <c r="AH329" s="3229"/>
      <c r="AI329" s="3229"/>
      <c r="AJ329" s="3229"/>
      <c r="AK329" s="3229"/>
      <c r="AL329" s="3229"/>
      <c r="AM329" s="3229"/>
      <c r="AN329" s="3229"/>
      <c r="AO329" s="3229"/>
      <c r="AP329" s="3229"/>
      <c r="AQ329" s="3229"/>
      <c r="AR329" s="3229"/>
      <c r="AS329" s="3229"/>
      <c r="AT329" s="3249"/>
      <c r="AU329" s="3250"/>
      <c r="AV329" s="475">
        <f t="shared" ref="AV329:AV360" si="233">A329</f>
        <v>0</v>
      </c>
      <c r="AW329" s="475">
        <f t="shared" ref="AW329:AW360" si="234">B329</f>
        <v>0</v>
      </c>
      <c r="AX329" s="475">
        <f t="shared" ref="AX329:AX360" si="235">C329</f>
        <v>0</v>
      </c>
      <c r="AY329" s="3266">
        <f t="shared" si="210"/>
        <v>0</v>
      </c>
      <c r="AZ329" s="3199">
        <f t="shared" si="211"/>
        <v>0</v>
      </c>
      <c r="BA329" s="3199">
        <f t="shared" si="212"/>
        <v>0</v>
      </c>
      <c r="BB329" s="3199">
        <f t="shared" si="213"/>
        <v>0</v>
      </c>
      <c r="BC329" s="3199">
        <f t="shared" si="214"/>
        <v>0</v>
      </c>
      <c r="BD329" s="3199">
        <f t="shared" si="215"/>
        <v>0</v>
      </c>
      <c r="BE329" s="3199">
        <f t="shared" si="216"/>
        <v>0</v>
      </c>
      <c r="BF329" s="3199">
        <f t="shared" si="217"/>
        <v>0</v>
      </c>
      <c r="BG329" s="3199">
        <f t="shared" si="218"/>
        <v>0</v>
      </c>
      <c r="BH329" s="3199">
        <f t="shared" si="219"/>
        <v>0</v>
      </c>
      <c r="BI329" s="3199">
        <f t="shared" si="220"/>
        <v>0</v>
      </c>
      <c r="BJ329" s="3199">
        <f t="shared" si="221"/>
        <v>0</v>
      </c>
      <c r="BK329" s="3199">
        <f t="shared" si="222"/>
        <v>0</v>
      </c>
      <c r="BL329" s="3199">
        <f t="shared" si="223"/>
        <v>0</v>
      </c>
      <c r="BM329" s="3199">
        <f t="shared" si="224"/>
        <v>0</v>
      </c>
      <c r="BN329" s="3199">
        <f t="shared" si="225"/>
        <v>0</v>
      </c>
      <c r="BO329" s="3199">
        <f t="shared" si="226"/>
        <v>0</v>
      </c>
      <c r="BP329" s="3199">
        <f t="shared" si="227"/>
        <v>0</v>
      </c>
      <c r="BQ329" s="3199">
        <f t="shared" si="228"/>
        <v>0</v>
      </c>
      <c r="BR329" s="3199">
        <f t="shared" si="229"/>
        <v>0</v>
      </c>
      <c r="BS329" s="3199">
        <f t="shared" si="230"/>
        <v>0</v>
      </c>
      <c r="BT329" s="3271">
        <f t="shared" si="231"/>
        <v>0</v>
      </c>
    </row>
    <row r="330" spans="1:72">
      <c r="A330" s="3197"/>
      <c r="B330" s="3205"/>
      <c r="C330" s="3204"/>
      <c r="D330" s="3193"/>
      <c r="E330" s="3199">
        <f t="shared" si="232"/>
        <v>0</v>
      </c>
      <c r="F330" s="3200"/>
      <c r="G330" s="3201">
        <f t="shared" si="207"/>
        <v>0</v>
      </c>
      <c r="H330" s="3202">
        <f t="shared" si="208"/>
        <v>0</v>
      </c>
      <c r="I330" s="3204"/>
      <c r="J330" s="3218"/>
      <c r="K330" s="3204"/>
      <c r="L330" s="3218"/>
      <c r="M330" s="3218"/>
      <c r="N330" s="3218"/>
      <c r="O330" s="3218"/>
      <c r="P330" s="3218"/>
      <c r="Q330" s="3218"/>
      <c r="R330" s="3218"/>
      <c r="S330" s="3218"/>
      <c r="T330" s="3218"/>
      <c r="U330" s="3218"/>
      <c r="V330" s="3218"/>
      <c r="W330" s="3218"/>
      <c r="X330" s="3218"/>
      <c r="Y330" s="3218"/>
      <c r="Z330" s="3218"/>
      <c r="AA330" s="3218"/>
      <c r="AB330" s="3218"/>
      <c r="AC330" s="3199">
        <f t="shared" si="209"/>
        <v>0</v>
      </c>
      <c r="AD330" s="3229"/>
      <c r="AE330" s="3229"/>
      <c r="AF330" s="3204"/>
      <c r="AG330" s="3229"/>
      <c r="AH330" s="3229"/>
      <c r="AI330" s="3229"/>
      <c r="AJ330" s="3229"/>
      <c r="AK330" s="3229"/>
      <c r="AL330" s="3229"/>
      <c r="AM330" s="3229"/>
      <c r="AN330" s="3229"/>
      <c r="AO330" s="3229"/>
      <c r="AP330" s="3229"/>
      <c r="AQ330" s="3229"/>
      <c r="AR330" s="3229"/>
      <c r="AS330" s="3229"/>
      <c r="AT330" s="3249"/>
      <c r="AU330" s="3250"/>
      <c r="AV330" s="475">
        <f t="shared" si="233"/>
        <v>0</v>
      </c>
      <c r="AW330" s="475">
        <f t="shared" si="234"/>
        <v>0</v>
      </c>
      <c r="AX330" s="475">
        <f t="shared" si="235"/>
        <v>0</v>
      </c>
      <c r="AY330" s="3266">
        <f t="shared" si="210"/>
        <v>0</v>
      </c>
      <c r="AZ330" s="3199">
        <f t="shared" si="211"/>
        <v>0</v>
      </c>
      <c r="BA330" s="3199">
        <f t="shared" si="212"/>
        <v>0</v>
      </c>
      <c r="BB330" s="3199">
        <f t="shared" si="213"/>
        <v>0</v>
      </c>
      <c r="BC330" s="3199">
        <f t="shared" si="214"/>
        <v>0</v>
      </c>
      <c r="BD330" s="3199">
        <f t="shared" si="215"/>
        <v>0</v>
      </c>
      <c r="BE330" s="3199">
        <f t="shared" si="216"/>
        <v>0</v>
      </c>
      <c r="BF330" s="3199">
        <f t="shared" si="217"/>
        <v>0</v>
      </c>
      <c r="BG330" s="3199">
        <f t="shared" si="218"/>
        <v>0</v>
      </c>
      <c r="BH330" s="3199">
        <f t="shared" si="219"/>
        <v>0</v>
      </c>
      <c r="BI330" s="3199">
        <f t="shared" si="220"/>
        <v>0</v>
      </c>
      <c r="BJ330" s="3199">
        <f t="shared" si="221"/>
        <v>0</v>
      </c>
      <c r="BK330" s="3199">
        <f t="shared" si="222"/>
        <v>0</v>
      </c>
      <c r="BL330" s="3199">
        <f t="shared" si="223"/>
        <v>0</v>
      </c>
      <c r="BM330" s="3199">
        <f t="shared" si="224"/>
        <v>0</v>
      </c>
      <c r="BN330" s="3199">
        <f t="shared" si="225"/>
        <v>0</v>
      </c>
      <c r="BO330" s="3199">
        <f t="shared" si="226"/>
        <v>0</v>
      </c>
      <c r="BP330" s="3199">
        <f t="shared" si="227"/>
        <v>0</v>
      </c>
      <c r="BQ330" s="3199">
        <f t="shared" si="228"/>
        <v>0</v>
      </c>
      <c r="BR330" s="3199">
        <f t="shared" si="229"/>
        <v>0</v>
      </c>
      <c r="BS330" s="3199">
        <f t="shared" si="230"/>
        <v>0</v>
      </c>
      <c r="BT330" s="3271">
        <f t="shared" si="231"/>
        <v>0</v>
      </c>
    </row>
    <row r="331" spans="1:72">
      <c r="A331" s="3197"/>
      <c r="B331" s="3206"/>
      <c r="C331" s="3207"/>
      <c r="D331" s="3193"/>
      <c r="E331" s="3199">
        <f t="shared" si="232"/>
        <v>0</v>
      </c>
      <c r="F331" s="3200"/>
      <c r="G331" s="3201">
        <f t="shared" si="207"/>
        <v>0</v>
      </c>
      <c r="H331" s="3202">
        <f t="shared" si="208"/>
        <v>0</v>
      </c>
      <c r="I331" s="3204"/>
      <c r="J331" s="3218"/>
      <c r="K331" s="3204"/>
      <c r="L331" s="3218"/>
      <c r="M331" s="3204"/>
      <c r="N331" s="3218"/>
      <c r="O331" s="3218"/>
      <c r="P331" s="3218"/>
      <c r="Q331" s="3218"/>
      <c r="R331" s="3218"/>
      <c r="S331" s="3218"/>
      <c r="T331" s="3218"/>
      <c r="U331" s="3218"/>
      <c r="V331" s="3218"/>
      <c r="W331" s="3218"/>
      <c r="X331" s="3218"/>
      <c r="Y331" s="3218"/>
      <c r="Z331" s="3218"/>
      <c r="AA331" s="3218"/>
      <c r="AB331" s="3218"/>
      <c r="AC331" s="3199">
        <f t="shared" si="209"/>
        <v>0</v>
      </c>
      <c r="AD331" s="3229"/>
      <c r="AE331" s="3229"/>
      <c r="AF331" s="3204"/>
      <c r="AG331" s="3229"/>
      <c r="AH331" s="3229"/>
      <c r="AI331" s="3229"/>
      <c r="AJ331" s="3229"/>
      <c r="AK331" s="3229"/>
      <c r="AL331" s="3229"/>
      <c r="AM331" s="3229"/>
      <c r="AN331" s="3229"/>
      <c r="AO331" s="3229"/>
      <c r="AP331" s="3229"/>
      <c r="AQ331" s="3229"/>
      <c r="AR331" s="3229"/>
      <c r="AS331" s="3229"/>
      <c r="AT331" s="3249"/>
      <c r="AU331" s="3250"/>
      <c r="AV331" s="475">
        <f t="shared" si="233"/>
        <v>0</v>
      </c>
      <c r="AW331" s="475">
        <f t="shared" si="234"/>
        <v>0</v>
      </c>
      <c r="AX331" s="475">
        <f t="shared" si="235"/>
        <v>0</v>
      </c>
      <c r="AY331" s="3266">
        <f t="shared" si="210"/>
        <v>0</v>
      </c>
      <c r="AZ331" s="3199">
        <f t="shared" si="211"/>
        <v>0</v>
      </c>
      <c r="BA331" s="3199">
        <f t="shared" si="212"/>
        <v>0</v>
      </c>
      <c r="BB331" s="3199">
        <f t="shared" si="213"/>
        <v>0</v>
      </c>
      <c r="BC331" s="3199">
        <f t="shared" si="214"/>
        <v>0</v>
      </c>
      <c r="BD331" s="3199">
        <f t="shared" si="215"/>
        <v>0</v>
      </c>
      <c r="BE331" s="3199">
        <f t="shared" si="216"/>
        <v>0</v>
      </c>
      <c r="BF331" s="3199">
        <f t="shared" si="217"/>
        <v>0</v>
      </c>
      <c r="BG331" s="3199">
        <f t="shared" si="218"/>
        <v>0</v>
      </c>
      <c r="BH331" s="3199">
        <f t="shared" si="219"/>
        <v>0</v>
      </c>
      <c r="BI331" s="3199">
        <f t="shared" si="220"/>
        <v>0</v>
      </c>
      <c r="BJ331" s="3199">
        <f t="shared" si="221"/>
        <v>0</v>
      </c>
      <c r="BK331" s="3199">
        <f t="shared" si="222"/>
        <v>0</v>
      </c>
      <c r="BL331" s="3199">
        <f t="shared" si="223"/>
        <v>0</v>
      </c>
      <c r="BM331" s="3199">
        <f t="shared" si="224"/>
        <v>0</v>
      </c>
      <c r="BN331" s="3199">
        <f t="shared" si="225"/>
        <v>0</v>
      </c>
      <c r="BO331" s="3199">
        <f t="shared" si="226"/>
        <v>0</v>
      </c>
      <c r="BP331" s="3199">
        <f t="shared" si="227"/>
        <v>0</v>
      </c>
      <c r="BQ331" s="3199">
        <f t="shared" si="228"/>
        <v>0</v>
      </c>
      <c r="BR331" s="3199">
        <f t="shared" si="229"/>
        <v>0</v>
      </c>
      <c r="BS331" s="3199">
        <f t="shared" si="230"/>
        <v>0</v>
      </c>
      <c r="BT331" s="3271">
        <f t="shared" si="231"/>
        <v>0</v>
      </c>
    </row>
    <row r="332" spans="1:72">
      <c r="A332" s="3197"/>
      <c r="B332" s="3198"/>
      <c r="C332" s="3198"/>
      <c r="D332" s="3193"/>
      <c r="E332" s="3199">
        <f t="shared" si="232"/>
        <v>0</v>
      </c>
      <c r="F332" s="3200"/>
      <c r="G332" s="3201">
        <f t="shared" si="207"/>
        <v>0</v>
      </c>
      <c r="H332" s="3202">
        <f t="shared" si="208"/>
        <v>0</v>
      </c>
      <c r="I332" s="3218"/>
      <c r="J332" s="3218"/>
      <c r="K332" s="3218"/>
      <c r="L332" s="3218"/>
      <c r="M332" s="3218"/>
      <c r="N332" s="3218"/>
      <c r="O332" s="3218"/>
      <c r="P332" s="3218"/>
      <c r="Q332" s="3218"/>
      <c r="R332" s="3218"/>
      <c r="S332" s="3218"/>
      <c r="T332" s="3218"/>
      <c r="U332" s="3218"/>
      <c r="V332" s="3218"/>
      <c r="W332" s="3218"/>
      <c r="X332" s="3218"/>
      <c r="Y332" s="3218"/>
      <c r="Z332" s="3218"/>
      <c r="AA332" s="3218"/>
      <c r="AB332" s="3218"/>
      <c r="AC332" s="3199">
        <f t="shared" si="209"/>
        <v>0</v>
      </c>
      <c r="AD332" s="3229"/>
      <c r="AE332" s="3229"/>
      <c r="AF332" s="3229"/>
      <c r="AG332" s="3229"/>
      <c r="AH332" s="3229"/>
      <c r="AI332" s="3229"/>
      <c r="AJ332" s="3229"/>
      <c r="AK332" s="3229"/>
      <c r="AL332" s="3229"/>
      <c r="AM332" s="3229"/>
      <c r="AN332" s="3229"/>
      <c r="AO332" s="3229"/>
      <c r="AP332" s="3229"/>
      <c r="AQ332" s="3229"/>
      <c r="AR332" s="3229"/>
      <c r="AS332" s="3229"/>
      <c r="AT332" s="3249"/>
      <c r="AU332" s="3250"/>
      <c r="AV332" s="475">
        <f t="shared" si="233"/>
        <v>0</v>
      </c>
      <c r="AW332" s="475">
        <f t="shared" si="234"/>
        <v>0</v>
      </c>
      <c r="AX332" s="475">
        <f t="shared" si="235"/>
        <v>0</v>
      </c>
      <c r="AY332" s="3266">
        <f t="shared" si="210"/>
        <v>0</v>
      </c>
      <c r="AZ332" s="3199">
        <f t="shared" si="211"/>
        <v>0</v>
      </c>
      <c r="BA332" s="3199">
        <f t="shared" si="212"/>
        <v>0</v>
      </c>
      <c r="BB332" s="3199">
        <f t="shared" si="213"/>
        <v>0</v>
      </c>
      <c r="BC332" s="3199">
        <f t="shared" si="214"/>
        <v>0</v>
      </c>
      <c r="BD332" s="3199">
        <f t="shared" si="215"/>
        <v>0</v>
      </c>
      <c r="BE332" s="3199">
        <f t="shared" si="216"/>
        <v>0</v>
      </c>
      <c r="BF332" s="3199">
        <f t="shared" si="217"/>
        <v>0</v>
      </c>
      <c r="BG332" s="3199">
        <f t="shared" si="218"/>
        <v>0</v>
      </c>
      <c r="BH332" s="3199">
        <f t="shared" si="219"/>
        <v>0</v>
      </c>
      <c r="BI332" s="3199">
        <f t="shared" si="220"/>
        <v>0</v>
      </c>
      <c r="BJ332" s="3199">
        <f t="shared" si="221"/>
        <v>0</v>
      </c>
      <c r="BK332" s="3199">
        <f t="shared" si="222"/>
        <v>0</v>
      </c>
      <c r="BL332" s="3199">
        <f t="shared" si="223"/>
        <v>0</v>
      </c>
      <c r="BM332" s="3199">
        <f t="shared" si="224"/>
        <v>0</v>
      </c>
      <c r="BN332" s="3199">
        <f t="shared" si="225"/>
        <v>0</v>
      </c>
      <c r="BO332" s="3199">
        <f t="shared" si="226"/>
        <v>0</v>
      </c>
      <c r="BP332" s="3199">
        <f t="shared" si="227"/>
        <v>0</v>
      </c>
      <c r="BQ332" s="3199">
        <f t="shared" si="228"/>
        <v>0</v>
      </c>
      <c r="BR332" s="3199">
        <f t="shared" si="229"/>
        <v>0</v>
      </c>
      <c r="BS332" s="3199">
        <f t="shared" si="230"/>
        <v>0</v>
      </c>
      <c r="BT332" s="3271">
        <f t="shared" si="231"/>
        <v>0</v>
      </c>
    </row>
    <row r="333" spans="1:72">
      <c r="A333" s="3197"/>
      <c r="B333" s="3198"/>
      <c r="C333" s="3198"/>
      <c r="D333" s="3193"/>
      <c r="E333" s="3199">
        <f t="shared" si="232"/>
        <v>0</v>
      </c>
      <c r="F333" s="3200"/>
      <c r="G333" s="3201">
        <f t="shared" si="207"/>
        <v>0</v>
      </c>
      <c r="H333" s="3202">
        <f t="shared" si="208"/>
        <v>0</v>
      </c>
      <c r="I333" s="3218"/>
      <c r="J333" s="3218"/>
      <c r="K333" s="3218"/>
      <c r="L333" s="3218"/>
      <c r="M333" s="3218"/>
      <c r="N333" s="3218"/>
      <c r="O333" s="3218"/>
      <c r="P333" s="3218"/>
      <c r="Q333" s="3218"/>
      <c r="R333" s="3218"/>
      <c r="S333" s="3218"/>
      <c r="T333" s="3218"/>
      <c r="U333" s="3218"/>
      <c r="V333" s="3218"/>
      <c r="W333" s="3218"/>
      <c r="X333" s="3218"/>
      <c r="Y333" s="3218"/>
      <c r="Z333" s="3218"/>
      <c r="AA333" s="3218"/>
      <c r="AB333" s="3218"/>
      <c r="AC333" s="3199">
        <f t="shared" si="209"/>
        <v>0</v>
      </c>
      <c r="AD333" s="3229"/>
      <c r="AE333" s="3229"/>
      <c r="AF333" s="3229"/>
      <c r="AG333" s="3229"/>
      <c r="AH333" s="3229"/>
      <c r="AI333" s="3229"/>
      <c r="AJ333" s="3229"/>
      <c r="AK333" s="3229"/>
      <c r="AL333" s="3229"/>
      <c r="AM333" s="3229"/>
      <c r="AN333" s="3229"/>
      <c r="AO333" s="3229"/>
      <c r="AP333" s="3229"/>
      <c r="AQ333" s="3229"/>
      <c r="AR333" s="3229"/>
      <c r="AS333" s="3229"/>
      <c r="AT333" s="3249"/>
      <c r="AU333" s="3250"/>
      <c r="AV333" s="475">
        <f t="shared" si="233"/>
        <v>0</v>
      </c>
      <c r="AW333" s="475">
        <f t="shared" si="234"/>
        <v>0</v>
      </c>
      <c r="AX333" s="475">
        <f t="shared" si="235"/>
        <v>0</v>
      </c>
      <c r="AY333" s="3266">
        <f t="shared" si="210"/>
        <v>0</v>
      </c>
      <c r="AZ333" s="3199">
        <f t="shared" si="211"/>
        <v>0</v>
      </c>
      <c r="BA333" s="3199">
        <f t="shared" si="212"/>
        <v>0</v>
      </c>
      <c r="BB333" s="3199">
        <f t="shared" si="213"/>
        <v>0</v>
      </c>
      <c r="BC333" s="3199">
        <f t="shared" si="214"/>
        <v>0</v>
      </c>
      <c r="BD333" s="3199">
        <f t="shared" si="215"/>
        <v>0</v>
      </c>
      <c r="BE333" s="3199">
        <f t="shared" si="216"/>
        <v>0</v>
      </c>
      <c r="BF333" s="3199">
        <f t="shared" si="217"/>
        <v>0</v>
      </c>
      <c r="BG333" s="3199">
        <f t="shared" si="218"/>
        <v>0</v>
      </c>
      <c r="BH333" s="3199">
        <f t="shared" si="219"/>
        <v>0</v>
      </c>
      <c r="BI333" s="3199">
        <f t="shared" si="220"/>
        <v>0</v>
      </c>
      <c r="BJ333" s="3199">
        <f t="shared" si="221"/>
        <v>0</v>
      </c>
      <c r="BK333" s="3199">
        <f t="shared" si="222"/>
        <v>0</v>
      </c>
      <c r="BL333" s="3199">
        <f t="shared" si="223"/>
        <v>0</v>
      </c>
      <c r="BM333" s="3199">
        <f t="shared" si="224"/>
        <v>0</v>
      </c>
      <c r="BN333" s="3199">
        <f t="shared" si="225"/>
        <v>0</v>
      </c>
      <c r="BO333" s="3199">
        <f t="shared" si="226"/>
        <v>0</v>
      </c>
      <c r="BP333" s="3199">
        <f t="shared" si="227"/>
        <v>0</v>
      </c>
      <c r="BQ333" s="3199">
        <f t="shared" si="228"/>
        <v>0</v>
      </c>
      <c r="BR333" s="3199">
        <f t="shared" si="229"/>
        <v>0</v>
      </c>
      <c r="BS333" s="3199">
        <f t="shared" si="230"/>
        <v>0</v>
      </c>
      <c r="BT333" s="3271">
        <f t="shared" si="231"/>
        <v>0</v>
      </c>
    </row>
    <row r="334" spans="1:72">
      <c r="A334" s="3197"/>
      <c r="B334" s="3198"/>
      <c r="C334" s="3198"/>
      <c r="D334" s="3193"/>
      <c r="E334" s="3199">
        <f t="shared" si="232"/>
        <v>0</v>
      </c>
      <c r="F334" s="3200"/>
      <c r="G334" s="3201">
        <f t="shared" si="207"/>
        <v>0</v>
      </c>
      <c r="H334" s="3202">
        <f t="shared" si="208"/>
        <v>0</v>
      </c>
      <c r="I334" s="3218"/>
      <c r="J334" s="3218"/>
      <c r="K334" s="3218"/>
      <c r="L334" s="3218"/>
      <c r="M334" s="3218"/>
      <c r="N334" s="3218"/>
      <c r="O334" s="3218"/>
      <c r="P334" s="3218"/>
      <c r="Q334" s="3218"/>
      <c r="R334" s="3218"/>
      <c r="S334" s="3218"/>
      <c r="T334" s="3218"/>
      <c r="U334" s="3218"/>
      <c r="V334" s="3218"/>
      <c r="W334" s="3218"/>
      <c r="X334" s="3218"/>
      <c r="Y334" s="3218"/>
      <c r="Z334" s="3218"/>
      <c r="AA334" s="3218"/>
      <c r="AB334" s="3218"/>
      <c r="AC334" s="3199">
        <f t="shared" si="209"/>
        <v>0</v>
      </c>
      <c r="AD334" s="3229"/>
      <c r="AE334" s="3229"/>
      <c r="AF334" s="3229"/>
      <c r="AG334" s="3229"/>
      <c r="AH334" s="3229"/>
      <c r="AI334" s="3229"/>
      <c r="AJ334" s="3229"/>
      <c r="AK334" s="3229"/>
      <c r="AL334" s="3229"/>
      <c r="AM334" s="3229"/>
      <c r="AN334" s="3229"/>
      <c r="AO334" s="3229"/>
      <c r="AP334" s="3229"/>
      <c r="AQ334" s="3229"/>
      <c r="AR334" s="3229"/>
      <c r="AS334" s="3229"/>
      <c r="AT334" s="3249"/>
      <c r="AU334" s="3250"/>
      <c r="AV334" s="475">
        <f t="shared" si="233"/>
        <v>0</v>
      </c>
      <c r="AW334" s="475">
        <f t="shared" si="234"/>
        <v>0</v>
      </c>
      <c r="AX334" s="475">
        <f t="shared" si="235"/>
        <v>0</v>
      </c>
      <c r="AY334" s="3266">
        <f t="shared" si="210"/>
        <v>0</v>
      </c>
      <c r="AZ334" s="3199">
        <f t="shared" si="211"/>
        <v>0</v>
      </c>
      <c r="BA334" s="3199">
        <f t="shared" si="212"/>
        <v>0</v>
      </c>
      <c r="BB334" s="3199">
        <f t="shared" si="213"/>
        <v>0</v>
      </c>
      <c r="BC334" s="3199">
        <f t="shared" si="214"/>
        <v>0</v>
      </c>
      <c r="BD334" s="3199">
        <f t="shared" si="215"/>
        <v>0</v>
      </c>
      <c r="BE334" s="3199">
        <f t="shared" si="216"/>
        <v>0</v>
      </c>
      <c r="BF334" s="3199">
        <f t="shared" si="217"/>
        <v>0</v>
      </c>
      <c r="BG334" s="3199">
        <f t="shared" si="218"/>
        <v>0</v>
      </c>
      <c r="BH334" s="3199">
        <f t="shared" si="219"/>
        <v>0</v>
      </c>
      <c r="BI334" s="3199">
        <f t="shared" si="220"/>
        <v>0</v>
      </c>
      <c r="BJ334" s="3199">
        <f t="shared" si="221"/>
        <v>0</v>
      </c>
      <c r="BK334" s="3199">
        <f t="shared" si="222"/>
        <v>0</v>
      </c>
      <c r="BL334" s="3199">
        <f t="shared" si="223"/>
        <v>0</v>
      </c>
      <c r="BM334" s="3199">
        <f t="shared" si="224"/>
        <v>0</v>
      </c>
      <c r="BN334" s="3199">
        <f t="shared" si="225"/>
        <v>0</v>
      </c>
      <c r="BO334" s="3199">
        <f t="shared" si="226"/>
        <v>0</v>
      </c>
      <c r="BP334" s="3199">
        <f t="shared" si="227"/>
        <v>0</v>
      </c>
      <c r="BQ334" s="3199">
        <f t="shared" si="228"/>
        <v>0</v>
      </c>
      <c r="BR334" s="3199">
        <f t="shared" si="229"/>
        <v>0</v>
      </c>
      <c r="BS334" s="3199">
        <f t="shared" si="230"/>
        <v>0</v>
      </c>
      <c r="BT334" s="3271">
        <f t="shared" si="231"/>
        <v>0</v>
      </c>
    </row>
    <row r="335" spans="1:72">
      <c r="A335" s="3197"/>
      <c r="B335" s="3198"/>
      <c r="C335" s="3198"/>
      <c r="D335" s="3193"/>
      <c r="E335" s="3199">
        <f t="shared" si="232"/>
        <v>0</v>
      </c>
      <c r="F335" s="3200"/>
      <c r="G335" s="3201">
        <f t="shared" si="207"/>
        <v>0</v>
      </c>
      <c r="H335" s="3202">
        <f t="shared" si="208"/>
        <v>0</v>
      </c>
      <c r="I335" s="3218"/>
      <c r="J335" s="3218"/>
      <c r="K335" s="3218"/>
      <c r="L335" s="3218"/>
      <c r="M335" s="3218"/>
      <c r="N335" s="3218"/>
      <c r="O335" s="3218"/>
      <c r="P335" s="3218"/>
      <c r="Q335" s="3218"/>
      <c r="R335" s="3218"/>
      <c r="S335" s="3218"/>
      <c r="T335" s="3218"/>
      <c r="U335" s="3218"/>
      <c r="V335" s="3218"/>
      <c r="W335" s="3218"/>
      <c r="X335" s="3218"/>
      <c r="Y335" s="3218"/>
      <c r="Z335" s="3218"/>
      <c r="AA335" s="3218"/>
      <c r="AB335" s="3218"/>
      <c r="AC335" s="3199">
        <f t="shared" si="209"/>
        <v>0</v>
      </c>
      <c r="AD335" s="3229"/>
      <c r="AE335" s="3229"/>
      <c r="AF335" s="3229"/>
      <c r="AG335" s="3229"/>
      <c r="AH335" s="3229"/>
      <c r="AI335" s="3229"/>
      <c r="AJ335" s="3229"/>
      <c r="AK335" s="3229"/>
      <c r="AL335" s="3229"/>
      <c r="AM335" s="3229"/>
      <c r="AN335" s="3229"/>
      <c r="AO335" s="3229"/>
      <c r="AP335" s="3229"/>
      <c r="AQ335" s="3229"/>
      <c r="AR335" s="3229"/>
      <c r="AS335" s="3229"/>
      <c r="AT335" s="3249"/>
      <c r="AU335" s="3250"/>
      <c r="AV335" s="475">
        <f t="shared" si="233"/>
        <v>0</v>
      </c>
      <c r="AW335" s="475">
        <f t="shared" si="234"/>
        <v>0</v>
      </c>
      <c r="AX335" s="475">
        <f t="shared" si="235"/>
        <v>0</v>
      </c>
      <c r="AY335" s="3266">
        <f t="shared" si="210"/>
        <v>0</v>
      </c>
      <c r="AZ335" s="3199">
        <f t="shared" si="211"/>
        <v>0</v>
      </c>
      <c r="BA335" s="3199">
        <f t="shared" si="212"/>
        <v>0</v>
      </c>
      <c r="BB335" s="3199">
        <f t="shared" si="213"/>
        <v>0</v>
      </c>
      <c r="BC335" s="3199">
        <f t="shared" si="214"/>
        <v>0</v>
      </c>
      <c r="BD335" s="3199">
        <f t="shared" si="215"/>
        <v>0</v>
      </c>
      <c r="BE335" s="3199">
        <f t="shared" si="216"/>
        <v>0</v>
      </c>
      <c r="BF335" s="3199">
        <f t="shared" si="217"/>
        <v>0</v>
      </c>
      <c r="BG335" s="3199">
        <f t="shared" si="218"/>
        <v>0</v>
      </c>
      <c r="BH335" s="3199">
        <f t="shared" si="219"/>
        <v>0</v>
      </c>
      <c r="BI335" s="3199">
        <f t="shared" si="220"/>
        <v>0</v>
      </c>
      <c r="BJ335" s="3199">
        <f t="shared" si="221"/>
        <v>0</v>
      </c>
      <c r="BK335" s="3199">
        <f t="shared" si="222"/>
        <v>0</v>
      </c>
      <c r="BL335" s="3199">
        <f t="shared" si="223"/>
        <v>0</v>
      </c>
      <c r="BM335" s="3199">
        <f t="shared" si="224"/>
        <v>0</v>
      </c>
      <c r="BN335" s="3199">
        <f t="shared" si="225"/>
        <v>0</v>
      </c>
      <c r="BO335" s="3199">
        <f t="shared" si="226"/>
        <v>0</v>
      </c>
      <c r="BP335" s="3199">
        <f t="shared" si="227"/>
        <v>0</v>
      </c>
      <c r="BQ335" s="3199">
        <f t="shared" si="228"/>
        <v>0</v>
      </c>
      <c r="BR335" s="3199">
        <f t="shared" si="229"/>
        <v>0</v>
      </c>
      <c r="BS335" s="3199">
        <f t="shared" si="230"/>
        <v>0</v>
      </c>
      <c r="BT335" s="3271">
        <f t="shared" si="231"/>
        <v>0</v>
      </c>
    </row>
    <row r="336" spans="1:72">
      <c r="A336" s="3197"/>
      <c r="B336" s="3198"/>
      <c r="C336" s="3198"/>
      <c r="D336" s="3193"/>
      <c r="E336" s="3199">
        <f t="shared" si="232"/>
        <v>0</v>
      </c>
      <c r="F336" s="3200"/>
      <c r="G336" s="3201">
        <f t="shared" si="207"/>
        <v>0</v>
      </c>
      <c r="H336" s="3202">
        <f t="shared" si="208"/>
        <v>0</v>
      </c>
      <c r="I336" s="3218"/>
      <c r="J336" s="3218"/>
      <c r="K336" s="3218"/>
      <c r="L336" s="3218"/>
      <c r="M336" s="3218"/>
      <c r="N336" s="3218"/>
      <c r="O336" s="3218"/>
      <c r="P336" s="3218"/>
      <c r="Q336" s="3218"/>
      <c r="R336" s="3218"/>
      <c r="S336" s="3218"/>
      <c r="T336" s="3218"/>
      <c r="U336" s="3218"/>
      <c r="V336" s="3218"/>
      <c r="W336" s="3218"/>
      <c r="X336" s="3218"/>
      <c r="Y336" s="3218"/>
      <c r="Z336" s="3218"/>
      <c r="AA336" s="3218"/>
      <c r="AB336" s="3218"/>
      <c r="AC336" s="3199">
        <f t="shared" si="209"/>
        <v>0</v>
      </c>
      <c r="AD336" s="3229"/>
      <c r="AE336" s="3229"/>
      <c r="AF336" s="3229"/>
      <c r="AG336" s="3229"/>
      <c r="AH336" s="3229"/>
      <c r="AI336" s="3229"/>
      <c r="AJ336" s="3229"/>
      <c r="AK336" s="3229"/>
      <c r="AL336" s="3229"/>
      <c r="AM336" s="3229"/>
      <c r="AN336" s="3229"/>
      <c r="AO336" s="3229"/>
      <c r="AP336" s="3229"/>
      <c r="AQ336" s="3229"/>
      <c r="AR336" s="3229"/>
      <c r="AS336" s="3229"/>
      <c r="AT336" s="3249"/>
      <c r="AU336" s="3250"/>
      <c r="AV336" s="475">
        <f t="shared" si="233"/>
        <v>0</v>
      </c>
      <c r="AW336" s="475">
        <f t="shared" si="234"/>
        <v>0</v>
      </c>
      <c r="AX336" s="475">
        <f t="shared" si="235"/>
        <v>0</v>
      </c>
      <c r="AY336" s="3266">
        <f t="shared" si="210"/>
        <v>0</v>
      </c>
      <c r="AZ336" s="3199">
        <f t="shared" si="211"/>
        <v>0</v>
      </c>
      <c r="BA336" s="3199">
        <f t="shared" si="212"/>
        <v>0</v>
      </c>
      <c r="BB336" s="3199">
        <f t="shared" si="213"/>
        <v>0</v>
      </c>
      <c r="BC336" s="3199">
        <f t="shared" si="214"/>
        <v>0</v>
      </c>
      <c r="BD336" s="3199">
        <f t="shared" si="215"/>
        <v>0</v>
      </c>
      <c r="BE336" s="3199">
        <f t="shared" si="216"/>
        <v>0</v>
      </c>
      <c r="BF336" s="3199">
        <f t="shared" si="217"/>
        <v>0</v>
      </c>
      <c r="BG336" s="3199">
        <f t="shared" si="218"/>
        <v>0</v>
      </c>
      <c r="BH336" s="3199">
        <f t="shared" si="219"/>
        <v>0</v>
      </c>
      <c r="BI336" s="3199">
        <f t="shared" si="220"/>
        <v>0</v>
      </c>
      <c r="BJ336" s="3199">
        <f t="shared" si="221"/>
        <v>0</v>
      </c>
      <c r="BK336" s="3199">
        <f t="shared" si="222"/>
        <v>0</v>
      </c>
      <c r="BL336" s="3199">
        <f t="shared" si="223"/>
        <v>0</v>
      </c>
      <c r="BM336" s="3199">
        <f t="shared" si="224"/>
        <v>0</v>
      </c>
      <c r="BN336" s="3199">
        <f t="shared" si="225"/>
        <v>0</v>
      </c>
      <c r="BO336" s="3199">
        <f t="shared" si="226"/>
        <v>0</v>
      </c>
      <c r="BP336" s="3199">
        <f t="shared" si="227"/>
        <v>0</v>
      </c>
      <c r="BQ336" s="3199">
        <f t="shared" si="228"/>
        <v>0</v>
      </c>
      <c r="BR336" s="3199">
        <f t="shared" si="229"/>
        <v>0</v>
      </c>
      <c r="BS336" s="3199">
        <f t="shared" si="230"/>
        <v>0</v>
      </c>
      <c r="BT336" s="3271">
        <f t="shared" si="231"/>
        <v>0</v>
      </c>
    </row>
    <row r="337" spans="1:72">
      <c r="A337" s="3197"/>
      <c r="B337" s="3198"/>
      <c r="C337" s="3198"/>
      <c r="D337" s="3193"/>
      <c r="E337" s="3199">
        <f t="shared" si="232"/>
        <v>0</v>
      </c>
      <c r="F337" s="3200"/>
      <c r="G337" s="3201">
        <f t="shared" si="207"/>
        <v>0</v>
      </c>
      <c r="H337" s="3202">
        <f t="shared" si="208"/>
        <v>0</v>
      </c>
      <c r="I337" s="3218"/>
      <c r="J337" s="3218"/>
      <c r="K337" s="3218"/>
      <c r="L337" s="3218"/>
      <c r="M337" s="3218"/>
      <c r="N337" s="3218"/>
      <c r="O337" s="3218"/>
      <c r="P337" s="3218"/>
      <c r="Q337" s="3218"/>
      <c r="R337" s="3218"/>
      <c r="S337" s="3218"/>
      <c r="T337" s="3218"/>
      <c r="U337" s="3218"/>
      <c r="V337" s="3218"/>
      <c r="W337" s="3218"/>
      <c r="X337" s="3218"/>
      <c r="Y337" s="3218"/>
      <c r="Z337" s="3218"/>
      <c r="AA337" s="3218"/>
      <c r="AB337" s="3218"/>
      <c r="AC337" s="3199">
        <f t="shared" si="209"/>
        <v>0</v>
      </c>
      <c r="AD337" s="3229"/>
      <c r="AE337" s="3229"/>
      <c r="AF337" s="3229"/>
      <c r="AG337" s="3229"/>
      <c r="AH337" s="3229"/>
      <c r="AI337" s="3229"/>
      <c r="AJ337" s="3229"/>
      <c r="AK337" s="3229"/>
      <c r="AL337" s="3229"/>
      <c r="AM337" s="3229"/>
      <c r="AN337" s="3229"/>
      <c r="AO337" s="3229"/>
      <c r="AP337" s="3229"/>
      <c r="AQ337" s="3229"/>
      <c r="AR337" s="3229"/>
      <c r="AS337" s="3229"/>
      <c r="AT337" s="3249"/>
      <c r="AU337" s="3250"/>
      <c r="AV337" s="475">
        <f t="shared" si="233"/>
        <v>0</v>
      </c>
      <c r="AW337" s="475">
        <f t="shared" si="234"/>
        <v>0</v>
      </c>
      <c r="AX337" s="475">
        <f t="shared" si="235"/>
        <v>0</v>
      </c>
      <c r="AY337" s="3266">
        <f t="shared" si="210"/>
        <v>0</v>
      </c>
      <c r="AZ337" s="3199">
        <f t="shared" si="211"/>
        <v>0</v>
      </c>
      <c r="BA337" s="3199">
        <f t="shared" si="212"/>
        <v>0</v>
      </c>
      <c r="BB337" s="3199">
        <f t="shared" si="213"/>
        <v>0</v>
      </c>
      <c r="BC337" s="3199">
        <f t="shared" si="214"/>
        <v>0</v>
      </c>
      <c r="BD337" s="3199">
        <f t="shared" si="215"/>
        <v>0</v>
      </c>
      <c r="BE337" s="3199">
        <f t="shared" si="216"/>
        <v>0</v>
      </c>
      <c r="BF337" s="3199">
        <f t="shared" si="217"/>
        <v>0</v>
      </c>
      <c r="BG337" s="3199">
        <f t="shared" si="218"/>
        <v>0</v>
      </c>
      <c r="BH337" s="3199">
        <f t="shared" si="219"/>
        <v>0</v>
      </c>
      <c r="BI337" s="3199">
        <f t="shared" si="220"/>
        <v>0</v>
      </c>
      <c r="BJ337" s="3199">
        <f t="shared" si="221"/>
        <v>0</v>
      </c>
      <c r="BK337" s="3199">
        <f t="shared" si="222"/>
        <v>0</v>
      </c>
      <c r="BL337" s="3199">
        <f t="shared" si="223"/>
        <v>0</v>
      </c>
      <c r="BM337" s="3199">
        <f t="shared" si="224"/>
        <v>0</v>
      </c>
      <c r="BN337" s="3199">
        <f t="shared" si="225"/>
        <v>0</v>
      </c>
      <c r="BO337" s="3199">
        <f t="shared" si="226"/>
        <v>0</v>
      </c>
      <c r="BP337" s="3199">
        <f t="shared" si="227"/>
        <v>0</v>
      </c>
      <c r="BQ337" s="3199">
        <f t="shared" si="228"/>
        <v>0</v>
      </c>
      <c r="BR337" s="3199">
        <f t="shared" si="229"/>
        <v>0</v>
      </c>
      <c r="BS337" s="3199">
        <f t="shared" si="230"/>
        <v>0</v>
      </c>
      <c r="BT337" s="3271">
        <f t="shared" si="231"/>
        <v>0</v>
      </c>
    </row>
    <row r="338" spans="1:72">
      <c r="A338" s="3197"/>
      <c r="B338" s="3198"/>
      <c r="C338" s="3198"/>
      <c r="D338" s="3193"/>
      <c r="E338" s="3199">
        <f t="shared" si="232"/>
        <v>0</v>
      </c>
      <c r="F338" s="3200"/>
      <c r="G338" s="3201">
        <f t="shared" si="207"/>
        <v>0</v>
      </c>
      <c r="H338" s="3202">
        <f t="shared" si="208"/>
        <v>0</v>
      </c>
      <c r="I338" s="3218"/>
      <c r="J338" s="3218"/>
      <c r="K338" s="3218"/>
      <c r="L338" s="3218"/>
      <c r="M338" s="3218"/>
      <c r="N338" s="3218"/>
      <c r="O338" s="3218"/>
      <c r="P338" s="3218"/>
      <c r="Q338" s="3218"/>
      <c r="R338" s="3218"/>
      <c r="S338" s="3218"/>
      <c r="T338" s="3218"/>
      <c r="U338" s="3218"/>
      <c r="V338" s="3218"/>
      <c r="W338" s="3218"/>
      <c r="X338" s="3218"/>
      <c r="Y338" s="3218"/>
      <c r="Z338" s="3218"/>
      <c r="AA338" s="3218"/>
      <c r="AB338" s="3218"/>
      <c r="AC338" s="3199">
        <f t="shared" si="209"/>
        <v>0</v>
      </c>
      <c r="AD338" s="3229"/>
      <c r="AE338" s="3229"/>
      <c r="AF338" s="3229"/>
      <c r="AG338" s="3229"/>
      <c r="AH338" s="3229"/>
      <c r="AI338" s="3229"/>
      <c r="AJ338" s="3229"/>
      <c r="AK338" s="3229"/>
      <c r="AL338" s="3229"/>
      <c r="AM338" s="3229"/>
      <c r="AN338" s="3229"/>
      <c r="AO338" s="3229"/>
      <c r="AP338" s="3229"/>
      <c r="AQ338" s="3229"/>
      <c r="AR338" s="3229"/>
      <c r="AS338" s="3229"/>
      <c r="AT338" s="3249"/>
      <c r="AU338" s="3250"/>
      <c r="AV338" s="475">
        <f t="shared" si="233"/>
        <v>0</v>
      </c>
      <c r="AW338" s="475">
        <f t="shared" si="234"/>
        <v>0</v>
      </c>
      <c r="AX338" s="475">
        <f t="shared" si="235"/>
        <v>0</v>
      </c>
      <c r="AY338" s="3266">
        <f t="shared" si="210"/>
        <v>0</v>
      </c>
      <c r="AZ338" s="3199">
        <f t="shared" si="211"/>
        <v>0</v>
      </c>
      <c r="BA338" s="3199">
        <f t="shared" si="212"/>
        <v>0</v>
      </c>
      <c r="BB338" s="3199">
        <f t="shared" si="213"/>
        <v>0</v>
      </c>
      <c r="BC338" s="3199">
        <f t="shared" si="214"/>
        <v>0</v>
      </c>
      <c r="BD338" s="3199">
        <f t="shared" si="215"/>
        <v>0</v>
      </c>
      <c r="BE338" s="3199">
        <f t="shared" si="216"/>
        <v>0</v>
      </c>
      <c r="BF338" s="3199">
        <f t="shared" si="217"/>
        <v>0</v>
      </c>
      <c r="BG338" s="3199">
        <f t="shared" si="218"/>
        <v>0</v>
      </c>
      <c r="BH338" s="3199">
        <f t="shared" si="219"/>
        <v>0</v>
      </c>
      <c r="BI338" s="3199">
        <f t="shared" si="220"/>
        <v>0</v>
      </c>
      <c r="BJ338" s="3199">
        <f t="shared" si="221"/>
        <v>0</v>
      </c>
      <c r="BK338" s="3199">
        <f t="shared" si="222"/>
        <v>0</v>
      </c>
      <c r="BL338" s="3199">
        <f t="shared" si="223"/>
        <v>0</v>
      </c>
      <c r="BM338" s="3199">
        <f t="shared" si="224"/>
        <v>0</v>
      </c>
      <c r="BN338" s="3199">
        <f t="shared" si="225"/>
        <v>0</v>
      </c>
      <c r="BO338" s="3199">
        <f t="shared" si="226"/>
        <v>0</v>
      </c>
      <c r="BP338" s="3199">
        <f t="shared" si="227"/>
        <v>0</v>
      </c>
      <c r="BQ338" s="3199">
        <f t="shared" si="228"/>
        <v>0</v>
      </c>
      <c r="BR338" s="3199">
        <f t="shared" si="229"/>
        <v>0</v>
      </c>
      <c r="BS338" s="3199">
        <f t="shared" si="230"/>
        <v>0</v>
      </c>
      <c r="BT338" s="3271">
        <f t="shared" si="231"/>
        <v>0</v>
      </c>
    </row>
    <row r="339" spans="1:72">
      <c r="A339" s="3197"/>
      <c r="B339" s="3198"/>
      <c r="C339" s="3198"/>
      <c r="D339" s="3193"/>
      <c r="E339" s="3199">
        <f t="shared" si="232"/>
        <v>0</v>
      </c>
      <c r="F339" s="3200"/>
      <c r="G339" s="3201">
        <f t="shared" si="207"/>
        <v>0</v>
      </c>
      <c r="H339" s="3202">
        <f t="shared" si="208"/>
        <v>0</v>
      </c>
      <c r="I339" s="3218"/>
      <c r="J339" s="3218"/>
      <c r="K339" s="3218"/>
      <c r="L339" s="3218"/>
      <c r="M339" s="3218"/>
      <c r="N339" s="3218"/>
      <c r="O339" s="3218"/>
      <c r="P339" s="3218"/>
      <c r="Q339" s="3218"/>
      <c r="R339" s="3218"/>
      <c r="S339" s="3218"/>
      <c r="T339" s="3218"/>
      <c r="U339" s="3218"/>
      <c r="V339" s="3218"/>
      <c r="W339" s="3218"/>
      <c r="X339" s="3218"/>
      <c r="Y339" s="3218"/>
      <c r="Z339" s="3218"/>
      <c r="AA339" s="3218"/>
      <c r="AB339" s="3218"/>
      <c r="AC339" s="3199">
        <f t="shared" si="209"/>
        <v>0</v>
      </c>
      <c r="AD339" s="3229"/>
      <c r="AE339" s="3229"/>
      <c r="AF339" s="3229"/>
      <c r="AG339" s="3229"/>
      <c r="AH339" s="3229"/>
      <c r="AI339" s="3229"/>
      <c r="AJ339" s="3229"/>
      <c r="AK339" s="3229"/>
      <c r="AL339" s="3229"/>
      <c r="AM339" s="3229"/>
      <c r="AN339" s="3229"/>
      <c r="AO339" s="3229"/>
      <c r="AP339" s="3229"/>
      <c r="AQ339" s="3229"/>
      <c r="AR339" s="3229"/>
      <c r="AS339" s="3229"/>
      <c r="AT339" s="3249"/>
      <c r="AU339" s="3250"/>
      <c r="AV339" s="475">
        <f t="shared" si="233"/>
        <v>0</v>
      </c>
      <c r="AW339" s="475">
        <f t="shared" si="234"/>
        <v>0</v>
      </c>
      <c r="AX339" s="475">
        <f t="shared" si="235"/>
        <v>0</v>
      </c>
      <c r="AY339" s="3266">
        <f t="shared" si="210"/>
        <v>0</v>
      </c>
      <c r="AZ339" s="3199">
        <f t="shared" si="211"/>
        <v>0</v>
      </c>
      <c r="BA339" s="3199">
        <f t="shared" si="212"/>
        <v>0</v>
      </c>
      <c r="BB339" s="3199">
        <f t="shared" si="213"/>
        <v>0</v>
      </c>
      <c r="BC339" s="3199">
        <f t="shared" si="214"/>
        <v>0</v>
      </c>
      <c r="BD339" s="3199">
        <f t="shared" si="215"/>
        <v>0</v>
      </c>
      <c r="BE339" s="3199">
        <f t="shared" si="216"/>
        <v>0</v>
      </c>
      <c r="BF339" s="3199">
        <f t="shared" si="217"/>
        <v>0</v>
      </c>
      <c r="BG339" s="3199">
        <f t="shared" si="218"/>
        <v>0</v>
      </c>
      <c r="BH339" s="3199">
        <f t="shared" si="219"/>
        <v>0</v>
      </c>
      <c r="BI339" s="3199">
        <f t="shared" si="220"/>
        <v>0</v>
      </c>
      <c r="BJ339" s="3199">
        <f t="shared" si="221"/>
        <v>0</v>
      </c>
      <c r="BK339" s="3199">
        <f t="shared" si="222"/>
        <v>0</v>
      </c>
      <c r="BL339" s="3199">
        <f t="shared" si="223"/>
        <v>0</v>
      </c>
      <c r="BM339" s="3199">
        <f t="shared" si="224"/>
        <v>0</v>
      </c>
      <c r="BN339" s="3199">
        <f t="shared" si="225"/>
        <v>0</v>
      </c>
      <c r="BO339" s="3199">
        <f t="shared" si="226"/>
        <v>0</v>
      </c>
      <c r="BP339" s="3199">
        <f t="shared" si="227"/>
        <v>0</v>
      </c>
      <c r="BQ339" s="3199">
        <f t="shared" si="228"/>
        <v>0</v>
      </c>
      <c r="BR339" s="3199">
        <f t="shared" si="229"/>
        <v>0</v>
      </c>
      <c r="BS339" s="3199">
        <f t="shared" si="230"/>
        <v>0</v>
      </c>
      <c r="BT339" s="3271">
        <f t="shared" si="231"/>
        <v>0</v>
      </c>
    </row>
    <row r="340" spans="1:72">
      <c r="A340" s="3197"/>
      <c r="B340" s="3198"/>
      <c r="C340" s="3198"/>
      <c r="D340" s="3193"/>
      <c r="E340" s="3199">
        <f t="shared" si="232"/>
        <v>0</v>
      </c>
      <c r="F340" s="3200"/>
      <c r="G340" s="3201">
        <f t="shared" si="207"/>
        <v>0</v>
      </c>
      <c r="H340" s="3202">
        <f t="shared" si="208"/>
        <v>0</v>
      </c>
      <c r="I340" s="3218"/>
      <c r="J340" s="3218"/>
      <c r="K340" s="3218"/>
      <c r="L340" s="3218"/>
      <c r="M340" s="3218"/>
      <c r="N340" s="3218"/>
      <c r="O340" s="3218"/>
      <c r="P340" s="3218"/>
      <c r="Q340" s="3218"/>
      <c r="R340" s="3218"/>
      <c r="S340" s="3218"/>
      <c r="T340" s="3218"/>
      <c r="U340" s="3218"/>
      <c r="V340" s="3218"/>
      <c r="W340" s="3218"/>
      <c r="X340" s="3218"/>
      <c r="Y340" s="3218"/>
      <c r="Z340" s="3218"/>
      <c r="AA340" s="3218"/>
      <c r="AB340" s="3218"/>
      <c r="AC340" s="3199">
        <f t="shared" si="209"/>
        <v>0</v>
      </c>
      <c r="AD340" s="3229"/>
      <c r="AE340" s="3229"/>
      <c r="AF340" s="3229"/>
      <c r="AG340" s="3229"/>
      <c r="AH340" s="3229"/>
      <c r="AI340" s="3229"/>
      <c r="AJ340" s="3229"/>
      <c r="AK340" s="3229"/>
      <c r="AL340" s="3229"/>
      <c r="AM340" s="3229"/>
      <c r="AN340" s="3229"/>
      <c r="AO340" s="3229"/>
      <c r="AP340" s="3229"/>
      <c r="AQ340" s="3229"/>
      <c r="AR340" s="3229"/>
      <c r="AS340" s="3229"/>
      <c r="AT340" s="3249"/>
      <c r="AU340" s="3250"/>
      <c r="AV340" s="475">
        <f t="shared" si="233"/>
        <v>0</v>
      </c>
      <c r="AW340" s="475">
        <f t="shared" si="234"/>
        <v>0</v>
      </c>
      <c r="AX340" s="475">
        <f t="shared" si="235"/>
        <v>0</v>
      </c>
      <c r="AY340" s="3266">
        <f t="shared" si="210"/>
        <v>0</v>
      </c>
      <c r="AZ340" s="3199">
        <f t="shared" si="211"/>
        <v>0</v>
      </c>
      <c r="BA340" s="3199">
        <f t="shared" si="212"/>
        <v>0</v>
      </c>
      <c r="BB340" s="3199">
        <f t="shared" si="213"/>
        <v>0</v>
      </c>
      <c r="BC340" s="3199">
        <f t="shared" si="214"/>
        <v>0</v>
      </c>
      <c r="BD340" s="3199">
        <f t="shared" si="215"/>
        <v>0</v>
      </c>
      <c r="BE340" s="3199">
        <f t="shared" si="216"/>
        <v>0</v>
      </c>
      <c r="BF340" s="3199">
        <f t="shared" si="217"/>
        <v>0</v>
      </c>
      <c r="BG340" s="3199">
        <f t="shared" si="218"/>
        <v>0</v>
      </c>
      <c r="BH340" s="3199">
        <f t="shared" si="219"/>
        <v>0</v>
      </c>
      <c r="BI340" s="3199">
        <f t="shared" si="220"/>
        <v>0</v>
      </c>
      <c r="BJ340" s="3199">
        <f t="shared" si="221"/>
        <v>0</v>
      </c>
      <c r="BK340" s="3199">
        <f t="shared" si="222"/>
        <v>0</v>
      </c>
      <c r="BL340" s="3199">
        <f t="shared" si="223"/>
        <v>0</v>
      </c>
      <c r="BM340" s="3199">
        <f t="shared" si="224"/>
        <v>0</v>
      </c>
      <c r="BN340" s="3199">
        <f t="shared" si="225"/>
        <v>0</v>
      </c>
      <c r="BO340" s="3199">
        <f t="shared" si="226"/>
        <v>0</v>
      </c>
      <c r="BP340" s="3199">
        <f t="shared" si="227"/>
        <v>0</v>
      </c>
      <c r="BQ340" s="3199">
        <f t="shared" si="228"/>
        <v>0</v>
      </c>
      <c r="BR340" s="3199">
        <f t="shared" si="229"/>
        <v>0</v>
      </c>
      <c r="BS340" s="3199">
        <f t="shared" si="230"/>
        <v>0</v>
      </c>
      <c r="BT340" s="3271">
        <f t="shared" si="231"/>
        <v>0</v>
      </c>
    </row>
    <row r="341" spans="1:72">
      <c r="A341" s="3197"/>
      <c r="B341" s="3198"/>
      <c r="C341" s="3198"/>
      <c r="D341" s="3193"/>
      <c r="E341" s="3199">
        <f t="shared" si="232"/>
        <v>0</v>
      </c>
      <c r="F341" s="3200"/>
      <c r="G341" s="3201">
        <f t="shared" si="207"/>
        <v>0</v>
      </c>
      <c r="H341" s="3202">
        <f t="shared" si="208"/>
        <v>0</v>
      </c>
      <c r="I341" s="3218"/>
      <c r="J341" s="3218"/>
      <c r="K341" s="3218"/>
      <c r="L341" s="3218"/>
      <c r="M341" s="3218"/>
      <c r="N341" s="3218"/>
      <c r="O341" s="3218"/>
      <c r="P341" s="3218"/>
      <c r="Q341" s="3218"/>
      <c r="R341" s="3218"/>
      <c r="S341" s="3218"/>
      <c r="T341" s="3218"/>
      <c r="U341" s="3218"/>
      <c r="V341" s="3218"/>
      <c r="W341" s="3218"/>
      <c r="X341" s="3218"/>
      <c r="Y341" s="3218"/>
      <c r="Z341" s="3218"/>
      <c r="AA341" s="3218"/>
      <c r="AB341" s="3218"/>
      <c r="AC341" s="3199">
        <f t="shared" si="209"/>
        <v>0</v>
      </c>
      <c r="AD341" s="3229"/>
      <c r="AE341" s="3229"/>
      <c r="AF341" s="3229"/>
      <c r="AG341" s="3229"/>
      <c r="AH341" s="3229"/>
      <c r="AI341" s="3229"/>
      <c r="AJ341" s="3229"/>
      <c r="AK341" s="3229"/>
      <c r="AL341" s="3229"/>
      <c r="AM341" s="3229"/>
      <c r="AN341" s="3229"/>
      <c r="AO341" s="3229"/>
      <c r="AP341" s="3229"/>
      <c r="AQ341" s="3229"/>
      <c r="AR341" s="3229"/>
      <c r="AS341" s="3229"/>
      <c r="AT341" s="3249"/>
      <c r="AU341" s="3250"/>
      <c r="AV341" s="475">
        <f t="shared" si="233"/>
        <v>0</v>
      </c>
      <c r="AW341" s="475">
        <f t="shared" si="234"/>
        <v>0</v>
      </c>
      <c r="AX341" s="475">
        <f t="shared" si="235"/>
        <v>0</v>
      </c>
      <c r="AY341" s="3266">
        <f t="shared" si="210"/>
        <v>0</v>
      </c>
      <c r="AZ341" s="3199">
        <f t="shared" si="211"/>
        <v>0</v>
      </c>
      <c r="BA341" s="3199">
        <f t="shared" si="212"/>
        <v>0</v>
      </c>
      <c r="BB341" s="3199">
        <f t="shared" si="213"/>
        <v>0</v>
      </c>
      <c r="BC341" s="3199">
        <f t="shared" si="214"/>
        <v>0</v>
      </c>
      <c r="BD341" s="3199">
        <f t="shared" si="215"/>
        <v>0</v>
      </c>
      <c r="BE341" s="3199">
        <f t="shared" si="216"/>
        <v>0</v>
      </c>
      <c r="BF341" s="3199">
        <f t="shared" si="217"/>
        <v>0</v>
      </c>
      <c r="BG341" s="3199">
        <f t="shared" si="218"/>
        <v>0</v>
      </c>
      <c r="BH341" s="3199">
        <f t="shared" si="219"/>
        <v>0</v>
      </c>
      <c r="BI341" s="3199">
        <f t="shared" si="220"/>
        <v>0</v>
      </c>
      <c r="BJ341" s="3199">
        <f t="shared" si="221"/>
        <v>0</v>
      </c>
      <c r="BK341" s="3199">
        <f t="shared" si="222"/>
        <v>0</v>
      </c>
      <c r="BL341" s="3199">
        <f t="shared" si="223"/>
        <v>0</v>
      </c>
      <c r="BM341" s="3199">
        <f t="shared" si="224"/>
        <v>0</v>
      </c>
      <c r="BN341" s="3199">
        <f t="shared" si="225"/>
        <v>0</v>
      </c>
      <c r="BO341" s="3199">
        <f t="shared" si="226"/>
        <v>0</v>
      </c>
      <c r="BP341" s="3199">
        <f t="shared" si="227"/>
        <v>0</v>
      </c>
      <c r="BQ341" s="3199">
        <f t="shared" si="228"/>
        <v>0</v>
      </c>
      <c r="BR341" s="3199">
        <f t="shared" si="229"/>
        <v>0</v>
      </c>
      <c r="BS341" s="3199">
        <f t="shared" si="230"/>
        <v>0</v>
      </c>
      <c r="BT341" s="3271">
        <f t="shared" si="231"/>
        <v>0</v>
      </c>
    </row>
    <row r="342" spans="1:72">
      <c r="A342" s="3197"/>
      <c r="B342" s="3198"/>
      <c r="C342" s="3198"/>
      <c r="D342" s="3193"/>
      <c r="E342" s="3199">
        <f t="shared" si="232"/>
        <v>0</v>
      </c>
      <c r="F342" s="3200"/>
      <c r="G342" s="3201">
        <f t="shared" si="207"/>
        <v>0</v>
      </c>
      <c r="H342" s="3202">
        <f t="shared" si="208"/>
        <v>0</v>
      </c>
      <c r="I342" s="3218"/>
      <c r="J342" s="3218"/>
      <c r="K342" s="3218"/>
      <c r="L342" s="3218"/>
      <c r="M342" s="3218"/>
      <c r="N342" s="3218"/>
      <c r="O342" s="3218"/>
      <c r="P342" s="3218"/>
      <c r="Q342" s="3218"/>
      <c r="R342" s="3218"/>
      <c r="S342" s="3218"/>
      <c r="T342" s="3218"/>
      <c r="U342" s="3218"/>
      <c r="V342" s="3218"/>
      <c r="W342" s="3218"/>
      <c r="X342" s="3218"/>
      <c r="Y342" s="3218"/>
      <c r="Z342" s="3218"/>
      <c r="AA342" s="3218"/>
      <c r="AB342" s="3218"/>
      <c r="AC342" s="3199">
        <f t="shared" si="209"/>
        <v>0</v>
      </c>
      <c r="AD342" s="3229"/>
      <c r="AE342" s="3229"/>
      <c r="AF342" s="3229"/>
      <c r="AG342" s="3229"/>
      <c r="AH342" s="3229"/>
      <c r="AI342" s="3229"/>
      <c r="AJ342" s="3229"/>
      <c r="AK342" s="3229"/>
      <c r="AL342" s="3229"/>
      <c r="AM342" s="3229"/>
      <c r="AN342" s="3229"/>
      <c r="AO342" s="3229"/>
      <c r="AP342" s="3229"/>
      <c r="AQ342" s="3229"/>
      <c r="AR342" s="3229"/>
      <c r="AS342" s="3229"/>
      <c r="AT342" s="3249"/>
      <c r="AU342" s="3250"/>
      <c r="AV342" s="475">
        <f t="shared" si="233"/>
        <v>0</v>
      </c>
      <c r="AW342" s="475">
        <f t="shared" si="234"/>
        <v>0</v>
      </c>
      <c r="AX342" s="475">
        <f t="shared" si="235"/>
        <v>0</v>
      </c>
      <c r="AY342" s="3266">
        <f t="shared" si="210"/>
        <v>0</v>
      </c>
      <c r="AZ342" s="3199">
        <f t="shared" si="211"/>
        <v>0</v>
      </c>
      <c r="BA342" s="3199">
        <f t="shared" si="212"/>
        <v>0</v>
      </c>
      <c r="BB342" s="3199">
        <f t="shared" si="213"/>
        <v>0</v>
      </c>
      <c r="BC342" s="3199">
        <f t="shared" si="214"/>
        <v>0</v>
      </c>
      <c r="BD342" s="3199">
        <f t="shared" si="215"/>
        <v>0</v>
      </c>
      <c r="BE342" s="3199">
        <f t="shared" si="216"/>
        <v>0</v>
      </c>
      <c r="BF342" s="3199">
        <f t="shared" si="217"/>
        <v>0</v>
      </c>
      <c r="BG342" s="3199">
        <f t="shared" si="218"/>
        <v>0</v>
      </c>
      <c r="BH342" s="3199">
        <f t="shared" si="219"/>
        <v>0</v>
      </c>
      <c r="BI342" s="3199">
        <f t="shared" si="220"/>
        <v>0</v>
      </c>
      <c r="BJ342" s="3199">
        <f t="shared" si="221"/>
        <v>0</v>
      </c>
      <c r="BK342" s="3199">
        <f t="shared" si="222"/>
        <v>0</v>
      </c>
      <c r="BL342" s="3199">
        <f t="shared" si="223"/>
        <v>0</v>
      </c>
      <c r="BM342" s="3199">
        <f t="shared" si="224"/>
        <v>0</v>
      </c>
      <c r="BN342" s="3199">
        <f t="shared" si="225"/>
        <v>0</v>
      </c>
      <c r="BO342" s="3199">
        <f t="shared" si="226"/>
        <v>0</v>
      </c>
      <c r="BP342" s="3199">
        <f t="shared" si="227"/>
        <v>0</v>
      </c>
      <c r="BQ342" s="3199">
        <f t="shared" si="228"/>
        <v>0</v>
      </c>
      <c r="BR342" s="3199">
        <f t="shared" si="229"/>
        <v>0</v>
      </c>
      <c r="BS342" s="3199">
        <f t="shared" si="230"/>
        <v>0</v>
      </c>
      <c r="BT342" s="3271">
        <f t="shared" si="231"/>
        <v>0</v>
      </c>
    </row>
    <row r="343" spans="1:72">
      <c r="A343" s="3197"/>
      <c r="B343" s="3198"/>
      <c r="C343" s="3198"/>
      <c r="D343" s="3193"/>
      <c r="E343" s="3199">
        <f t="shared" si="232"/>
        <v>0</v>
      </c>
      <c r="F343" s="3200"/>
      <c r="G343" s="3201">
        <f t="shared" si="207"/>
        <v>0</v>
      </c>
      <c r="H343" s="3202">
        <f t="shared" si="208"/>
        <v>0</v>
      </c>
      <c r="I343" s="3218"/>
      <c r="J343" s="3218"/>
      <c r="K343" s="3218"/>
      <c r="L343" s="3218"/>
      <c r="M343" s="3218"/>
      <c r="N343" s="3218"/>
      <c r="O343" s="3218"/>
      <c r="P343" s="3218"/>
      <c r="Q343" s="3218"/>
      <c r="R343" s="3218"/>
      <c r="S343" s="3218"/>
      <c r="T343" s="3218"/>
      <c r="U343" s="3218"/>
      <c r="V343" s="3218"/>
      <c r="W343" s="3218"/>
      <c r="X343" s="3218"/>
      <c r="Y343" s="3218"/>
      <c r="Z343" s="3218"/>
      <c r="AA343" s="3218"/>
      <c r="AB343" s="3218"/>
      <c r="AC343" s="3199">
        <f t="shared" si="209"/>
        <v>0</v>
      </c>
      <c r="AD343" s="3229"/>
      <c r="AE343" s="3229"/>
      <c r="AF343" s="3229"/>
      <c r="AG343" s="3229"/>
      <c r="AH343" s="3229"/>
      <c r="AI343" s="3229"/>
      <c r="AJ343" s="3229"/>
      <c r="AK343" s="3229"/>
      <c r="AL343" s="3229"/>
      <c r="AM343" s="3229"/>
      <c r="AN343" s="3229"/>
      <c r="AO343" s="3229"/>
      <c r="AP343" s="3229"/>
      <c r="AQ343" s="3229"/>
      <c r="AR343" s="3229"/>
      <c r="AS343" s="3229"/>
      <c r="AT343" s="3249"/>
      <c r="AU343" s="3250"/>
      <c r="AV343" s="475">
        <f t="shared" si="233"/>
        <v>0</v>
      </c>
      <c r="AW343" s="475">
        <f t="shared" si="234"/>
        <v>0</v>
      </c>
      <c r="AX343" s="475">
        <f t="shared" si="235"/>
        <v>0</v>
      </c>
      <c r="AY343" s="3266">
        <f t="shared" si="210"/>
        <v>0</v>
      </c>
      <c r="AZ343" s="3199">
        <f t="shared" si="211"/>
        <v>0</v>
      </c>
      <c r="BA343" s="3199">
        <f t="shared" si="212"/>
        <v>0</v>
      </c>
      <c r="BB343" s="3199">
        <f t="shared" si="213"/>
        <v>0</v>
      </c>
      <c r="BC343" s="3199">
        <f t="shared" si="214"/>
        <v>0</v>
      </c>
      <c r="BD343" s="3199">
        <f t="shared" si="215"/>
        <v>0</v>
      </c>
      <c r="BE343" s="3199">
        <f t="shared" si="216"/>
        <v>0</v>
      </c>
      <c r="BF343" s="3199">
        <f t="shared" si="217"/>
        <v>0</v>
      </c>
      <c r="BG343" s="3199">
        <f t="shared" si="218"/>
        <v>0</v>
      </c>
      <c r="BH343" s="3199">
        <f t="shared" si="219"/>
        <v>0</v>
      </c>
      <c r="BI343" s="3199">
        <f t="shared" si="220"/>
        <v>0</v>
      </c>
      <c r="BJ343" s="3199">
        <f t="shared" si="221"/>
        <v>0</v>
      </c>
      <c r="BK343" s="3199">
        <f t="shared" si="222"/>
        <v>0</v>
      </c>
      <c r="BL343" s="3199">
        <f t="shared" si="223"/>
        <v>0</v>
      </c>
      <c r="BM343" s="3199">
        <f t="shared" si="224"/>
        <v>0</v>
      </c>
      <c r="BN343" s="3199">
        <f t="shared" si="225"/>
        <v>0</v>
      </c>
      <c r="BO343" s="3199">
        <f t="shared" si="226"/>
        <v>0</v>
      </c>
      <c r="BP343" s="3199">
        <f t="shared" si="227"/>
        <v>0</v>
      </c>
      <c r="BQ343" s="3199">
        <f t="shared" si="228"/>
        <v>0</v>
      </c>
      <c r="BR343" s="3199">
        <f t="shared" si="229"/>
        <v>0</v>
      </c>
      <c r="BS343" s="3199">
        <f t="shared" si="230"/>
        <v>0</v>
      </c>
      <c r="BT343" s="3271">
        <f t="shared" si="231"/>
        <v>0</v>
      </c>
    </row>
    <row r="344" spans="1:72">
      <c r="A344" s="3197"/>
      <c r="B344" s="3198"/>
      <c r="C344" s="3198"/>
      <c r="D344" s="3193"/>
      <c r="E344" s="3199">
        <f t="shared" si="232"/>
        <v>0</v>
      </c>
      <c r="F344" s="3200"/>
      <c r="G344" s="3201">
        <f t="shared" si="207"/>
        <v>0</v>
      </c>
      <c r="H344" s="3202">
        <f t="shared" si="208"/>
        <v>0</v>
      </c>
      <c r="I344" s="3218"/>
      <c r="J344" s="3218"/>
      <c r="K344" s="3218"/>
      <c r="L344" s="3218"/>
      <c r="M344" s="3218"/>
      <c r="N344" s="3218"/>
      <c r="O344" s="3218"/>
      <c r="P344" s="3218"/>
      <c r="Q344" s="3218"/>
      <c r="R344" s="3218"/>
      <c r="S344" s="3218"/>
      <c r="T344" s="3218"/>
      <c r="U344" s="3218"/>
      <c r="V344" s="3218"/>
      <c r="W344" s="3218"/>
      <c r="X344" s="3218"/>
      <c r="Y344" s="3218"/>
      <c r="Z344" s="3218"/>
      <c r="AA344" s="3218"/>
      <c r="AB344" s="3218"/>
      <c r="AC344" s="3199">
        <f t="shared" si="209"/>
        <v>0</v>
      </c>
      <c r="AD344" s="3229"/>
      <c r="AE344" s="3229"/>
      <c r="AF344" s="3229"/>
      <c r="AG344" s="3229"/>
      <c r="AH344" s="3229"/>
      <c r="AI344" s="3229"/>
      <c r="AJ344" s="3229"/>
      <c r="AK344" s="3229"/>
      <c r="AL344" s="3229"/>
      <c r="AM344" s="3229"/>
      <c r="AN344" s="3229"/>
      <c r="AO344" s="3229"/>
      <c r="AP344" s="3229"/>
      <c r="AQ344" s="3229"/>
      <c r="AR344" s="3229"/>
      <c r="AS344" s="3229"/>
      <c r="AT344" s="3249"/>
      <c r="AU344" s="3250"/>
      <c r="AV344" s="475">
        <f t="shared" si="233"/>
        <v>0</v>
      </c>
      <c r="AW344" s="475">
        <f t="shared" si="234"/>
        <v>0</v>
      </c>
      <c r="AX344" s="475">
        <f t="shared" si="235"/>
        <v>0</v>
      </c>
      <c r="AY344" s="3266">
        <f t="shared" si="210"/>
        <v>0</v>
      </c>
      <c r="AZ344" s="3199">
        <f t="shared" si="211"/>
        <v>0</v>
      </c>
      <c r="BA344" s="3199">
        <f t="shared" si="212"/>
        <v>0</v>
      </c>
      <c r="BB344" s="3199">
        <f t="shared" si="213"/>
        <v>0</v>
      </c>
      <c r="BC344" s="3199">
        <f t="shared" si="214"/>
        <v>0</v>
      </c>
      <c r="BD344" s="3199">
        <f t="shared" si="215"/>
        <v>0</v>
      </c>
      <c r="BE344" s="3199">
        <f t="shared" si="216"/>
        <v>0</v>
      </c>
      <c r="BF344" s="3199">
        <f t="shared" si="217"/>
        <v>0</v>
      </c>
      <c r="BG344" s="3199">
        <f t="shared" si="218"/>
        <v>0</v>
      </c>
      <c r="BH344" s="3199">
        <f t="shared" si="219"/>
        <v>0</v>
      </c>
      <c r="BI344" s="3199">
        <f t="shared" si="220"/>
        <v>0</v>
      </c>
      <c r="BJ344" s="3199">
        <f t="shared" si="221"/>
        <v>0</v>
      </c>
      <c r="BK344" s="3199">
        <f t="shared" si="222"/>
        <v>0</v>
      </c>
      <c r="BL344" s="3199">
        <f t="shared" si="223"/>
        <v>0</v>
      </c>
      <c r="BM344" s="3199">
        <f t="shared" si="224"/>
        <v>0</v>
      </c>
      <c r="BN344" s="3199">
        <f t="shared" si="225"/>
        <v>0</v>
      </c>
      <c r="BO344" s="3199">
        <f t="shared" si="226"/>
        <v>0</v>
      </c>
      <c r="BP344" s="3199">
        <f t="shared" si="227"/>
        <v>0</v>
      </c>
      <c r="BQ344" s="3199">
        <f t="shared" si="228"/>
        <v>0</v>
      </c>
      <c r="BR344" s="3199">
        <f t="shared" si="229"/>
        <v>0</v>
      </c>
      <c r="BS344" s="3199">
        <f t="shared" si="230"/>
        <v>0</v>
      </c>
      <c r="BT344" s="3271">
        <f t="shared" si="231"/>
        <v>0</v>
      </c>
    </row>
    <row r="345" spans="1:72">
      <c r="A345" s="3197"/>
      <c r="B345" s="3198"/>
      <c r="C345" s="3198"/>
      <c r="D345" s="3193"/>
      <c r="E345" s="3199">
        <f t="shared" si="232"/>
        <v>0</v>
      </c>
      <c r="F345" s="3200"/>
      <c r="G345" s="3201">
        <f t="shared" si="207"/>
        <v>0</v>
      </c>
      <c r="H345" s="3202">
        <f t="shared" si="208"/>
        <v>0</v>
      </c>
      <c r="I345" s="3218"/>
      <c r="J345" s="3218"/>
      <c r="K345" s="3218"/>
      <c r="L345" s="3218"/>
      <c r="M345" s="3218"/>
      <c r="N345" s="3218"/>
      <c r="O345" s="3218"/>
      <c r="P345" s="3218"/>
      <c r="Q345" s="3218"/>
      <c r="R345" s="3218"/>
      <c r="S345" s="3218"/>
      <c r="T345" s="3218"/>
      <c r="U345" s="3218"/>
      <c r="V345" s="3218"/>
      <c r="W345" s="3218"/>
      <c r="X345" s="3218"/>
      <c r="Y345" s="3218"/>
      <c r="Z345" s="3218"/>
      <c r="AA345" s="3218"/>
      <c r="AB345" s="3218"/>
      <c r="AC345" s="3199">
        <f t="shared" si="209"/>
        <v>0</v>
      </c>
      <c r="AD345" s="3229"/>
      <c r="AE345" s="3229"/>
      <c r="AF345" s="3229"/>
      <c r="AG345" s="3229"/>
      <c r="AH345" s="3229"/>
      <c r="AI345" s="3229"/>
      <c r="AJ345" s="3229"/>
      <c r="AK345" s="3229"/>
      <c r="AL345" s="3229"/>
      <c r="AM345" s="3229"/>
      <c r="AN345" s="3229"/>
      <c r="AO345" s="3229"/>
      <c r="AP345" s="3229"/>
      <c r="AQ345" s="3229"/>
      <c r="AR345" s="3229"/>
      <c r="AS345" s="3229"/>
      <c r="AT345" s="3249"/>
      <c r="AU345" s="3250"/>
      <c r="AV345" s="475">
        <f t="shared" si="233"/>
        <v>0</v>
      </c>
      <c r="AW345" s="475">
        <f t="shared" si="234"/>
        <v>0</v>
      </c>
      <c r="AX345" s="475">
        <f t="shared" si="235"/>
        <v>0</v>
      </c>
      <c r="AY345" s="3266">
        <f t="shared" si="210"/>
        <v>0</v>
      </c>
      <c r="AZ345" s="3199">
        <f t="shared" si="211"/>
        <v>0</v>
      </c>
      <c r="BA345" s="3199">
        <f t="shared" si="212"/>
        <v>0</v>
      </c>
      <c r="BB345" s="3199">
        <f t="shared" si="213"/>
        <v>0</v>
      </c>
      <c r="BC345" s="3199">
        <f t="shared" si="214"/>
        <v>0</v>
      </c>
      <c r="BD345" s="3199">
        <f t="shared" si="215"/>
        <v>0</v>
      </c>
      <c r="BE345" s="3199">
        <f t="shared" si="216"/>
        <v>0</v>
      </c>
      <c r="BF345" s="3199">
        <f t="shared" si="217"/>
        <v>0</v>
      </c>
      <c r="BG345" s="3199">
        <f t="shared" si="218"/>
        <v>0</v>
      </c>
      <c r="BH345" s="3199">
        <f t="shared" si="219"/>
        <v>0</v>
      </c>
      <c r="BI345" s="3199">
        <f t="shared" si="220"/>
        <v>0</v>
      </c>
      <c r="BJ345" s="3199">
        <f t="shared" si="221"/>
        <v>0</v>
      </c>
      <c r="BK345" s="3199">
        <f t="shared" si="222"/>
        <v>0</v>
      </c>
      <c r="BL345" s="3199">
        <f t="shared" si="223"/>
        <v>0</v>
      </c>
      <c r="BM345" s="3199">
        <f t="shared" si="224"/>
        <v>0</v>
      </c>
      <c r="BN345" s="3199">
        <f t="shared" si="225"/>
        <v>0</v>
      </c>
      <c r="BO345" s="3199">
        <f t="shared" si="226"/>
        <v>0</v>
      </c>
      <c r="BP345" s="3199">
        <f t="shared" si="227"/>
        <v>0</v>
      </c>
      <c r="BQ345" s="3199">
        <f t="shared" si="228"/>
        <v>0</v>
      </c>
      <c r="BR345" s="3199">
        <f t="shared" si="229"/>
        <v>0</v>
      </c>
      <c r="BS345" s="3199">
        <f t="shared" si="230"/>
        <v>0</v>
      </c>
      <c r="BT345" s="3271">
        <f t="shared" si="231"/>
        <v>0</v>
      </c>
    </row>
    <row r="346" spans="1:72">
      <c r="A346" s="3197"/>
      <c r="B346" s="3198"/>
      <c r="C346" s="3198"/>
      <c r="D346" s="3193"/>
      <c r="E346" s="3199">
        <f t="shared" si="232"/>
        <v>0</v>
      </c>
      <c r="F346" s="3200"/>
      <c r="G346" s="3201">
        <f t="shared" si="207"/>
        <v>0</v>
      </c>
      <c r="H346" s="3202">
        <f t="shared" si="208"/>
        <v>0</v>
      </c>
      <c r="I346" s="3218"/>
      <c r="J346" s="3218"/>
      <c r="K346" s="3218"/>
      <c r="L346" s="3218"/>
      <c r="M346" s="3218"/>
      <c r="N346" s="3218"/>
      <c r="O346" s="3218"/>
      <c r="P346" s="3218"/>
      <c r="Q346" s="3218"/>
      <c r="R346" s="3218"/>
      <c r="S346" s="3218"/>
      <c r="T346" s="3218"/>
      <c r="U346" s="3218"/>
      <c r="V346" s="3218"/>
      <c r="W346" s="3218"/>
      <c r="X346" s="3218"/>
      <c r="Y346" s="3218"/>
      <c r="Z346" s="3218"/>
      <c r="AA346" s="3218"/>
      <c r="AB346" s="3218"/>
      <c r="AC346" s="3199">
        <f t="shared" si="209"/>
        <v>0</v>
      </c>
      <c r="AD346" s="3229"/>
      <c r="AE346" s="3229"/>
      <c r="AF346" s="3229"/>
      <c r="AG346" s="3229"/>
      <c r="AH346" s="3229"/>
      <c r="AI346" s="3229"/>
      <c r="AJ346" s="3229"/>
      <c r="AK346" s="3229"/>
      <c r="AL346" s="3229"/>
      <c r="AM346" s="3229"/>
      <c r="AN346" s="3229"/>
      <c r="AO346" s="3229"/>
      <c r="AP346" s="3229"/>
      <c r="AQ346" s="3229"/>
      <c r="AR346" s="3229"/>
      <c r="AS346" s="3229"/>
      <c r="AT346" s="3249"/>
      <c r="AU346" s="3250"/>
      <c r="AV346" s="475">
        <f t="shared" si="233"/>
        <v>0</v>
      </c>
      <c r="AW346" s="475">
        <f t="shared" si="234"/>
        <v>0</v>
      </c>
      <c r="AX346" s="475">
        <f t="shared" si="235"/>
        <v>0</v>
      </c>
      <c r="AY346" s="3266">
        <f t="shared" si="210"/>
        <v>0</v>
      </c>
      <c r="AZ346" s="3199">
        <f t="shared" si="211"/>
        <v>0</v>
      </c>
      <c r="BA346" s="3199">
        <f t="shared" si="212"/>
        <v>0</v>
      </c>
      <c r="BB346" s="3199">
        <f t="shared" si="213"/>
        <v>0</v>
      </c>
      <c r="BC346" s="3199">
        <f t="shared" si="214"/>
        <v>0</v>
      </c>
      <c r="BD346" s="3199">
        <f t="shared" si="215"/>
        <v>0</v>
      </c>
      <c r="BE346" s="3199">
        <f t="shared" si="216"/>
        <v>0</v>
      </c>
      <c r="BF346" s="3199">
        <f t="shared" si="217"/>
        <v>0</v>
      </c>
      <c r="BG346" s="3199">
        <f t="shared" si="218"/>
        <v>0</v>
      </c>
      <c r="BH346" s="3199">
        <f t="shared" si="219"/>
        <v>0</v>
      </c>
      <c r="BI346" s="3199">
        <f t="shared" si="220"/>
        <v>0</v>
      </c>
      <c r="BJ346" s="3199">
        <f t="shared" si="221"/>
        <v>0</v>
      </c>
      <c r="BK346" s="3199">
        <f t="shared" si="222"/>
        <v>0</v>
      </c>
      <c r="BL346" s="3199">
        <f t="shared" si="223"/>
        <v>0</v>
      </c>
      <c r="BM346" s="3199">
        <f t="shared" si="224"/>
        <v>0</v>
      </c>
      <c r="BN346" s="3199">
        <f t="shared" si="225"/>
        <v>0</v>
      </c>
      <c r="BO346" s="3199">
        <f t="shared" si="226"/>
        <v>0</v>
      </c>
      <c r="BP346" s="3199">
        <f t="shared" si="227"/>
        <v>0</v>
      </c>
      <c r="BQ346" s="3199">
        <f t="shared" si="228"/>
        <v>0</v>
      </c>
      <c r="BR346" s="3199">
        <f t="shared" si="229"/>
        <v>0</v>
      </c>
      <c r="BS346" s="3199">
        <f t="shared" si="230"/>
        <v>0</v>
      </c>
      <c r="BT346" s="3271">
        <f t="shared" si="231"/>
        <v>0</v>
      </c>
    </row>
    <row r="347" spans="1:72">
      <c r="A347" s="3197"/>
      <c r="B347" s="3198"/>
      <c r="C347" s="3198"/>
      <c r="D347" s="3193"/>
      <c r="E347" s="3199">
        <f t="shared" si="232"/>
        <v>0</v>
      </c>
      <c r="F347" s="3200"/>
      <c r="G347" s="3201">
        <f t="shared" si="207"/>
        <v>0</v>
      </c>
      <c r="H347" s="3202">
        <f t="shared" si="208"/>
        <v>0</v>
      </c>
      <c r="I347" s="3218"/>
      <c r="J347" s="3218"/>
      <c r="K347" s="3218"/>
      <c r="L347" s="3218"/>
      <c r="M347" s="3218"/>
      <c r="N347" s="3218"/>
      <c r="O347" s="3218"/>
      <c r="P347" s="3218"/>
      <c r="Q347" s="3218"/>
      <c r="R347" s="3218"/>
      <c r="S347" s="3218"/>
      <c r="T347" s="3218"/>
      <c r="U347" s="3218"/>
      <c r="V347" s="3218"/>
      <c r="W347" s="3218"/>
      <c r="X347" s="3218"/>
      <c r="Y347" s="3218"/>
      <c r="Z347" s="3218"/>
      <c r="AA347" s="3218"/>
      <c r="AB347" s="3218"/>
      <c r="AC347" s="3199">
        <f t="shared" si="209"/>
        <v>0</v>
      </c>
      <c r="AD347" s="3229"/>
      <c r="AE347" s="3229"/>
      <c r="AF347" s="3229"/>
      <c r="AG347" s="3229"/>
      <c r="AH347" s="3229"/>
      <c r="AI347" s="3229"/>
      <c r="AJ347" s="3229"/>
      <c r="AK347" s="3229"/>
      <c r="AL347" s="3229"/>
      <c r="AM347" s="3229"/>
      <c r="AN347" s="3229"/>
      <c r="AO347" s="3229"/>
      <c r="AP347" s="3229"/>
      <c r="AQ347" s="3229"/>
      <c r="AR347" s="3229"/>
      <c r="AS347" s="3229"/>
      <c r="AT347" s="3249"/>
      <c r="AU347" s="3250"/>
      <c r="AV347" s="475">
        <f t="shared" si="233"/>
        <v>0</v>
      </c>
      <c r="AW347" s="475">
        <f t="shared" si="234"/>
        <v>0</v>
      </c>
      <c r="AX347" s="475">
        <f t="shared" si="235"/>
        <v>0</v>
      </c>
      <c r="AY347" s="3266">
        <f t="shared" si="210"/>
        <v>0</v>
      </c>
      <c r="AZ347" s="3199">
        <f t="shared" si="211"/>
        <v>0</v>
      </c>
      <c r="BA347" s="3199">
        <f t="shared" si="212"/>
        <v>0</v>
      </c>
      <c r="BB347" s="3199">
        <f t="shared" si="213"/>
        <v>0</v>
      </c>
      <c r="BC347" s="3199">
        <f t="shared" si="214"/>
        <v>0</v>
      </c>
      <c r="BD347" s="3199">
        <f t="shared" si="215"/>
        <v>0</v>
      </c>
      <c r="BE347" s="3199">
        <f t="shared" si="216"/>
        <v>0</v>
      </c>
      <c r="BF347" s="3199">
        <f t="shared" si="217"/>
        <v>0</v>
      </c>
      <c r="BG347" s="3199">
        <f t="shared" si="218"/>
        <v>0</v>
      </c>
      <c r="BH347" s="3199">
        <f t="shared" si="219"/>
        <v>0</v>
      </c>
      <c r="BI347" s="3199">
        <f t="shared" si="220"/>
        <v>0</v>
      </c>
      <c r="BJ347" s="3199">
        <f t="shared" si="221"/>
        <v>0</v>
      </c>
      <c r="BK347" s="3199">
        <f t="shared" si="222"/>
        <v>0</v>
      </c>
      <c r="BL347" s="3199">
        <f t="shared" si="223"/>
        <v>0</v>
      </c>
      <c r="BM347" s="3199">
        <f t="shared" si="224"/>
        <v>0</v>
      </c>
      <c r="BN347" s="3199">
        <f t="shared" si="225"/>
        <v>0</v>
      </c>
      <c r="BO347" s="3199">
        <f t="shared" si="226"/>
        <v>0</v>
      </c>
      <c r="BP347" s="3199">
        <f t="shared" si="227"/>
        <v>0</v>
      </c>
      <c r="BQ347" s="3199">
        <f t="shared" si="228"/>
        <v>0</v>
      </c>
      <c r="BR347" s="3199">
        <f t="shared" si="229"/>
        <v>0</v>
      </c>
      <c r="BS347" s="3199">
        <f t="shared" si="230"/>
        <v>0</v>
      </c>
      <c r="BT347" s="3271">
        <f t="shared" si="231"/>
        <v>0</v>
      </c>
    </row>
    <row r="348" spans="1:72">
      <c r="A348" s="3197"/>
      <c r="B348" s="3198"/>
      <c r="C348" s="3198"/>
      <c r="D348" s="3193"/>
      <c r="E348" s="3199">
        <f t="shared" si="232"/>
        <v>0</v>
      </c>
      <c r="F348" s="3200"/>
      <c r="G348" s="3201">
        <f t="shared" si="207"/>
        <v>0</v>
      </c>
      <c r="H348" s="3202">
        <f t="shared" si="208"/>
        <v>0</v>
      </c>
      <c r="I348" s="3218"/>
      <c r="J348" s="3218"/>
      <c r="K348" s="3218"/>
      <c r="L348" s="3218"/>
      <c r="M348" s="3218"/>
      <c r="N348" s="3218"/>
      <c r="O348" s="3218"/>
      <c r="P348" s="3218"/>
      <c r="Q348" s="3218"/>
      <c r="R348" s="3218"/>
      <c r="S348" s="3218"/>
      <c r="T348" s="3218"/>
      <c r="U348" s="3218"/>
      <c r="V348" s="3218"/>
      <c r="W348" s="3218"/>
      <c r="X348" s="3218"/>
      <c r="Y348" s="3218"/>
      <c r="Z348" s="3218"/>
      <c r="AA348" s="3218"/>
      <c r="AB348" s="3218"/>
      <c r="AC348" s="3199">
        <f t="shared" si="209"/>
        <v>0</v>
      </c>
      <c r="AD348" s="3229"/>
      <c r="AE348" s="3229"/>
      <c r="AF348" s="3229"/>
      <c r="AG348" s="3229"/>
      <c r="AH348" s="3229"/>
      <c r="AI348" s="3229"/>
      <c r="AJ348" s="3229"/>
      <c r="AK348" s="3229"/>
      <c r="AL348" s="3229"/>
      <c r="AM348" s="3229"/>
      <c r="AN348" s="3229"/>
      <c r="AO348" s="3229"/>
      <c r="AP348" s="3229"/>
      <c r="AQ348" s="3229"/>
      <c r="AR348" s="3229"/>
      <c r="AS348" s="3229"/>
      <c r="AT348" s="3249"/>
      <c r="AU348" s="3250"/>
      <c r="AV348" s="475">
        <f t="shared" si="233"/>
        <v>0</v>
      </c>
      <c r="AW348" s="475">
        <f t="shared" si="234"/>
        <v>0</v>
      </c>
      <c r="AX348" s="475">
        <f t="shared" si="235"/>
        <v>0</v>
      </c>
      <c r="AY348" s="3266">
        <f t="shared" si="210"/>
        <v>0</v>
      </c>
      <c r="AZ348" s="3199">
        <f t="shared" si="211"/>
        <v>0</v>
      </c>
      <c r="BA348" s="3199">
        <f t="shared" si="212"/>
        <v>0</v>
      </c>
      <c r="BB348" s="3199">
        <f t="shared" si="213"/>
        <v>0</v>
      </c>
      <c r="BC348" s="3199">
        <f t="shared" si="214"/>
        <v>0</v>
      </c>
      <c r="BD348" s="3199">
        <f t="shared" si="215"/>
        <v>0</v>
      </c>
      <c r="BE348" s="3199">
        <f t="shared" si="216"/>
        <v>0</v>
      </c>
      <c r="BF348" s="3199">
        <f t="shared" si="217"/>
        <v>0</v>
      </c>
      <c r="BG348" s="3199">
        <f t="shared" si="218"/>
        <v>0</v>
      </c>
      <c r="BH348" s="3199">
        <f t="shared" si="219"/>
        <v>0</v>
      </c>
      <c r="BI348" s="3199">
        <f t="shared" si="220"/>
        <v>0</v>
      </c>
      <c r="BJ348" s="3199">
        <f t="shared" si="221"/>
        <v>0</v>
      </c>
      <c r="BK348" s="3199">
        <f t="shared" si="222"/>
        <v>0</v>
      </c>
      <c r="BL348" s="3199">
        <f t="shared" si="223"/>
        <v>0</v>
      </c>
      <c r="BM348" s="3199">
        <f t="shared" si="224"/>
        <v>0</v>
      </c>
      <c r="BN348" s="3199">
        <f t="shared" si="225"/>
        <v>0</v>
      </c>
      <c r="BO348" s="3199">
        <f t="shared" si="226"/>
        <v>0</v>
      </c>
      <c r="BP348" s="3199">
        <f t="shared" si="227"/>
        <v>0</v>
      </c>
      <c r="BQ348" s="3199">
        <f t="shared" si="228"/>
        <v>0</v>
      </c>
      <c r="BR348" s="3199">
        <f t="shared" si="229"/>
        <v>0</v>
      </c>
      <c r="BS348" s="3199">
        <f t="shared" si="230"/>
        <v>0</v>
      </c>
      <c r="BT348" s="3271">
        <f t="shared" si="231"/>
        <v>0</v>
      </c>
    </row>
    <row r="349" spans="1:72">
      <c r="A349" s="3197"/>
      <c r="B349" s="3198"/>
      <c r="C349" s="3198"/>
      <c r="D349" s="3193"/>
      <c r="E349" s="3199">
        <f t="shared" si="232"/>
        <v>0</v>
      </c>
      <c r="F349" s="3200"/>
      <c r="G349" s="3201">
        <f t="shared" si="207"/>
        <v>0</v>
      </c>
      <c r="H349" s="3202">
        <f t="shared" si="208"/>
        <v>0</v>
      </c>
      <c r="I349" s="3218"/>
      <c r="J349" s="3218"/>
      <c r="K349" s="3218"/>
      <c r="L349" s="3218"/>
      <c r="M349" s="3218"/>
      <c r="N349" s="3218"/>
      <c r="O349" s="3218"/>
      <c r="P349" s="3218"/>
      <c r="Q349" s="3218"/>
      <c r="R349" s="3218"/>
      <c r="S349" s="3218"/>
      <c r="T349" s="3218"/>
      <c r="U349" s="3218"/>
      <c r="V349" s="3218"/>
      <c r="W349" s="3218"/>
      <c r="X349" s="3218"/>
      <c r="Y349" s="3218"/>
      <c r="Z349" s="3218"/>
      <c r="AA349" s="3218"/>
      <c r="AB349" s="3218"/>
      <c r="AC349" s="3199">
        <f t="shared" si="209"/>
        <v>0</v>
      </c>
      <c r="AD349" s="3229"/>
      <c r="AE349" s="3229"/>
      <c r="AF349" s="3229"/>
      <c r="AG349" s="3229"/>
      <c r="AH349" s="3229"/>
      <c r="AI349" s="3229"/>
      <c r="AJ349" s="3229"/>
      <c r="AK349" s="3229"/>
      <c r="AL349" s="3229"/>
      <c r="AM349" s="3229"/>
      <c r="AN349" s="3229"/>
      <c r="AO349" s="3229"/>
      <c r="AP349" s="3229"/>
      <c r="AQ349" s="3229"/>
      <c r="AR349" s="3229"/>
      <c r="AS349" s="3229"/>
      <c r="AT349" s="3249"/>
      <c r="AU349" s="3250"/>
      <c r="AV349" s="475">
        <f t="shared" si="233"/>
        <v>0</v>
      </c>
      <c r="AW349" s="475">
        <f t="shared" si="234"/>
        <v>0</v>
      </c>
      <c r="AX349" s="475">
        <f t="shared" si="235"/>
        <v>0</v>
      </c>
      <c r="AY349" s="3266">
        <f t="shared" si="210"/>
        <v>0</v>
      </c>
      <c r="AZ349" s="3199">
        <f t="shared" si="211"/>
        <v>0</v>
      </c>
      <c r="BA349" s="3199">
        <f t="shared" si="212"/>
        <v>0</v>
      </c>
      <c r="BB349" s="3199">
        <f t="shared" si="213"/>
        <v>0</v>
      </c>
      <c r="BC349" s="3199">
        <f t="shared" si="214"/>
        <v>0</v>
      </c>
      <c r="BD349" s="3199">
        <f t="shared" si="215"/>
        <v>0</v>
      </c>
      <c r="BE349" s="3199">
        <f t="shared" si="216"/>
        <v>0</v>
      </c>
      <c r="BF349" s="3199">
        <f t="shared" si="217"/>
        <v>0</v>
      </c>
      <c r="BG349" s="3199">
        <f t="shared" si="218"/>
        <v>0</v>
      </c>
      <c r="BH349" s="3199">
        <f t="shared" si="219"/>
        <v>0</v>
      </c>
      <c r="BI349" s="3199">
        <f t="shared" si="220"/>
        <v>0</v>
      </c>
      <c r="BJ349" s="3199">
        <f t="shared" si="221"/>
        <v>0</v>
      </c>
      <c r="BK349" s="3199">
        <f t="shared" si="222"/>
        <v>0</v>
      </c>
      <c r="BL349" s="3199">
        <f t="shared" si="223"/>
        <v>0</v>
      </c>
      <c r="BM349" s="3199">
        <f t="shared" si="224"/>
        <v>0</v>
      </c>
      <c r="BN349" s="3199">
        <f t="shared" si="225"/>
        <v>0</v>
      </c>
      <c r="BO349" s="3199">
        <f t="shared" si="226"/>
        <v>0</v>
      </c>
      <c r="BP349" s="3199">
        <f t="shared" si="227"/>
        <v>0</v>
      </c>
      <c r="BQ349" s="3199">
        <f t="shared" si="228"/>
        <v>0</v>
      </c>
      <c r="BR349" s="3199">
        <f t="shared" si="229"/>
        <v>0</v>
      </c>
      <c r="BS349" s="3199">
        <f t="shared" si="230"/>
        <v>0</v>
      </c>
      <c r="BT349" s="3271">
        <f t="shared" si="231"/>
        <v>0</v>
      </c>
    </row>
    <row r="350" spans="1:72">
      <c r="A350" s="3197"/>
      <c r="B350" s="3198"/>
      <c r="C350" s="3198"/>
      <c r="D350" s="3193"/>
      <c r="E350" s="3199">
        <f t="shared" si="232"/>
        <v>0</v>
      </c>
      <c r="F350" s="3200"/>
      <c r="G350" s="3201">
        <f t="shared" si="207"/>
        <v>0</v>
      </c>
      <c r="H350" s="3202">
        <f t="shared" si="208"/>
        <v>0</v>
      </c>
      <c r="I350" s="3218"/>
      <c r="J350" s="3218"/>
      <c r="K350" s="3218"/>
      <c r="L350" s="3218"/>
      <c r="M350" s="3218"/>
      <c r="N350" s="3218"/>
      <c r="O350" s="3218"/>
      <c r="P350" s="3218"/>
      <c r="Q350" s="3218"/>
      <c r="R350" s="3218"/>
      <c r="S350" s="3218"/>
      <c r="T350" s="3218"/>
      <c r="U350" s="3218"/>
      <c r="V350" s="3218"/>
      <c r="W350" s="3218"/>
      <c r="X350" s="3218"/>
      <c r="Y350" s="3218"/>
      <c r="Z350" s="3218"/>
      <c r="AA350" s="3218"/>
      <c r="AB350" s="3218"/>
      <c r="AC350" s="3199">
        <f t="shared" si="209"/>
        <v>0</v>
      </c>
      <c r="AD350" s="3229"/>
      <c r="AE350" s="3229"/>
      <c r="AF350" s="3229"/>
      <c r="AG350" s="3229"/>
      <c r="AH350" s="3229"/>
      <c r="AI350" s="3229"/>
      <c r="AJ350" s="3229"/>
      <c r="AK350" s="3229"/>
      <c r="AL350" s="3229"/>
      <c r="AM350" s="3229"/>
      <c r="AN350" s="3229"/>
      <c r="AO350" s="3229"/>
      <c r="AP350" s="3229"/>
      <c r="AQ350" s="3229"/>
      <c r="AR350" s="3229"/>
      <c r="AS350" s="3229"/>
      <c r="AT350" s="3249"/>
      <c r="AU350" s="3250"/>
      <c r="AV350" s="475">
        <f t="shared" si="233"/>
        <v>0</v>
      </c>
      <c r="AW350" s="475">
        <f t="shared" si="234"/>
        <v>0</v>
      </c>
      <c r="AX350" s="475">
        <f t="shared" si="235"/>
        <v>0</v>
      </c>
      <c r="AY350" s="3266">
        <f t="shared" si="210"/>
        <v>0</v>
      </c>
      <c r="AZ350" s="3199">
        <f t="shared" si="211"/>
        <v>0</v>
      </c>
      <c r="BA350" s="3199">
        <f t="shared" si="212"/>
        <v>0</v>
      </c>
      <c r="BB350" s="3199">
        <f t="shared" si="213"/>
        <v>0</v>
      </c>
      <c r="BC350" s="3199">
        <f t="shared" si="214"/>
        <v>0</v>
      </c>
      <c r="BD350" s="3199">
        <f t="shared" si="215"/>
        <v>0</v>
      </c>
      <c r="BE350" s="3199">
        <f t="shared" si="216"/>
        <v>0</v>
      </c>
      <c r="BF350" s="3199">
        <f t="shared" si="217"/>
        <v>0</v>
      </c>
      <c r="BG350" s="3199">
        <f t="shared" si="218"/>
        <v>0</v>
      </c>
      <c r="BH350" s="3199">
        <f t="shared" si="219"/>
        <v>0</v>
      </c>
      <c r="BI350" s="3199">
        <f t="shared" si="220"/>
        <v>0</v>
      </c>
      <c r="BJ350" s="3199">
        <f t="shared" si="221"/>
        <v>0</v>
      </c>
      <c r="BK350" s="3199">
        <f t="shared" si="222"/>
        <v>0</v>
      </c>
      <c r="BL350" s="3199">
        <f t="shared" si="223"/>
        <v>0</v>
      </c>
      <c r="BM350" s="3199">
        <f t="shared" si="224"/>
        <v>0</v>
      </c>
      <c r="BN350" s="3199">
        <f t="shared" si="225"/>
        <v>0</v>
      </c>
      <c r="BO350" s="3199">
        <f t="shared" si="226"/>
        <v>0</v>
      </c>
      <c r="BP350" s="3199">
        <f t="shared" si="227"/>
        <v>0</v>
      </c>
      <c r="BQ350" s="3199">
        <f t="shared" si="228"/>
        <v>0</v>
      </c>
      <c r="BR350" s="3199">
        <f t="shared" si="229"/>
        <v>0</v>
      </c>
      <c r="BS350" s="3199">
        <f t="shared" si="230"/>
        <v>0</v>
      </c>
      <c r="BT350" s="3271">
        <f t="shared" si="231"/>
        <v>0</v>
      </c>
    </row>
    <row r="351" spans="1:72">
      <c r="A351" s="3197"/>
      <c r="B351" s="3198"/>
      <c r="C351" s="3198"/>
      <c r="D351" s="3193"/>
      <c r="E351" s="3199">
        <f t="shared" si="232"/>
        <v>0</v>
      </c>
      <c r="F351" s="3200"/>
      <c r="G351" s="3201">
        <f t="shared" si="207"/>
        <v>0</v>
      </c>
      <c r="H351" s="3202">
        <f t="shared" si="208"/>
        <v>0</v>
      </c>
      <c r="I351" s="3218"/>
      <c r="J351" s="3218"/>
      <c r="K351" s="3218"/>
      <c r="L351" s="3218"/>
      <c r="M351" s="3218"/>
      <c r="N351" s="3218"/>
      <c r="O351" s="3218"/>
      <c r="P351" s="3218"/>
      <c r="Q351" s="3218"/>
      <c r="R351" s="3218"/>
      <c r="S351" s="3218"/>
      <c r="T351" s="3218"/>
      <c r="U351" s="3218"/>
      <c r="V351" s="3218"/>
      <c r="W351" s="3218"/>
      <c r="X351" s="3218"/>
      <c r="Y351" s="3218"/>
      <c r="Z351" s="3218"/>
      <c r="AA351" s="3218"/>
      <c r="AB351" s="3218"/>
      <c r="AC351" s="3199">
        <f t="shared" si="209"/>
        <v>0</v>
      </c>
      <c r="AD351" s="3229"/>
      <c r="AE351" s="3229"/>
      <c r="AF351" s="3229"/>
      <c r="AG351" s="3229"/>
      <c r="AH351" s="3229"/>
      <c r="AI351" s="3229"/>
      <c r="AJ351" s="3229"/>
      <c r="AK351" s="3229"/>
      <c r="AL351" s="3229"/>
      <c r="AM351" s="3229"/>
      <c r="AN351" s="3229"/>
      <c r="AO351" s="3229"/>
      <c r="AP351" s="3229"/>
      <c r="AQ351" s="3229"/>
      <c r="AR351" s="3229"/>
      <c r="AS351" s="3229"/>
      <c r="AT351" s="3249"/>
      <c r="AU351" s="3250"/>
      <c r="AV351" s="475">
        <f t="shared" si="233"/>
        <v>0</v>
      </c>
      <c r="AW351" s="475">
        <f t="shared" si="234"/>
        <v>0</v>
      </c>
      <c r="AX351" s="475">
        <f t="shared" si="235"/>
        <v>0</v>
      </c>
      <c r="AY351" s="3266">
        <f t="shared" si="210"/>
        <v>0</v>
      </c>
      <c r="AZ351" s="3199">
        <f t="shared" si="211"/>
        <v>0</v>
      </c>
      <c r="BA351" s="3199">
        <f t="shared" si="212"/>
        <v>0</v>
      </c>
      <c r="BB351" s="3199">
        <f t="shared" si="213"/>
        <v>0</v>
      </c>
      <c r="BC351" s="3199">
        <f t="shared" si="214"/>
        <v>0</v>
      </c>
      <c r="BD351" s="3199">
        <f t="shared" si="215"/>
        <v>0</v>
      </c>
      <c r="BE351" s="3199">
        <f t="shared" si="216"/>
        <v>0</v>
      </c>
      <c r="BF351" s="3199">
        <f t="shared" si="217"/>
        <v>0</v>
      </c>
      <c r="BG351" s="3199">
        <f t="shared" si="218"/>
        <v>0</v>
      </c>
      <c r="BH351" s="3199">
        <f t="shared" si="219"/>
        <v>0</v>
      </c>
      <c r="BI351" s="3199">
        <f t="shared" si="220"/>
        <v>0</v>
      </c>
      <c r="BJ351" s="3199">
        <f t="shared" si="221"/>
        <v>0</v>
      </c>
      <c r="BK351" s="3199">
        <f t="shared" si="222"/>
        <v>0</v>
      </c>
      <c r="BL351" s="3199">
        <f t="shared" si="223"/>
        <v>0</v>
      </c>
      <c r="BM351" s="3199">
        <f t="shared" si="224"/>
        <v>0</v>
      </c>
      <c r="BN351" s="3199">
        <f t="shared" si="225"/>
        <v>0</v>
      </c>
      <c r="BO351" s="3199">
        <f t="shared" si="226"/>
        <v>0</v>
      </c>
      <c r="BP351" s="3199">
        <f t="shared" si="227"/>
        <v>0</v>
      </c>
      <c r="BQ351" s="3199">
        <f t="shared" si="228"/>
        <v>0</v>
      </c>
      <c r="BR351" s="3199">
        <f t="shared" si="229"/>
        <v>0</v>
      </c>
      <c r="BS351" s="3199">
        <f t="shared" si="230"/>
        <v>0</v>
      </c>
      <c r="BT351" s="3271">
        <f t="shared" si="231"/>
        <v>0</v>
      </c>
    </row>
    <row r="352" spans="1:72">
      <c r="A352" s="3197"/>
      <c r="B352" s="3198"/>
      <c r="C352" s="3198"/>
      <c r="D352" s="3193"/>
      <c r="E352" s="3199">
        <f t="shared" si="232"/>
        <v>0</v>
      </c>
      <c r="F352" s="3200"/>
      <c r="G352" s="3201">
        <f t="shared" si="207"/>
        <v>0</v>
      </c>
      <c r="H352" s="3202">
        <f t="shared" si="208"/>
        <v>0</v>
      </c>
      <c r="I352" s="3218"/>
      <c r="J352" s="3218"/>
      <c r="K352" s="3218"/>
      <c r="L352" s="3218"/>
      <c r="M352" s="3218"/>
      <c r="N352" s="3218"/>
      <c r="O352" s="3218"/>
      <c r="P352" s="3218"/>
      <c r="Q352" s="3218"/>
      <c r="R352" s="3218"/>
      <c r="S352" s="3218"/>
      <c r="T352" s="3218"/>
      <c r="U352" s="3218"/>
      <c r="V352" s="3218"/>
      <c r="W352" s="3218"/>
      <c r="X352" s="3218"/>
      <c r="Y352" s="3218"/>
      <c r="Z352" s="3218"/>
      <c r="AA352" s="3218"/>
      <c r="AB352" s="3218"/>
      <c r="AC352" s="3199">
        <f t="shared" si="209"/>
        <v>0</v>
      </c>
      <c r="AD352" s="3229"/>
      <c r="AE352" s="3229"/>
      <c r="AF352" s="3229"/>
      <c r="AG352" s="3229"/>
      <c r="AH352" s="3229"/>
      <c r="AI352" s="3229"/>
      <c r="AJ352" s="3229"/>
      <c r="AK352" s="3229"/>
      <c r="AL352" s="3229"/>
      <c r="AM352" s="3229"/>
      <c r="AN352" s="3229"/>
      <c r="AO352" s="3229"/>
      <c r="AP352" s="3229"/>
      <c r="AQ352" s="3229"/>
      <c r="AR352" s="3229"/>
      <c r="AS352" s="3229"/>
      <c r="AT352" s="3249"/>
      <c r="AU352" s="3250"/>
      <c r="AV352" s="475">
        <f t="shared" si="233"/>
        <v>0</v>
      </c>
      <c r="AW352" s="475">
        <f t="shared" si="234"/>
        <v>0</v>
      </c>
      <c r="AX352" s="475">
        <f t="shared" si="235"/>
        <v>0</v>
      </c>
      <c r="AY352" s="3266">
        <f t="shared" si="210"/>
        <v>0</v>
      </c>
      <c r="AZ352" s="3199">
        <f t="shared" si="211"/>
        <v>0</v>
      </c>
      <c r="BA352" s="3199">
        <f t="shared" si="212"/>
        <v>0</v>
      </c>
      <c r="BB352" s="3199">
        <f t="shared" si="213"/>
        <v>0</v>
      </c>
      <c r="BC352" s="3199">
        <f t="shared" si="214"/>
        <v>0</v>
      </c>
      <c r="BD352" s="3199">
        <f t="shared" si="215"/>
        <v>0</v>
      </c>
      <c r="BE352" s="3199">
        <f t="shared" si="216"/>
        <v>0</v>
      </c>
      <c r="BF352" s="3199">
        <f t="shared" si="217"/>
        <v>0</v>
      </c>
      <c r="BG352" s="3199">
        <f t="shared" si="218"/>
        <v>0</v>
      </c>
      <c r="BH352" s="3199">
        <f t="shared" si="219"/>
        <v>0</v>
      </c>
      <c r="BI352" s="3199">
        <f t="shared" si="220"/>
        <v>0</v>
      </c>
      <c r="BJ352" s="3199">
        <f t="shared" si="221"/>
        <v>0</v>
      </c>
      <c r="BK352" s="3199">
        <f t="shared" si="222"/>
        <v>0</v>
      </c>
      <c r="BL352" s="3199">
        <f t="shared" si="223"/>
        <v>0</v>
      </c>
      <c r="BM352" s="3199">
        <f t="shared" si="224"/>
        <v>0</v>
      </c>
      <c r="BN352" s="3199">
        <f t="shared" si="225"/>
        <v>0</v>
      </c>
      <c r="BO352" s="3199">
        <f t="shared" si="226"/>
        <v>0</v>
      </c>
      <c r="BP352" s="3199">
        <f t="shared" si="227"/>
        <v>0</v>
      </c>
      <c r="BQ352" s="3199">
        <f t="shared" si="228"/>
        <v>0</v>
      </c>
      <c r="BR352" s="3199">
        <f t="shared" si="229"/>
        <v>0</v>
      </c>
      <c r="BS352" s="3199">
        <f t="shared" si="230"/>
        <v>0</v>
      </c>
      <c r="BT352" s="3271">
        <f t="shared" si="231"/>
        <v>0</v>
      </c>
    </row>
    <row r="353" spans="1:72">
      <c r="A353" s="3197"/>
      <c r="B353" s="3198"/>
      <c r="C353" s="3198"/>
      <c r="D353" s="3193"/>
      <c r="E353" s="3199">
        <f t="shared" si="232"/>
        <v>0</v>
      </c>
      <c r="F353" s="3200"/>
      <c r="G353" s="3201">
        <f t="shared" si="207"/>
        <v>0</v>
      </c>
      <c r="H353" s="3202">
        <f t="shared" si="208"/>
        <v>0</v>
      </c>
      <c r="I353" s="3218"/>
      <c r="J353" s="3218"/>
      <c r="K353" s="3218"/>
      <c r="L353" s="3218"/>
      <c r="M353" s="3218"/>
      <c r="N353" s="3218"/>
      <c r="O353" s="3218"/>
      <c r="P353" s="3218"/>
      <c r="Q353" s="3218"/>
      <c r="R353" s="3218"/>
      <c r="S353" s="3218"/>
      <c r="T353" s="3218"/>
      <c r="U353" s="3218"/>
      <c r="V353" s="3218"/>
      <c r="W353" s="3218"/>
      <c r="X353" s="3218"/>
      <c r="Y353" s="3218"/>
      <c r="Z353" s="3218"/>
      <c r="AA353" s="3218"/>
      <c r="AB353" s="3218"/>
      <c r="AC353" s="3199">
        <f t="shared" si="209"/>
        <v>0</v>
      </c>
      <c r="AD353" s="3229"/>
      <c r="AE353" s="3229"/>
      <c r="AF353" s="3229"/>
      <c r="AG353" s="3229"/>
      <c r="AH353" s="3229"/>
      <c r="AI353" s="3229"/>
      <c r="AJ353" s="3229"/>
      <c r="AK353" s="3229"/>
      <c r="AL353" s="3229"/>
      <c r="AM353" s="3229"/>
      <c r="AN353" s="3229"/>
      <c r="AO353" s="3229"/>
      <c r="AP353" s="3229"/>
      <c r="AQ353" s="3229"/>
      <c r="AR353" s="3229"/>
      <c r="AS353" s="3229"/>
      <c r="AT353" s="3249"/>
      <c r="AU353" s="3250"/>
      <c r="AV353" s="475">
        <f t="shared" si="233"/>
        <v>0</v>
      </c>
      <c r="AW353" s="475">
        <f t="shared" si="234"/>
        <v>0</v>
      </c>
      <c r="AX353" s="475">
        <f t="shared" si="235"/>
        <v>0</v>
      </c>
      <c r="AY353" s="3266">
        <f t="shared" si="210"/>
        <v>0</v>
      </c>
      <c r="AZ353" s="3199">
        <f t="shared" si="211"/>
        <v>0</v>
      </c>
      <c r="BA353" s="3199">
        <f t="shared" si="212"/>
        <v>0</v>
      </c>
      <c r="BB353" s="3199">
        <f t="shared" si="213"/>
        <v>0</v>
      </c>
      <c r="BC353" s="3199">
        <f t="shared" si="214"/>
        <v>0</v>
      </c>
      <c r="BD353" s="3199">
        <f t="shared" si="215"/>
        <v>0</v>
      </c>
      <c r="BE353" s="3199">
        <f t="shared" si="216"/>
        <v>0</v>
      </c>
      <c r="BF353" s="3199">
        <f t="shared" si="217"/>
        <v>0</v>
      </c>
      <c r="BG353" s="3199">
        <f t="shared" si="218"/>
        <v>0</v>
      </c>
      <c r="BH353" s="3199">
        <f t="shared" si="219"/>
        <v>0</v>
      </c>
      <c r="BI353" s="3199">
        <f t="shared" si="220"/>
        <v>0</v>
      </c>
      <c r="BJ353" s="3199">
        <f t="shared" si="221"/>
        <v>0</v>
      </c>
      <c r="BK353" s="3199">
        <f t="shared" si="222"/>
        <v>0</v>
      </c>
      <c r="BL353" s="3199">
        <f t="shared" si="223"/>
        <v>0</v>
      </c>
      <c r="BM353" s="3199">
        <f t="shared" si="224"/>
        <v>0</v>
      </c>
      <c r="BN353" s="3199">
        <f t="shared" si="225"/>
        <v>0</v>
      </c>
      <c r="BO353" s="3199">
        <f t="shared" si="226"/>
        <v>0</v>
      </c>
      <c r="BP353" s="3199">
        <f t="shared" si="227"/>
        <v>0</v>
      </c>
      <c r="BQ353" s="3199">
        <f t="shared" si="228"/>
        <v>0</v>
      </c>
      <c r="BR353" s="3199">
        <f t="shared" si="229"/>
        <v>0</v>
      </c>
      <c r="BS353" s="3199">
        <f t="shared" si="230"/>
        <v>0</v>
      </c>
      <c r="BT353" s="3271">
        <f t="shared" si="231"/>
        <v>0</v>
      </c>
    </row>
    <row r="354" spans="1:72">
      <c r="A354" s="3197"/>
      <c r="B354" s="3198"/>
      <c r="C354" s="3198"/>
      <c r="D354" s="3193"/>
      <c r="E354" s="3199">
        <f t="shared" si="232"/>
        <v>0</v>
      </c>
      <c r="F354" s="3200"/>
      <c r="G354" s="3201">
        <f t="shared" si="207"/>
        <v>0</v>
      </c>
      <c r="H354" s="3202">
        <f t="shared" si="208"/>
        <v>0</v>
      </c>
      <c r="I354" s="3218"/>
      <c r="J354" s="3218"/>
      <c r="K354" s="3218"/>
      <c r="L354" s="3218"/>
      <c r="M354" s="3218"/>
      <c r="N354" s="3218"/>
      <c r="O354" s="3218"/>
      <c r="P354" s="3218"/>
      <c r="Q354" s="3218"/>
      <c r="R354" s="3218"/>
      <c r="S354" s="3218"/>
      <c r="T354" s="3218"/>
      <c r="U354" s="3218"/>
      <c r="V354" s="3218"/>
      <c r="W354" s="3218"/>
      <c r="X354" s="3218"/>
      <c r="Y354" s="3218"/>
      <c r="Z354" s="3218"/>
      <c r="AA354" s="3218"/>
      <c r="AB354" s="3218"/>
      <c r="AC354" s="3199">
        <f t="shared" si="209"/>
        <v>0</v>
      </c>
      <c r="AD354" s="3229"/>
      <c r="AE354" s="3229"/>
      <c r="AF354" s="3229"/>
      <c r="AG354" s="3229"/>
      <c r="AH354" s="3229"/>
      <c r="AI354" s="3229"/>
      <c r="AJ354" s="3229"/>
      <c r="AK354" s="3229"/>
      <c r="AL354" s="3229"/>
      <c r="AM354" s="3229"/>
      <c r="AN354" s="3229"/>
      <c r="AO354" s="3229"/>
      <c r="AP354" s="3229"/>
      <c r="AQ354" s="3229"/>
      <c r="AR354" s="3229"/>
      <c r="AS354" s="3229"/>
      <c r="AT354" s="3249"/>
      <c r="AU354" s="3250"/>
      <c r="AV354" s="475">
        <f t="shared" si="233"/>
        <v>0</v>
      </c>
      <c r="AW354" s="475">
        <f t="shared" si="234"/>
        <v>0</v>
      </c>
      <c r="AX354" s="475">
        <f t="shared" si="235"/>
        <v>0</v>
      </c>
      <c r="AY354" s="3266">
        <f t="shared" si="210"/>
        <v>0</v>
      </c>
      <c r="AZ354" s="3199">
        <f t="shared" si="211"/>
        <v>0</v>
      </c>
      <c r="BA354" s="3199">
        <f t="shared" si="212"/>
        <v>0</v>
      </c>
      <c r="BB354" s="3199">
        <f t="shared" si="213"/>
        <v>0</v>
      </c>
      <c r="BC354" s="3199">
        <f t="shared" si="214"/>
        <v>0</v>
      </c>
      <c r="BD354" s="3199">
        <f t="shared" si="215"/>
        <v>0</v>
      </c>
      <c r="BE354" s="3199">
        <f t="shared" si="216"/>
        <v>0</v>
      </c>
      <c r="BF354" s="3199">
        <f t="shared" si="217"/>
        <v>0</v>
      </c>
      <c r="BG354" s="3199">
        <f t="shared" si="218"/>
        <v>0</v>
      </c>
      <c r="BH354" s="3199">
        <f t="shared" si="219"/>
        <v>0</v>
      </c>
      <c r="BI354" s="3199">
        <f t="shared" si="220"/>
        <v>0</v>
      </c>
      <c r="BJ354" s="3199">
        <f t="shared" si="221"/>
        <v>0</v>
      </c>
      <c r="BK354" s="3199">
        <f t="shared" si="222"/>
        <v>0</v>
      </c>
      <c r="BL354" s="3199">
        <f t="shared" si="223"/>
        <v>0</v>
      </c>
      <c r="BM354" s="3199">
        <f t="shared" si="224"/>
        <v>0</v>
      </c>
      <c r="BN354" s="3199">
        <f t="shared" si="225"/>
        <v>0</v>
      </c>
      <c r="BO354" s="3199">
        <f t="shared" si="226"/>
        <v>0</v>
      </c>
      <c r="BP354" s="3199">
        <f t="shared" si="227"/>
        <v>0</v>
      </c>
      <c r="BQ354" s="3199">
        <f t="shared" si="228"/>
        <v>0</v>
      </c>
      <c r="BR354" s="3199">
        <f t="shared" si="229"/>
        <v>0</v>
      </c>
      <c r="BS354" s="3199">
        <f t="shared" si="230"/>
        <v>0</v>
      </c>
      <c r="BT354" s="3271">
        <f t="shared" si="231"/>
        <v>0</v>
      </c>
    </row>
    <row r="355" spans="1:72">
      <c r="A355" s="3197"/>
      <c r="B355" s="3198"/>
      <c r="C355" s="3198"/>
      <c r="D355" s="3193"/>
      <c r="E355" s="3199">
        <f t="shared" si="232"/>
        <v>0</v>
      </c>
      <c r="F355" s="3200"/>
      <c r="G355" s="3201">
        <f t="shared" si="207"/>
        <v>0</v>
      </c>
      <c r="H355" s="3202">
        <f t="shared" si="208"/>
        <v>0</v>
      </c>
      <c r="I355" s="3218"/>
      <c r="J355" s="3218"/>
      <c r="K355" s="3218"/>
      <c r="L355" s="3218"/>
      <c r="M355" s="3218"/>
      <c r="N355" s="3218"/>
      <c r="O355" s="3218"/>
      <c r="P355" s="3218"/>
      <c r="Q355" s="3218"/>
      <c r="R355" s="3218"/>
      <c r="S355" s="3218"/>
      <c r="T355" s="3218"/>
      <c r="U355" s="3218"/>
      <c r="V355" s="3218"/>
      <c r="W355" s="3218"/>
      <c r="X355" s="3218"/>
      <c r="Y355" s="3218"/>
      <c r="Z355" s="3218"/>
      <c r="AA355" s="3218"/>
      <c r="AB355" s="3218"/>
      <c r="AC355" s="3199">
        <f t="shared" si="209"/>
        <v>0</v>
      </c>
      <c r="AD355" s="3229"/>
      <c r="AE355" s="3229"/>
      <c r="AF355" s="3229"/>
      <c r="AG355" s="3229"/>
      <c r="AH355" s="3229"/>
      <c r="AI355" s="3229"/>
      <c r="AJ355" s="3229"/>
      <c r="AK355" s="3229"/>
      <c r="AL355" s="3229"/>
      <c r="AM355" s="3229"/>
      <c r="AN355" s="3229"/>
      <c r="AO355" s="3229"/>
      <c r="AP355" s="3229"/>
      <c r="AQ355" s="3229"/>
      <c r="AR355" s="3229"/>
      <c r="AS355" s="3229"/>
      <c r="AT355" s="3249"/>
      <c r="AU355" s="3250"/>
      <c r="AV355" s="475">
        <f t="shared" si="233"/>
        <v>0</v>
      </c>
      <c r="AW355" s="475">
        <f t="shared" si="234"/>
        <v>0</v>
      </c>
      <c r="AX355" s="475">
        <f t="shared" si="235"/>
        <v>0</v>
      </c>
      <c r="AY355" s="3266">
        <f t="shared" si="210"/>
        <v>0</v>
      </c>
      <c r="AZ355" s="3199">
        <f t="shared" si="211"/>
        <v>0</v>
      </c>
      <c r="BA355" s="3199">
        <f t="shared" si="212"/>
        <v>0</v>
      </c>
      <c r="BB355" s="3199">
        <f t="shared" si="213"/>
        <v>0</v>
      </c>
      <c r="BC355" s="3199">
        <f t="shared" si="214"/>
        <v>0</v>
      </c>
      <c r="BD355" s="3199">
        <f t="shared" si="215"/>
        <v>0</v>
      </c>
      <c r="BE355" s="3199">
        <f t="shared" si="216"/>
        <v>0</v>
      </c>
      <c r="BF355" s="3199">
        <f t="shared" si="217"/>
        <v>0</v>
      </c>
      <c r="BG355" s="3199">
        <f t="shared" si="218"/>
        <v>0</v>
      </c>
      <c r="BH355" s="3199">
        <f t="shared" si="219"/>
        <v>0</v>
      </c>
      <c r="BI355" s="3199">
        <f t="shared" si="220"/>
        <v>0</v>
      </c>
      <c r="BJ355" s="3199">
        <f t="shared" si="221"/>
        <v>0</v>
      </c>
      <c r="BK355" s="3199">
        <f t="shared" si="222"/>
        <v>0</v>
      </c>
      <c r="BL355" s="3199">
        <f t="shared" si="223"/>
        <v>0</v>
      </c>
      <c r="BM355" s="3199">
        <f t="shared" si="224"/>
        <v>0</v>
      </c>
      <c r="BN355" s="3199">
        <f t="shared" si="225"/>
        <v>0</v>
      </c>
      <c r="BO355" s="3199">
        <f t="shared" si="226"/>
        <v>0</v>
      </c>
      <c r="BP355" s="3199">
        <f t="shared" si="227"/>
        <v>0</v>
      </c>
      <c r="BQ355" s="3199">
        <f t="shared" si="228"/>
        <v>0</v>
      </c>
      <c r="BR355" s="3199">
        <f t="shared" si="229"/>
        <v>0</v>
      </c>
      <c r="BS355" s="3199">
        <f t="shared" si="230"/>
        <v>0</v>
      </c>
      <c r="BT355" s="3271">
        <f t="shared" si="231"/>
        <v>0</v>
      </c>
    </row>
    <row r="356" spans="1:72">
      <c r="A356" s="3197"/>
      <c r="B356" s="3198"/>
      <c r="C356" s="3198"/>
      <c r="D356" s="3193"/>
      <c r="E356" s="3199">
        <f t="shared" si="232"/>
        <v>0</v>
      </c>
      <c r="F356" s="3200"/>
      <c r="G356" s="3201">
        <f t="shared" si="207"/>
        <v>0</v>
      </c>
      <c r="H356" s="3202">
        <f t="shared" si="208"/>
        <v>0</v>
      </c>
      <c r="I356" s="3218"/>
      <c r="J356" s="3218"/>
      <c r="K356" s="3218"/>
      <c r="L356" s="3218"/>
      <c r="M356" s="3218"/>
      <c r="N356" s="3218"/>
      <c r="O356" s="3218"/>
      <c r="P356" s="3218"/>
      <c r="Q356" s="3218"/>
      <c r="R356" s="3218"/>
      <c r="S356" s="3218"/>
      <c r="T356" s="3218"/>
      <c r="U356" s="3218"/>
      <c r="V356" s="3218"/>
      <c r="W356" s="3218"/>
      <c r="X356" s="3218"/>
      <c r="Y356" s="3218"/>
      <c r="Z356" s="3218"/>
      <c r="AA356" s="3218"/>
      <c r="AB356" s="3218"/>
      <c r="AC356" s="3199">
        <f t="shared" si="209"/>
        <v>0</v>
      </c>
      <c r="AD356" s="3229"/>
      <c r="AE356" s="3229"/>
      <c r="AF356" s="3229"/>
      <c r="AG356" s="3229"/>
      <c r="AH356" s="3229"/>
      <c r="AI356" s="3229"/>
      <c r="AJ356" s="3229"/>
      <c r="AK356" s="3229"/>
      <c r="AL356" s="3229"/>
      <c r="AM356" s="3229"/>
      <c r="AN356" s="3229"/>
      <c r="AO356" s="3229"/>
      <c r="AP356" s="3229"/>
      <c r="AQ356" s="3229"/>
      <c r="AR356" s="3229"/>
      <c r="AS356" s="3229"/>
      <c r="AT356" s="3249"/>
      <c r="AU356" s="3250"/>
      <c r="AV356" s="475">
        <f t="shared" si="233"/>
        <v>0</v>
      </c>
      <c r="AW356" s="475">
        <f t="shared" si="234"/>
        <v>0</v>
      </c>
      <c r="AX356" s="475">
        <f t="shared" si="235"/>
        <v>0</v>
      </c>
      <c r="AY356" s="3266">
        <f t="shared" si="210"/>
        <v>0</v>
      </c>
      <c r="AZ356" s="3199">
        <f t="shared" si="211"/>
        <v>0</v>
      </c>
      <c r="BA356" s="3199">
        <f t="shared" si="212"/>
        <v>0</v>
      </c>
      <c r="BB356" s="3199">
        <f t="shared" si="213"/>
        <v>0</v>
      </c>
      <c r="BC356" s="3199">
        <f t="shared" si="214"/>
        <v>0</v>
      </c>
      <c r="BD356" s="3199">
        <f t="shared" si="215"/>
        <v>0</v>
      </c>
      <c r="BE356" s="3199">
        <f t="shared" si="216"/>
        <v>0</v>
      </c>
      <c r="BF356" s="3199">
        <f t="shared" si="217"/>
        <v>0</v>
      </c>
      <c r="BG356" s="3199">
        <f t="shared" si="218"/>
        <v>0</v>
      </c>
      <c r="BH356" s="3199">
        <f t="shared" si="219"/>
        <v>0</v>
      </c>
      <c r="BI356" s="3199">
        <f t="shared" si="220"/>
        <v>0</v>
      </c>
      <c r="BJ356" s="3199">
        <f t="shared" si="221"/>
        <v>0</v>
      </c>
      <c r="BK356" s="3199">
        <f t="shared" si="222"/>
        <v>0</v>
      </c>
      <c r="BL356" s="3199">
        <f t="shared" si="223"/>
        <v>0</v>
      </c>
      <c r="BM356" s="3199">
        <f t="shared" si="224"/>
        <v>0</v>
      </c>
      <c r="BN356" s="3199">
        <f t="shared" si="225"/>
        <v>0</v>
      </c>
      <c r="BO356" s="3199">
        <f t="shared" si="226"/>
        <v>0</v>
      </c>
      <c r="BP356" s="3199">
        <f t="shared" si="227"/>
        <v>0</v>
      </c>
      <c r="BQ356" s="3199">
        <f t="shared" si="228"/>
        <v>0</v>
      </c>
      <c r="BR356" s="3199">
        <f t="shared" si="229"/>
        <v>0</v>
      </c>
      <c r="BS356" s="3199">
        <f t="shared" si="230"/>
        <v>0</v>
      </c>
      <c r="BT356" s="3271">
        <f t="shared" si="231"/>
        <v>0</v>
      </c>
    </row>
    <row r="357" spans="1:72">
      <c r="A357" s="3197"/>
      <c r="B357" s="3198"/>
      <c r="C357" s="3198"/>
      <c r="D357" s="3193"/>
      <c r="E357" s="3199">
        <f t="shared" si="232"/>
        <v>0</v>
      </c>
      <c r="F357" s="3200"/>
      <c r="G357" s="3201">
        <f t="shared" si="207"/>
        <v>0</v>
      </c>
      <c r="H357" s="3202">
        <f t="shared" si="208"/>
        <v>0</v>
      </c>
      <c r="I357" s="3218"/>
      <c r="J357" s="3218"/>
      <c r="K357" s="3218"/>
      <c r="L357" s="3218"/>
      <c r="M357" s="3218"/>
      <c r="N357" s="3218"/>
      <c r="O357" s="3218"/>
      <c r="P357" s="3218"/>
      <c r="Q357" s="3218"/>
      <c r="R357" s="3218"/>
      <c r="S357" s="3218"/>
      <c r="T357" s="3218"/>
      <c r="U357" s="3218"/>
      <c r="V357" s="3218"/>
      <c r="W357" s="3218"/>
      <c r="X357" s="3218"/>
      <c r="Y357" s="3218"/>
      <c r="Z357" s="3218"/>
      <c r="AA357" s="3218"/>
      <c r="AB357" s="3218"/>
      <c r="AC357" s="3199">
        <f t="shared" si="209"/>
        <v>0</v>
      </c>
      <c r="AD357" s="3229"/>
      <c r="AE357" s="3229"/>
      <c r="AF357" s="3229"/>
      <c r="AG357" s="3229"/>
      <c r="AH357" s="3229"/>
      <c r="AI357" s="3229"/>
      <c r="AJ357" s="3229"/>
      <c r="AK357" s="3229"/>
      <c r="AL357" s="3229"/>
      <c r="AM357" s="3229"/>
      <c r="AN357" s="3229"/>
      <c r="AO357" s="3229"/>
      <c r="AP357" s="3229"/>
      <c r="AQ357" s="3229"/>
      <c r="AR357" s="3229"/>
      <c r="AS357" s="3229"/>
      <c r="AT357" s="3249"/>
      <c r="AU357" s="3250"/>
      <c r="AV357" s="475">
        <f t="shared" si="233"/>
        <v>0</v>
      </c>
      <c r="AW357" s="475">
        <f t="shared" si="234"/>
        <v>0</v>
      </c>
      <c r="AX357" s="475">
        <f t="shared" si="235"/>
        <v>0</v>
      </c>
      <c r="AY357" s="3266">
        <f t="shared" si="210"/>
        <v>0</v>
      </c>
      <c r="AZ357" s="3199">
        <f t="shared" si="211"/>
        <v>0</v>
      </c>
      <c r="BA357" s="3199">
        <f t="shared" si="212"/>
        <v>0</v>
      </c>
      <c r="BB357" s="3199">
        <f t="shared" si="213"/>
        <v>0</v>
      </c>
      <c r="BC357" s="3199">
        <f t="shared" si="214"/>
        <v>0</v>
      </c>
      <c r="BD357" s="3199">
        <f t="shared" si="215"/>
        <v>0</v>
      </c>
      <c r="BE357" s="3199">
        <f t="shared" si="216"/>
        <v>0</v>
      </c>
      <c r="BF357" s="3199">
        <f t="shared" si="217"/>
        <v>0</v>
      </c>
      <c r="BG357" s="3199">
        <f t="shared" si="218"/>
        <v>0</v>
      </c>
      <c r="BH357" s="3199">
        <f t="shared" si="219"/>
        <v>0</v>
      </c>
      <c r="BI357" s="3199">
        <f t="shared" si="220"/>
        <v>0</v>
      </c>
      <c r="BJ357" s="3199">
        <f t="shared" si="221"/>
        <v>0</v>
      </c>
      <c r="BK357" s="3199">
        <f t="shared" si="222"/>
        <v>0</v>
      </c>
      <c r="BL357" s="3199">
        <f t="shared" si="223"/>
        <v>0</v>
      </c>
      <c r="BM357" s="3199">
        <f t="shared" si="224"/>
        <v>0</v>
      </c>
      <c r="BN357" s="3199">
        <f t="shared" si="225"/>
        <v>0</v>
      </c>
      <c r="BO357" s="3199">
        <f t="shared" si="226"/>
        <v>0</v>
      </c>
      <c r="BP357" s="3199">
        <f t="shared" si="227"/>
        <v>0</v>
      </c>
      <c r="BQ357" s="3199">
        <f t="shared" si="228"/>
        <v>0</v>
      </c>
      <c r="BR357" s="3199">
        <f t="shared" si="229"/>
        <v>0</v>
      </c>
      <c r="BS357" s="3199">
        <f t="shared" si="230"/>
        <v>0</v>
      </c>
      <c r="BT357" s="3271">
        <f t="shared" si="231"/>
        <v>0</v>
      </c>
    </row>
    <row r="358" spans="1:72">
      <c r="A358" s="3197"/>
      <c r="B358" s="3198"/>
      <c r="C358" s="3198"/>
      <c r="D358" s="3193"/>
      <c r="E358" s="3199">
        <f t="shared" si="232"/>
        <v>0</v>
      </c>
      <c r="F358" s="3200"/>
      <c r="G358" s="3201">
        <f t="shared" ref="G358:G388" si="236">H358+AC358+AT358</f>
        <v>0</v>
      </c>
      <c r="H358" s="3202">
        <f t="shared" ref="H358:H388" si="237">SUMIF(I$12:AB$12,"总值",I358:AB358)</f>
        <v>0</v>
      </c>
      <c r="I358" s="3218"/>
      <c r="J358" s="3218"/>
      <c r="K358" s="3218"/>
      <c r="L358" s="3218"/>
      <c r="M358" s="3218"/>
      <c r="N358" s="3218"/>
      <c r="O358" s="3218"/>
      <c r="P358" s="3218"/>
      <c r="Q358" s="3218"/>
      <c r="R358" s="3218"/>
      <c r="S358" s="3218"/>
      <c r="T358" s="3218"/>
      <c r="U358" s="3218"/>
      <c r="V358" s="3218"/>
      <c r="W358" s="3218"/>
      <c r="X358" s="3218"/>
      <c r="Y358" s="3218"/>
      <c r="Z358" s="3218"/>
      <c r="AA358" s="3218"/>
      <c r="AB358" s="3218"/>
      <c r="AC358" s="3199">
        <f t="shared" ref="AC358:AC388" si="238">SUMIF(AD$12:AS$12,"总值",AD358:AS358)</f>
        <v>0</v>
      </c>
      <c r="AD358" s="3229"/>
      <c r="AE358" s="3229"/>
      <c r="AF358" s="3229"/>
      <c r="AG358" s="3229"/>
      <c r="AH358" s="3229"/>
      <c r="AI358" s="3229"/>
      <c r="AJ358" s="3229"/>
      <c r="AK358" s="3229"/>
      <c r="AL358" s="3229"/>
      <c r="AM358" s="3229"/>
      <c r="AN358" s="3229"/>
      <c r="AO358" s="3229"/>
      <c r="AP358" s="3229"/>
      <c r="AQ358" s="3229"/>
      <c r="AR358" s="3229"/>
      <c r="AS358" s="3229"/>
      <c r="AT358" s="3249"/>
      <c r="AU358" s="3250"/>
      <c r="AV358" s="475">
        <f t="shared" si="233"/>
        <v>0</v>
      </c>
      <c r="AW358" s="475">
        <f t="shared" si="234"/>
        <v>0</v>
      </c>
      <c r="AX358" s="475">
        <f t="shared" si="235"/>
        <v>0</v>
      </c>
      <c r="AY358" s="3266">
        <f t="shared" ref="AY358:AY388" si="239">ROUND($AY$6*AZ358/$AZ$5,2)</f>
        <v>0</v>
      </c>
      <c r="AZ358" s="3199">
        <f t="shared" ref="AZ358:AZ388" si="240">BA358+BL358</f>
        <v>0</v>
      </c>
      <c r="BA358" s="3199">
        <f t="shared" ref="BA358:BA388" si="241">SUM(BB358:BK358)</f>
        <v>0</v>
      </c>
      <c r="BB358" s="3199">
        <f t="shared" ref="BB358:BB388" si="242">IF($D358="是",I358-J358,0)</f>
        <v>0</v>
      </c>
      <c r="BC358" s="3199">
        <f t="shared" ref="BC358:BC388" si="243">IF($D358="是",K358-L358,0)</f>
        <v>0</v>
      </c>
      <c r="BD358" s="3199">
        <f t="shared" ref="BD358:BD388" si="244">IF($D358="是",M358-N358,0)</f>
        <v>0</v>
      </c>
      <c r="BE358" s="3199">
        <f t="shared" ref="BE358:BE388" si="245">IF($D358="是",O358-P358,0)</f>
        <v>0</v>
      </c>
      <c r="BF358" s="3199">
        <f t="shared" ref="BF358:BF388" si="246">IF($D358="是",Q358-R358,0)</f>
        <v>0</v>
      </c>
      <c r="BG358" s="3199">
        <f t="shared" ref="BG358:BG388" si="247">IF($D358="是",S358-T358,0)</f>
        <v>0</v>
      </c>
      <c r="BH358" s="3199">
        <f t="shared" ref="BH358:BH388" si="248">IF($D358="是",U358-V358,0)</f>
        <v>0</v>
      </c>
      <c r="BI358" s="3199">
        <f t="shared" ref="BI358:BI388" si="249">IF($D358="是",W358-X358,0)</f>
        <v>0</v>
      </c>
      <c r="BJ358" s="3199">
        <f t="shared" ref="BJ358:BJ388" si="250">IF($D358="是",Y358-Z358,0)</f>
        <v>0</v>
      </c>
      <c r="BK358" s="3199">
        <f t="shared" ref="BK358:BK388" si="251">IF($D358="是",AA358-AB358,0)</f>
        <v>0</v>
      </c>
      <c r="BL358" s="3199">
        <f t="shared" ref="BL358:BL388" si="252">SUM(BM358:BT358)</f>
        <v>0</v>
      </c>
      <c r="BM358" s="3199">
        <f t="shared" ref="BM358:BM388" si="253">IF($D358="是",AD358-AE358,0)</f>
        <v>0</v>
      </c>
      <c r="BN358" s="3199">
        <f t="shared" ref="BN358:BN388" si="254">IF($D358="是",AF358-AG358,0)</f>
        <v>0</v>
      </c>
      <c r="BO358" s="3199">
        <f t="shared" ref="BO358:BO388" si="255">IF($D358="是",AH358-AI358,0)</f>
        <v>0</v>
      </c>
      <c r="BP358" s="3199">
        <f t="shared" ref="BP358:BP388" si="256">IF($D358="是",AJ358-AK358,0)</f>
        <v>0</v>
      </c>
      <c r="BQ358" s="3199">
        <f t="shared" ref="BQ358:BQ388" si="257">IF($D358="是",AL358-AM358,0)</f>
        <v>0</v>
      </c>
      <c r="BR358" s="3199">
        <f t="shared" ref="BR358:BR388" si="258">IF($D358="是",AN358-AO358,0)</f>
        <v>0</v>
      </c>
      <c r="BS358" s="3199">
        <f t="shared" ref="BS358:BS388" si="259">IF($D358="是",AP358-AQ358,0)</f>
        <v>0</v>
      </c>
      <c r="BT358" s="3271">
        <f t="shared" ref="BT358:BT388" si="260">IF($D358="是",AR358-AS358,0)</f>
        <v>0</v>
      </c>
    </row>
    <row r="359" spans="1:72">
      <c r="A359" s="3197"/>
      <c r="B359" s="3198"/>
      <c r="C359" s="3198"/>
      <c r="D359" s="3193"/>
      <c r="E359" s="3199">
        <f t="shared" si="232"/>
        <v>0</v>
      </c>
      <c r="F359" s="3200"/>
      <c r="G359" s="3201">
        <f t="shared" si="236"/>
        <v>0</v>
      </c>
      <c r="H359" s="3202">
        <f t="shared" si="237"/>
        <v>0</v>
      </c>
      <c r="I359" s="3218"/>
      <c r="J359" s="3218"/>
      <c r="K359" s="3218"/>
      <c r="L359" s="3218"/>
      <c r="M359" s="3218"/>
      <c r="N359" s="3218"/>
      <c r="O359" s="3218"/>
      <c r="P359" s="3218"/>
      <c r="Q359" s="3218"/>
      <c r="R359" s="3218"/>
      <c r="S359" s="3218"/>
      <c r="T359" s="3218"/>
      <c r="U359" s="3218"/>
      <c r="V359" s="3218"/>
      <c r="W359" s="3218"/>
      <c r="X359" s="3218"/>
      <c r="Y359" s="3218"/>
      <c r="Z359" s="3218"/>
      <c r="AA359" s="3218"/>
      <c r="AB359" s="3218"/>
      <c r="AC359" s="3199">
        <f t="shared" si="238"/>
        <v>0</v>
      </c>
      <c r="AD359" s="3229"/>
      <c r="AE359" s="3229"/>
      <c r="AF359" s="3229"/>
      <c r="AG359" s="3229"/>
      <c r="AH359" s="3229"/>
      <c r="AI359" s="3229"/>
      <c r="AJ359" s="3229"/>
      <c r="AK359" s="3229"/>
      <c r="AL359" s="3229"/>
      <c r="AM359" s="3229"/>
      <c r="AN359" s="3229"/>
      <c r="AO359" s="3229"/>
      <c r="AP359" s="3229"/>
      <c r="AQ359" s="3229"/>
      <c r="AR359" s="3229"/>
      <c r="AS359" s="3229"/>
      <c r="AT359" s="3249"/>
      <c r="AU359" s="3250"/>
      <c r="AV359" s="475">
        <f t="shared" si="233"/>
        <v>0</v>
      </c>
      <c r="AW359" s="475">
        <f t="shared" si="234"/>
        <v>0</v>
      </c>
      <c r="AX359" s="475">
        <f t="shared" si="235"/>
        <v>0</v>
      </c>
      <c r="AY359" s="3266">
        <f t="shared" si="239"/>
        <v>0</v>
      </c>
      <c r="AZ359" s="3199">
        <f t="shared" si="240"/>
        <v>0</v>
      </c>
      <c r="BA359" s="3199">
        <f t="shared" si="241"/>
        <v>0</v>
      </c>
      <c r="BB359" s="3199">
        <f t="shared" si="242"/>
        <v>0</v>
      </c>
      <c r="BC359" s="3199">
        <f t="shared" si="243"/>
        <v>0</v>
      </c>
      <c r="BD359" s="3199">
        <f t="shared" si="244"/>
        <v>0</v>
      </c>
      <c r="BE359" s="3199">
        <f t="shared" si="245"/>
        <v>0</v>
      </c>
      <c r="BF359" s="3199">
        <f t="shared" si="246"/>
        <v>0</v>
      </c>
      <c r="BG359" s="3199">
        <f t="shared" si="247"/>
        <v>0</v>
      </c>
      <c r="BH359" s="3199">
        <f t="shared" si="248"/>
        <v>0</v>
      </c>
      <c r="BI359" s="3199">
        <f t="shared" si="249"/>
        <v>0</v>
      </c>
      <c r="BJ359" s="3199">
        <f t="shared" si="250"/>
        <v>0</v>
      </c>
      <c r="BK359" s="3199">
        <f t="shared" si="251"/>
        <v>0</v>
      </c>
      <c r="BL359" s="3199">
        <f t="shared" si="252"/>
        <v>0</v>
      </c>
      <c r="BM359" s="3199">
        <f t="shared" si="253"/>
        <v>0</v>
      </c>
      <c r="BN359" s="3199">
        <f t="shared" si="254"/>
        <v>0</v>
      </c>
      <c r="BO359" s="3199">
        <f t="shared" si="255"/>
        <v>0</v>
      </c>
      <c r="BP359" s="3199">
        <f t="shared" si="256"/>
        <v>0</v>
      </c>
      <c r="BQ359" s="3199">
        <f t="shared" si="257"/>
        <v>0</v>
      </c>
      <c r="BR359" s="3199">
        <f t="shared" si="258"/>
        <v>0</v>
      </c>
      <c r="BS359" s="3199">
        <f t="shared" si="259"/>
        <v>0</v>
      </c>
      <c r="BT359" s="3271">
        <f t="shared" si="260"/>
        <v>0</v>
      </c>
    </row>
    <row r="360" spans="1:72">
      <c r="A360" s="3197"/>
      <c r="B360" s="3198"/>
      <c r="C360" s="3198"/>
      <c r="D360" s="3193"/>
      <c r="E360" s="3199">
        <f t="shared" si="232"/>
        <v>0</v>
      </c>
      <c r="F360" s="3200"/>
      <c r="G360" s="3201">
        <f t="shared" si="236"/>
        <v>0</v>
      </c>
      <c r="H360" s="3202">
        <f t="shared" si="237"/>
        <v>0</v>
      </c>
      <c r="I360" s="3218"/>
      <c r="J360" s="3218"/>
      <c r="K360" s="3218"/>
      <c r="L360" s="3218"/>
      <c r="M360" s="3218"/>
      <c r="N360" s="3218"/>
      <c r="O360" s="3218"/>
      <c r="P360" s="3218"/>
      <c r="Q360" s="3218"/>
      <c r="R360" s="3218"/>
      <c r="S360" s="3218"/>
      <c r="T360" s="3218"/>
      <c r="U360" s="3218"/>
      <c r="V360" s="3218"/>
      <c r="W360" s="3218"/>
      <c r="X360" s="3218"/>
      <c r="Y360" s="3218"/>
      <c r="Z360" s="3218"/>
      <c r="AA360" s="3218"/>
      <c r="AB360" s="3218"/>
      <c r="AC360" s="3199">
        <f t="shared" si="238"/>
        <v>0</v>
      </c>
      <c r="AD360" s="3229"/>
      <c r="AE360" s="3229"/>
      <c r="AF360" s="3229"/>
      <c r="AG360" s="3229"/>
      <c r="AH360" s="3229"/>
      <c r="AI360" s="3229"/>
      <c r="AJ360" s="3229"/>
      <c r="AK360" s="3229"/>
      <c r="AL360" s="3229"/>
      <c r="AM360" s="3229"/>
      <c r="AN360" s="3229"/>
      <c r="AO360" s="3229"/>
      <c r="AP360" s="3229"/>
      <c r="AQ360" s="3229"/>
      <c r="AR360" s="3229"/>
      <c r="AS360" s="3229"/>
      <c r="AT360" s="3249"/>
      <c r="AU360" s="3250"/>
      <c r="AV360" s="475">
        <f t="shared" si="233"/>
        <v>0</v>
      </c>
      <c r="AW360" s="475">
        <f t="shared" si="234"/>
        <v>0</v>
      </c>
      <c r="AX360" s="475">
        <f t="shared" si="235"/>
        <v>0</v>
      </c>
      <c r="AY360" s="3266">
        <f t="shared" si="239"/>
        <v>0</v>
      </c>
      <c r="AZ360" s="3199">
        <f t="shared" si="240"/>
        <v>0</v>
      </c>
      <c r="BA360" s="3199">
        <f t="shared" si="241"/>
        <v>0</v>
      </c>
      <c r="BB360" s="3199">
        <f t="shared" si="242"/>
        <v>0</v>
      </c>
      <c r="BC360" s="3199">
        <f t="shared" si="243"/>
        <v>0</v>
      </c>
      <c r="BD360" s="3199">
        <f t="shared" si="244"/>
        <v>0</v>
      </c>
      <c r="BE360" s="3199">
        <f t="shared" si="245"/>
        <v>0</v>
      </c>
      <c r="BF360" s="3199">
        <f t="shared" si="246"/>
        <v>0</v>
      </c>
      <c r="BG360" s="3199">
        <f t="shared" si="247"/>
        <v>0</v>
      </c>
      <c r="BH360" s="3199">
        <f t="shared" si="248"/>
        <v>0</v>
      </c>
      <c r="BI360" s="3199">
        <f t="shared" si="249"/>
        <v>0</v>
      </c>
      <c r="BJ360" s="3199">
        <f t="shared" si="250"/>
        <v>0</v>
      </c>
      <c r="BK360" s="3199">
        <f t="shared" si="251"/>
        <v>0</v>
      </c>
      <c r="BL360" s="3199">
        <f t="shared" si="252"/>
        <v>0</v>
      </c>
      <c r="BM360" s="3199">
        <f t="shared" si="253"/>
        <v>0</v>
      </c>
      <c r="BN360" s="3199">
        <f t="shared" si="254"/>
        <v>0</v>
      </c>
      <c r="BO360" s="3199">
        <f t="shared" si="255"/>
        <v>0</v>
      </c>
      <c r="BP360" s="3199">
        <f t="shared" si="256"/>
        <v>0</v>
      </c>
      <c r="BQ360" s="3199">
        <f t="shared" si="257"/>
        <v>0</v>
      </c>
      <c r="BR360" s="3199">
        <f t="shared" si="258"/>
        <v>0</v>
      </c>
      <c r="BS360" s="3199">
        <f t="shared" si="259"/>
        <v>0</v>
      </c>
      <c r="BT360" s="3271">
        <f t="shared" si="260"/>
        <v>0</v>
      </c>
    </row>
    <row r="361" spans="1:72">
      <c r="A361" s="3197"/>
      <c r="B361" s="3198"/>
      <c r="C361" s="3198"/>
      <c r="D361" s="3193"/>
      <c r="E361" s="3199">
        <f t="shared" ref="E361:E388" si="261">IF($C$3="是",ROUND($A$3*G361/$B$3,2),ROUND($A$3*(G361-AT361)/$B$3,2))</f>
        <v>0</v>
      </c>
      <c r="F361" s="3200"/>
      <c r="G361" s="3201">
        <f t="shared" si="236"/>
        <v>0</v>
      </c>
      <c r="H361" s="3202">
        <f t="shared" si="237"/>
        <v>0</v>
      </c>
      <c r="I361" s="3218"/>
      <c r="J361" s="3218"/>
      <c r="K361" s="3218"/>
      <c r="L361" s="3218"/>
      <c r="M361" s="3218"/>
      <c r="N361" s="3218"/>
      <c r="O361" s="3218"/>
      <c r="P361" s="3218"/>
      <c r="Q361" s="3218"/>
      <c r="R361" s="3218"/>
      <c r="S361" s="3218"/>
      <c r="T361" s="3218"/>
      <c r="U361" s="3218"/>
      <c r="V361" s="3218"/>
      <c r="W361" s="3218"/>
      <c r="X361" s="3218"/>
      <c r="Y361" s="3218"/>
      <c r="Z361" s="3218"/>
      <c r="AA361" s="3218"/>
      <c r="AB361" s="3218"/>
      <c r="AC361" s="3199">
        <f t="shared" si="238"/>
        <v>0</v>
      </c>
      <c r="AD361" s="3229"/>
      <c r="AE361" s="3229"/>
      <c r="AF361" s="3229"/>
      <c r="AG361" s="3229"/>
      <c r="AH361" s="3229"/>
      <c r="AI361" s="3229"/>
      <c r="AJ361" s="3229"/>
      <c r="AK361" s="3229"/>
      <c r="AL361" s="3229"/>
      <c r="AM361" s="3229"/>
      <c r="AN361" s="3229"/>
      <c r="AO361" s="3229"/>
      <c r="AP361" s="3229"/>
      <c r="AQ361" s="3229"/>
      <c r="AR361" s="3229"/>
      <c r="AS361" s="3229"/>
      <c r="AT361" s="3249"/>
      <c r="AU361" s="3250"/>
      <c r="AV361" s="475">
        <f t="shared" ref="AV361:AV388" si="262">A361</f>
        <v>0</v>
      </c>
      <c r="AW361" s="475">
        <f t="shared" ref="AW361:AW388" si="263">B361</f>
        <v>0</v>
      </c>
      <c r="AX361" s="475">
        <f t="shared" ref="AX361:AX388" si="264">C361</f>
        <v>0</v>
      </c>
      <c r="AY361" s="3266">
        <f t="shared" si="239"/>
        <v>0</v>
      </c>
      <c r="AZ361" s="3199">
        <f t="shared" si="240"/>
        <v>0</v>
      </c>
      <c r="BA361" s="3199">
        <f t="shared" si="241"/>
        <v>0</v>
      </c>
      <c r="BB361" s="3199">
        <f t="shared" si="242"/>
        <v>0</v>
      </c>
      <c r="BC361" s="3199">
        <f t="shared" si="243"/>
        <v>0</v>
      </c>
      <c r="BD361" s="3199">
        <f t="shared" si="244"/>
        <v>0</v>
      </c>
      <c r="BE361" s="3199">
        <f t="shared" si="245"/>
        <v>0</v>
      </c>
      <c r="BF361" s="3199">
        <f t="shared" si="246"/>
        <v>0</v>
      </c>
      <c r="BG361" s="3199">
        <f t="shared" si="247"/>
        <v>0</v>
      </c>
      <c r="BH361" s="3199">
        <f t="shared" si="248"/>
        <v>0</v>
      </c>
      <c r="BI361" s="3199">
        <f t="shared" si="249"/>
        <v>0</v>
      </c>
      <c r="BJ361" s="3199">
        <f t="shared" si="250"/>
        <v>0</v>
      </c>
      <c r="BK361" s="3199">
        <f t="shared" si="251"/>
        <v>0</v>
      </c>
      <c r="BL361" s="3199">
        <f t="shared" si="252"/>
        <v>0</v>
      </c>
      <c r="BM361" s="3199">
        <f t="shared" si="253"/>
        <v>0</v>
      </c>
      <c r="BN361" s="3199">
        <f t="shared" si="254"/>
        <v>0</v>
      </c>
      <c r="BO361" s="3199">
        <f t="shared" si="255"/>
        <v>0</v>
      </c>
      <c r="BP361" s="3199">
        <f t="shared" si="256"/>
        <v>0</v>
      </c>
      <c r="BQ361" s="3199">
        <f t="shared" si="257"/>
        <v>0</v>
      </c>
      <c r="BR361" s="3199">
        <f t="shared" si="258"/>
        <v>0</v>
      </c>
      <c r="BS361" s="3199">
        <f t="shared" si="259"/>
        <v>0</v>
      </c>
      <c r="BT361" s="3271">
        <f t="shared" si="260"/>
        <v>0</v>
      </c>
    </row>
    <row r="362" spans="1:72">
      <c r="A362" s="3197"/>
      <c r="B362" s="3198"/>
      <c r="C362" s="3198"/>
      <c r="D362" s="3193"/>
      <c r="E362" s="3199">
        <f t="shared" si="261"/>
        <v>0</v>
      </c>
      <c r="F362" s="3200"/>
      <c r="G362" s="3201">
        <f t="shared" si="236"/>
        <v>0</v>
      </c>
      <c r="H362" s="3202">
        <f t="shared" si="237"/>
        <v>0</v>
      </c>
      <c r="I362" s="3218"/>
      <c r="J362" s="3218"/>
      <c r="K362" s="3218"/>
      <c r="L362" s="3218"/>
      <c r="M362" s="3218"/>
      <c r="N362" s="3218"/>
      <c r="O362" s="3218"/>
      <c r="P362" s="3218"/>
      <c r="Q362" s="3218"/>
      <c r="R362" s="3218"/>
      <c r="S362" s="3218"/>
      <c r="T362" s="3218"/>
      <c r="U362" s="3218"/>
      <c r="V362" s="3218"/>
      <c r="W362" s="3218"/>
      <c r="X362" s="3218"/>
      <c r="Y362" s="3218"/>
      <c r="Z362" s="3218"/>
      <c r="AA362" s="3218"/>
      <c r="AB362" s="3218"/>
      <c r="AC362" s="3199">
        <f t="shared" si="238"/>
        <v>0</v>
      </c>
      <c r="AD362" s="3229"/>
      <c r="AE362" s="3229"/>
      <c r="AF362" s="3229"/>
      <c r="AG362" s="3229"/>
      <c r="AH362" s="3229"/>
      <c r="AI362" s="3229"/>
      <c r="AJ362" s="3229"/>
      <c r="AK362" s="3229"/>
      <c r="AL362" s="3229"/>
      <c r="AM362" s="3229"/>
      <c r="AN362" s="3229"/>
      <c r="AO362" s="3229"/>
      <c r="AP362" s="3229"/>
      <c r="AQ362" s="3229"/>
      <c r="AR362" s="3229"/>
      <c r="AS362" s="3229"/>
      <c r="AT362" s="3249"/>
      <c r="AU362" s="3250"/>
      <c r="AV362" s="475">
        <f t="shared" si="262"/>
        <v>0</v>
      </c>
      <c r="AW362" s="475">
        <f t="shared" si="263"/>
        <v>0</v>
      </c>
      <c r="AX362" s="475">
        <f t="shared" si="264"/>
        <v>0</v>
      </c>
      <c r="AY362" s="3266">
        <f t="shared" si="239"/>
        <v>0</v>
      </c>
      <c r="AZ362" s="3199">
        <f t="shared" si="240"/>
        <v>0</v>
      </c>
      <c r="BA362" s="3199">
        <f t="shared" si="241"/>
        <v>0</v>
      </c>
      <c r="BB362" s="3199">
        <f t="shared" si="242"/>
        <v>0</v>
      </c>
      <c r="BC362" s="3199">
        <f t="shared" si="243"/>
        <v>0</v>
      </c>
      <c r="BD362" s="3199">
        <f t="shared" si="244"/>
        <v>0</v>
      </c>
      <c r="BE362" s="3199">
        <f t="shared" si="245"/>
        <v>0</v>
      </c>
      <c r="BF362" s="3199">
        <f t="shared" si="246"/>
        <v>0</v>
      </c>
      <c r="BG362" s="3199">
        <f t="shared" si="247"/>
        <v>0</v>
      </c>
      <c r="BH362" s="3199">
        <f t="shared" si="248"/>
        <v>0</v>
      </c>
      <c r="BI362" s="3199">
        <f t="shared" si="249"/>
        <v>0</v>
      </c>
      <c r="BJ362" s="3199">
        <f t="shared" si="250"/>
        <v>0</v>
      </c>
      <c r="BK362" s="3199">
        <f t="shared" si="251"/>
        <v>0</v>
      </c>
      <c r="BL362" s="3199">
        <f t="shared" si="252"/>
        <v>0</v>
      </c>
      <c r="BM362" s="3199">
        <f t="shared" si="253"/>
        <v>0</v>
      </c>
      <c r="BN362" s="3199">
        <f t="shared" si="254"/>
        <v>0</v>
      </c>
      <c r="BO362" s="3199">
        <f t="shared" si="255"/>
        <v>0</v>
      </c>
      <c r="BP362" s="3199">
        <f t="shared" si="256"/>
        <v>0</v>
      </c>
      <c r="BQ362" s="3199">
        <f t="shared" si="257"/>
        <v>0</v>
      </c>
      <c r="BR362" s="3199">
        <f t="shared" si="258"/>
        <v>0</v>
      </c>
      <c r="BS362" s="3199">
        <f t="shared" si="259"/>
        <v>0</v>
      </c>
      <c r="BT362" s="3271">
        <f t="shared" si="260"/>
        <v>0</v>
      </c>
    </row>
    <row r="363" spans="1:72">
      <c r="A363" s="3197"/>
      <c r="B363" s="3198"/>
      <c r="C363" s="3198"/>
      <c r="D363" s="3193"/>
      <c r="E363" s="3199">
        <f t="shared" si="261"/>
        <v>0</v>
      </c>
      <c r="F363" s="3200"/>
      <c r="G363" s="3201">
        <f t="shared" si="236"/>
        <v>0</v>
      </c>
      <c r="H363" s="3202">
        <f t="shared" si="237"/>
        <v>0</v>
      </c>
      <c r="I363" s="3218"/>
      <c r="J363" s="3218"/>
      <c r="K363" s="3218"/>
      <c r="L363" s="3218"/>
      <c r="M363" s="3218"/>
      <c r="N363" s="3218"/>
      <c r="O363" s="3218"/>
      <c r="P363" s="3218"/>
      <c r="Q363" s="3218"/>
      <c r="R363" s="3218"/>
      <c r="S363" s="3218"/>
      <c r="T363" s="3218"/>
      <c r="U363" s="3218"/>
      <c r="V363" s="3218"/>
      <c r="W363" s="3218"/>
      <c r="X363" s="3218"/>
      <c r="Y363" s="3218"/>
      <c r="Z363" s="3218"/>
      <c r="AA363" s="3218"/>
      <c r="AB363" s="3218"/>
      <c r="AC363" s="3199">
        <f t="shared" si="238"/>
        <v>0</v>
      </c>
      <c r="AD363" s="3229"/>
      <c r="AE363" s="3229"/>
      <c r="AF363" s="3229"/>
      <c r="AG363" s="3229"/>
      <c r="AH363" s="3229"/>
      <c r="AI363" s="3229"/>
      <c r="AJ363" s="3229"/>
      <c r="AK363" s="3229"/>
      <c r="AL363" s="3229"/>
      <c r="AM363" s="3229"/>
      <c r="AN363" s="3229"/>
      <c r="AO363" s="3229"/>
      <c r="AP363" s="3229"/>
      <c r="AQ363" s="3229"/>
      <c r="AR363" s="3229"/>
      <c r="AS363" s="3229"/>
      <c r="AT363" s="3249"/>
      <c r="AU363" s="3250"/>
      <c r="AV363" s="475">
        <f t="shared" si="262"/>
        <v>0</v>
      </c>
      <c r="AW363" s="475">
        <f t="shared" si="263"/>
        <v>0</v>
      </c>
      <c r="AX363" s="475">
        <f t="shared" si="264"/>
        <v>0</v>
      </c>
      <c r="AY363" s="3266">
        <f t="shared" si="239"/>
        <v>0</v>
      </c>
      <c r="AZ363" s="3199">
        <f t="shared" si="240"/>
        <v>0</v>
      </c>
      <c r="BA363" s="3199">
        <f t="shared" si="241"/>
        <v>0</v>
      </c>
      <c r="BB363" s="3199">
        <f t="shared" si="242"/>
        <v>0</v>
      </c>
      <c r="BC363" s="3199">
        <f t="shared" si="243"/>
        <v>0</v>
      </c>
      <c r="BD363" s="3199">
        <f t="shared" si="244"/>
        <v>0</v>
      </c>
      <c r="BE363" s="3199">
        <f t="shared" si="245"/>
        <v>0</v>
      </c>
      <c r="BF363" s="3199">
        <f t="shared" si="246"/>
        <v>0</v>
      </c>
      <c r="BG363" s="3199">
        <f t="shared" si="247"/>
        <v>0</v>
      </c>
      <c r="BH363" s="3199">
        <f t="shared" si="248"/>
        <v>0</v>
      </c>
      <c r="BI363" s="3199">
        <f t="shared" si="249"/>
        <v>0</v>
      </c>
      <c r="BJ363" s="3199">
        <f t="shared" si="250"/>
        <v>0</v>
      </c>
      <c r="BK363" s="3199">
        <f t="shared" si="251"/>
        <v>0</v>
      </c>
      <c r="BL363" s="3199">
        <f t="shared" si="252"/>
        <v>0</v>
      </c>
      <c r="BM363" s="3199">
        <f t="shared" si="253"/>
        <v>0</v>
      </c>
      <c r="BN363" s="3199">
        <f t="shared" si="254"/>
        <v>0</v>
      </c>
      <c r="BO363" s="3199">
        <f t="shared" si="255"/>
        <v>0</v>
      </c>
      <c r="BP363" s="3199">
        <f t="shared" si="256"/>
        <v>0</v>
      </c>
      <c r="BQ363" s="3199">
        <f t="shared" si="257"/>
        <v>0</v>
      </c>
      <c r="BR363" s="3199">
        <f t="shared" si="258"/>
        <v>0</v>
      </c>
      <c r="BS363" s="3199">
        <f t="shared" si="259"/>
        <v>0</v>
      </c>
      <c r="BT363" s="3271">
        <f t="shared" si="260"/>
        <v>0</v>
      </c>
    </row>
    <row r="364" spans="1:72">
      <c r="A364" s="3197"/>
      <c r="B364" s="3198"/>
      <c r="C364" s="3198"/>
      <c r="D364" s="3193"/>
      <c r="E364" s="3199">
        <f t="shared" si="261"/>
        <v>0</v>
      </c>
      <c r="F364" s="3200"/>
      <c r="G364" s="3201">
        <f t="shared" si="236"/>
        <v>0</v>
      </c>
      <c r="H364" s="3202">
        <f t="shared" si="237"/>
        <v>0</v>
      </c>
      <c r="I364" s="3218"/>
      <c r="J364" s="3218"/>
      <c r="K364" s="3218"/>
      <c r="L364" s="3218"/>
      <c r="M364" s="3218"/>
      <c r="N364" s="3218"/>
      <c r="O364" s="3218"/>
      <c r="P364" s="3218"/>
      <c r="Q364" s="3218"/>
      <c r="R364" s="3218"/>
      <c r="S364" s="3218"/>
      <c r="T364" s="3218"/>
      <c r="U364" s="3218"/>
      <c r="V364" s="3218"/>
      <c r="W364" s="3218"/>
      <c r="X364" s="3218"/>
      <c r="Y364" s="3218"/>
      <c r="Z364" s="3218"/>
      <c r="AA364" s="3218"/>
      <c r="AB364" s="3218"/>
      <c r="AC364" s="3199">
        <f t="shared" si="238"/>
        <v>0</v>
      </c>
      <c r="AD364" s="3229"/>
      <c r="AE364" s="3229"/>
      <c r="AF364" s="3229"/>
      <c r="AG364" s="3229"/>
      <c r="AH364" s="3229"/>
      <c r="AI364" s="3229"/>
      <c r="AJ364" s="3229"/>
      <c r="AK364" s="3229"/>
      <c r="AL364" s="3229"/>
      <c r="AM364" s="3229"/>
      <c r="AN364" s="3229"/>
      <c r="AO364" s="3229"/>
      <c r="AP364" s="3229"/>
      <c r="AQ364" s="3229"/>
      <c r="AR364" s="3229"/>
      <c r="AS364" s="3229"/>
      <c r="AT364" s="3249"/>
      <c r="AU364" s="3250"/>
      <c r="AV364" s="475">
        <f t="shared" si="262"/>
        <v>0</v>
      </c>
      <c r="AW364" s="475">
        <f t="shared" si="263"/>
        <v>0</v>
      </c>
      <c r="AX364" s="475">
        <f t="shared" si="264"/>
        <v>0</v>
      </c>
      <c r="AY364" s="3266">
        <f t="shared" si="239"/>
        <v>0</v>
      </c>
      <c r="AZ364" s="3199">
        <f t="shared" si="240"/>
        <v>0</v>
      </c>
      <c r="BA364" s="3199">
        <f t="shared" si="241"/>
        <v>0</v>
      </c>
      <c r="BB364" s="3199">
        <f t="shared" si="242"/>
        <v>0</v>
      </c>
      <c r="BC364" s="3199">
        <f t="shared" si="243"/>
        <v>0</v>
      </c>
      <c r="BD364" s="3199">
        <f t="shared" si="244"/>
        <v>0</v>
      </c>
      <c r="BE364" s="3199">
        <f t="shared" si="245"/>
        <v>0</v>
      </c>
      <c r="BF364" s="3199">
        <f t="shared" si="246"/>
        <v>0</v>
      </c>
      <c r="BG364" s="3199">
        <f t="shared" si="247"/>
        <v>0</v>
      </c>
      <c r="BH364" s="3199">
        <f t="shared" si="248"/>
        <v>0</v>
      </c>
      <c r="BI364" s="3199">
        <f t="shared" si="249"/>
        <v>0</v>
      </c>
      <c r="BJ364" s="3199">
        <f t="shared" si="250"/>
        <v>0</v>
      </c>
      <c r="BK364" s="3199">
        <f t="shared" si="251"/>
        <v>0</v>
      </c>
      <c r="BL364" s="3199">
        <f t="shared" si="252"/>
        <v>0</v>
      </c>
      <c r="BM364" s="3199">
        <f t="shared" si="253"/>
        <v>0</v>
      </c>
      <c r="BN364" s="3199">
        <f t="shared" si="254"/>
        <v>0</v>
      </c>
      <c r="BO364" s="3199">
        <f t="shared" si="255"/>
        <v>0</v>
      </c>
      <c r="BP364" s="3199">
        <f t="shared" si="256"/>
        <v>0</v>
      </c>
      <c r="BQ364" s="3199">
        <f t="shared" si="257"/>
        <v>0</v>
      </c>
      <c r="BR364" s="3199">
        <f t="shared" si="258"/>
        <v>0</v>
      </c>
      <c r="BS364" s="3199">
        <f t="shared" si="259"/>
        <v>0</v>
      </c>
      <c r="BT364" s="3271">
        <f t="shared" si="260"/>
        <v>0</v>
      </c>
    </row>
    <row r="365" spans="1:72">
      <c r="A365" s="3197"/>
      <c r="B365" s="3198"/>
      <c r="C365" s="3198"/>
      <c r="D365" s="3193"/>
      <c r="E365" s="3199">
        <f t="shared" si="261"/>
        <v>0</v>
      </c>
      <c r="F365" s="3200"/>
      <c r="G365" s="3201">
        <f t="shared" si="236"/>
        <v>0</v>
      </c>
      <c r="H365" s="3202">
        <f t="shared" si="237"/>
        <v>0</v>
      </c>
      <c r="I365" s="3218"/>
      <c r="J365" s="3218"/>
      <c r="K365" s="3218"/>
      <c r="L365" s="3218"/>
      <c r="M365" s="3218"/>
      <c r="N365" s="3218"/>
      <c r="O365" s="3218"/>
      <c r="P365" s="3218"/>
      <c r="Q365" s="3218"/>
      <c r="R365" s="3218"/>
      <c r="S365" s="3218"/>
      <c r="T365" s="3218"/>
      <c r="U365" s="3218"/>
      <c r="V365" s="3218"/>
      <c r="W365" s="3218"/>
      <c r="X365" s="3218"/>
      <c r="Y365" s="3218"/>
      <c r="Z365" s="3218"/>
      <c r="AA365" s="3218"/>
      <c r="AB365" s="3218"/>
      <c r="AC365" s="3199">
        <f t="shared" si="238"/>
        <v>0</v>
      </c>
      <c r="AD365" s="3229"/>
      <c r="AE365" s="3229"/>
      <c r="AF365" s="3229"/>
      <c r="AG365" s="3229"/>
      <c r="AH365" s="3229"/>
      <c r="AI365" s="3229"/>
      <c r="AJ365" s="3229"/>
      <c r="AK365" s="3229"/>
      <c r="AL365" s="3229"/>
      <c r="AM365" s="3229"/>
      <c r="AN365" s="3229"/>
      <c r="AO365" s="3229"/>
      <c r="AP365" s="3229"/>
      <c r="AQ365" s="3229"/>
      <c r="AR365" s="3229"/>
      <c r="AS365" s="3229"/>
      <c r="AT365" s="3249"/>
      <c r="AU365" s="3250"/>
      <c r="AV365" s="475">
        <f t="shared" si="262"/>
        <v>0</v>
      </c>
      <c r="AW365" s="475">
        <f t="shared" si="263"/>
        <v>0</v>
      </c>
      <c r="AX365" s="475">
        <f t="shared" si="264"/>
        <v>0</v>
      </c>
      <c r="AY365" s="3266">
        <f t="shared" si="239"/>
        <v>0</v>
      </c>
      <c r="AZ365" s="3199">
        <f t="shared" si="240"/>
        <v>0</v>
      </c>
      <c r="BA365" s="3199">
        <f t="shared" si="241"/>
        <v>0</v>
      </c>
      <c r="BB365" s="3199">
        <f t="shared" si="242"/>
        <v>0</v>
      </c>
      <c r="BC365" s="3199">
        <f t="shared" si="243"/>
        <v>0</v>
      </c>
      <c r="BD365" s="3199">
        <f t="shared" si="244"/>
        <v>0</v>
      </c>
      <c r="BE365" s="3199">
        <f t="shared" si="245"/>
        <v>0</v>
      </c>
      <c r="BF365" s="3199">
        <f t="shared" si="246"/>
        <v>0</v>
      </c>
      <c r="BG365" s="3199">
        <f t="shared" si="247"/>
        <v>0</v>
      </c>
      <c r="BH365" s="3199">
        <f t="shared" si="248"/>
        <v>0</v>
      </c>
      <c r="BI365" s="3199">
        <f t="shared" si="249"/>
        <v>0</v>
      </c>
      <c r="BJ365" s="3199">
        <f t="shared" si="250"/>
        <v>0</v>
      </c>
      <c r="BK365" s="3199">
        <f t="shared" si="251"/>
        <v>0</v>
      </c>
      <c r="BL365" s="3199">
        <f t="shared" si="252"/>
        <v>0</v>
      </c>
      <c r="BM365" s="3199">
        <f t="shared" si="253"/>
        <v>0</v>
      </c>
      <c r="BN365" s="3199">
        <f t="shared" si="254"/>
        <v>0</v>
      </c>
      <c r="BO365" s="3199">
        <f t="shared" si="255"/>
        <v>0</v>
      </c>
      <c r="BP365" s="3199">
        <f t="shared" si="256"/>
        <v>0</v>
      </c>
      <c r="BQ365" s="3199">
        <f t="shared" si="257"/>
        <v>0</v>
      </c>
      <c r="BR365" s="3199">
        <f t="shared" si="258"/>
        <v>0</v>
      </c>
      <c r="BS365" s="3199">
        <f t="shared" si="259"/>
        <v>0</v>
      </c>
      <c r="BT365" s="3271">
        <f t="shared" si="260"/>
        <v>0</v>
      </c>
    </row>
    <row r="366" spans="1:72">
      <c r="A366" s="3197"/>
      <c r="B366" s="3198"/>
      <c r="C366" s="3198"/>
      <c r="D366" s="3193"/>
      <c r="E366" s="3199">
        <f t="shared" si="261"/>
        <v>0</v>
      </c>
      <c r="F366" s="3200"/>
      <c r="G366" s="3201">
        <f t="shared" si="236"/>
        <v>0</v>
      </c>
      <c r="H366" s="3202">
        <f t="shared" si="237"/>
        <v>0</v>
      </c>
      <c r="I366" s="3218"/>
      <c r="J366" s="3218"/>
      <c r="K366" s="3218"/>
      <c r="L366" s="3218"/>
      <c r="M366" s="3218"/>
      <c r="N366" s="3218"/>
      <c r="O366" s="3218"/>
      <c r="P366" s="3218"/>
      <c r="Q366" s="3218"/>
      <c r="R366" s="3218"/>
      <c r="S366" s="3218"/>
      <c r="T366" s="3218"/>
      <c r="U366" s="3218"/>
      <c r="V366" s="3218"/>
      <c r="W366" s="3218"/>
      <c r="X366" s="3218"/>
      <c r="Y366" s="3218"/>
      <c r="Z366" s="3218"/>
      <c r="AA366" s="3218"/>
      <c r="AB366" s="3218"/>
      <c r="AC366" s="3199">
        <f t="shared" si="238"/>
        <v>0</v>
      </c>
      <c r="AD366" s="3229"/>
      <c r="AE366" s="3229"/>
      <c r="AF366" s="3229"/>
      <c r="AG366" s="3229"/>
      <c r="AH366" s="3229"/>
      <c r="AI366" s="3229"/>
      <c r="AJ366" s="3229"/>
      <c r="AK366" s="3229"/>
      <c r="AL366" s="3229"/>
      <c r="AM366" s="3229"/>
      <c r="AN366" s="3229"/>
      <c r="AO366" s="3229"/>
      <c r="AP366" s="3229"/>
      <c r="AQ366" s="3229"/>
      <c r="AR366" s="3229"/>
      <c r="AS366" s="3229"/>
      <c r="AT366" s="3249"/>
      <c r="AU366" s="3250"/>
      <c r="AV366" s="475">
        <f t="shared" si="262"/>
        <v>0</v>
      </c>
      <c r="AW366" s="475">
        <f t="shared" si="263"/>
        <v>0</v>
      </c>
      <c r="AX366" s="475">
        <f t="shared" si="264"/>
        <v>0</v>
      </c>
      <c r="AY366" s="3266">
        <f t="shared" si="239"/>
        <v>0</v>
      </c>
      <c r="AZ366" s="3199">
        <f t="shared" si="240"/>
        <v>0</v>
      </c>
      <c r="BA366" s="3199">
        <f t="shared" si="241"/>
        <v>0</v>
      </c>
      <c r="BB366" s="3199">
        <f t="shared" si="242"/>
        <v>0</v>
      </c>
      <c r="BC366" s="3199">
        <f t="shared" si="243"/>
        <v>0</v>
      </c>
      <c r="BD366" s="3199">
        <f t="shared" si="244"/>
        <v>0</v>
      </c>
      <c r="BE366" s="3199">
        <f t="shared" si="245"/>
        <v>0</v>
      </c>
      <c r="BF366" s="3199">
        <f t="shared" si="246"/>
        <v>0</v>
      </c>
      <c r="BG366" s="3199">
        <f t="shared" si="247"/>
        <v>0</v>
      </c>
      <c r="BH366" s="3199">
        <f t="shared" si="248"/>
        <v>0</v>
      </c>
      <c r="BI366" s="3199">
        <f t="shared" si="249"/>
        <v>0</v>
      </c>
      <c r="BJ366" s="3199">
        <f t="shared" si="250"/>
        <v>0</v>
      </c>
      <c r="BK366" s="3199">
        <f t="shared" si="251"/>
        <v>0</v>
      </c>
      <c r="BL366" s="3199">
        <f t="shared" si="252"/>
        <v>0</v>
      </c>
      <c r="BM366" s="3199">
        <f t="shared" si="253"/>
        <v>0</v>
      </c>
      <c r="BN366" s="3199">
        <f t="shared" si="254"/>
        <v>0</v>
      </c>
      <c r="BO366" s="3199">
        <f t="shared" si="255"/>
        <v>0</v>
      </c>
      <c r="BP366" s="3199">
        <f t="shared" si="256"/>
        <v>0</v>
      </c>
      <c r="BQ366" s="3199">
        <f t="shared" si="257"/>
        <v>0</v>
      </c>
      <c r="BR366" s="3199">
        <f t="shared" si="258"/>
        <v>0</v>
      </c>
      <c r="BS366" s="3199">
        <f t="shared" si="259"/>
        <v>0</v>
      </c>
      <c r="BT366" s="3271">
        <f t="shared" si="260"/>
        <v>0</v>
      </c>
    </row>
    <row r="367" spans="1:72">
      <c r="A367" s="3197"/>
      <c r="B367" s="3198"/>
      <c r="C367" s="3198"/>
      <c r="D367" s="3193"/>
      <c r="E367" s="3199">
        <f t="shared" si="261"/>
        <v>0</v>
      </c>
      <c r="F367" s="3200"/>
      <c r="G367" s="3201">
        <f t="shared" si="236"/>
        <v>0</v>
      </c>
      <c r="H367" s="3202">
        <f t="shared" si="237"/>
        <v>0</v>
      </c>
      <c r="I367" s="3218"/>
      <c r="J367" s="3218"/>
      <c r="K367" s="3218"/>
      <c r="L367" s="3218"/>
      <c r="M367" s="3218"/>
      <c r="N367" s="3218"/>
      <c r="O367" s="3218"/>
      <c r="P367" s="3218"/>
      <c r="Q367" s="3218"/>
      <c r="R367" s="3218"/>
      <c r="S367" s="3218"/>
      <c r="T367" s="3218"/>
      <c r="U367" s="3218"/>
      <c r="V367" s="3218"/>
      <c r="W367" s="3218"/>
      <c r="X367" s="3218"/>
      <c r="Y367" s="3218"/>
      <c r="Z367" s="3218"/>
      <c r="AA367" s="3218"/>
      <c r="AB367" s="3218"/>
      <c r="AC367" s="3199">
        <f t="shared" si="238"/>
        <v>0</v>
      </c>
      <c r="AD367" s="3229"/>
      <c r="AE367" s="3229"/>
      <c r="AF367" s="3229"/>
      <c r="AG367" s="3229"/>
      <c r="AH367" s="3229"/>
      <c r="AI367" s="3229"/>
      <c r="AJ367" s="3229"/>
      <c r="AK367" s="3229"/>
      <c r="AL367" s="3229"/>
      <c r="AM367" s="3229"/>
      <c r="AN367" s="3229"/>
      <c r="AO367" s="3229"/>
      <c r="AP367" s="3229"/>
      <c r="AQ367" s="3229"/>
      <c r="AR367" s="3229"/>
      <c r="AS367" s="3229"/>
      <c r="AT367" s="3249"/>
      <c r="AU367" s="3250"/>
      <c r="AV367" s="475">
        <f t="shared" si="262"/>
        <v>0</v>
      </c>
      <c r="AW367" s="475">
        <f t="shared" si="263"/>
        <v>0</v>
      </c>
      <c r="AX367" s="475">
        <f t="shared" si="264"/>
        <v>0</v>
      </c>
      <c r="AY367" s="3266">
        <f t="shared" si="239"/>
        <v>0</v>
      </c>
      <c r="AZ367" s="3199">
        <f t="shared" si="240"/>
        <v>0</v>
      </c>
      <c r="BA367" s="3199">
        <f t="shared" si="241"/>
        <v>0</v>
      </c>
      <c r="BB367" s="3199">
        <f t="shared" si="242"/>
        <v>0</v>
      </c>
      <c r="BC367" s="3199">
        <f t="shared" si="243"/>
        <v>0</v>
      </c>
      <c r="BD367" s="3199">
        <f t="shared" si="244"/>
        <v>0</v>
      </c>
      <c r="BE367" s="3199">
        <f t="shared" si="245"/>
        <v>0</v>
      </c>
      <c r="BF367" s="3199">
        <f t="shared" si="246"/>
        <v>0</v>
      </c>
      <c r="BG367" s="3199">
        <f t="shared" si="247"/>
        <v>0</v>
      </c>
      <c r="BH367" s="3199">
        <f t="shared" si="248"/>
        <v>0</v>
      </c>
      <c r="BI367" s="3199">
        <f t="shared" si="249"/>
        <v>0</v>
      </c>
      <c r="BJ367" s="3199">
        <f t="shared" si="250"/>
        <v>0</v>
      </c>
      <c r="BK367" s="3199">
        <f t="shared" si="251"/>
        <v>0</v>
      </c>
      <c r="BL367" s="3199">
        <f t="shared" si="252"/>
        <v>0</v>
      </c>
      <c r="BM367" s="3199">
        <f t="shared" si="253"/>
        <v>0</v>
      </c>
      <c r="BN367" s="3199">
        <f t="shared" si="254"/>
        <v>0</v>
      </c>
      <c r="BO367" s="3199">
        <f t="shared" si="255"/>
        <v>0</v>
      </c>
      <c r="BP367" s="3199">
        <f t="shared" si="256"/>
        <v>0</v>
      </c>
      <c r="BQ367" s="3199">
        <f t="shared" si="257"/>
        <v>0</v>
      </c>
      <c r="BR367" s="3199">
        <f t="shared" si="258"/>
        <v>0</v>
      </c>
      <c r="BS367" s="3199">
        <f t="shared" si="259"/>
        <v>0</v>
      </c>
      <c r="BT367" s="3271">
        <f t="shared" si="260"/>
        <v>0</v>
      </c>
    </row>
    <row r="368" spans="1:72">
      <c r="A368" s="3197"/>
      <c r="B368" s="3198"/>
      <c r="C368" s="3198"/>
      <c r="D368" s="3193"/>
      <c r="E368" s="3199">
        <f t="shared" si="261"/>
        <v>0</v>
      </c>
      <c r="F368" s="3200"/>
      <c r="G368" s="3201">
        <f t="shared" si="236"/>
        <v>0</v>
      </c>
      <c r="H368" s="3202">
        <f t="shared" si="237"/>
        <v>0</v>
      </c>
      <c r="I368" s="3218"/>
      <c r="J368" s="3218"/>
      <c r="K368" s="3218"/>
      <c r="L368" s="3218"/>
      <c r="M368" s="3218"/>
      <c r="N368" s="3218"/>
      <c r="O368" s="3218"/>
      <c r="P368" s="3218"/>
      <c r="Q368" s="3218"/>
      <c r="R368" s="3218"/>
      <c r="S368" s="3218"/>
      <c r="T368" s="3218"/>
      <c r="U368" s="3218"/>
      <c r="V368" s="3218"/>
      <c r="W368" s="3218"/>
      <c r="X368" s="3218"/>
      <c r="Y368" s="3218"/>
      <c r="Z368" s="3218"/>
      <c r="AA368" s="3218"/>
      <c r="AB368" s="3218"/>
      <c r="AC368" s="3199">
        <f t="shared" si="238"/>
        <v>0</v>
      </c>
      <c r="AD368" s="3229"/>
      <c r="AE368" s="3229"/>
      <c r="AF368" s="3229"/>
      <c r="AG368" s="3229"/>
      <c r="AH368" s="3229"/>
      <c r="AI368" s="3229"/>
      <c r="AJ368" s="3229"/>
      <c r="AK368" s="3229"/>
      <c r="AL368" s="3229"/>
      <c r="AM368" s="3229"/>
      <c r="AN368" s="3229"/>
      <c r="AO368" s="3229"/>
      <c r="AP368" s="3229"/>
      <c r="AQ368" s="3229"/>
      <c r="AR368" s="3229"/>
      <c r="AS368" s="3229"/>
      <c r="AT368" s="3249"/>
      <c r="AU368" s="3250"/>
      <c r="AV368" s="475">
        <f t="shared" si="262"/>
        <v>0</v>
      </c>
      <c r="AW368" s="475">
        <f t="shared" si="263"/>
        <v>0</v>
      </c>
      <c r="AX368" s="475">
        <f t="shared" si="264"/>
        <v>0</v>
      </c>
      <c r="AY368" s="3266">
        <f t="shared" si="239"/>
        <v>0</v>
      </c>
      <c r="AZ368" s="3199">
        <f t="shared" si="240"/>
        <v>0</v>
      </c>
      <c r="BA368" s="3199">
        <f t="shared" si="241"/>
        <v>0</v>
      </c>
      <c r="BB368" s="3199">
        <f t="shared" si="242"/>
        <v>0</v>
      </c>
      <c r="BC368" s="3199">
        <f t="shared" si="243"/>
        <v>0</v>
      </c>
      <c r="BD368" s="3199">
        <f t="shared" si="244"/>
        <v>0</v>
      </c>
      <c r="BE368" s="3199">
        <f t="shared" si="245"/>
        <v>0</v>
      </c>
      <c r="BF368" s="3199">
        <f t="shared" si="246"/>
        <v>0</v>
      </c>
      <c r="BG368" s="3199">
        <f t="shared" si="247"/>
        <v>0</v>
      </c>
      <c r="BH368" s="3199">
        <f t="shared" si="248"/>
        <v>0</v>
      </c>
      <c r="BI368" s="3199">
        <f t="shared" si="249"/>
        <v>0</v>
      </c>
      <c r="BJ368" s="3199">
        <f t="shared" si="250"/>
        <v>0</v>
      </c>
      <c r="BK368" s="3199">
        <f t="shared" si="251"/>
        <v>0</v>
      </c>
      <c r="BL368" s="3199">
        <f t="shared" si="252"/>
        <v>0</v>
      </c>
      <c r="BM368" s="3199">
        <f t="shared" si="253"/>
        <v>0</v>
      </c>
      <c r="BN368" s="3199">
        <f t="shared" si="254"/>
        <v>0</v>
      </c>
      <c r="BO368" s="3199">
        <f t="shared" si="255"/>
        <v>0</v>
      </c>
      <c r="BP368" s="3199">
        <f t="shared" si="256"/>
        <v>0</v>
      </c>
      <c r="BQ368" s="3199">
        <f t="shared" si="257"/>
        <v>0</v>
      </c>
      <c r="BR368" s="3199">
        <f t="shared" si="258"/>
        <v>0</v>
      </c>
      <c r="BS368" s="3199">
        <f t="shared" si="259"/>
        <v>0</v>
      </c>
      <c r="BT368" s="3271">
        <f t="shared" si="260"/>
        <v>0</v>
      </c>
    </row>
    <row r="369" spans="1:72">
      <c r="A369" s="3197"/>
      <c r="B369" s="3198"/>
      <c r="C369" s="3198"/>
      <c r="D369" s="3193"/>
      <c r="E369" s="3199">
        <f t="shared" si="261"/>
        <v>0</v>
      </c>
      <c r="F369" s="3200"/>
      <c r="G369" s="3201">
        <f t="shared" si="236"/>
        <v>0</v>
      </c>
      <c r="H369" s="3202">
        <f t="shared" si="237"/>
        <v>0</v>
      </c>
      <c r="I369" s="3218"/>
      <c r="J369" s="3218"/>
      <c r="K369" s="3218"/>
      <c r="L369" s="3218"/>
      <c r="M369" s="3218"/>
      <c r="N369" s="3218"/>
      <c r="O369" s="3218"/>
      <c r="P369" s="3218"/>
      <c r="Q369" s="3218"/>
      <c r="R369" s="3218"/>
      <c r="S369" s="3218"/>
      <c r="T369" s="3218"/>
      <c r="U369" s="3218"/>
      <c r="V369" s="3218"/>
      <c r="W369" s="3218"/>
      <c r="X369" s="3218"/>
      <c r="Y369" s="3218"/>
      <c r="Z369" s="3218"/>
      <c r="AA369" s="3218"/>
      <c r="AB369" s="3218"/>
      <c r="AC369" s="3199">
        <f t="shared" si="238"/>
        <v>0</v>
      </c>
      <c r="AD369" s="3229"/>
      <c r="AE369" s="3229"/>
      <c r="AF369" s="3229"/>
      <c r="AG369" s="3229"/>
      <c r="AH369" s="3229"/>
      <c r="AI369" s="3229"/>
      <c r="AJ369" s="3229"/>
      <c r="AK369" s="3229"/>
      <c r="AL369" s="3229"/>
      <c r="AM369" s="3229"/>
      <c r="AN369" s="3229"/>
      <c r="AO369" s="3229"/>
      <c r="AP369" s="3229"/>
      <c r="AQ369" s="3229"/>
      <c r="AR369" s="3229"/>
      <c r="AS369" s="3229"/>
      <c r="AT369" s="3249"/>
      <c r="AU369" s="3250"/>
      <c r="AV369" s="475">
        <f t="shared" si="262"/>
        <v>0</v>
      </c>
      <c r="AW369" s="475">
        <f t="shared" si="263"/>
        <v>0</v>
      </c>
      <c r="AX369" s="475">
        <f t="shared" si="264"/>
        <v>0</v>
      </c>
      <c r="AY369" s="3266">
        <f t="shared" si="239"/>
        <v>0</v>
      </c>
      <c r="AZ369" s="3199">
        <f t="shared" si="240"/>
        <v>0</v>
      </c>
      <c r="BA369" s="3199">
        <f t="shared" si="241"/>
        <v>0</v>
      </c>
      <c r="BB369" s="3199">
        <f t="shared" si="242"/>
        <v>0</v>
      </c>
      <c r="BC369" s="3199">
        <f t="shared" si="243"/>
        <v>0</v>
      </c>
      <c r="BD369" s="3199">
        <f t="shared" si="244"/>
        <v>0</v>
      </c>
      <c r="BE369" s="3199">
        <f t="shared" si="245"/>
        <v>0</v>
      </c>
      <c r="BF369" s="3199">
        <f t="shared" si="246"/>
        <v>0</v>
      </c>
      <c r="BG369" s="3199">
        <f t="shared" si="247"/>
        <v>0</v>
      </c>
      <c r="BH369" s="3199">
        <f t="shared" si="248"/>
        <v>0</v>
      </c>
      <c r="BI369" s="3199">
        <f t="shared" si="249"/>
        <v>0</v>
      </c>
      <c r="BJ369" s="3199">
        <f t="shared" si="250"/>
        <v>0</v>
      </c>
      <c r="BK369" s="3199">
        <f t="shared" si="251"/>
        <v>0</v>
      </c>
      <c r="BL369" s="3199">
        <f t="shared" si="252"/>
        <v>0</v>
      </c>
      <c r="BM369" s="3199">
        <f t="shared" si="253"/>
        <v>0</v>
      </c>
      <c r="BN369" s="3199">
        <f t="shared" si="254"/>
        <v>0</v>
      </c>
      <c r="BO369" s="3199">
        <f t="shared" si="255"/>
        <v>0</v>
      </c>
      <c r="BP369" s="3199">
        <f t="shared" si="256"/>
        <v>0</v>
      </c>
      <c r="BQ369" s="3199">
        <f t="shared" si="257"/>
        <v>0</v>
      </c>
      <c r="BR369" s="3199">
        <f t="shared" si="258"/>
        <v>0</v>
      </c>
      <c r="BS369" s="3199">
        <f t="shared" si="259"/>
        <v>0</v>
      </c>
      <c r="BT369" s="3271">
        <f t="shared" si="260"/>
        <v>0</v>
      </c>
    </row>
    <row r="370" spans="1:72">
      <c r="A370" s="3197"/>
      <c r="B370" s="3198"/>
      <c r="C370" s="3198"/>
      <c r="D370" s="3193"/>
      <c r="E370" s="3199">
        <f t="shared" si="261"/>
        <v>0</v>
      </c>
      <c r="F370" s="3200"/>
      <c r="G370" s="3201">
        <f t="shared" si="236"/>
        <v>0</v>
      </c>
      <c r="H370" s="3202">
        <f t="shared" si="237"/>
        <v>0</v>
      </c>
      <c r="I370" s="3218"/>
      <c r="J370" s="3218"/>
      <c r="K370" s="3218"/>
      <c r="L370" s="3218"/>
      <c r="M370" s="3218"/>
      <c r="N370" s="3218"/>
      <c r="O370" s="3218"/>
      <c r="P370" s="3218"/>
      <c r="Q370" s="3218"/>
      <c r="R370" s="3218"/>
      <c r="S370" s="3218"/>
      <c r="T370" s="3218"/>
      <c r="U370" s="3218"/>
      <c r="V370" s="3218"/>
      <c r="W370" s="3218"/>
      <c r="X370" s="3218"/>
      <c r="Y370" s="3218"/>
      <c r="Z370" s="3218"/>
      <c r="AA370" s="3218"/>
      <c r="AB370" s="3218"/>
      <c r="AC370" s="3199">
        <f t="shared" si="238"/>
        <v>0</v>
      </c>
      <c r="AD370" s="3229"/>
      <c r="AE370" s="3229"/>
      <c r="AF370" s="3229"/>
      <c r="AG370" s="3229"/>
      <c r="AH370" s="3229"/>
      <c r="AI370" s="3229"/>
      <c r="AJ370" s="3229"/>
      <c r="AK370" s="3229"/>
      <c r="AL370" s="3229"/>
      <c r="AM370" s="3229"/>
      <c r="AN370" s="3229"/>
      <c r="AO370" s="3229"/>
      <c r="AP370" s="3229"/>
      <c r="AQ370" s="3229"/>
      <c r="AR370" s="3229"/>
      <c r="AS370" s="3229"/>
      <c r="AT370" s="3249"/>
      <c r="AU370" s="3250"/>
      <c r="AV370" s="475">
        <f t="shared" si="262"/>
        <v>0</v>
      </c>
      <c r="AW370" s="475">
        <f t="shared" si="263"/>
        <v>0</v>
      </c>
      <c r="AX370" s="475">
        <f t="shared" si="264"/>
        <v>0</v>
      </c>
      <c r="AY370" s="3266">
        <f t="shared" si="239"/>
        <v>0</v>
      </c>
      <c r="AZ370" s="3199">
        <f t="shared" si="240"/>
        <v>0</v>
      </c>
      <c r="BA370" s="3199">
        <f t="shared" si="241"/>
        <v>0</v>
      </c>
      <c r="BB370" s="3199">
        <f t="shared" si="242"/>
        <v>0</v>
      </c>
      <c r="BC370" s="3199">
        <f t="shared" si="243"/>
        <v>0</v>
      </c>
      <c r="BD370" s="3199">
        <f t="shared" si="244"/>
        <v>0</v>
      </c>
      <c r="BE370" s="3199">
        <f t="shared" si="245"/>
        <v>0</v>
      </c>
      <c r="BF370" s="3199">
        <f t="shared" si="246"/>
        <v>0</v>
      </c>
      <c r="BG370" s="3199">
        <f t="shared" si="247"/>
        <v>0</v>
      </c>
      <c r="BH370" s="3199">
        <f t="shared" si="248"/>
        <v>0</v>
      </c>
      <c r="BI370" s="3199">
        <f t="shared" si="249"/>
        <v>0</v>
      </c>
      <c r="BJ370" s="3199">
        <f t="shared" si="250"/>
        <v>0</v>
      </c>
      <c r="BK370" s="3199">
        <f t="shared" si="251"/>
        <v>0</v>
      </c>
      <c r="BL370" s="3199">
        <f t="shared" si="252"/>
        <v>0</v>
      </c>
      <c r="BM370" s="3199">
        <f t="shared" si="253"/>
        <v>0</v>
      </c>
      <c r="BN370" s="3199">
        <f t="shared" si="254"/>
        <v>0</v>
      </c>
      <c r="BO370" s="3199">
        <f t="shared" si="255"/>
        <v>0</v>
      </c>
      <c r="BP370" s="3199">
        <f t="shared" si="256"/>
        <v>0</v>
      </c>
      <c r="BQ370" s="3199">
        <f t="shared" si="257"/>
        <v>0</v>
      </c>
      <c r="BR370" s="3199">
        <f t="shared" si="258"/>
        <v>0</v>
      </c>
      <c r="BS370" s="3199">
        <f t="shared" si="259"/>
        <v>0</v>
      </c>
      <c r="BT370" s="3271">
        <f t="shared" si="260"/>
        <v>0</v>
      </c>
    </row>
    <row r="371" spans="1:72">
      <c r="A371" s="3197"/>
      <c r="B371" s="3198"/>
      <c r="C371" s="3198"/>
      <c r="D371" s="3193"/>
      <c r="E371" s="3199">
        <f t="shared" si="261"/>
        <v>0</v>
      </c>
      <c r="F371" s="3200"/>
      <c r="G371" s="3201">
        <f t="shared" si="236"/>
        <v>0</v>
      </c>
      <c r="H371" s="3202">
        <f t="shared" si="237"/>
        <v>0</v>
      </c>
      <c r="I371" s="3218"/>
      <c r="J371" s="3218"/>
      <c r="K371" s="3218"/>
      <c r="L371" s="3218"/>
      <c r="M371" s="3218"/>
      <c r="N371" s="3218"/>
      <c r="O371" s="3218"/>
      <c r="P371" s="3218"/>
      <c r="Q371" s="3218"/>
      <c r="R371" s="3218"/>
      <c r="S371" s="3218"/>
      <c r="T371" s="3218"/>
      <c r="U371" s="3218"/>
      <c r="V371" s="3218"/>
      <c r="W371" s="3218"/>
      <c r="X371" s="3218"/>
      <c r="Y371" s="3218"/>
      <c r="Z371" s="3218"/>
      <c r="AA371" s="3218"/>
      <c r="AB371" s="3218"/>
      <c r="AC371" s="3199">
        <f t="shared" si="238"/>
        <v>0</v>
      </c>
      <c r="AD371" s="3229"/>
      <c r="AE371" s="3229"/>
      <c r="AF371" s="3229"/>
      <c r="AG371" s="3229"/>
      <c r="AH371" s="3229"/>
      <c r="AI371" s="3229"/>
      <c r="AJ371" s="3229"/>
      <c r="AK371" s="3229"/>
      <c r="AL371" s="3229"/>
      <c r="AM371" s="3229"/>
      <c r="AN371" s="3229"/>
      <c r="AO371" s="3229"/>
      <c r="AP371" s="3229"/>
      <c r="AQ371" s="3229"/>
      <c r="AR371" s="3229"/>
      <c r="AS371" s="3229"/>
      <c r="AT371" s="3249"/>
      <c r="AU371" s="3250"/>
      <c r="AV371" s="475">
        <f t="shared" si="262"/>
        <v>0</v>
      </c>
      <c r="AW371" s="475">
        <f t="shared" si="263"/>
        <v>0</v>
      </c>
      <c r="AX371" s="475">
        <f t="shared" si="264"/>
        <v>0</v>
      </c>
      <c r="AY371" s="3266">
        <f t="shared" si="239"/>
        <v>0</v>
      </c>
      <c r="AZ371" s="3199">
        <f t="shared" si="240"/>
        <v>0</v>
      </c>
      <c r="BA371" s="3199">
        <f t="shared" si="241"/>
        <v>0</v>
      </c>
      <c r="BB371" s="3199">
        <f t="shared" si="242"/>
        <v>0</v>
      </c>
      <c r="BC371" s="3199">
        <f t="shared" si="243"/>
        <v>0</v>
      </c>
      <c r="BD371" s="3199">
        <f t="shared" si="244"/>
        <v>0</v>
      </c>
      <c r="BE371" s="3199">
        <f t="shared" si="245"/>
        <v>0</v>
      </c>
      <c r="BF371" s="3199">
        <f t="shared" si="246"/>
        <v>0</v>
      </c>
      <c r="BG371" s="3199">
        <f t="shared" si="247"/>
        <v>0</v>
      </c>
      <c r="BH371" s="3199">
        <f t="shared" si="248"/>
        <v>0</v>
      </c>
      <c r="BI371" s="3199">
        <f t="shared" si="249"/>
        <v>0</v>
      </c>
      <c r="BJ371" s="3199">
        <f t="shared" si="250"/>
        <v>0</v>
      </c>
      <c r="BK371" s="3199">
        <f t="shared" si="251"/>
        <v>0</v>
      </c>
      <c r="BL371" s="3199">
        <f t="shared" si="252"/>
        <v>0</v>
      </c>
      <c r="BM371" s="3199">
        <f t="shared" si="253"/>
        <v>0</v>
      </c>
      <c r="BN371" s="3199">
        <f t="shared" si="254"/>
        <v>0</v>
      </c>
      <c r="BO371" s="3199">
        <f t="shared" si="255"/>
        <v>0</v>
      </c>
      <c r="BP371" s="3199">
        <f t="shared" si="256"/>
        <v>0</v>
      </c>
      <c r="BQ371" s="3199">
        <f t="shared" si="257"/>
        <v>0</v>
      </c>
      <c r="BR371" s="3199">
        <f t="shared" si="258"/>
        <v>0</v>
      </c>
      <c r="BS371" s="3199">
        <f t="shared" si="259"/>
        <v>0</v>
      </c>
      <c r="BT371" s="3271">
        <f t="shared" si="260"/>
        <v>0</v>
      </c>
    </row>
    <row r="372" spans="1:72">
      <c r="A372" s="3197"/>
      <c r="B372" s="3198"/>
      <c r="C372" s="3198"/>
      <c r="D372" s="3193"/>
      <c r="E372" s="3199">
        <f t="shared" si="261"/>
        <v>0</v>
      </c>
      <c r="F372" s="3200"/>
      <c r="G372" s="3201">
        <f t="shared" si="236"/>
        <v>0</v>
      </c>
      <c r="H372" s="3202">
        <f t="shared" si="237"/>
        <v>0</v>
      </c>
      <c r="I372" s="3218"/>
      <c r="J372" s="3218"/>
      <c r="K372" s="3218"/>
      <c r="L372" s="3218"/>
      <c r="M372" s="3218"/>
      <c r="N372" s="3218"/>
      <c r="O372" s="3218"/>
      <c r="P372" s="3218"/>
      <c r="Q372" s="3218"/>
      <c r="R372" s="3218"/>
      <c r="S372" s="3218"/>
      <c r="T372" s="3218"/>
      <c r="U372" s="3218"/>
      <c r="V372" s="3218"/>
      <c r="W372" s="3218"/>
      <c r="X372" s="3218"/>
      <c r="Y372" s="3218"/>
      <c r="Z372" s="3218"/>
      <c r="AA372" s="3218"/>
      <c r="AB372" s="3218"/>
      <c r="AC372" s="3199">
        <f t="shared" si="238"/>
        <v>0</v>
      </c>
      <c r="AD372" s="3229"/>
      <c r="AE372" s="3229"/>
      <c r="AF372" s="3229"/>
      <c r="AG372" s="3229"/>
      <c r="AH372" s="3229"/>
      <c r="AI372" s="3229"/>
      <c r="AJ372" s="3229"/>
      <c r="AK372" s="3229"/>
      <c r="AL372" s="3229"/>
      <c r="AM372" s="3229"/>
      <c r="AN372" s="3229"/>
      <c r="AO372" s="3229"/>
      <c r="AP372" s="3229"/>
      <c r="AQ372" s="3229"/>
      <c r="AR372" s="3229"/>
      <c r="AS372" s="3229"/>
      <c r="AT372" s="3249"/>
      <c r="AU372" s="3250"/>
      <c r="AV372" s="475">
        <f t="shared" si="262"/>
        <v>0</v>
      </c>
      <c r="AW372" s="475">
        <f t="shared" si="263"/>
        <v>0</v>
      </c>
      <c r="AX372" s="475">
        <f t="shared" si="264"/>
        <v>0</v>
      </c>
      <c r="AY372" s="3266">
        <f t="shared" si="239"/>
        <v>0</v>
      </c>
      <c r="AZ372" s="3199">
        <f t="shared" si="240"/>
        <v>0</v>
      </c>
      <c r="BA372" s="3199">
        <f t="shared" si="241"/>
        <v>0</v>
      </c>
      <c r="BB372" s="3199">
        <f t="shared" si="242"/>
        <v>0</v>
      </c>
      <c r="BC372" s="3199">
        <f t="shared" si="243"/>
        <v>0</v>
      </c>
      <c r="BD372" s="3199">
        <f t="shared" si="244"/>
        <v>0</v>
      </c>
      <c r="BE372" s="3199">
        <f t="shared" si="245"/>
        <v>0</v>
      </c>
      <c r="BF372" s="3199">
        <f t="shared" si="246"/>
        <v>0</v>
      </c>
      <c r="BG372" s="3199">
        <f t="shared" si="247"/>
        <v>0</v>
      </c>
      <c r="BH372" s="3199">
        <f t="shared" si="248"/>
        <v>0</v>
      </c>
      <c r="BI372" s="3199">
        <f t="shared" si="249"/>
        <v>0</v>
      </c>
      <c r="BJ372" s="3199">
        <f t="shared" si="250"/>
        <v>0</v>
      </c>
      <c r="BK372" s="3199">
        <f t="shared" si="251"/>
        <v>0</v>
      </c>
      <c r="BL372" s="3199">
        <f t="shared" si="252"/>
        <v>0</v>
      </c>
      <c r="BM372" s="3199">
        <f t="shared" si="253"/>
        <v>0</v>
      </c>
      <c r="BN372" s="3199">
        <f t="shared" si="254"/>
        <v>0</v>
      </c>
      <c r="BO372" s="3199">
        <f t="shared" si="255"/>
        <v>0</v>
      </c>
      <c r="BP372" s="3199">
        <f t="shared" si="256"/>
        <v>0</v>
      </c>
      <c r="BQ372" s="3199">
        <f t="shared" si="257"/>
        <v>0</v>
      </c>
      <c r="BR372" s="3199">
        <f t="shared" si="258"/>
        <v>0</v>
      </c>
      <c r="BS372" s="3199">
        <f t="shared" si="259"/>
        <v>0</v>
      </c>
      <c r="BT372" s="3271">
        <f t="shared" si="260"/>
        <v>0</v>
      </c>
    </row>
    <row r="373" spans="1:72">
      <c r="A373" s="3197"/>
      <c r="B373" s="3198"/>
      <c r="C373" s="3198"/>
      <c r="D373" s="3193"/>
      <c r="E373" s="3199">
        <f t="shared" si="261"/>
        <v>0</v>
      </c>
      <c r="F373" s="3200"/>
      <c r="G373" s="3201">
        <f t="shared" si="236"/>
        <v>0</v>
      </c>
      <c r="H373" s="3202">
        <f t="shared" si="237"/>
        <v>0</v>
      </c>
      <c r="I373" s="3218"/>
      <c r="J373" s="3218"/>
      <c r="K373" s="3218"/>
      <c r="L373" s="3218"/>
      <c r="M373" s="3218"/>
      <c r="N373" s="3218"/>
      <c r="O373" s="3218"/>
      <c r="P373" s="3218"/>
      <c r="Q373" s="3218"/>
      <c r="R373" s="3218"/>
      <c r="S373" s="3218"/>
      <c r="T373" s="3218"/>
      <c r="U373" s="3218"/>
      <c r="V373" s="3218"/>
      <c r="W373" s="3218"/>
      <c r="X373" s="3218"/>
      <c r="Y373" s="3218"/>
      <c r="Z373" s="3218"/>
      <c r="AA373" s="3218"/>
      <c r="AB373" s="3218"/>
      <c r="AC373" s="3199">
        <f t="shared" si="238"/>
        <v>0</v>
      </c>
      <c r="AD373" s="3229"/>
      <c r="AE373" s="3229"/>
      <c r="AF373" s="3229"/>
      <c r="AG373" s="3229"/>
      <c r="AH373" s="3229"/>
      <c r="AI373" s="3229"/>
      <c r="AJ373" s="3229"/>
      <c r="AK373" s="3229"/>
      <c r="AL373" s="3229"/>
      <c r="AM373" s="3229"/>
      <c r="AN373" s="3229"/>
      <c r="AO373" s="3229"/>
      <c r="AP373" s="3229"/>
      <c r="AQ373" s="3229"/>
      <c r="AR373" s="3229"/>
      <c r="AS373" s="3229"/>
      <c r="AT373" s="3249"/>
      <c r="AU373" s="3250"/>
      <c r="AV373" s="475">
        <f t="shared" si="262"/>
        <v>0</v>
      </c>
      <c r="AW373" s="475">
        <f t="shared" si="263"/>
        <v>0</v>
      </c>
      <c r="AX373" s="475">
        <f t="shared" si="264"/>
        <v>0</v>
      </c>
      <c r="AY373" s="3266">
        <f t="shared" si="239"/>
        <v>0</v>
      </c>
      <c r="AZ373" s="3199">
        <f t="shared" si="240"/>
        <v>0</v>
      </c>
      <c r="BA373" s="3199">
        <f t="shared" si="241"/>
        <v>0</v>
      </c>
      <c r="BB373" s="3199">
        <f t="shared" si="242"/>
        <v>0</v>
      </c>
      <c r="BC373" s="3199">
        <f t="shared" si="243"/>
        <v>0</v>
      </c>
      <c r="BD373" s="3199">
        <f t="shared" si="244"/>
        <v>0</v>
      </c>
      <c r="BE373" s="3199">
        <f t="shared" si="245"/>
        <v>0</v>
      </c>
      <c r="BF373" s="3199">
        <f t="shared" si="246"/>
        <v>0</v>
      </c>
      <c r="BG373" s="3199">
        <f t="shared" si="247"/>
        <v>0</v>
      </c>
      <c r="BH373" s="3199">
        <f t="shared" si="248"/>
        <v>0</v>
      </c>
      <c r="BI373" s="3199">
        <f t="shared" si="249"/>
        <v>0</v>
      </c>
      <c r="BJ373" s="3199">
        <f t="shared" si="250"/>
        <v>0</v>
      </c>
      <c r="BK373" s="3199">
        <f t="shared" si="251"/>
        <v>0</v>
      </c>
      <c r="BL373" s="3199">
        <f t="shared" si="252"/>
        <v>0</v>
      </c>
      <c r="BM373" s="3199">
        <f t="shared" si="253"/>
        <v>0</v>
      </c>
      <c r="BN373" s="3199">
        <f t="shared" si="254"/>
        <v>0</v>
      </c>
      <c r="BO373" s="3199">
        <f t="shared" si="255"/>
        <v>0</v>
      </c>
      <c r="BP373" s="3199">
        <f t="shared" si="256"/>
        <v>0</v>
      </c>
      <c r="BQ373" s="3199">
        <f t="shared" si="257"/>
        <v>0</v>
      </c>
      <c r="BR373" s="3199">
        <f t="shared" si="258"/>
        <v>0</v>
      </c>
      <c r="BS373" s="3199">
        <f t="shared" si="259"/>
        <v>0</v>
      </c>
      <c r="BT373" s="3271">
        <f t="shared" si="260"/>
        <v>0</v>
      </c>
    </row>
    <row r="374" spans="1:72">
      <c r="A374" s="3197"/>
      <c r="B374" s="3198"/>
      <c r="C374" s="3198"/>
      <c r="D374" s="3193"/>
      <c r="E374" s="3199">
        <f t="shared" si="261"/>
        <v>0</v>
      </c>
      <c r="F374" s="3200"/>
      <c r="G374" s="3201">
        <f t="shared" si="236"/>
        <v>0</v>
      </c>
      <c r="H374" s="3202">
        <f t="shared" si="237"/>
        <v>0</v>
      </c>
      <c r="I374" s="3218"/>
      <c r="J374" s="3218"/>
      <c r="K374" s="3218"/>
      <c r="L374" s="3218"/>
      <c r="M374" s="3218"/>
      <c r="N374" s="3218"/>
      <c r="O374" s="3218"/>
      <c r="P374" s="3218"/>
      <c r="Q374" s="3218"/>
      <c r="R374" s="3218"/>
      <c r="S374" s="3218"/>
      <c r="T374" s="3218"/>
      <c r="U374" s="3218"/>
      <c r="V374" s="3218"/>
      <c r="W374" s="3218"/>
      <c r="X374" s="3218"/>
      <c r="Y374" s="3218"/>
      <c r="Z374" s="3218"/>
      <c r="AA374" s="3218"/>
      <c r="AB374" s="3218"/>
      <c r="AC374" s="3199">
        <f t="shared" si="238"/>
        <v>0</v>
      </c>
      <c r="AD374" s="3229"/>
      <c r="AE374" s="3229"/>
      <c r="AF374" s="3229"/>
      <c r="AG374" s="3229"/>
      <c r="AH374" s="3229"/>
      <c r="AI374" s="3229"/>
      <c r="AJ374" s="3229"/>
      <c r="AK374" s="3229"/>
      <c r="AL374" s="3229"/>
      <c r="AM374" s="3229"/>
      <c r="AN374" s="3229"/>
      <c r="AO374" s="3229"/>
      <c r="AP374" s="3229"/>
      <c r="AQ374" s="3229"/>
      <c r="AR374" s="3229"/>
      <c r="AS374" s="3229"/>
      <c r="AT374" s="3249"/>
      <c r="AU374" s="3250"/>
      <c r="AV374" s="475">
        <f t="shared" si="262"/>
        <v>0</v>
      </c>
      <c r="AW374" s="475">
        <f t="shared" si="263"/>
        <v>0</v>
      </c>
      <c r="AX374" s="475">
        <f t="shared" si="264"/>
        <v>0</v>
      </c>
      <c r="AY374" s="3266">
        <f t="shared" si="239"/>
        <v>0</v>
      </c>
      <c r="AZ374" s="3199">
        <f t="shared" si="240"/>
        <v>0</v>
      </c>
      <c r="BA374" s="3199">
        <f t="shared" si="241"/>
        <v>0</v>
      </c>
      <c r="BB374" s="3199">
        <f t="shared" si="242"/>
        <v>0</v>
      </c>
      <c r="BC374" s="3199">
        <f t="shared" si="243"/>
        <v>0</v>
      </c>
      <c r="BD374" s="3199">
        <f t="shared" si="244"/>
        <v>0</v>
      </c>
      <c r="BE374" s="3199">
        <f t="shared" si="245"/>
        <v>0</v>
      </c>
      <c r="BF374" s="3199">
        <f t="shared" si="246"/>
        <v>0</v>
      </c>
      <c r="BG374" s="3199">
        <f t="shared" si="247"/>
        <v>0</v>
      </c>
      <c r="BH374" s="3199">
        <f t="shared" si="248"/>
        <v>0</v>
      </c>
      <c r="BI374" s="3199">
        <f t="shared" si="249"/>
        <v>0</v>
      </c>
      <c r="BJ374" s="3199">
        <f t="shared" si="250"/>
        <v>0</v>
      </c>
      <c r="BK374" s="3199">
        <f t="shared" si="251"/>
        <v>0</v>
      </c>
      <c r="BL374" s="3199">
        <f t="shared" si="252"/>
        <v>0</v>
      </c>
      <c r="BM374" s="3199">
        <f t="shared" si="253"/>
        <v>0</v>
      </c>
      <c r="BN374" s="3199">
        <f t="shared" si="254"/>
        <v>0</v>
      </c>
      <c r="BO374" s="3199">
        <f t="shared" si="255"/>
        <v>0</v>
      </c>
      <c r="BP374" s="3199">
        <f t="shared" si="256"/>
        <v>0</v>
      </c>
      <c r="BQ374" s="3199">
        <f t="shared" si="257"/>
        <v>0</v>
      </c>
      <c r="BR374" s="3199">
        <f t="shared" si="258"/>
        <v>0</v>
      </c>
      <c r="BS374" s="3199">
        <f t="shared" si="259"/>
        <v>0</v>
      </c>
      <c r="BT374" s="3271">
        <f t="shared" si="260"/>
        <v>0</v>
      </c>
    </row>
    <row r="375" spans="1:72">
      <c r="A375" s="3197"/>
      <c r="B375" s="3198"/>
      <c r="C375" s="3198"/>
      <c r="D375" s="3193"/>
      <c r="E375" s="3199">
        <f t="shared" si="261"/>
        <v>0</v>
      </c>
      <c r="F375" s="3200"/>
      <c r="G375" s="3201">
        <f t="shared" si="236"/>
        <v>0</v>
      </c>
      <c r="H375" s="3202">
        <f t="shared" si="237"/>
        <v>0</v>
      </c>
      <c r="I375" s="3218"/>
      <c r="J375" s="3218"/>
      <c r="K375" s="3218"/>
      <c r="L375" s="3218"/>
      <c r="M375" s="3218"/>
      <c r="N375" s="3218"/>
      <c r="O375" s="3218"/>
      <c r="P375" s="3218"/>
      <c r="Q375" s="3218"/>
      <c r="R375" s="3218"/>
      <c r="S375" s="3218"/>
      <c r="T375" s="3218"/>
      <c r="U375" s="3218"/>
      <c r="V375" s="3218"/>
      <c r="W375" s="3218"/>
      <c r="X375" s="3218"/>
      <c r="Y375" s="3218"/>
      <c r="Z375" s="3218"/>
      <c r="AA375" s="3218"/>
      <c r="AB375" s="3218"/>
      <c r="AC375" s="3199">
        <f t="shared" si="238"/>
        <v>0</v>
      </c>
      <c r="AD375" s="3229"/>
      <c r="AE375" s="3229"/>
      <c r="AF375" s="3229"/>
      <c r="AG375" s="3229"/>
      <c r="AH375" s="3229"/>
      <c r="AI375" s="3229"/>
      <c r="AJ375" s="3229"/>
      <c r="AK375" s="3229"/>
      <c r="AL375" s="3229"/>
      <c r="AM375" s="3229"/>
      <c r="AN375" s="3229"/>
      <c r="AO375" s="3229"/>
      <c r="AP375" s="3229"/>
      <c r="AQ375" s="3229"/>
      <c r="AR375" s="3229"/>
      <c r="AS375" s="3229"/>
      <c r="AT375" s="3249"/>
      <c r="AU375" s="3250"/>
      <c r="AV375" s="475">
        <f t="shared" si="262"/>
        <v>0</v>
      </c>
      <c r="AW375" s="475">
        <f t="shared" si="263"/>
        <v>0</v>
      </c>
      <c r="AX375" s="475">
        <f t="shared" si="264"/>
        <v>0</v>
      </c>
      <c r="AY375" s="3266">
        <f t="shared" si="239"/>
        <v>0</v>
      </c>
      <c r="AZ375" s="3199">
        <f t="shared" si="240"/>
        <v>0</v>
      </c>
      <c r="BA375" s="3199">
        <f t="shared" si="241"/>
        <v>0</v>
      </c>
      <c r="BB375" s="3199">
        <f t="shared" si="242"/>
        <v>0</v>
      </c>
      <c r="BC375" s="3199">
        <f t="shared" si="243"/>
        <v>0</v>
      </c>
      <c r="BD375" s="3199">
        <f t="shared" si="244"/>
        <v>0</v>
      </c>
      <c r="BE375" s="3199">
        <f t="shared" si="245"/>
        <v>0</v>
      </c>
      <c r="BF375" s="3199">
        <f t="shared" si="246"/>
        <v>0</v>
      </c>
      <c r="BG375" s="3199">
        <f t="shared" si="247"/>
        <v>0</v>
      </c>
      <c r="BH375" s="3199">
        <f t="shared" si="248"/>
        <v>0</v>
      </c>
      <c r="BI375" s="3199">
        <f t="shared" si="249"/>
        <v>0</v>
      </c>
      <c r="BJ375" s="3199">
        <f t="shared" si="250"/>
        <v>0</v>
      </c>
      <c r="BK375" s="3199">
        <f t="shared" si="251"/>
        <v>0</v>
      </c>
      <c r="BL375" s="3199">
        <f t="shared" si="252"/>
        <v>0</v>
      </c>
      <c r="BM375" s="3199">
        <f t="shared" si="253"/>
        <v>0</v>
      </c>
      <c r="BN375" s="3199">
        <f t="shared" si="254"/>
        <v>0</v>
      </c>
      <c r="BO375" s="3199">
        <f t="shared" si="255"/>
        <v>0</v>
      </c>
      <c r="BP375" s="3199">
        <f t="shared" si="256"/>
        <v>0</v>
      </c>
      <c r="BQ375" s="3199">
        <f t="shared" si="257"/>
        <v>0</v>
      </c>
      <c r="BR375" s="3199">
        <f t="shared" si="258"/>
        <v>0</v>
      </c>
      <c r="BS375" s="3199">
        <f t="shared" si="259"/>
        <v>0</v>
      </c>
      <c r="BT375" s="3271">
        <f t="shared" si="260"/>
        <v>0</v>
      </c>
    </row>
    <row r="376" spans="1:72">
      <c r="A376" s="3197"/>
      <c r="B376" s="3198"/>
      <c r="C376" s="3198"/>
      <c r="D376" s="3193"/>
      <c r="E376" s="3199">
        <f t="shared" si="261"/>
        <v>0</v>
      </c>
      <c r="F376" s="3200"/>
      <c r="G376" s="3201">
        <f t="shared" si="236"/>
        <v>0</v>
      </c>
      <c r="H376" s="3202">
        <f t="shared" si="237"/>
        <v>0</v>
      </c>
      <c r="I376" s="3218"/>
      <c r="J376" s="3218"/>
      <c r="K376" s="3218"/>
      <c r="L376" s="3218"/>
      <c r="M376" s="3218"/>
      <c r="N376" s="3218"/>
      <c r="O376" s="3218"/>
      <c r="P376" s="3218"/>
      <c r="Q376" s="3218"/>
      <c r="R376" s="3218"/>
      <c r="S376" s="3218"/>
      <c r="T376" s="3218"/>
      <c r="U376" s="3218"/>
      <c r="V376" s="3218"/>
      <c r="W376" s="3218"/>
      <c r="X376" s="3218"/>
      <c r="Y376" s="3218"/>
      <c r="Z376" s="3218"/>
      <c r="AA376" s="3218"/>
      <c r="AB376" s="3218"/>
      <c r="AC376" s="3199">
        <f t="shared" si="238"/>
        <v>0</v>
      </c>
      <c r="AD376" s="3229"/>
      <c r="AE376" s="3229"/>
      <c r="AF376" s="3229"/>
      <c r="AG376" s="3229"/>
      <c r="AH376" s="3229"/>
      <c r="AI376" s="3229"/>
      <c r="AJ376" s="3229"/>
      <c r="AK376" s="3229"/>
      <c r="AL376" s="3229"/>
      <c r="AM376" s="3229"/>
      <c r="AN376" s="3229"/>
      <c r="AO376" s="3229"/>
      <c r="AP376" s="3229"/>
      <c r="AQ376" s="3229"/>
      <c r="AR376" s="3229"/>
      <c r="AS376" s="3229"/>
      <c r="AT376" s="3249"/>
      <c r="AU376" s="3250"/>
      <c r="AV376" s="475">
        <f t="shared" si="262"/>
        <v>0</v>
      </c>
      <c r="AW376" s="475">
        <f t="shared" si="263"/>
        <v>0</v>
      </c>
      <c r="AX376" s="475">
        <f t="shared" si="264"/>
        <v>0</v>
      </c>
      <c r="AY376" s="3266">
        <f t="shared" si="239"/>
        <v>0</v>
      </c>
      <c r="AZ376" s="3199">
        <f t="shared" si="240"/>
        <v>0</v>
      </c>
      <c r="BA376" s="3199">
        <f t="shared" si="241"/>
        <v>0</v>
      </c>
      <c r="BB376" s="3199">
        <f t="shared" si="242"/>
        <v>0</v>
      </c>
      <c r="BC376" s="3199">
        <f t="shared" si="243"/>
        <v>0</v>
      </c>
      <c r="BD376" s="3199">
        <f t="shared" si="244"/>
        <v>0</v>
      </c>
      <c r="BE376" s="3199">
        <f t="shared" si="245"/>
        <v>0</v>
      </c>
      <c r="BF376" s="3199">
        <f t="shared" si="246"/>
        <v>0</v>
      </c>
      <c r="BG376" s="3199">
        <f t="shared" si="247"/>
        <v>0</v>
      </c>
      <c r="BH376" s="3199">
        <f t="shared" si="248"/>
        <v>0</v>
      </c>
      <c r="BI376" s="3199">
        <f t="shared" si="249"/>
        <v>0</v>
      </c>
      <c r="BJ376" s="3199">
        <f t="shared" si="250"/>
        <v>0</v>
      </c>
      <c r="BK376" s="3199">
        <f t="shared" si="251"/>
        <v>0</v>
      </c>
      <c r="BL376" s="3199">
        <f t="shared" si="252"/>
        <v>0</v>
      </c>
      <c r="BM376" s="3199">
        <f t="shared" si="253"/>
        <v>0</v>
      </c>
      <c r="BN376" s="3199">
        <f t="shared" si="254"/>
        <v>0</v>
      </c>
      <c r="BO376" s="3199">
        <f t="shared" si="255"/>
        <v>0</v>
      </c>
      <c r="BP376" s="3199">
        <f t="shared" si="256"/>
        <v>0</v>
      </c>
      <c r="BQ376" s="3199">
        <f t="shared" si="257"/>
        <v>0</v>
      </c>
      <c r="BR376" s="3199">
        <f t="shared" si="258"/>
        <v>0</v>
      </c>
      <c r="BS376" s="3199">
        <f t="shared" si="259"/>
        <v>0</v>
      </c>
      <c r="BT376" s="3271">
        <f t="shared" si="260"/>
        <v>0</v>
      </c>
    </row>
    <row r="377" spans="1:72">
      <c r="A377" s="3197"/>
      <c r="B377" s="3198"/>
      <c r="C377" s="3198"/>
      <c r="D377" s="3193"/>
      <c r="E377" s="3199">
        <f t="shared" si="261"/>
        <v>0</v>
      </c>
      <c r="F377" s="3200"/>
      <c r="G377" s="3201">
        <f t="shared" si="236"/>
        <v>0</v>
      </c>
      <c r="H377" s="3202">
        <f t="shared" si="237"/>
        <v>0</v>
      </c>
      <c r="I377" s="3218"/>
      <c r="J377" s="3218"/>
      <c r="K377" s="3218"/>
      <c r="L377" s="3218"/>
      <c r="M377" s="3218"/>
      <c r="N377" s="3218"/>
      <c r="O377" s="3218"/>
      <c r="P377" s="3218"/>
      <c r="Q377" s="3218"/>
      <c r="R377" s="3218"/>
      <c r="S377" s="3218"/>
      <c r="T377" s="3218"/>
      <c r="U377" s="3218"/>
      <c r="V377" s="3218"/>
      <c r="W377" s="3218"/>
      <c r="X377" s="3218"/>
      <c r="Y377" s="3218"/>
      <c r="Z377" s="3218"/>
      <c r="AA377" s="3218"/>
      <c r="AB377" s="3218"/>
      <c r="AC377" s="3199">
        <f t="shared" si="238"/>
        <v>0</v>
      </c>
      <c r="AD377" s="3229"/>
      <c r="AE377" s="3229"/>
      <c r="AF377" s="3229"/>
      <c r="AG377" s="3229"/>
      <c r="AH377" s="3229"/>
      <c r="AI377" s="3229"/>
      <c r="AJ377" s="3229"/>
      <c r="AK377" s="3229"/>
      <c r="AL377" s="3229"/>
      <c r="AM377" s="3229"/>
      <c r="AN377" s="3229"/>
      <c r="AO377" s="3229"/>
      <c r="AP377" s="3229"/>
      <c r="AQ377" s="3229"/>
      <c r="AR377" s="3229"/>
      <c r="AS377" s="3229"/>
      <c r="AT377" s="3249"/>
      <c r="AU377" s="3250"/>
      <c r="AV377" s="475">
        <f t="shared" si="262"/>
        <v>0</v>
      </c>
      <c r="AW377" s="475">
        <f t="shared" si="263"/>
        <v>0</v>
      </c>
      <c r="AX377" s="475">
        <f t="shared" si="264"/>
        <v>0</v>
      </c>
      <c r="AY377" s="3266">
        <f t="shared" si="239"/>
        <v>0</v>
      </c>
      <c r="AZ377" s="3199">
        <f t="shared" si="240"/>
        <v>0</v>
      </c>
      <c r="BA377" s="3199">
        <f t="shared" si="241"/>
        <v>0</v>
      </c>
      <c r="BB377" s="3199">
        <f t="shared" si="242"/>
        <v>0</v>
      </c>
      <c r="BC377" s="3199">
        <f t="shared" si="243"/>
        <v>0</v>
      </c>
      <c r="BD377" s="3199">
        <f t="shared" si="244"/>
        <v>0</v>
      </c>
      <c r="BE377" s="3199">
        <f t="shared" si="245"/>
        <v>0</v>
      </c>
      <c r="BF377" s="3199">
        <f t="shared" si="246"/>
        <v>0</v>
      </c>
      <c r="BG377" s="3199">
        <f t="shared" si="247"/>
        <v>0</v>
      </c>
      <c r="BH377" s="3199">
        <f t="shared" si="248"/>
        <v>0</v>
      </c>
      <c r="BI377" s="3199">
        <f t="shared" si="249"/>
        <v>0</v>
      </c>
      <c r="BJ377" s="3199">
        <f t="shared" si="250"/>
        <v>0</v>
      </c>
      <c r="BK377" s="3199">
        <f t="shared" si="251"/>
        <v>0</v>
      </c>
      <c r="BL377" s="3199">
        <f t="shared" si="252"/>
        <v>0</v>
      </c>
      <c r="BM377" s="3199">
        <f t="shared" si="253"/>
        <v>0</v>
      </c>
      <c r="BN377" s="3199">
        <f t="shared" si="254"/>
        <v>0</v>
      </c>
      <c r="BO377" s="3199">
        <f t="shared" si="255"/>
        <v>0</v>
      </c>
      <c r="BP377" s="3199">
        <f t="shared" si="256"/>
        <v>0</v>
      </c>
      <c r="BQ377" s="3199">
        <f t="shared" si="257"/>
        <v>0</v>
      </c>
      <c r="BR377" s="3199">
        <f t="shared" si="258"/>
        <v>0</v>
      </c>
      <c r="BS377" s="3199">
        <f t="shared" si="259"/>
        <v>0</v>
      </c>
      <c r="BT377" s="3271">
        <f t="shared" si="260"/>
        <v>0</v>
      </c>
    </row>
    <row r="378" spans="1:72">
      <c r="A378" s="3197"/>
      <c r="B378" s="3198"/>
      <c r="C378" s="3198"/>
      <c r="D378" s="3193"/>
      <c r="E378" s="3199">
        <f t="shared" si="261"/>
        <v>0</v>
      </c>
      <c r="F378" s="3200"/>
      <c r="G378" s="3201">
        <f t="shared" si="236"/>
        <v>0</v>
      </c>
      <c r="H378" s="3202">
        <f t="shared" si="237"/>
        <v>0</v>
      </c>
      <c r="I378" s="3218"/>
      <c r="J378" s="3218"/>
      <c r="K378" s="3218"/>
      <c r="L378" s="3218"/>
      <c r="M378" s="3218"/>
      <c r="N378" s="3218"/>
      <c r="O378" s="3218"/>
      <c r="P378" s="3218"/>
      <c r="Q378" s="3218"/>
      <c r="R378" s="3218"/>
      <c r="S378" s="3218"/>
      <c r="T378" s="3218"/>
      <c r="U378" s="3218"/>
      <c r="V378" s="3218"/>
      <c r="W378" s="3218"/>
      <c r="X378" s="3218"/>
      <c r="Y378" s="3218"/>
      <c r="Z378" s="3218"/>
      <c r="AA378" s="3218"/>
      <c r="AB378" s="3218"/>
      <c r="AC378" s="3199">
        <f t="shared" si="238"/>
        <v>0</v>
      </c>
      <c r="AD378" s="3229"/>
      <c r="AE378" s="3229"/>
      <c r="AF378" s="3229"/>
      <c r="AG378" s="3229"/>
      <c r="AH378" s="3229"/>
      <c r="AI378" s="3229"/>
      <c r="AJ378" s="3229"/>
      <c r="AK378" s="3229"/>
      <c r="AL378" s="3229"/>
      <c r="AM378" s="3229"/>
      <c r="AN378" s="3229"/>
      <c r="AO378" s="3229"/>
      <c r="AP378" s="3229"/>
      <c r="AQ378" s="3229"/>
      <c r="AR378" s="3229"/>
      <c r="AS378" s="3229"/>
      <c r="AT378" s="3249"/>
      <c r="AU378" s="3250"/>
      <c r="AV378" s="475">
        <f t="shared" si="262"/>
        <v>0</v>
      </c>
      <c r="AW378" s="475">
        <f t="shared" si="263"/>
        <v>0</v>
      </c>
      <c r="AX378" s="475">
        <f t="shared" si="264"/>
        <v>0</v>
      </c>
      <c r="AY378" s="3266">
        <f t="shared" si="239"/>
        <v>0</v>
      </c>
      <c r="AZ378" s="3199">
        <f t="shared" si="240"/>
        <v>0</v>
      </c>
      <c r="BA378" s="3199">
        <f t="shared" si="241"/>
        <v>0</v>
      </c>
      <c r="BB378" s="3199">
        <f t="shared" si="242"/>
        <v>0</v>
      </c>
      <c r="BC378" s="3199">
        <f t="shared" si="243"/>
        <v>0</v>
      </c>
      <c r="BD378" s="3199">
        <f t="shared" si="244"/>
        <v>0</v>
      </c>
      <c r="BE378" s="3199">
        <f t="shared" si="245"/>
        <v>0</v>
      </c>
      <c r="BF378" s="3199">
        <f t="shared" si="246"/>
        <v>0</v>
      </c>
      <c r="BG378" s="3199">
        <f t="shared" si="247"/>
        <v>0</v>
      </c>
      <c r="BH378" s="3199">
        <f t="shared" si="248"/>
        <v>0</v>
      </c>
      <c r="BI378" s="3199">
        <f t="shared" si="249"/>
        <v>0</v>
      </c>
      <c r="BJ378" s="3199">
        <f t="shared" si="250"/>
        <v>0</v>
      </c>
      <c r="BK378" s="3199">
        <f t="shared" si="251"/>
        <v>0</v>
      </c>
      <c r="BL378" s="3199">
        <f t="shared" si="252"/>
        <v>0</v>
      </c>
      <c r="BM378" s="3199">
        <f t="shared" si="253"/>
        <v>0</v>
      </c>
      <c r="BN378" s="3199">
        <f t="shared" si="254"/>
        <v>0</v>
      </c>
      <c r="BO378" s="3199">
        <f t="shared" si="255"/>
        <v>0</v>
      </c>
      <c r="BP378" s="3199">
        <f t="shared" si="256"/>
        <v>0</v>
      </c>
      <c r="BQ378" s="3199">
        <f t="shared" si="257"/>
        <v>0</v>
      </c>
      <c r="BR378" s="3199">
        <f t="shared" si="258"/>
        <v>0</v>
      </c>
      <c r="BS378" s="3199">
        <f t="shared" si="259"/>
        <v>0</v>
      </c>
      <c r="BT378" s="3271">
        <f t="shared" si="260"/>
        <v>0</v>
      </c>
    </row>
    <row r="379" spans="1:72">
      <c r="A379" s="3197"/>
      <c r="B379" s="3198"/>
      <c r="C379" s="3198"/>
      <c r="D379" s="3193"/>
      <c r="E379" s="3199">
        <f t="shared" si="261"/>
        <v>0</v>
      </c>
      <c r="F379" s="3200"/>
      <c r="G379" s="3201">
        <f t="shared" si="236"/>
        <v>0</v>
      </c>
      <c r="H379" s="3202">
        <f t="shared" si="237"/>
        <v>0</v>
      </c>
      <c r="I379" s="3218"/>
      <c r="J379" s="3218"/>
      <c r="K379" s="3218"/>
      <c r="L379" s="3218"/>
      <c r="M379" s="3218"/>
      <c r="N379" s="3218"/>
      <c r="O379" s="3218"/>
      <c r="P379" s="3218"/>
      <c r="Q379" s="3218"/>
      <c r="R379" s="3218"/>
      <c r="S379" s="3218"/>
      <c r="T379" s="3218"/>
      <c r="U379" s="3218"/>
      <c r="V379" s="3218"/>
      <c r="W379" s="3218"/>
      <c r="X379" s="3218"/>
      <c r="Y379" s="3218"/>
      <c r="Z379" s="3218"/>
      <c r="AA379" s="3218"/>
      <c r="AB379" s="3218"/>
      <c r="AC379" s="3199">
        <f t="shared" si="238"/>
        <v>0</v>
      </c>
      <c r="AD379" s="3229"/>
      <c r="AE379" s="3229"/>
      <c r="AF379" s="3229"/>
      <c r="AG379" s="3229"/>
      <c r="AH379" s="3229"/>
      <c r="AI379" s="3229"/>
      <c r="AJ379" s="3229"/>
      <c r="AK379" s="3229"/>
      <c r="AL379" s="3229"/>
      <c r="AM379" s="3229"/>
      <c r="AN379" s="3229"/>
      <c r="AO379" s="3229"/>
      <c r="AP379" s="3229"/>
      <c r="AQ379" s="3229"/>
      <c r="AR379" s="3229"/>
      <c r="AS379" s="3229"/>
      <c r="AT379" s="3249"/>
      <c r="AU379" s="3250"/>
      <c r="AV379" s="475">
        <f t="shared" si="262"/>
        <v>0</v>
      </c>
      <c r="AW379" s="475">
        <f t="shared" si="263"/>
        <v>0</v>
      </c>
      <c r="AX379" s="475">
        <f t="shared" si="264"/>
        <v>0</v>
      </c>
      <c r="AY379" s="3266">
        <f t="shared" si="239"/>
        <v>0</v>
      </c>
      <c r="AZ379" s="3199">
        <f t="shared" si="240"/>
        <v>0</v>
      </c>
      <c r="BA379" s="3199">
        <f t="shared" si="241"/>
        <v>0</v>
      </c>
      <c r="BB379" s="3199">
        <f t="shared" si="242"/>
        <v>0</v>
      </c>
      <c r="BC379" s="3199">
        <f t="shared" si="243"/>
        <v>0</v>
      </c>
      <c r="BD379" s="3199">
        <f t="shared" si="244"/>
        <v>0</v>
      </c>
      <c r="BE379" s="3199">
        <f t="shared" si="245"/>
        <v>0</v>
      </c>
      <c r="BF379" s="3199">
        <f t="shared" si="246"/>
        <v>0</v>
      </c>
      <c r="BG379" s="3199">
        <f t="shared" si="247"/>
        <v>0</v>
      </c>
      <c r="BH379" s="3199">
        <f t="shared" si="248"/>
        <v>0</v>
      </c>
      <c r="BI379" s="3199">
        <f t="shared" si="249"/>
        <v>0</v>
      </c>
      <c r="BJ379" s="3199">
        <f t="shared" si="250"/>
        <v>0</v>
      </c>
      <c r="BK379" s="3199">
        <f t="shared" si="251"/>
        <v>0</v>
      </c>
      <c r="BL379" s="3199">
        <f t="shared" si="252"/>
        <v>0</v>
      </c>
      <c r="BM379" s="3199">
        <f t="shared" si="253"/>
        <v>0</v>
      </c>
      <c r="BN379" s="3199">
        <f t="shared" si="254"/>
        <v>0</v>
      </c>
      <c r="BO379" s="3199">
        <f t="shared" si="255"/>
        <v>0</v>
      </c>
      <c r="BP379" s="3199">
        <f t="shared" si="256"/>
        <v>0</v>
      </c>
      <c r="BQ379" s="3199">
        <f t="shared" si="257"/>
        <v>0</v>
      </c>
      <c r="BR379" s="3199">
        <f t="shared" si="258"/>
        <v>0</v>
      </c>
      <c r="BS379" s="3199">
        <f t="shared" si="259"/>
        <v>0</v>
      </c>
      <c r="BT379" s="3271">
        <f t="shared" si="260"/>
        <v>0</v>
      </c>
    </row>
    <row r="380" spans="1:72">
      <c r="A380" s="3197"/>
      <c r="B380" s="3198"/>
      <c r="C380" s="3198"/>
      <c r="D380" s="3193"/>
      <c r="E380" s="3199">
        <f t="shared" si="261"/>
        <v>0</v>
      </c>
      <c r="F380" s="3200"/>
      <c r="G380" s="3201">
        <f t="shared" si="236"/>
        <v>0</v>
      </c>
      <c r="H380" s="3202">
        <f t="shared" si="237"/>
        <v>0</v>
      </c>
      <c r="I380" s="3218"/>
      <c r="J380" s="3218"/>
      <c r="K380" s="3218"/>
      <c r="L380" s="3218"/>
      <c r="M380" s="3218"/>
      <c r="N380" s="3218"/>
      <c r="O380" s="3218"/>
      <c r="P380" s="3218"/>
      <c r="Q380" s="3218"/>
      <c r="R380" s="3218"/>
      <c r="S380" s="3218"/>
      <c r="T380" s="3218"/>
      <c r="U380" s="3218"/>
      <c r="V380" s="3218"/>
      <c r="W380" s="3218"/>
      <c r="X380" s="3218"/>
      <c r="Y380" s="3218"/>
      <c r="Z380" s="3218"/>
      <c r="AA380" s="3218"/>
      <c r="AB380" s="3218"/>
      <c r="AC380" s="3199">
        <f t="shared" si="238"/>
        <v>0</v>
      </c>
      <c r="AD380" s="3229"/>
      <c r="AE380" s="3229"/>
      <c r="AF380" s="3229"/>
      <c r="AG380" s="3229"/>
      <c r="AH380" s="3229"/>
      <c r="AI380" s="3229"/>
      <c r="AJ380" s="3229"/>
      <c r="AK380" s="3229"/>
      <c r="AL380" s="3229"/>
      <c r="AM380" s="3229"/>
      <c r="AN380" s="3229"/>
      <c r="AO380" s="3229"/>
      <c r="AP380" s="3229"/>
      <c r="AQ380" s="3229"/>
      <c r="AR380" s="3229"/>
      <c r="AS380" s="3229"/>
      <c r="AT380" s="3249"/>
      <c r="AU380" s="3250"/>
      <c r="AV380" s="475">
        <f t="shared" si="262"/>
        <v>0</v>
      </c>
      <c r="AW380" s="475">
        <f t="shared" si="263"/>
        <v>0</v>
      </c>
      <c r="AX380" s="475">
        <f t="shared" si="264"/>
        <v>0</v>
      </c>
      <c r="AY380" s="3266">
        <f t="shared" si="239"/>
        <v>0</v>
      </c>
      <c r="AZ380" s="3199">
        <f t="shared" si="240"/>
        <v>0</v>
      </c>
      <c r="BA380" s="3199">
        <f t="shared" si="241"/>
        <v>0</v>
      </c>
      <c r="BB380" s="3199">
        <f t="shared" si="242"/>
        <v>0</v>
      </c>
      <c r="BC380" s="3199">
        <f t="shared" si="243"/>
        <v>0</v>
      </c>
      <c r="BD380" s="3199">
        <f t="shared" si="244"/>
        <v>0</v>
      </c>
      <c r="BE380" s="3199">
        <f t="shared" si="245"/>
        <v>0</v>
      </c>
      <c r="BF380" s="3199">
        <f t="shared" si="246"/>
        <v>0</v>
      </c>
      <c r="BG380" s="3199">
        <f t="shared" si="247"/>
        <v>0</v>
      </c>
      <c r="BH380" s="3199">
        <f t="shared" si="248"/>
        <v>0</v>
      </c>
      <c r="BI380" s="3199">
        <f t="shared" si="249"/>
        <v>0</v>
      </c>
      <c r="BJ380" s="3199">
        <f t="shared" si="250"/>
        <v>0</v>
      </c>
      <c r="BK380" s="3199">
        <f t="shared" si="251"/>
        <v>0</v>
      </c>
      <c r="BL380" s="3199">
        <f t="shared" si="252"/>
        <v>0</v>
      </c>
      <c r="BM380" s="3199">
        <f t="shared" si="253"/>
        <v>0</v>
      </c>
      <c r="BN380" s="3199">
        <f t="shared" si="254"/>
        <v>0</v>
      </c>
      <c r="BO380" s="3199">
        <f t="shared" si="255"/>
        <v>0</v>
      </c>
      <c r="BP380" s="3199">
        <f t="shared" si="256"/>
        <v>0</v>
      </c>
      <c r="BQ380" s="3199">
        <f t="shared" si="257"/>
        <v>0</v>
      </c>
      <c r="BR380" s="3199">
        <f t="shared" si="258"/>
        <v>0</v>
      </c>
      <c r="BS380" s="3199">
        <f t="shared" si="259"/>
        <v>0</v>
      </c>
      <c r="BT380" s="3271">
        <f t="shared" si="260"/>
        <v>0</v>
      </c>
    </row>
    <row r="381" spans="1:72">
      <c r="A381" s="3197"/>
      <c r="B381" s="3198"/>
      <c r="C381" s="3198"/>
      <c r="D381" s="3193"/>
      <c r="E381" s="3199">
        <f t="shared" si="261"/>
        <v>0</v>
      </c>
      <c r="F381" s="3200"/>
      <c r="G381" s="3201">
        <f t="shared" si="236"/>
        <v>0</v>
      </c>
      <c r="H381" s="3202">
        <f t="shared" si="237"/>
        <v>0</v>
      </c>
      <c r="I381" s="3218"/>
      <c r="J381" s="3218"/>
      <c r="K381" s="3218"/>
      <c r="L381" s="3218"/>
      <c r="M381" s="3218"/>
      <c r="N381" s="3218"/>
      <c r="O381" s="3218"/>
      <c r="P381" s="3218"/>
      <c r="Q381" s="3218"/>
      <c r="R381" s="3218"/>
      <c r="S381" s="3218"/>
      <c r="T381" s="3218"/>
      <c r="U381" s="3218"/>
      <c r="V381" s="3218"/>
      <c r="W381" s="3218"/>
      <c r="X381" s="3218"/>
      <c r="Y381" s="3218"/>
      <c r="Z381" s="3218"/>
      <c r="AA381" s="3218"/>
      <c r="AB381" s="3218"/>
      <c r="AC381" s="3199">
        <f t="shared" si="238"/>
        <v>0</v>
      </c>
      <c r="AD381" s="3229"/>
      <c r="AE381" s="3229"/>
      <c r="AF381" s="3229"/>
      <c r="AG381" s="3229"/>
      <c r="AH381" s="3229"/>
      <c r="AI381" s="3229"/>
      <c r="AJ381" s="3229"/>
      <c r="AK381" s="3229"/>
      <c r="AL381" s="3229"/>
      <c r="AM381" s="3229"/>
      <c r="AN381" s="3229"/>
      <c r="AO381" s="3229"/>
      <c r="AP381" s="3229"/>
      <c r="AQ381" s="3229"/>
      <c r="AR381" s="3229"/>
      <c r="AS381" s="3229"/>
      <c r="AT381" s="3249"/>
      <c r="AU381" s="3250"/>
      <c r="AV381" s="475">
        <f t="shared" si="262"/>
        <v>0</v>
      </c>
      <c r="AW381" s="475">
        <f t="shared" si="263"/>
        <v>0</v>
      </c>
      <c r="AX381" s="475">
        <f t="shared" si="264"/>
        <v>0</v>
      </c>
      <c r="AY381" s="3266">
        <f t="shared" si="239"/>
        <v>0</v>
      </c>
      <c r="AZ381" s="3199">
        <f t="shared" si="240"/>
        <v>0</v>
      </c>
      <c r="BA381" s="3199">
        <f t="shared" si="241"/>
        <v>0</v>
      </c>
      <c r="BB381" s="3199">
        <f t="shared" si="242"/>
        <v>0</v>
      </c>
      <c r="BC381" s="3199">
        <f t="shared" si="243"/>
        <v>0</v>
      </c>
      <c r="BD381" s="3199">
        <f t="shared" si="244"/>
        <v>0</v>
      </c>
      <c r="BE381" s="3199">
        <f t="shared" si="245"/>
        <v>0</v>
      </c>
      <c r="BF381" s="3199">
        <f t="shared" si="246"/>
        <v>0</v>
      </c>
      <c r="BG381" s="3199">
        <f t="shared" si="247"/>
        <v>0</v>
      </c>
      <c r="BH381" s="3199">
        <f t="shared" si="248"/>
        <v>0</v>
      </c>
      <c r="BI381" s="3199">
        <f t="shared" si="249"/>
        <v>0</v>
      </c>
      <c r="BJ381" s="3199">
        <f t="shared" si="250"/>
        <v>0</v>
      </c>
      <c r="BK381" s="3199">
        <f t="shared" si="251"/>
        <v>0</v>
      </c>
      <c r="BL381" s="3199">
        <f t="shared" si="252"/>
        <v>0</v>
      </c>
      <c r="BM381" s="3199">
        <f t="shared" si="253"/>
        <v>0</v>
      </c>
      <c r="BN381" s="3199">
        <f t="shared" si="254"/>
        <v>0</v>
      </c>
      <c r="BO381" s="3199">
        <f t="shared" si="255"/>
        <v>0</v>
      </c>
      <c r="BP381" s="3199">
        <f t="shared" si="256"/>
        <v>0</v>
      </c>
      <c r="BQ381" s="3199">
        <f t="shared" si="257"/>
        <v>0</v>
      </c>
      <c r="BR381" s="3199">
        <f t="shared" si="258"/>
        <v>0</v>
      </c>
      <c r="BS381" s="3199">
        <f t="shared" si="259"/>
        <v>0</v>
      </c>
      <c r="BT381" s="3271">
        <f t="shared" si="260"/>
        <v>0</v>
      </c>
    </row>
    <row r="382" spans="1:72">
      <c r="A382" s="3197"/>
      <c r="B382" s="3198"/>
      <c r="C382" s="3198"/>
      <c r="D382" s="3193"/>
      <c r="E382" s="3199">
        <f t="shared" si="261"/>
        <v>0</v>
      </c>
      <c r="F382" s="3200"/>
      <c r="G382" s="3201">
        <f t="shared" si="236"/>
        <v>0</v>
      </c>
      <c r="H382" s="3202">
        <f t="shared" si="237"/>
        <v>0</v>
      </c>
      <c r="I382" s="3218"/>
      <c r="J382" s="3218"/>
      <c r="K382" s="3218"/>
      <c r="L382" s="3218"/>
      <c r="M382" s="3218"/>
      <c r="N382" s="3218"/>
      <c r="O382" s="3218"/>
      <c r="P382" s="3218"/>
      <c r="Q382" s="3218"/>
      <c r="R382" s="3218"/>
      <c r="S382" s="3218"/>
      <c r="T382" s="3218"/>
      <c r="U382" s="3218"/>
      <c r="V382" s="3218"/>
      <c r="W382" s="3218"/>
      <c r="X382" s="3218"/>
      <c r="Y382" s="3218"/>
      <c r="Z382" s="3218"/>
      <c r="AA382" s="3218"/>
      <c r="AB382" s="3218"/>
      <c r="AC382" s="3199">
        <f t="shared" si="238"/>
        <v>0</v>
      </c>
      <c r="AD382" s="3229"/>
      <c r="AE382" s="3229"/>
      <c r="AF382" s="3229"/>
      <c r="AG382" s="3229"/>
      <c r="AH382" s="3229"/>
      <c r="AI382" s="3229"/>
      <c r="AJ382" s="3229"/>
      <c r="AK382" s="3229"/>
      <c r="AL382" s="3229"/>
      <c r="AM382" s="3229"/>
      <c r="AN382" s="3229"/>
      <c r="AO382" s="3229"/>
      <c r="AP382" s="3229"/>
      <c r="AQ382" s="3229"/>
      <c r="AR382" s="3229"/>
      <c r="AS382" s="3229"/>
      <c r="AT382" s="3249"/>
      <c r="AU382" s="3250"/>
      <c r="AV382" s="475">
        <f t="shared" si="262"/>
        <v>0</v>
      </c>
      <c r="AW382" s="475">
        <f t="shared" si="263"/>
        <v>0</v>
      </c>
      <c r="AX382" s="475">
        <f t="shared" si="264"/>
        <v>0</v>
      </c>
      <c r="AY382" s="3266">
        <f t="shared" si="239"/>
        <v>0</v>
      </c>
      <c r="AZ382" s="3199">
        <f t="shared" si="240"/>
        <v>0</v>
      </c>
      <c r="BA382" s="3199">
        <f t="shared" si="241"/>
        <v>0</v>
      </c>
      <c r="BB382" s="3199">
        <f t="shared" si="242"/>
        <v>0</v>
      </c>
      <c r="BC382" s="3199">
        <f t="shared" si="243"/>
        <v>0</v>
      </c>
      <c r="BD382" s="3199">
        <f t="shared" si="244"/>
        <v>0</v>
      </c>
      <c r="BE382" s="3199">
        <f t="shared" si="245"/>
        <v>0</v>
      </c>
      <c r="BF382" s="3199">
        <f t="shared" si="246"/>
        <v>0</v>
      </c>
      <c r="BG382" s="3199">
        <f t="shared" si="247"/>
        <v>0</v>
      </c>
      <c r="BH382" s="3199">
        <f t="shared" si="248"/>
        <v>0</v>
      </c>
      <c r="BI382" s="3199">
        <f t="shared" si="249"/>
        <v>0</v>
      </c>
      <c r="BJ382" s="3199">
        <f t="shared" si="250"/>
        <v>0</v>
      </c>
      <c r="BK382" s="3199">
        <f t="shared" si="251"/>
        <v>0</v>
      </c>
      <c r="BL382" s="3199">
        <f t="shared" si="252"/>
        <v>0</v>
      </c>
      <c r="BM382" s="3199">
        <f t="shared" si="253"/>
        <v>0</v>
      </c>
      <c r="BN382" s="3199">
        <f t="shared" si="254"/>
        <v>0</v>
      </c>
      <c r="BO382" s="3199">
        <f t="shared" si="255"/>
        <v>0</v>
      </c>
      <c r="BP382" s="3199">
        <f t="shared" si="256"/>
        <v>0</v>
      </c>
      <c r="BQ382" s="3199">
        <f t="shared" si="257"/>
        <v>0</v>
      </c>
      <c r="BR382" s="3199">
        <f t="shared" si="258"/>
        <v>0</v>
      </c>
      <c r="BS382" s="3199">
        <f t="shared" si="259"/>
        <v>0</v>
      </c>
      <c r="BT382" s="3271">
        <f t="shared" si="260"/>
        <v>0</v>
      </c>
    </row>
    <row r="383" spans="1:72">
      <c r="A383" s="3197"/>
      <c r="B383" s="3198"/>
      <c r="C383" s="3198"/>
      <c r="D383" s="3193"/>
      <c r="E383" s="3199">
        <f t="shared" si="261"/>
        <v>0</v>
      </c>
      <c r="F383" s="3200"/>
      <c r="G383" s="3201">
        <f t="shared" si="236"/>
        <v>0</v>
      </c>
      <c r="H383" s="3202">
        <f t="shared" si="237"/>
        <v>0</v>
      </c>
      <c r="I383" s="3218"/>
      <c r="J383" s="3218"/>
      <c r="K383" s="3218"/>
      <c r="L383" s="3218"/>
      <c r="M383" s="3218"/>
      <c r="N383" s="3218"/>
      <c r="O383" s="3218"/>
      <c r="P383" s="3218"/>
      <c r="Q383" s="3218"/>
      <c r="R383" s="3218"/>
      <c r="S383" s="3218"/>
      <c r="T383" s="3218"/>
      <c r="U383" s="3218"/>
      <c r="V383" s="3218"/>
      <c r="W383" s="3218"/>
      <c r="X383" s="3218"/>
      <c r="Y383" s="3218"/>
      <c r="Z383" s="3218"/>
      <c r="AA383" s="3218"/>
      <c r="AB383" s="3218"/>
      <c r="AC383" s="3199">
        <f t="shared" si="238"/>
        <v>0</v>
      </c>
      <c r="AD383" s="3229"/>
      <c r="AE383" s="3229"/>
      <c r="AF383" s="3229"/>
      <c r="AG383" s="3229"/>
      <c r="AH383" s="3229"/>
      <c r="AI383" s="3229"/>
      <c r="AJ383" s="3229"/>
      <c r="AK383" s="3229"/>
      <c r="AL383" s="3229"/>
      <c r="AM383" s="3229"/>
      <c r="AN383" s="3229"/>
      <c r="AO383" s="3229"/>
      <c r="AP383" s="3229"/>
      <c r="AQ383" s="3229"/>
      <c r="AR383" s="3229"/>
      <c r="AS383" s="3229"/>
      <c r="AT383" s="3249"/>
      <c r="AU383" s="3250"/>
      <c r="AV383" s="475">
        <f t="shared" si="262"/>
        <v>0</v>
      </c>
      <c r="AW383" s="475">
        <f t="shared" si="263"/>
        <v>0</v>
      </c>
      <c r="AX383" s="475">
        <f t="shared" si="264"/>
        <v>0</v>
      </c>
      <c r="AY383" s="3266">
        <f t="shared" si="239"/>
        <v>0</v>
      </c>
      <c r="AZ383" s="3199">
        <f t="shared" si="240"/>
        <v>0</v>
      </c>
      <c r="BA383" s="3199">
        <f t="shared" si="241"/>
        <v>0</v>
      </c>
      <c r="BB383" s="3199">
        <f t="shared" si="242"/>
        <v>0</v>
      </c>
      <c r="BC383" s="3199">
        <f t="shared" si="243"/>
        <v>0</v>
      </c>
      <c r="BD383" s="3199">
        <f t="shared" si="244"/>
        <v>0</v>
      </c>
      <c r="BE383" s="3199">
        <f t="shared" si="245"/>
        <v>0</v>
      </c>
      <c r="BF383" s="3199">
        <f t="shared" si="246"/>
        <v>0</v>
      </c>
      <c r="BG383" s="3199">
        <f t="shared" si="247"/>
        <v>0</v>
      </c>
      <c r="BH383" s="3199">
        <f t="shared" si="248"/>
        <v>0</v>
      </c>
      <c r="BI383" s="3199">
        <f t="shared" si="249"/>
        <v>0</v>
      </c>
      <c r="BJ383" s="3199">
        <f t="shared" si="250"/>
        <v>0</v>
      </c>
      <c r="BK383" s="3199">
        <f t="shared" si="251"/>
        <v>0</v>
      </c>
      <c r="BL383" s="3199">
        <f t="shared" si="252"/>
        <v>0</v>
      </c>
      <c r="BM383" s="3199">
        <f t="shared" si="253"/>
        <v>0</v>
      </c>
      <c r="BN383" s="3199">
        <f t="shared" si="254"/>
        <v>0</v>
      </c>
      <c r="BO383" s="3199">
        <f t="shared" si="255"/>
        <v>0</v>
      </c>
      <c r="BP383" s="3199">
        <f t="shared" si="256"/>
        <v>0</v>
      </c>
      <c r="BQ383" s="3199">
        <f t="shared" si="257"/>
        <v>0</v>
      </c>
      <c r="BR383" s="3199">
        <f t="shared" si="258"/>
        <v>0</v>
      </c>
      <c r="BS383" s="3199">
        <f t="shared" si="259"/>
        <v>0</v>
      </c>
      <c r="BT383" s="3271">
        <f t="shared" si="260"/>
        <v>0</v>
      </c>
    </row>
    <row r="384" spans="1:72">
      <c r="A384" s="3197"/>
      <c r="B384" s="3198"/>
      <c r="C384" s="3198"/>
      <c r="D384" s="3193"/>
      <c r="E384" s="3199">
        <f t="shared" si="261"/>
        <v>0</v>
      </c>
      <c r="F384" s="3200"/>
      <c r="G384" s="3201">
        <f t="shared" si="236"/>
        <v>0</v>
      </c>
      <c r="H384" s="3202">
        <f t="shared" si="237"/>
        <v>0</v>
      </c>
      <c r="I384" s="3218"/>
      <c r="J384" s="3218"/>
      <c r="K384" s="3218"/>
      <c r="L384" s="3218"/>
      <c r="M384" s="3218"/>
      <c r="N384" s="3218"/>
      <c r="O384" s="3218"/>
      <c r="P384" s="3218"/>
      <c r="Q384" s="3218"/>
      <c r="R384" s="3218"/>
      <c r="S384" s="3218"/>
      <c r="T384" s="3218"/>
      <c r="U384" s="3218"/>
      <c r="V384" s="3218"/>
      <c r="W384" s="3218"/>
      <c r="X384" s="3218"/>
      <c r="Y384" s="3218"/>
      <c r="Z384" s="3218"/>
      <c r="AA384" s="3218"/>
      <c r="AB384" s="3218"/>
      <c r="AC384" s="3199">
        <f t="shared" si="238"/>
        <v>0</v>
      </c>
      <c r="AD384" s="3229"/>
      <c r="AE384" s="3229"/>
      <c r="AF384" s="3229"/>
      <c r="AG384" s="3229"/>
      <c r="AH384" s="3229"/>
      <c r="AI384" s="3229"/>
      <c r="AJ384" s="3229"/>
      <c r="AK384" s="3229"/>
      <c r="AL384" s="3229"/>
      <c r="AM384" s="3229"/>
      <c r="AN384" s="3229"/>
      <c r="AO384" s="3229"/>
      <c r="AP384" s="3229"/>
      <c r="AQ384" s="3229"/>
      <c r="AR384" s="3229"/>
      <c r="AS384" s="3229"/>
      <c r="AT384" s="3249"/>
      <c r="AU384" s="3250"/>
      <c r="AV384" s="475">
        <f t="shared" si="262"/>
        <v>0</v>
      </c>
      <c r="AW384" s="475">
        <f t="shared" si="263"/>
        <v>0</v>
      </c>
      <c r="AX384" s="475">
        <f t="shared" si="264"/>
        <v>0</v>
      </c>
      <c r="AY384" s="3266">
        <f t="shared" si="239"/>
        <v>0</v>
      </c>
      <c r="AZ384" s="3199">
        <f t="shared" si="240"/>
        <v>0</v>
      </c>
      <c r="BA384" s="3199">
        <f t="shared" si="241"/>
        <v>0</v>
      </c>
      <c r="BB384" s="3199">
        <f t="shared" si="242"/>
        <v>0</v>
      </c>
      <c r="BC384" s="3199">
        <f t="shared" si="243"/>
        <v>0</v>
      </c>
      <c r="BD384" s="3199">
        <f t="shared" si="244"/>
        <v>0</v>
      </c>
      <c r="BE384" s="3199">
        <f t="shared" si="245"/>
        <v>0</v>
      </c>
      <c r="BF384" s="3199">
        <f t="shared" si="246"/>
        <v>0</v>
      </c>
      <c r="BG384" s="3199">
        <f t="shared" si="247"/>
        <v>0</v>
      </c>
      <c r="BH384" s="3199">
        <f t="shared" si="248"/>
        <v>0</v>
      </c>
      <c r="BI384" s="3199">
        <f t="shared" si="249"/>
        <v>0</v>
      </c>
      <c r="BJ384" s="3199">
        <f t="shared" si="250"/>
        <v>0</v>
      </c>
      <c r="BK384" s="3199">
        <f t="shared" si="251"/>
        <v>0</v>
      </c>
      <c r="BL384" s="3199">
        <f t="shared" si="252"/>
        <v>0</v>
      </c>
      <c r="BM384" s="3199">
        <f t="shared" si="253"/>
        <v>0</v>
      </c>
      <c r="BN384" s="3199">
        <f t="shared" si="254"/>
        <v>0</v>
      </c>
      <c r="BO384" s="3199">
        <f t="shared" si="255"/>
        <v>0</v>
      </c>
      <c r="BP384" s="3199">
        <f t="shared" si="256"/>
        <v>0</v>
      </c>
      <c r="BQ384" s="3199">
        <f t="shared" si="257"/>
        <v>0</v>
      </c>
      <c r="BR384" s="3199">
        <f t="shared" si="258"/>
        <v>0</v>
      </c>
      <c r="BS384" s="3199">
        <f t="shared" si="259"/>
        <v>0</v>
      </c>
      <c r="BT384" s="3271">
        <f t="shared" si="260"/>
        <v>0</v>
      </c>
    </row>
    <row r="385" spans="1:72">
      <c r="A385" s="3197"/>
      <c r="B385" s="3198"/>
      <c r="C385" s="3198"/>
      <c r="D385" s="3193"/>
      <c r="E385" s="3199">
        <f t="shared" si="261"/>
        <v>0</v>
      </c>
      <c r="F385" s="3200"/>
      <c r="G385" s="3201">
        <f t="shared" si="236"/>
        <v>0</v>
      </c>
      <c r="H385" s="3202">
        <f t="shared" si="237"/>
        <v>0</v>
      </c>
      <c r="I385" s="3218"/>
      <c r="J385" s="3218"/>
      <c r="K385" s="3218"/>
      <c r="L385" s="3218"/>
      <c r="M385" s="3218"/>
      <c r="N385" s="3218"/>
      <c r="O385" s="3218"/>
      <c r="P385" s="3218"/>
      <c r="Q385" s="3218"/>
      <c r="R385" s="3218"/>
      <c r="S385" s="3218"/>
      <c r="T385" s="3218"/>
      <c r="U385" s="3218"/>
      <c r="V385" s="3218"/>
      <c r="W385" s="3218"/>
      <c r="X385" s="3218"/>
      <c r="Y385" s="3218"/>
      <c r="Z385" s="3218"/>
      <c r="AA385" s="3218"/>
      <c r="AB385" s="3218"/>
      <c r="AC385" s="3199">
        <f t="shared" si="238"/>
        <v>0</v>
      </c>
      <c r="AD385" s="3229"/>
      <c r="AE385" s="3229"/>
      <c r="AF385" s="3229"/>
      <c r="AG385" s="3229"/>
      <c r="AH385" s="3229"/>
      <c r="AI385" s="3229"/>
      <c r="AJ385" s="3229"/>
      <c r="AK385" s="3229"/>
      <c r="AL385" s="3229"/>
      <c r="AM385" s="3229"/>
      <c r="AN385" s="3229"/>
      <c r="AO385" s="3229"/>
      <c r="AP385" s="3229"/>
      <c r="AQ385" s="3229"/>
      <c r="AR385" s="3229"/>
      <c r="AS385" s="3229"/>
      <c r="AT385" s="3249"/>
      <c r="AU385" s="3250"/>
      <c r="AV385" s="475">
        <f t="shared" si="262"/>
        <v>0</v>
      </c>
      <c r="AW385" s="475">
        <f t="shared" si="263"/>
        <v>0</v>
      </c>
      <c r="AX385" s="475">
        <f t="shared" si="264"/>
        <v>0</v>
      </c>
      <c r="AY385" s="3266">
        <f t="shared" si="239"/>
        <v>0</v>
      </c>
      <c r="AZ385" s="3199">
        <f t="shared" si="240"/>
        <v>0</v>
      </c>
      <c r="BA385" s="3199">
        <f t="shared" si="241"/>
        <v>0</v>
      </c>
      <c r="BB385" s="3199">
        <f t="shared" si="242"/>
        <v>0</v>
      </c>
      <c r="BC385" s="3199">
        <f t="shared" si="243"/>
        <v>0</v>
      </c>
      <c r="BD385" s="3199">
        <f t="shared" si="244"/>
        <v>0</v>
      </c>
      <c r="BE385" s="3199">
        <f t="shared" si="245"/>
        <v>0</v>
      </c>
      <c r="BF385" s="3199">
        <f t="shared" si="246"/>
        <v>0</v>
      </c>
      <c r="BG385" s="3199">
        <f t="shared" si="247"/>
        <v>0</v>
      </c>
      <c r="BH385" s="3199">
        <f t="shared" si="248"/>
        <v>0</v>
      </c>
      <c r="BI385" s="3199">
        <f t="shared" si="249"/>
        <v>0</v>
      </c>
      <c r="BJ385" s="3199">
        <f t="shared" si="250"/>
        <v>0</v>
      </c>
      <c r="BK385" s="3199">
        <f t="shared" si="251"/>
        <v>0</v>
      </c>
      <c r="BL385" s="3199">
        <f t="shared" si="252"/>
        <v>0</v>
      </c>
      <c r="BM385" s="3199">
        <f t="shared" si="253"/>
        <v>0</v>
      </c>
      <c r="BN385" s="3199">
        <f t="shared" si="254"/>
        <v>0</v>
      </c>
      <c r="BO385" s="3199">
        <f t="shared" si="255"/>
        <v>0</v>
      </c>
      <c r="BP385" s="3199">
        <f t="shared" si="256"/>
        <v>0</v>
      </c>
      <c r="BQ385" s="3199">
        <f t="shared" si="257"/>
        <v>0</v>
      </c>
      <c r="BR385" s="3199">
        <f t="shared" si="258"/>
        <v>0</v>
      </c>
      <c r="BS385" s="3199">
        <f t="shared" si="259"/>
        <v>0</v>
      </c>
      <c r="BT385" s="3271">
        <f t="shared" si="260"/>
        <v>0</v>
      </c>
    </row>
    <row r="386" spans="1:72">
      <c r="A386" s="3197"/>
      <c r="B386" s="3197"/>
      <c r="C386" s="3197"/>
      <c r="D386" s="3193"/>
      <c r="E386" s="3199">
        <f t="shared" si="261"/>
        <v>0</v>
      </c>
      <c r="F386" s="3272"/>
      <c r="G386" s="3201">
        <f t="shared" si="236"/>
        <v>0</v>
      </c>
      <c r="H386" s="3202">
        <f t="shared" si="237"/>
        <v>0</v>
      </c>
      <c r="I386" s="3273"/>
      <c r="J386" s="3273"/>
      <c r="K386" s="3218"/>
      <c r="L386" s="3218"/>
      <c r="M386" s="3218"/>
      <c r="N386" s="3218"/>
      <c r="O386" s="3218"/>
      <c r="P386" s="3218"/>
      <c r="Q386" s="3218"/>
      <c r="R386" s="3218"/>
      <c r="S386" s="3218"/>
      <c r="T386" s="3218"/>
      <c r="U386" s="3218"/>
      <c r="V386" s="3218"/>
      <c r="W386" s="3218"/>
      <c r="X386" s="3218"/>
      <c r="Y386" s="3218"/>
      <c r="Z386" s="3218"/>
      <c r="AA386" s="3218"/>
      <c r="AB386" s="3218"/>
      <c r="AC386" s="3199">
        <f t="shared" si="238"/>
        <v>0</v>
      </c>
      <c r="AD386" s="3229"/>
      <c r="AE386" s="3229"/>
      <c r="AF386" s="3229"/>
      <c r="AG386" s="3229"/>
      <c r="AH386" s="3229"/>
      <c r="AI386" s="3229"/>
      <c r="AJ386" s="3229"/>
      <c r="AK386" s="3229"/>
      <c r="AL386" s="3229"/>
      <c r="AM386" s="3229"/>
      <c r="AN386" s="3229"/>
      <c r="AO386" s="3229"/>
      <c r="AP386" s="3229"/>
      <c r="AQ386" s="3229"/>
      <c r="AR386" s="3229"/>
      <c r="AS386" s="3229"/>
      <c r="AT386" s="3229"/>
      <c r="AU386" s="3274"/>
      <c r="AV386" s="475">
        <f t="shared" si="262"/>
        <v>0</v>
      </c>
      <c r="AW386" s="475">
        <f t="shared" si="263"/>
        <v>0</v>
      </c>
      <c r="AX386" s="475">
        <f t="shared" si="264"/>
        <v>0</v>
      </c>
      <c r="AY386" s="3266">
        <f t="shared" si="239"/>
        <v>0</v>
      </c>
      <c r="AZ386" s="3199">
        <f t="shared" si="240"/>
        <v>0</v>
      </c>
      <c r="BA386" s="3199">
        <f t="shared" si="241"/>
        <v>0</v>
      </c>
      <c r="BB386" s="3199">
        <f t="shared" si="242"/>
        <v>0</v>
      </c>
      <c r="BC386" s="3199">
        <f t="shared" si="243"/>
        <v>0</v>
      </c>
      <c r="BD386" s="3199">
        <f t="shared" si="244"/>
        <v>0</v>
      </c>
      <c r="BE386" s="3199">
        <f t="shared" si="245"/>
        <v>0</v>
      </c>
      <c r="BF386" s="3199">
        <f t="shared" si="246"/>
        <v>0</v>
      </c>
      <c r="BG386" s="3199">
        <f t="shared" si="247"/>
        <v>0</v>
      </c>
      <c r="BH386" s="3199">
        <f t="shared" si="248"/>
        <v>0</v>
      </c>
      <c r="BI386" s="3199">
        <f t="shared" si="249"/>
        <v>0</v>
      </c>
      <c r="BJ386" s="3199">
        <f t="shared" si="250"/>
        <v>0</v>
      </c>
      <c r="BK386" s="3199">
        <f t="shared" si="251"/>
        <v>0</v>
      </c>
      <c r="BL386" s="3199">
        <f t="shared" si="252"/>
        <v>0</v>
      </c>
      <c r="BM386" s="3199">
        <f t="shared" si="253"/>
        <v>0</v>
      </c>
      <c r="BN386" s="3199">
        <f t="shared" si="254"/>
        <v>0</v>
      </c>
      <c r="BO386" s="3199">
        <f t="shared" si="255"/>
        <v>0</v>
      </c>
      <c r="BP386" s="3199">
        <f t="shared" si="256"/>
        <v>0</v>
      </c>
      <c r="BQ386" s="3199">
        <f t="shared" si="257"/>
        <v>0</v>
      </c>
      <c r="BR386" s="3199">
        <f t="shared" si="258"/>
        <v>0</v>
      </c>
      <c r="BS386" s="3199">
        <f t="shared" si="259"/>
        <v>0</v>
      </c>
      <c r="BT386" s="3271">
        <f t="shared" si="260"/>
        <v>0</v>
      </c>
    </row>
    <row r="387" spans="1:72">
      <c r="A387" s="3197"/>
      <c r="B387" s="3197"/>
      <c r="C387" s="3197"/>
      <c r="D387" s="3193"/>
      <c r="E387" s="3199">
        <f t="shared" si="261"/>
        <v>0</v>
      </c>
      <c r="F387" s="3272"/>
      <c r="G387" s="3201">
        <f t="shared" si="236"/>
        <v>0</v>
      </c>
      <c r="H387" s="3202">
        <f t="shared" si="237"/>
        <v>0</v>
      </c>
      <c r="I387" s="3218"/>
      <c r="J387" s="3218"/>
      <c r="K387" s="3218"/>
      <c r="L387" s="3218"/>
      <c r="M387" s="3218"/>
      <c r="N387" s="3218"/>
      <c r="O387" s="3218"/>
      <c r="P387" s="3218"/>
      <c r="Q387" s="3218"/>
      <c r="R387" s="3218"/>
      <c r="S387" s="3218"/>
      <c r="T387" s="3218"/>
      <c r="U387" s="3218"/>
      <c r="V387" s="3218"/>
      <c r="W387" s="3218"/>
      <c r="X387" s="3218"/>
      <c r="Y387" s="3218"/>
      <c r="Z387" s="3218"/>
      <c r="AA387" s="3218"/>
      <c r="AB387" s="3218"/>
      <c r="AC387" s="3199">
        <f t="shared" si="238"/>
        <v>0</v>
      </c>
      <c r="AD387" s="3229"/>
      <c r="AE387" s="3229"/>
      <c r="AF387" s="3229"/>
      <c r="AG387" s="3229"/>
      <c r="AH387" s="3229"/>
      <c r="AI387" s="3229"/>
      <c r="AJ387" s="3229"/>
      <c r="AK387" s="3229"/>
      <c r="AL387" s="3229"/>
      <c r="AM387" s="3229"/>
      <c r="AN387" s="3229"/>
      <c r="AO387" s="3229"/>
      <c r="AP387" s="3229"/>
      <c r="AQ387" s="3229"/>
      <c r="AR387" s="3229"/>
      <c r="AS387" s="3229"/>
      <c r="AT387" s="3229"/>
      <c r="AU387" s="3274"/>
      <c r="AV387" s="475">
        <f t="shared" si="262"/>
        <v>0</v>
      </c>
      <c r="AW387" s="475">
        <f t="shared" si="263"/>
        <v>0</v>
      </c>
      <c r="AX387" s="475">
        <f t="shared" si="264"/>
        <v>0</v>
      </c>
      <c r="AY387" s="3266">
        <f t="shared" si="239"/>
        <v>0</v>
      </c>
      <c r="AZ387" s="3199">
        <f t="shared" si="240"/>
        <v>0</v>
      </c>
      <c r="BA387" s="3199">
        <f t="shared" si="241"/>
        <v>0</v>
      </c>
      <c r="BB387" s="3199">
        <f t="shared" si="242"/>
        <v>0</v>
      </c>
      <c r="BC387" s="3199">
        <f t="shared" si="243"/>
        <v>0</v>
      </c>
      <c r="BD387" s="3199">
        <f t="shared" si="244"/>
        <v>0</v>
      </c>
      <c r="BE387" s="3199">
        <f t="shared" si="245"/>
        <v>0</v>
      </c>
      <c r="BF387" s="3199">
        <f t="shared" si="246"/>
        <v>0</v>
      </c>
      <c r="BG387" s="3199">
        <f t="shared" si="247"/>
        <v>0</v>
      </c>
      <c r="BH387" s="3199">
        <f t="shared" si="248"/>
        <v>0</v>
      </c>
      <c r="BI387" s="3199">
        <f t="shared" si="249"/>
        <v>0</v>
      </c>
      <c r="BJ387" s="3199">
        <f t="shared" si="250"/>
        <v>0</v>
      </c>
      <c r="BK387" s="3199">
        <f t="shared" si="251"/>
        <v>0</v>
      </c>
      <c r="BL387" s="3199">
        <f t="shared" si="252"/>
        <v>0</v>
      </c>
      <c r="BM387" s="3199">
        <f t="shared" si="253"/>
        <v>0</v>
      </c>
      <c r="BN387" s="3199">
        <f t="shared" si="254"/>
        <v>0</v>
      </c>
      <c r="BO387" s="3199">
        <f t="shared" si="255"/>
        <v>0</v>
      </c>
      <c r="BP387" s="3199">
        <f t="shared" si="256"/>
        <v>0</v>
      </c>
      <c r="BQ387" s="3199">
        <f t="shared" si="257"/>
        <v>0</v>
      </c>
      <c r="BR387" s="3199">
        <f t="shared" si="258"/>
        <v>0</v>
      </c>
      <c r="BS387" s="3199">
        <f t="shared" si="259"/>
        <v>0</v>
      </c>
      <c r="BT387" s="3271">
        <f t="shared" si="260"/>
        <v>0</v>
      </c>
    </row>
    <row r="388" spans="1:72">
      <c r="A388" s="3197"/>
      <c r="B388" s="3197"/>
      <c r="C388" s="3197"/>
      <c r="D388" s="3193"/>
      <c r="E388" s="3199">
        <f t="shared" si="261"/>
        <v>0</v>
      </c>
      <c r="F388" s="3272"/>
      <c r="G388" s="3201">
        <f t="shared" si="236"/>
        <v>0</v>
      </c>
      <c r="H388" s="3202">
        <f t="shared" si="237"/>
        <v>0</v>
      </c>
      <c r="I388" s="3218"/>
      <c r="J388" s="3218"/>
      <c r="K388" s="3218"/>
      <c r="L388" s="3218"/>
      <c r="M388" s="3218"/>
      <c r="N388" s="3218"/>
      <c r="O388" s="3218"/>
      <c r="P388" s="3218"/>
      <c r="Q388" s="3218"/>
      <c r="R388" s="3218"/>
      <c r="S388" s="3218"/>
      <c r="T388" s="3218"/>
      <c r="U388" s="3218"/>
      <c r="V388" s="3218"/>
      <c r="W388" s="3218"/>
      <c r="X388" s="3218"/>
      <c r="Y388" s="3218"/>
      <c r="Z388" s="3218"/>
      <c r="AA388" s="3218"/>
      <c r="AB388" s="3218"/>
      <c r="AC388" s="3199">
        <f t="shared" si="238"/>
        <v>0</v>
      </c>
      <c r="AD388" s="3229"/>
      <c r="AE388" s="3229"/>
      <c r="AF388" s="3229"/>
      <c r="AG388" s="3229"/>
      <c r="AH388" s="3229"/>
      <c r="AI388" s="3229"/>
      <c r="AJ388" s="3229"/>
      <c r="AK388" s="3229"/>
      <c r="AL388" s="3229"/>
      <c r="AM388" s="3229"/>
      <c r="AN388" s="3229"/>
      <c r="AO388" s="3229"/>
      <c r="AP388" s="3229"/>
      <c r="AQ388" s="3229"/>
      <c r="AR388" s="3229"/>
      <c r="AS388" s="3229"/>
      <c r="AT388" s="3229"/>
      <c r="AU388" s="3274"/>
      <c r="AV388" s="475">
        <f t="shared" si="262"/>
        <v>0</v>
      </c>
      <c r="AW388" s="475">
        <f t="shared" si="263"/>
        <v>0</v>
      </c>
      <c r="AX388" s="475">
        <f t="shared" si="264"/>
        <v>0</v>
      </c>
      <c r="AY388" s="3266">
        <f t="shared" si="239"/>
        <v>0</v>
      </c>
      <c r="AZ388" s="3199">
        <f t="shared" si="240"/>
        <v>0</v>
      </c>
      <c r="BA388" s="3199">
        <f t="shared" si="241"/>
        <v>0</v>
      </c>
      <c r="BB388" s="3199">
        <f t="shared" si="242"/>
        <v>0</v>
      </c>
      <c r="BC388" s="3199">
        <f t="shared" si="243"/>
        <v>0</v>
      </c>
      <c r="BD388" s="3199">
        <f t="shared" si="244"/>
        <v>0</v>
      </c>
      <c r="BE388" s="3199">
        <f t="shared" si="245"/>
        <v>0</v>
      </c>
      <c r="BF388" s="3199">
        <f t="shared" si="246"/>
        <v>0</v>
      </c>
      <c r="BG388" s="3199">
        <f t="shared" si="247"/>
        <v>0</v>
      </c>
      <c r="BH388" s="3199">
        <f t="shared" si="248"/>
        <v>0</v>
      </c>
      <c r="BI388" s="3199">
        <f t="shared" si="249"/>
        <v>0</v>
      </c>
      <c r="BJ388" s="3199">
        <f t="shared" si="250"/>
        <v>0</v>
      </c>
      <c r="BK388" s="3199">
        <f t="shared" si="251"/>
        <v>0</v>
      </c>
      <c r="BL388" s="3199">
        <f t="shared" si="252"/>
        <v>0</v>
      </c>
      <c r="BM388" s="3199">
        <f t="shared" si="253"/>
        <v>0</v>
      </c>
      <c r="BN388" s="3199">
        <f t="shared" si="254"/>
        <v>0</v>
      </c>
      <c r="BO388" s="3199">
        <f t="shared" si="255"/>
        <v>0</v>
      </c>
      <c r="BP388" s="3199">
        <f t="shared" si="256"/>
        <v>0</v>
      </c>
      <c r="BQ388" s="3199">
        <f t="shared" si="257"/>
        <v>0</v>
      </c>
      <c r="BR388" s="3199">
        <f t="shared" si="258"/>
        <v>0</v>
      </c>
      <c r="BS388" s="3199">
        <f t="shared" si="259"/>
        <v>0</v>
      </c>
      <c r="BT388" s="3271">
        <f t="shared" si="260"/>
        <v>0</v>
      </c>
    </row>
    <row r="389" spans="1:72">
      <c r="A389" s="3197"/>
      <c r="B389" s="3205"/>
      <c r="C389" s="3204"/>
      <c r="D389" s="3193"/>
      <c r="E389" s="3199">
        <f t="shared" ref="E389:E480" si="265">IF($C$3="是",ROUND($A$3*G389/$B$3,2),ROUND($A$3*(G389-AT389)/$B$3,2))</f>
        <v>0</v>
      </c>
      <c r="F389" s="3200"/>
      <c r="G389" s="3201">
        <f t="shared" ref="G389:G477" si="266">H389+AC389+AT389</f>
        <v>0</v>
      </c>
      <c r="H389" s="3202">
        <f t="shared" ref="H389:H477" si="267">SUMIF(I$12:AB$12,"总值",I389:AB389)</f>
        <v>0</v>
      </c>
      <c r="I389" s="3207"/>
      <c r="J389" s="3218"/>
      <c r="K389" s="3207"/>
      <c r="L389" s="3218"/>
      <c r="M389" s="3218"/>
      <c r="N389" s="3218"/>
      <c r="O389" s="3218"/>
      <c r="P389" s="3218"/>
      <c r="Q389" s="3218"/>
      <c r="R389" s="3218"/>
      <c r="S389" s="3218"/>
      <c r="T389" s="3218"/>
      <c r="U389" s="3218"/>
      <c r="V389" s="3218"/>
      <c r="W389" s="3218"/>
      <c r="X389" s="3218"/>
      <c r="Y389" s="3218"/>
      <c r="Z389" s="3218"/>
      <c r="AA389" s="3218"/>
      <c r="AB389" s="3218"/>
      <c r="AC389" s="3199">
        <f t="shared" ref="AC389:AC477" si="268">SUMIF(AD$12:AS$12,"总值",AD389:AS389)</f>
        <v>0</v>
      </c>
      <c r="AD389" s="3229"/>
      <c r="AE389" s="3229"/>
      <c r="AF389" s="3230"/>
      <c r="AG389" s="3229"/>
      <c r="AH389" s="3229"/>
      <c r="AI389" s="3229"/>
      <c r="AJ389" s="3229"/>
      <c r="AK389" s="3229"/>
      <c r="AL389" s="3229"/>
      <c r="AM389" s="3229"/>
      <c r="AN389" s="3219"/>
      <c r="AO389" s="3229"/>
      <c r="AP389" s="3229"/>
      <c r="AQ389" s="3229"/>
      <c r="AR389" s="3229"/>
      <c r="AS389" s="3229"/>
      <c r="AT389" s="3249"/>
      <c r="AU389" s="3250"/>
      <c r="AV389" s="475">
        <f t="shared" ref="AV389:AV480" si="269">A389</f>
        <v>0</v>
      </c>
      <c r="AW389" s="475">
        <f t="shared" ref="AW389:AW480" si="270">B389</f>
        <v>0</v>
      </c>
      <c r="AX389" s="475">
        <f t="shared" ref="AX389:AX480" si="271">C389</f>
        <v>0</v>
      </c>
      <c r="AY389" s="3266">
        <f t="shared" ref="AY389:AY477" si="272">ROUND($AY$6*AZ389/$AZ$5,2)</f>
        <v>0</v>
      </c>
      <c r="AZ389" s="3199">
        <f t="shared" ref="AZ389:AZ477" si="273">BA389+BL389</f>
        <v>0</v>
      </c>
      <c r="BA389" s="3199">
        <f t="shared" ref="BA389:BA477" si="274">SUM(BB389:BK389)</f>
        <v>0</v>
      </c>
      <c r="BB389" s="3199">
        <f t="shared" ref="BB389:BB477" si="275">IF($D389="是",I389-J389,0)</f>
        <v>0</v>
      </c>
      <c r="BC389" s="3199">
        <f t="shared" ref="BC389:BC477" si="276">IF($D389="是",K389-L389,0)</f>
        <v>0</v>
      </c>
      <c r="BD389" s="3199">
        <f t="shared" ref="BD389:BD477" si="277">IF($D389="是",M389-N389,0)</f>
        <v>0</v>
      </c>
      <c r="BE389" s="3199">
        <f t="shared" ref="BE389:BE477" si="278">IF($D389="是",O389-P389,0)</f>
        <v>0</v>
      </c>
      <c r="BF389" s="3199">
        <f t="shared" ref="BF389:BF477" si="279">IF($D389="是",Q389-R389,0)</f>
        <v>0</v>
      </c>
      <c r="BG389" s="3199">
        <f t="shared" ref="BG389:BG477" si="280">IF($D389="是",S389-T389,0)</f>
        <v>0</v>
      </c>
      <c r="BH389" s="3199">
        <f t="shared" ref="BH389:BH477" si="281">IF($D389="是",U389-V389,0)</f>
        <v>0</v>
      </c>
      <c r="BI389" s="3199">
        <f t="shared" ref="BI389:BI477" si="282">IF($D389="是",W389-X389,0)</f>
        <v>0</v>
      </c>
      <c r="BJ389" s="3199">
        <f t="shared" ref="BJ389:BJ477" si="283">IF($D389="是",Y389-Z389,0)</f>
        <v>0</v>
      </c>
      <c r="BK389" s="3199">
        <f t="shared" ref="BK389:BK477" si="284">IF($D389="是",AA389-AB389,0)</f>
        <v>0</v>
      </c>
      <c r="BL389" s="3199">
        <f t="shared" ref="BL389:BL477" si="285">SUM(BM389:BT389)</f>
        <v>0</v>
      </c>
      <c r="BM389" s="3199">
        <f t="shared" ref="BM389:BM477" si="286">IF($D389="是",AD389-AE389,0)</f>
        <v>0</v>
      </c>
      <c r="BN389" s="3199">
        <f t="shared" ref="BN389:BN477" si="287">IF($D389="是",AF389-AG389,0)</f>
        <v>0</v>
      </c>
      <c r="BO389" s="3199">
        <f t="shared" ref="BO389:BO477" si="288">IF($D389="是",AH389-AI389,0)</f>
        <v>0</v>
      </c>
      <c r="BP389" s="3199">
        <f t="shared" ref="BP389:BP477" si="289">IF($D389="是",AJ389-AK389,0)</f>
        <v>0</v>
      </c>
      <c r="BQ389" s="3199">
        <f t="shared" ref="BQ389:BQ477" si="290">IF($D389="是",AL389-AM389,0)</f>
        <v>0</v>
      </c>
      <c r="BR389" s="3199">
        <f t="shared" ref="BR389:BR477" si="291">IF($D389="是",AN389-AO389,0)</f>
        <v>0</v>
      </c>
      <c r="BS389" s="3199">
        <f t="shared" ref="BS389:BS477" si="292">IF($D389="是",AP389-AQ389,0)</f>
        <v>0</v>
      </c>
      <c r="BT389" s="3271">
        <f t="shared" ref="BT389:BT477" si="293">IF($D389="是",AR389-AS389,0)</f>
        <v>0</v>
      </c>
    </row>
    <row r="390" spans="1:72">
      <c r="A390" s="3197"/>
      <c r="B390" s="3205"/>
      <c r="C390" s="3204"/>
      <c r="D390" s="3193"/>
      <c r="E390" s="3199">
        <f t="shared" si="265"/>
        <v>0</v>
      </c>
      <c r="F390" s="3200"/>
      <c r="G390" s="3201">
        <f t="shared" si="266"/>
        <v>0</v>
      </c>
      <c r="H390" s="3202">
        <f t="shared" si="267"/>
        <v>0</v>
      </c>
      <c r="I390" s="3207"/>
      <c r="J390" s="3218"/>
      <c r="K390" s="3207"/>
      <c r="L390" s="3218"/>
      <c r="M390" s="3219"/>
      <c r="N390" s="3218"/>
      <c r="O390" s="3218"/>
      <c r="P390" s="3218"/>
      <c r="Q390" s="3218"/>
      <c r="R390" s="3218"/>
      <c r="S390" s="3218"/>
      <c r="T390" s="3218"/>
      <c r="U390" s="3218"/>
      <c r="V390" s="3218"/>
      <c r="W390" s="3218"/>
      <c r="X390" s="3218"/>
      <c r="Y390" s="3218"/>
      <c r="Z390" s="3218"/>
      <c r="AA390" s="3218"/>
      <c r="AB390" s="3218"/>
      <c r="AC390" s="3199">
        <f t="shared" si="268"/>
        <v>0</v>
      </c>
      <c r="AD390" s="3219"/>
      <c r="AE390" s="3229"/>
      <c r="AF390" s="3230"/>
      <c r="AG390" s="3229"/>
      <c r="AH390" s="3229"/>
      <c r="AI390" s="3229"/>
      <c r="AJ390" s="3229"/>
      <c r="AK390" s="3229"/>
      <c r="AL390" s="3219"/>
      <c r="AM390" s="3229"/>
      <c r="AN390" s="3219"/>
      <c r="AO390" s="3229"/>
      <c r="AP390" s="3229"/>
      <c r="AQ390" s="3229"/>
      <c r="AR390" s="3229"/>
      <c r="AS390" s="3229"/>
      <c r="AT390" s="3249"/>
      <c r="AU390" s="3250"/>
      <c r="AV390" s="475">
        <f t="shared" si="269"/>
        <v>0</v>
      </c>
      <c r="AW390" s="475">
        <f t="shared" si="270"/>
        <v>0</v>
      </c>
      <c r="AX390" s="475">
        <f t="shared" si="271"/>
        <v>0</v>
      </c>
      <c r="AY390" s="3266">
        <f t="shared" si="272"/>
        <v>0</v>
      </c>
      <c r="AZ390" s="3199">
        <f t="shared" si="273"/>
        <v>0</v>
      </c>
      <c r="BA390" s="3199">
        <f t="shared" si="274"/>
        <v>0</v>
      </c>
      <c r="BB390" s="3199">
        <f t="shared" si="275"/>
        <v>0</v>
      </c>
      <c r="BC390" s="3199">
        <f t="shared" si="276"/>
        <v>0</v>
      </c>
      <c r="BD390" s="3199">
        <f t="shared" si="277"/>
        <v>0</v>
      </c>
      <c r="BE390" s="3199">
        <f t="shared" si="278"/>
        <v>0</v>
      </c>
      <c r="BF390" s="3199">
        <f t="shared" si="279"/>
        <v>0</v>
      </c>
      <c r="BG390" s="3199">
        <f t="shared" si="280"/>
        <v>0</v>
      </c>
      <c r="BH390" s="3199">
        <f t="shared" si="281"/>
        <v>0</v>
      </c>
      <c r="BI390" s="3199">
        <f t="shared" si="282"/>
        <v>0</v>
      </c>
      <c r="BJ390" s="3199">
        <f t="shared" si="283"/>
        <v>0</v>
      </c>
      <c r="BK390" s="3199">
        <f t="shared" si="284"/>
        <v>0</v>
      </c>
      <c r="BL390" s="3199">
        <f t="shared" si="285"/>
        <v>0</v>
      </c>
      <c r="BM390" s="3199">
        <f t="shared" si="286"/>
        <v>0</v>
      </c>
      <c r="BN390" s="3199">
        <f t="shared" si="287"/>
        <v>0</v>
      </c>
      <c r="BO390" s="3199">
        <f t="shared" si="288"/>
        <v>0</v>
      </c>
      <c r="BP390" s="3199">
        <f t="shared" si="289"/>
        <v>0</v>
      </c>
      <c r="BQ390" s="3199">
        <f t="shared" si="290"/>
        <v>0</v>
      </c>
      <c r="BR390" s="3199">
        <f t="shared" si="291"/>
        <v>0</v>
      </c>
      <c r="BS390" s="3199">
        <f t="shared" si="292"/>
        <v>0</v>
      </c>
      <c r="BT390" s="3271">
        <f t="shared" si="293"/>
        <v>0</v>
      </c>
    </row>
    <row r="391" spans="1:72">
      <c r="A391" s="3197"/>
      <c r="B391" s="3205"/>
      <c r="C391" s="3204"/>
      <c r="D391" s="3193"/>
      <c r="E391" s="3199">
        <f t="shared" si="265"/>
        <v>0</v>
      </c>
      <c r="F391" s="3200"/>
      <c r="G391" s="3201">
        <f t="shared" si="266"/>
        <v>0</v>
      </c>
      <c r="H391" s="3202">
        <f t="shared" si="267"/>
        <v>0</v>
      </c>
      <c r="I391" s="3207"/>
      <c r="J391" s="3218"/>
      <c r="K391" s="3207"/>
      <c r="L391" s="3218"/>
      <c r="M391" s="3219"/>
      <c r="N391" s="3218"/>
      <c r="O391" s="3218"/>
      <c r="P391" s="3218"/>
      <c r="Q391" s="3218"/>
      <c r="R391" s="3218"/>
      <c r="S391" s="3218"/>
      <c r="T391" s="3218"/>
      <c r="U391" s="3218"/>
      <c r="V391" s="3218"/>
      <c r="W391" s="3218"/>
      <c r="X391" s="3218"/>
      <c r="Y391" s="3218"/>
      <c r="Z391" s="3218"/>
      <c r="AA391" s="3218"/>
      <c r="AB391" s="3218"/>
      <c r="AC391" s="3199">
        <f t="shared" si="268"/>
        <v>0</v>
      </c>
      <c r="AD391" s="3229"/>
      <c r="AE391" s="3229"/>
      <c r="AF391" s="3230"/>
      <c r="AG391" s="3229"/>
      <c r="AH391" s="3229"/>
      <c r="AI391" s="3229"/>
      <c r="AJ391" s="3229"/>
      <c r="AK391" s="3229"/>
      <c r="AL391" s="3219"/>
      <c r="AM391" s="3229"/>
      <c r="AN391" s="3219"/>
      <c r="AO391" s="3229"/>
      <c r="AP391" s="3229"/>
      <c r="AQ391" s="3229"/>
      <c r="AR391" s="3229"/>
      <c r="AS391" s="3229"/>
      <c r="AT391" s="3249"/>
      <c r="AU391" s="3250"/>
      <c r="AV391" s="475">
        <f t="shared" si="269"/>
        <v>0</v>
      </c>
      <c r="AW391" s="475">
        <f t="shared" si="270"/>
        <v>0</v>
      </c>
      <c r="AX391" s="475">
        <f t="shared" si="271"/>
        <v>0</v>
      </c>
      <c r="AY391" s="3266">
        <f t="shared" si="272"/>
        <v>0</v>
      </c>
      <c r="AZ391" s="3199">
        <f t="shared" si="273"/>
        <v>0</v>
      </c>
      <c r="BA391" s="3199">
        <f t="shared" si="274"/>
        <v>0</v>
      </c>
      <c r="BB391" s="3199">
        <f t="shared" si="275"/>
        <v>0</v>
      </c>
      <c r="BC391" s="3199">
        <f t="shared" si="276"/>
        <v>0</v>
      </c>
      <c r="BD391" s="3199">
        <f t="shared" si="277"/>
        <v>0</v>
      </c>
      <c r="BE391" s="3199">
        <f t="shared" si="278"/>
        <v>0</v>
      </c>
      <c r="BF391" s="3199">
        <f t="shared" si="279"/>
        <v>0</v>
      </c>
      <c r="BG391" s="3199">
        <f t="shared" si="280"/>
        <v>0</v>
      </c>
      <c r="BH391" s="3199">
        <f t="shared" si="281"/>
        <v>0</v>
      </c>
      <c r="BI391" s="3199">
        <f t="shared" si="282"/>
        <v>0</v>
      </c>
      <c r="BJ391" s="3199">
        <f t="shared" si="283"/>
        <v>0</v>
      </c>
      <c r="BK391" s="3199">
        <f t="shared" si="284"/>
        <v>0</v>
      </c>
      <c r="BL391" s="3199">
        <f t="shared" si="285"/>
        <v>0</v>
      </c>
      <c r="BM391" s="3199">
        <f t="shared" si="286"/>
        <v>0</v>
      </c>
      <c r="BN391" s="3199">
        <f t="shared" si="287"/>
        <v>0</v>
      </c>
      <c r="BO391" s="3199">
        <f t="shared" si="288"/>
        <v>0</v>
      </c>
      <c r="BP391" s="3199">
        <f t="shared" si="289"/>
        <v>0</v>
      </c>
      <c r="BQ391" s="3199">
        <f t="shared" si="290"/>
        <v>0</v>
      </c>
      <c r="BR391" s="3199">
        <f t="shared" si="291"/>
        <v>0</v>
      </c>
      <c r="BS391" s="3199">
        <f t="shared" si="292"/>
        <v>0</v>
      </c>
      <c r="BT391" s="3271">
        <f t="shared" si="293"/>
        <v>0</v>
      </c>
    </row>
    <row r="392" spans="1:72">
      <c r="A392" s="3197"/>
      <c r="B392" s="3205"/>
      <c r="C392" s="3204"/>
      <c r="D392" s="3193"/>
      <c r="E392" s="3199">
        <f t="shared" si="265"/>
        <v>0</v>
      </c>
      <c r="F392" s="3200"/>
      <c r="G392" s="3201">
        <f t="shared" si="266"/>
        <v>0</v>
      </c>
      <c r="H392" s="3202">
        <f t="shared" si="267"/>
        <v>0</v>
      </c>
      <c r="I392" s="3207"/>
      <c r="J392" s="3218"/>
      <c r="K392" s="3207"/>
      <c r="L392" s="3218"/>
      <c r="M392" s="3218"/>
      <c r="N392" s="3218"/>
      <c r="O392" s="3219"/>
      <c r="P392" s="3218"/>
      <c r="Q392" s="3218"/>
      <c r="R392" s="3218"/>
      <c r="S392" s="3218"/>
      <c r="T392" s="3218"/>
      <c r="U392" s="3218"/>
      <c r="V392" s="3218"/>
      <c r="W392" s="3218"/>
      <c r="X392" s="3218"/>
      <c r="Y392" s="3218"/>
      <c r="Z392" s="3218"/>
      <c r="AA392" s="3218"/>
      <c r="AB392" s="3218"/>
      <c r="AC392" s="3199">
        <f t="shared" si="268"/>
        <v>0</v>
      </c>
      <c r="AD392" s="3229"/>
      <c r="AE392" s="3229"/>
      <c r="AF392" s="3230"/>
      <c r="AG392" s="3229"/>
      <c r="AH392" s="3229"/>
      <c r="AI392" s="3229"/>
      <c r="AJ392" s="3229"/>
      <c r="AK392" s="3229"/>
      <c r="AL392" s="3229"/>
      <c r="AM392" s="3229"/>
      <c r="AN392" s="3219"/>
      <c r="AO392" s="3229"/>
      <c r="AP392" s="3229"/>
      <c r="AQ392" s="3229"/>
      <c r="AR392" s="3229"/>
      <c r="AS392" s="3229"/>
      <c r="AT392" s="3249"/>
      <c r="AU392" s="3250"/>
      <c r="AV392" s="475">
        <f t="shared" si="269"/>
        <v>0</v>
      </c>
      <c r="AW392" s="475">
        <f t="shared" si="270"/>
        <v>0</v>
      </c>
      <c r="AX392" s="475">
        <f t="shared" si="271"/>
        <v>0</v>
      </c>
      <c r="AY392" s="3266">
        <f t="shared" si="272"/>
        <v>0</v>
      </c>
      <c r="AZ392" s="3199">
        <f t="shared" si="273"/>
        <v>0</v>
      </c>
      <c r="BA392" s="3199">
        <f t="shared" si="274"/>
        <v>0</v>
      </c>
      <c r="BB392" s="3199">
        <f t="shared" si="275"/>
        <v>0</v>
      </c>
      <c r="BC392" s="3199">
        <f t="shared" si="276"/>
        <v>0</v>
      </c>
      <c r="BD392" s="3199">
        <f t="shared" si="277"/>
        <v>0</v>
      </c>
      <c r="BE392" s="3199">
        <f t="shared" si="278"/>
        <v>0</v>
      </c>
      <c r="BF392" s="3199">
        <f t="shared" si="279"/>
        <v>0</v>
      </c>
      <c r="BG392" s="3199">
        <f t="shared" si="280"/>
        <v>0</v>
      </c>
      <c r="BH392" s="3199">
        <f t="shared" si="281"/>
        <v>0</v>
      </c>
      <c r="BI392" s="3199">
        <f t="shared" si="282"/>
        <v>0</v>
      </c>
      <c r="BJ392" s="3199">
        <f t="shared" si="283"/>
        <v>0</v>
      </c>
      <c r="BK392" s="3199">
        <f t="shared" si="284"/>
        <v>0</v>
      </c>
      <c r="BL392" s="3199">
        <f t="shared" si="285"/>
        <v>0</v>
      </c>
      <c r="BM392" s="3199">
        <f t="shared" si="286"/>
        <v>0</v>
      </c>
      <c r="BN392" s="3199">
        <f t="shared" si="287"/>
        <v>0</v>
      </c>
      <c r="BO392" s="3199">
        <f t="shared" si="288"/>
        <v>0</v>
      </c>
      <c r="BP392" s="3199">
        <f t="shared" si="289"/>
        <v>0</v>
      </c>
      <c r="BQ392" s="3199">
        <f t="shared" si="290"/>
        <v>0</v>
      </c>
      <c r="BR392" s="3199">
        <f t="shared" si="291"/>
        <v>0</v>
      </c>
      <c r="BS392" s="3199">
        <f t="shared" si="292"/>
        <v>0</v>
      </c>
      <c r="BT392" s="3271">
        <f t="shared" si="293"/>
        <v>0</v>
      </c>
    </row>
    <row r="393" spans="1:72">
      <c r="A393" s="3197"/>
      <c r="B393" s="3205"/>
      <c r="C393" s="3204"/>
      <c r="D393" s="3193"/>
      <c r="E393" s="3199">
        <f t="shared" si="265"/>
        <v>0</v>
      </c>
      <c r="F393" s="3200"/>
      <c r="G393" s="3201">
        <f t="shared" si="266"/>
        <v>0</v>
      </c>
      <c r="H393" s="3202">
        <f t="shared" si="267"/>
        <v>0</v>
      </c>
      <c r="I393" s="3207"/>
      <c r="J393" s="3218"/>
      <c r="K393" s="3207"/>
      <c r="L393" s="3218"/>
      <c r="M393" s="3218"/>
      <c r="N393" s="3218"/>
      <c r="O393" s="3218"/>
      <c r="P393" s="3218"/>
      <c r="Q393" s="3218"/>
      <c r="R393" s="3218"/>
      <c r="S393" s="3218"/>
      <c r="T393" s="3218"/>
      <c r="U393" s="3218"/>
      <c r="V393" s="3218"/>
      <c r="W393" s="3218"/>
      <c r="X393" s="3218"/>
      <c r="Y393" s="3218"/>
      <c r="Z393" s="3218"/>
      <c r="AA393" s="3218"/>
      <c r="AB393" s="3218"/>
      <c r="AC393" s="3199">
        <f t="shared" si="268"/>
        <v>0</v>
      </c>
      <c r="AD393" s="3229"/>
      <c r="AE393" s="3229"/>
      <c r="AF393" s="3230"/>
      <c r="AG393" s="3229"/>
      <c r="AH393" s="3229"/>
      <c r="AI393" s="3229"/>
      <c r="AJ393" s="3229"/>
      <c r="AK393" s="3229"/>
      <c r="AL393" s="3229"/>
      <c r="AM393" s="3229"/>
      <c r="AN393" s="3229"/>
      <c r="AO393" s="3229"/>
      <c r="AP393" s="3229"/>
      <c r="AQ393" s="3229"/>
      <c r="AR393" s="3229"/>
      <c r="AS393" s="3229"/>
      <c r="AT393" s="3249"/>
      <c r="AU393" s="3250"/>
      <c r="AV393" s="475">
        <f t="shared" si="269"/>
        <v>0</v>
      </c>
      <c r="AW393" s="475">
        <f t="shared" si="270"/>
        <v>0</v>
      </c>
      <c r="AX393" s="475">
        <f t="shared" si="271"/>
        <v>0</v>
      </c>
      <c r="AY393" s="3266">
        <f t="shared" si="272"/>
        <v>0</v>
      </c>
      <c r="AZ393" s="3199">
        <f t="shared" si="273"/>
        <v>0</v>
      </c>
      <c r="BA393" s="3199">
        <f t="shared" si="274"/>
        <v>0</v>
      </c>
      <c r="BB393" s="3199">
        <f t="shared" si="275"/>
        <v>0</v>
      </c>
      <c r="BC393" s="3199">
        <f t="shared" si="276"/>
        <v>0</v>
      </c>
      <c r="BD393" s="3199">
        <f t="shared" si="277"/>
        <v>0</v>
      </c>
      <c r="BE393" s="3199">
        <f t="shared" si="278"/>
        <v>0</v>
      </c>
      <c r="BF393" s="3199">
        <f t="shared" si="279"/>
        <v>0</v>
      </c>
      <c r="BG393" s="3199">
        <f t="shared" si="280"/>
        <v>0</v>
      </c>
      <c r="BH393" s="3199">
        <f t="shared" si="281"/>
        <v>0</v>
      </c>
      <c r="BI393" s="3199">
        <f t="shared" si="282"/>
        <v>0</v>
      </c>
      <c r="BJ393" s="3199">
        <f t="shared" si="283"/>
        <v>0</v>
      </c>
      <c r="BK393" s="3199">
        <f t="shared" si="284"/>
        <v>0</v>
      </c>
      <c r="BL393" s="3199">
        <f t="shared" si="285"/>
        <v>0</v>
      </c>
      <c r="BM393" s="3199">
        <f t="shared" si="286"/>
        <v>0</v>
      </c>
      <c r="BN393" s="3199">
        <f t="shared" si="287"/>
        <v>0</v>
      </c>
      <c r="BO393" s="3199">
        <f t="shared" si="288"/>
        <v>0</v>
      </c>
      <c r="BP393" s="3199">
        <f t="shared" si="289"/>
        <v>0</v>
      </c>
      <c r="BQ393" s="3199">
        <f t="shared" si="290"/>
        <v>0</v>
      </c>
      <c r="BR393" s="3199">
        <f t="shared" si="291"/>
        <v>0</v>
      </c>
      <c r="BS393" s="3199">
        <f t="shared" si="292"/>
        <v>0</v>
      </c>
      <c r="BT393" s="3271">
        <f t="shared" si="293"/>
        <v>0</v>
      </c>
    </row>
    <row r="394" spans="1:72">
      <c r="A394" s="3197"/>
      <c r="B394" s="3205"/>
      <c r="C394" s="3204"/>
      <c r="D394" s="3193"/>
      <c r="E394" s="3199">
        <f t="shared" si="265"/>
        <v>0</v>
      </c>
      <c r="F394" s="3200"/>
      <c r="G394" s="3201">
        <f t="shared" si="266"/>
        <v>0</v>
      </c>
      <c r="H394" s="3202">
        <f t="shared" si="267"/>
        <v>0</v>
      </c>
      <c r="I394" s="3207"/>
      <c r="J394" s="3218"/>
      <c r="K394" s="3207"/>
      <c r="L394" s="3218"/>
      <c r="M394" s="3218"/>
      <c r="N394" s="3218"/>
      <c r="O394" s="3218"/>
      <c r="P394" s="3218"/>
      <c r="Q394" s="3218"/>
      <c r="R394" s="3218"/>
      <c r="S394" s="3218"/>
      <c r="T394" s="3218"/>
      <c r="U394" s="3218"/>
      <c r="V394" s="3218"/>
      <c r="W394" s="3218"/>
      <c r="X394" s="3218"/>
      <c r="Y394" s="3218"/>
      <c r="Z394" s="3218"/>
      <c r="AA394" s="3218"/>
      <c r="AB394" s="3218"/>
      <c r="AC394" s="3199">
        <f t="shared" si="268"/>
        <v>0</v>
      </c>
      <c r="AD394" s="3229"/>
      <c r="AE394" s="3229"/>
      <c r="AF394" s="3230"/>
      <c r="AG394" s="3229"/>
      <c r="AH394" s="3229"/>
      <c r="AI394" s="3229"/>
      <c r="AJ394" s="3229"/>
      <c r="AK394" s="3229"/>
      <c r="AL394" s="3229"/>
      <c r="AM394" s="3229"/>
      <c r="AN394" s="3229"/>
      <c r="AO394" s="3229"/>
      <c r="AP394" s="3229"/>
      <c r="AQ394" s="3229"/>
      <c r="AR394" s="3229"/>
      <c r="AS394" s="3229"/>
      <c r="AT394" s="3249"/>
      <c r="AU394" s="3250"/>
      <c r="AV394" s="475">
        <f t="shared" si="269"/>
        <v>0</v>
      </c>
      <c r="AW394" s="475">
        <f t="shared" si="270"/>
        <v>0</v>
      </c>
      <c r="AX394" s="475">
        <f t="shared" si="271"/>
        <v>0</v>
      </c>
      <c r="AY394" s="3266">
        <f t="shared" si="272"/>
        <v>0</v>
      </c>
      <c r="AZ394" s="3199">
        <f t="shared" si="273"/>
        <v>0</v>
      </c>
      <c r="BA394" s="3199">
        <f t="shared" si="274"/>
        <v>0</v>
      </c>
      <c r="BB394" s="3199">
        <f t="shared" si="275"/>
        <v>0</v>
      </c>
      <c r="BC394" s="3199">
        <f t="shared" si="276"/>
        <v>0</v>
      </c>
      <c r="BD394" s="3199">
        <f t="shared" si="277"/>
        <v>0</v>
      </c>
      <c r="BE394" s="3199">
        <f t="shared" si="278"/>
        <v>0</v>
      </c>
      <c r="BF394" s="3199">
        <f t="shared" si="279"/>
        <v>0</v>
      </c>
      <c r="BG394" s="3199">
        <f t="shared" si="280"/>
        <v>0</v>
      </c>
      <c r="BH394" s="3199">
        <f t="shared" si="281"/>
        <v>0</v>
      </c>
      <c r="BI394" s="3199">
        <f t="shared" si="282"/>
        <v>0</v>
      </c>
      <c r="BJ394" s="3199">
        <f t="shared" si="283"/>
        <v>0</v>
      </c>
      <c r="BK394" s="3199">
        <f t="shared" si="284"/>
        <v>0</v>
      </c>
      <c r="BL394" s="3199">
        <f t="shared" si="285"/>
        <v>0</v>
      </c>
      <c r="BM394" s="3199">
        <f t="shared" si="286"/>
        <v>0</v>
      </c>
      <c r="BN394" s="3199">
        <f t="shared" si="287"/>
        <v>0</v>
      </c>
      <c r="BO394" s="3199">
        <f t="shared" si="288"/>
        <v>0</v>
      </c>
      <c r="BP394" s="3199">
        <f t="shared" si="289"/>
        <v>0</v>
      </c>
      <c r="BQ394" s="3199">
        <f t="shared" si="290"/>
        <v>0</v>
      </c>
      <c r="BR394" s="3199">
        <f t="shared" si="291"/>
        <v>0</v>
      </c>
      <c r="BS394" s="3199">
        <f t="shared" si="292"/>
        <v>0</v>
      </c>
      <c r="BT394" s="3271">
        <f t="shared" si="293"/>
        <v>0</v>
      </c>
    </row>
    <row r="395" spans="1:72">
      <c r="A395" s="3197"/>
      <c r="B395" s="3205"/>
      <c r="C395" s="3204"/>
      <c r="D395" s="3193"/>
      <c r="E395" s="3199">
        <f t="shared" si="265"/>
        <v>0</v>
      </c>
      <c r="F395" s="3200"/>
      <c r="G395" s="3201">
        <f t="shared" si="266"/>
        <v>0</v>
      </c>
      <c r="H395" s="3202">
        <f t="shared" si="267"/>
        <v>0</v>
      </c>
      <c r="I395" s="3207"/>
      <c r="J395" s="3218"/>
      <c r="K395" s="3207"/>
      <c r="L395" s="3218"/>
      <c r="M395" s="3218"/>
      <c r="N395" s="3218"/>
      <c r="O395" s="3218"/>
      <c r="P395" s="3218"/>
      <c r="Q395" s="3218"/>
      <c r="R395" s="3218"/>
      <c r="S395" s="3218"/>
      <c r="T395" s="3218"/>
      <c r="U395" s="3218"/>
      <c r="V395" s="3218"/>
      <c r="W395" s="3218"/>
      <c r="X395" s="3218"/>
      <c r="Y395" s="3218"/>
      <c r="Z395" s="3218"/>
      <c r="AA395" s="3218"/>
      <c r="AB395" s="3218"/>
      <c r="AC395" s="3199">
        <f t="shared" si="268"/>
        <v>0</v>
      </c>
      <c r="AD395" s="3229"/>
      <c r="AE395" s="3229"/>
      <c r="AF395" s="3230"/>
      <c r="AG395" s="3229"/>
      <c r="AH395" s="3229"/>
      <c r="AI395" s="3229"/>
      <c r="AJ395" s="3229"/>
      <c r="AK395" s="3229"/>
      <c r="AL395" s="3229"/>
      <c r="AM395" s="3229"/>
      <c r="AN395" s="3229"/>
      <c r="AO395" s="3229"/>
      <c r="AP395" s="3229"/>
      <c r="AQ395" s="3229"/>
      <c r="AR395" s="3229"/>
      <c r="AS395" s="3229"/>
      <c r="AT395" s="3249"/>
      <c r="AU395" s="3250"/>
      <c r="AV395" s="475">
        <f t="shared" si="269"/>
        <v>0</v>
      </c>
      <c r="AW395" s="475">
        <f t="shared" si="270"/>
        <v>0</v>
      </c>
      <c r="AX395" s="475">
        <f t="shared" si="271"/>
        <v>0</v>
      </c>
      <c r="AY395" s="3266">
        <f t="shared" si="272"/>
        <v>0</v>
      </c>
      <c r="AZ395" s="3199">
        <f t="shared" si="273"/>
        <v>0</v>
      </c>
      <c r="BA395" s="3199">
        <f t="shared" si="274"/>
        <v>0</v>
      </c>
      <c r="BB395" s="3199">
        <f t="shared" si="275"/>
        <v>0</v>
      </c>
      <c r="BC395" s="3199">
        <f t="shared" si="276"/>
        <v>0</v>
      </c>
      <c r="BD395" s="3199">
        <f t="shared" si="277"/>
        <v>0</v>
      </c>
      <c r="BE395" s="3199">
        <f t="shared" si="278"/>
        <v>0</v>
      </c>
      <c r="BF395" s="3199">
        <f t="shared" si="279"/>
        <v>0</v>
      </c>
      <c r="BG395" s="3199">
        <f t="shared" si="280"/>
        <v>0</v>
      </c>
      <c r="BH395" s="3199">
        <f t="shared" si="281"/>
        <v>0</v>
      </c>
      <c r="BI395" s="3199">
        <f t="shared" si="282"/>
        <v>0</v>
      </c>
      <c r="BJ395" s="3199">
        <f t="shared" si="283"/>
        <v>0</v>
      </c>
      <c r="BK395" s="3199">
        <f t="shared" si="284"/>
        <v>0</v>
      </c>
      <c r="BL395" s="3199">
        <f t="shared" si="285"/>
        <v>0</v>
      </c>
      <c r="BM395" s="3199">
        <f t="shared" si="286"/>
        <v>0</v>
      </c>
      <c r="BN395" s="3199">
        <f t="shared" si="287"/>
        <v>0</v>
      </c>
      <c r="BO395" s="3199">
        <f t="shared" si="288"/>
        <v>0</v>
      </c>
      <c r="BP395" s="3199">
        <f t="shared" si="289"/>
        <v>0</v>
      </c>
      <c r="BQ395" s="3199">
        <f t="shared" si="290"/>
        <v>0</v>
      </c>
      <c r="BR395" s="3199">
        <f t="shared" si="291"/>
        <v>0</v>
      </c>
      <c r="BS395" s="3199">
        <f t="shared" si="292"/>
        <v>0</v>
      </c>
      <c r="BT395" s="3271">
        <f t="shared" si="293"/>
        <v>0</v>
      </c>
    </row>
    <row r="396" spans="1:72">
      <c r="A396" s="3197"/>
      <c r="B396" s="3205"/>
      <c r="C396" s="3204"/>
      <c r="D396" s="3193"/>
      <c r="E396" s="3199">
        <f t="shared" si="265"/>
        <v>0</v>
      </c>
      <c r="F396" s="3200"/>
      <c r="G396" s="3201">
        <f t="shared" si="266"/>
        <v>0</v>
      </c>
      <c r="H396" s="3202">
        <f t="shared" si="267"/>
        <v>0</v>
      </c>
      <c r="I396" s="3207"/>
      <c r="J396" s="3218"/>
      <c r="K396" s="3207"/>
      <c r="L396" s="3218"/>
      <c r="M396" s="3218"/>
      <c r="N396" s="3218"/>
      <c r="O396" s="3218"/>
      <c r="P396" s="3218"/>
      <c r="Q396" s="3218"/>
      <c r="R396" s="3218"/>
      <c r="S396" s="3218"/>
      <c r="T396" s="3218"/>
      <c r="U396" s="3218"/>
      <c r="V396" s="3218"/>
      <c r="W396" s="3218"/>
      <c r="X396" s="3218"/>
      <c r="Y396" s="3218"/>
      <c r="Z396" s="3218"/>
      <c r="AA396" s="3218"/>
      <c r="AB396" s="3218"/>
      <c r="AC396" s="3199">
        <f t="shared" si="268"/>
        <v>0</v>
      </c>
      <c r="AD396" s="3229"/>
      <c r="AE396" s="3229"/>
      <c r="AF396" s="3207"/>
      <c r="AG396" s="3229"/>
      <c r="AH396" s="3229"/>
      <c r="AI396" s="3229"/>
      <c r="AJ396" s="3229"/>
      <c r="AK396" s="3229"/>
      <c r="AL396" s="3229"/>
      <c r="AM396" s="3229"/>
      <c r="AN396" s="3229"/>
      <c r="AO396" s="3229"/>
      <c r="AP396" s="3229"/>
      <c r="AQ396" s="3229"/>
      <c r="AR396" s="3229"/>
      <c r="AS396" s="3229"/>
      <c r="AT396" s="3249"/>
      <c r="AU396" s="3250"/>
      <c r="AV396" s="475">
        <f t="shared" si="269"/>
        <v>0</v>
      </c>
      <c r="AW396" s="475">
        <f t="shared" si="270"/>
        <v>0</v>
      </c>
      <c r="AX396" s="475">
        <f t="shared" si="271"/>
        <v>0</v>
      </c>
      <c r="AY396" s="3266">
        <f t="shared" si="272"/>
        <v>0</v>
      </c>
      <c r="AZ396" s="3199">
        <f t="shared" si="273"/>
        <v>0</v>
      </c>
      <c r="BA396" s="3199">
        <f t="shared" si="274"/>
        <v>0</v>
      </c>
      <c r="BB396" s="3199">
        <f t="shared" si="275"/>
        <v>0</v>
      </c>
      <c r="BC396" s="3199">
        <f t="shared" si="276"/>
        <v>0</v>
      </c>
      <c r="BD396" s="3199">
        <f t="shared" si="277"/>
        <v>0</v>
      </c>
      <c r="BE396" s="3199">
        <f t="shared" si="278"/>
        <v>0</v>
      </c>
      <c r="BF396" s="3199">
        <f t="shared" si="279"/>
        <v>0</v>
      </c>
      <c r="BG396" s="3199">
        <f t="shared" si="280"/>
        <v>0</v>
      </c>
      <c r="BH396" s="3199">
        <f t="shared" si="281"/>
        <v>0</v>
      </c>
      <c r="BI396" s="3199">
        <f t="shared" si="282"/>
        <v>0</v>
      </c>
      <c r="BJ396" s="3199">
        <f t="shared" si="283"/>
        <v>0</v>
      </c>
      <c r="BK396" s="3199">
        <f t="shared" si="284"/>
        <v>0</v>
      </c>
      <c r="BL396" s="3199">
        <f t="shared" si="285"/>
        <v>0</v>
      </c>
      <c r="BM396" s="3199">
        <f t="shared" si="286"/>
        <v>0</v>
      </c>
      <c r="BN396" s="3199">
        <f t="shared" si="287"/>
        <v>0</v>
      </c>
      <c r="BO396" s="3199">
        <f t="shared" si="288"/>
        <v>0</v>
      </c>
      <c r="BP396" s="3199">
        <f t="shared" si="289"/>
        <v>0</v>
      </c>
      <c r="BQ396" s="3199">
        <f t="shared" si="290"/>
        <v>0</v>
      </c>
      <c r="BR396" s="3199">
        <f t="shared" si="291"/>
        <v>0</v>
      </c>
      <c r="BS396" s="3199">
        <f t="shared" si="292"/>
        <v>0</v>
      </c>
      <c r="BT396" s="3271">
        <f t="shared" si="293"/>
        <v>0</v>
      </c>
    </row>
    <row r="397" spans="1:72">
      <c r="A397" s="3197"/>
      <c r="B397" s="3206"/>
      <c r="C397" s="3207"/>
      <c r="D397" s="3193"/>
      <c r="E397" s="3199">
        <f t="shared" si="265"/>
        <v>0</v>
      </c>
      <c r="F397" s="3200"/>
      <c r="G397" s="3201">
        <f t="shared" si="266"/>
        <v>0</v>
      </c>
      <c r="H397" s="3202">
        <f t="shared" si="267"/>
        <v>0</v>
      </c>
      <c r="I397" s="3207"/>
      <c r="J397" s="3218"/>
      <c r="K397" s="3207"/>
      <c r="L397" s="3218"/>
      <c r="M397" s="3218"/>
      <c r="N397" s="3218"/>
      <c r="O397" s="3218"/>
      <c r="P397" s="3218"/>
      <c r="Q397" s="3218"/>
      <c r="R397" s="3218"/>
      <c r="S397" s="3218"/>
      <c r="T397" s="3218"/>
      <c r="U397" s="3218"/>
      <c r="V397" s="3218"/>
      <c r="W397" s="3218"/>
      <c r="X397" s="3218"/>
      <c r="Y397" s="3218"/>
      <c r="Z397" s="3218"/>
      <c r="AA397" s="3218"/>
      <c r="AB397" s="3218"/>
      <c r="AC397" s="3199">
        <f t="shared" si="268"/>
        <v>0</v>
      </c>
      <c r="AD397" s="3229"/>
      <c r="AE397" s="3229"/>
      <c r="AF397" s="3207"/>
      <c r="AG397" s="3229"/>
      <c r="AH397" s="3229"/>
      <c r="AI397" s="3229"/>
      <c r="AJ397" s="3229"/>
      <c r="AK397" s="3229"/>
      <c r="AL397" s="3229"/>
      <c r="AM397" s="3229"/>
      <c r="AN397" s="3229"/>
      <c r="AO397" s="3229"/>
      <c r="AP397" s="3229"/>
      <c r="AQ397" s="3229"/>
      <c r="AR397" s="3229"/>
      <c r="AS397" s="3229"/>
      <c r="AT397" s="3249"/>
      <c r="AU397" s="3250"/>
      <c r="AV397" s="475">
        <f t="shared" si="269"/>
        <v>0</v>
      </c>
      <c r="AW397" s="475">
        <f t="shared" si="270"/>
        <v>0</v>
      </c>
      <c r="AX397" s="475">
        <f t="shared" si="271"/>
        <v>0</v>
      </c>
      <c r="AY397" s="3266">
        <f t="shared" si="272"/>
        <v>0</v>
      </c>
      <c r="AZ397" s="3199">
        <f t="shared" si="273"/>
        <v>0</v>
      </c>
      <c r="BA397" s="3199">
        <f t="shared" si="274"/>
        <v>0</v>
      </c>
      <c r="BB397" s="3199">
        <f t="shared" si="275"/>
        <v>0</v>
      </c>
      <c r="BC397" s="3199">
        <f t="shared" si="276"/>
        <v>0</v>
      </c>
      <c r="BD397" s="3199">
        <f t="shared" si="277"/>
        <v>0</v>
      </c>
      <c r="BE397" s="3199">
        <f t="shared" si="278"/>
        <v>0</v>
      </c>
      <c r="BF397" s="3199">
        <f t="shared" si="279"/>
        <v>0</v>
      </c>
      <c r="BG397" s="3199">
        <f t="shared" si="280"/>
        <v>0</v>
      </c>
      <c r="BH397" s="3199">
        <f t="shared" si="281"/>
        <v>0</v>
      </c>
      <c r="BI397" s="3199">
        <f t="shared" si="282"/>
        <v>0</v>
      </c>
      <c r="BJ397" s="3199">
        <f t="shared" si="283"/>
        <v>0</v>
      </c>
      <c r="BK397" s="3199">
        <f t="shared" si="284"/>
        <v>0</v>
      </c>
      <c r="BL397" s="3199">
        <f t="shared" si="285"/>
        <v>0</v>
      </c>
      <c r="BM397" s="3199">
        <f t="shared" si="286"/>
        <v>0</v>
      </c>
      <c r="BN397" s="3199">
        <f t="shared" si="287"/>
        <v>0</v>
      </c>
      <c r="BO397" s="3199">
        <f t="shared" si="288"/>
        <v>0</v>
      </c>
      <c r="BP397" s="3199">
        <f t="shared" si="289"/>
        <v>0</v>
      </c>
      <c r="BQ397" s="3199">
        <f t="shared" si="290"/>
        <v>0</v>
      </c>
      <c r="BR397" s="3199">
        <f t="shared" si="291"/>
        <v>0</v>
      </c>
      <c r="BS397" s="3199">
        <f t="shared" si="292"/>
        <v>0</v>
      </c>
      <c r="BT397" s="3271">
        <f t="shared" si="293"/>
        <v>0</v>
      </c>
    </row>
    <row r="398" spans="1:72">
      <c r="A398" s="3197"/>
      <c r="B398" s="3205"/>
      <c r="C398" s="3204"/>
      <c r="D398" s="3193"/>
      <c r="E398" s="3199">
        <f t="shared" si="265"/>
        <v>0</v>
      </c>
      <c r="F398" s="3200"/>
      <c r="G398" s="3201">
        <f t="shared" si="266"/>
        <v>0</v>
      </c>
      <c r="H398" s="3202">
        <f t="shared" si="267"/>
        <v>0</v>
      </c>
      <c r="I398" s="3207"/>
      <c r="J398" s="3218"/>
      <c r="K398" s="3207"/>
      <c r="L398" s="3218"/>
      <c r="M398" s="3218"/>
      <c r="N398" s="3218"/>
      <c r="O398" s="3218"/>
      <c r="P398" s="3218"/>
      <c r="Q398" s="3218"/>
      <c r="R398" s="3218"/>
      <c r="S398" s="3218"/>
      <c r="T398" s="3218"/>
      <c r="U398" s="3218"/>
      <c r="V398" s="3218"/>
      <c r="W398" s="3218"/>
      <c r="X398" s="3218"/>
      <c r="Y398" s="3218"/>
      <c r="Z398" s="3218"/>
      <c r="AA398" s="3218"/>
      <c r="AB398" s="3218"/>
      <c r="AC398" s="3199">
        <f t="shared" si="268"/>
        <v>0</v>
      </c>
      <c r="AD398" s="3229"/>
      <c r="AE398" s="3229"/>
      <c r="AF398" s="3207"/>
      <c r="AG398" s="3229"/>
      <c r="AH398" s="3229"/>
      <c r="AI398" s="3229"/>
      <c r="AJ398" s="3229"/>
      <c r="AK398" s="3229"/>
      <c r="AL398" s="3229"/>
      <c r="AM398" s="3229"/>
      <c r="AN398" s="3229"/>
      <c r="AO398" s="3229"/>
      <c r="AP398" s="3229"/>
      <c r="AQ398" s="3229"/>
      <c r="AR398" s="3229"/>
      <c r="AS398" s="3229"/>
      <c r="AT398" s="3249"/>
      <c r="AU398" s="3250"/>
      <c r="AV398" s="475">
        <f t="shared" si="269"/>
        <v>0</v>
      </c>
      <c r="AW398" s="475">
        <f t="shared" si="270"/>
        <v>0</v>
      </c>
      <c r="AX398" s="475">
        <f t="shared" si="271"/>
        <v>0</v>
      </c>
      <c r="AY398" s="3266">
        <f t="shared" si="272"/>
        <v>0</v>
      </c>
      <c r="AZ398" s="3199">
        <f t="shared" si="273"/>
        <v>0</v>
      </c>
      <c r="BA398" s="3199">
        <f t="shared" si="274"/>
        <v>0</v>
      </c>
      <c r="BB398" s="3199">
        <f t="shared" si="275"/>
        <v>0</v>
      </c>
      <c r="BC398" s="3199">
        <f t="shared" si="276"/>
        <v>0</v>
      </c>
      <c r="BD398" s="3199">
        <f t="shared" si="277"/>
        <v>0</v>
      </c>
      <c r="BE398" s="3199">
        <f t="shared" si="278"/>
        <v>0</v>
      </c>
      <c r="BF398" s="3199">
        <f t="shared" si="279"/>
        <v>0</v>
      </c>
      <c r="BG398" s="3199">
        <f t="shared" si="280"/>
        <v>0</v>
      </c>
      <c r="BH398" s="3199">
        <f t="shared" si="281"/>
        <v>0</v>
      </c>
      <c r="BI398" s="3199">
        <f t="shared" si="282"/>
        <v>0</v>
      </c>
      <c r="BJ398" s="3199">
        <f t="shared" si="283"/>
        <v>0</v>
      </c>
      <c r="BK398" s="3199">
        <f t="shared" si="284"/>
        <v>0</v>
      </c>
      <c r="BL398" s="3199">
        <f t="shared" si="285"/>
        <v>0</v>
      </c>
      <c r="BM398" s="3199">
        <f t="shared" si="286"/>
        <v>0</v>
      </c>
      <c r="BN398" s="3199">
        <f t="shared" si="287"/>
        <v>0</v>
      </c>
      <c r="BO398" s="3199">
        <f t="shared" si="288"/>
        <v>0</v>
      </c>
      <c r="BP398" s="3199">
        <f t="shared" si="289"/>
        <v>0</v>
      </c>
      <c r="BQ398" s="3199">
        <f t="shared" si="290"/>
        <v>0</v>
      </c>
      <c r="BR398" s="3199">
        <f t="shared" si="291"/>
        <v>0</v>
      </c>
      <c r="BS398" s="3199">
        <f t="shared" si="292"/>
        <v>0</v>
      </c>
      <c r="BT398" s="3271">
        <f t="shared" si="293"/>
        <v>0</v>
      </c>
    </row>
    <row r="399" spans="1:72">
      <c r="A399" s="3197"/>
      <c r="B399" s="3205"/>
      <c r="C399" s="3204"/>
      <c r="D399" s="3193"/>
      <c r="E399" s="3199">
        <f t="shared" si="265"/>
        <v>0</v>
      </c>
      <c r="F399" s="3200"/>
      <c r="G399" s="3201">
        <f t="shared" si="266"/>
        <v>0</v>
      </c>
      <c r="H399" s="3202">
        <f t="shared" si="267"/>
        <v>0</v>
      </c>
      <c r="I399" s="3207"/>
      <c r="J399" s="3218"/>
      <c r="K399" s="3207"/>
      <c r="L399" s="3218"/>
      <c r="M399" s="3218"/>
      <c r="N399" s="3218"/>
      <c r="O399" s="3218"/>
      <c r="P399" s="3218"/>
      <c r="Q399" s="3218"/>
      <c r="R399" s="3218"/>
      <c r="S399" s="3218"/>
      <c r="T399" s="3218"/>
      <c r="U399" s="3218"/>
      <c r="V399" s="3218"/>
      <c r="W399" s="3218"/>
      <c r="X399" s="3218"/>
      <c r="Y399" s="3218"/>
      <c r="Z399" s="3218"/>
      <c r="AA399" s="3218"/>
      <c r="AB399" s="3218"/>
      <c r="AC399" s="3199">
        <f t="shared" si="268"/>
        <v>0</v>
      </c>
      <c r="AD399" s="3229"/>
      <c r="AE399" s="3229"/>
      <c r="AF399" s="3207"/>
      <c r="AG399" s="3229"/>
      <c r="AH399" s="3229"/>
      <c r="AI399" s="3229"/>
      <c r="AJ399" s="3229"/>
      <c r="AK399" s="3229"/>
      <c r="AL399" s="3229"/>
      <c r="AM399" s="3229"/>
      <c r="AN399" s="3229"/>
      <c r="AO399" s="3229"/>
      <c r="AP399" s="3229"/>
      <c r="AQ399" s="3229"/>
      <c r="AR399" s="3229"/>
      <c r="AS399" s="3229"/>
      <c r="AT399" s="3249"/>
      <c r="AU399" s="3250"/>
      <c r="AV399" s="475">
        <f t="shared" si="269"/>
        <v>0</v>
      </c>
      <c r="AW399" s="475">
        <f t="shared" si="270"/>
        <v>0</v>
      </c>
      <c r="AX399" s="475">
        <f t="shared" si="271"/>
        <v>0</v>
      </c>
      <c r="AY399" s="3266">
        <f t="shared" si="272"/>
        <v>0</v>
      </c>
      <c r="AZ399" s="3199">
        <f t="shared" si="273"/>
        <v>0</v>
      </c>
      <c r="BA399" s="3199">
        <f t="shared" si="274"/>
        <v>0</v>
      </c>
      <c r="BB399" s="3199">
        <f t="shared" si="275"/>
        <v>0</v>
      </c>
      <c r="BC399" s="3199">
        <f t="shared" si="276"/>
        <v>0</v>
      </c>
      <c r="BD399" s="3199">
        <f t="shared" si="277"/>
        <v>0</v>
      </c>
      <c r="BE399" s="3199">
        <f t="shared" si="278"/>
        <v>0</v>
      </c>
      <c r="BF399" s="3199">
        <f t="shared" si="279"/>
        <v>0</v>
      </c>
      <c r="BG399" s="3199">
        <f t="shared" si="280"/>
        <v>0</v>
      </c>
      <c r="BH399" s="3199">
        <f t="shared" si="281"/>
        <v>0</v>
      </c>
      <c r="BI399" s="3199">
        <f t="shared" si="282"/>
        <v>0</v>
      </c>
      <c r="BJ399" s="3199">
        <f t="shared" si="283"/>
        <v>0</v>
      </c>
      <c r="BK399" s="3199">
        <f t="shared" si="284"/>
        <v>0</v>
      </c>
      <c r="BL399" s="3199">
        <f t="shared" si="285"/>
        <v>0</v>
      </c>
      <c r="BM399" s="3199">
        <f t="shared" si="286"/>
        <v>0</v>
      </c>
      <c r="BN399" s="3199">
        <f t="shared" si="287"/>
        <v>0</v>
      </c>
      <c r="BO399" s="3199">
        <f t="shared" si="288"/>
        <v>0</v>
      </c>
      <c r="BP399" s="3199">
        <f t="shared" si="289"/>
        <v>0</v>
      </c>
      <c r="BQ399" s="3199">
        <f t="shared" si="290"/>
        <v>0</v>
      </c>
      <c r="BR399" s="3199">
        <f t="shared" si="291"/>
        <v>0</v>
      </c>
      <c r="BS399" s="3199">
        <f t="shared" si="292"/>
        <v>0</v>
      </c>
      <c r="BT399" s="3271">
        <f t="shared" si="293"/>
        <v>0</v>
      </c>
    </row>
    <row r="400" spans="1:72">
      <c r="A400" s="3197"/>
      <c r="B400" s="3205"/>
      <c r="C400" s="3204"/>
      <c r="D400" s="3193"/>
      <c r="E400" s="3199">
        <f t="shared" si="265"/>
        <v>0</v>
      </c>
      <c r="F400" s="3200"/>
      <c r="G400" s="3201">
        <f t="shared" si="266"/>
        <v>0</v>
      </c>
      <c r="H400" s="3202">
        <f t="shared" si="267"/>
        <v>0</v>
      </c>
      <c r="I400" s="3207"/>
      <c r="J400" s="3218"/>
      <c r="K400" s="3207"/>
      <c r="L400" s="3218"/>
      <c r="M400" s="3218"/>
      <c r="N400" s="3218"/>
      <c r="O400" s="3218"/>
      <c r="P400" s="3218"/>
      <c r="Q400" s="3218"/>
      <c r="R400" s="3218"/>
      <c r="S400" s="3218"/>
      <c r="T400" s="3218"/>
      <c r="U400" s="3218"/>
      <c r="V400" s="3218"/>
      <c r="W400" s="3218"/>
      <c r="X400" s="3218"/>
      <c r="Y400" s="3218"/>
      <c r="Z400" s="3218"/>
      <c r="AA400" s="3218"/>
      <c r="AB400" s="3218"/>
      <c r="AC400" s="3199">
        <f t="shared" si="268"/>
        <v>0</v>
      </c>
      <c r="AD400" s="3229"/>
      <c r="AE400" s="3229"/>
      <c r="AF400" s="3207"/>
      <c r="AG400" s="3229"/>
      <c r="AH400" s="3229"/>
      <c r="AI400" s="3229"/>
      <c r="AJ400" s="3229"/>
      <c r="AK400" s="3229"/>
      <c r="AL400" s="3229"/>
      <c r="AM400" s="3229"/>
      <c r="AN400" s="3229"/>
      <c r="AO400" s="3229"/>
      <c r="AP400" s="3229"/>
      <c r="AQ400" s="3229"/>
      <c r="AR400" s="3229"/>
      <c r="AS400" s="3229"/>
      <c r="AT400" s="3249"/>
      <c r="AU400" s="3250"/>
      <c r="AV400" s="475">
        <f t="shared" si="269"/>
        <v>0</v>
      </c>
      <c r="AW400" s="475">
        <f t="shared" si="270"/>
        <v>0</v>
      </c>
      <c r="AX400" s="475">
        <f t="shared" si="271"/>
        <v>0</v>
      </c>
      <c r="AY400" s="3266">
        <f t="shared" si="272"/>
        <v>0</v>
      </c>
      <c r="AZ400" s="3199">
        <f t="shared" si="273"/>
        <v>0</v>
      </c>
      <c r="BA400" s="3199">
        <f t="shared" si="274"/>
        <v>0</v>
      </c>
      <c r="BB400" s="3199">
        <f t="shared" si="275"/>
        <v>0</v>
      </c>
      <c r="BC400" s="3199">
        <f t="shared" si="276"/>
        <v>0</v>
      </c>
      <c r="BD400" s="3199">
        <f t="shared" si="277"/>
        <v>0</v>
      </c>
      <c r="BE400" s="3199">
        <f t="shared" si="278"/>
        <v>0</v>
      </c>
      <c r="BF400" s="3199">
        <f t="shared" si="279"/>
        <v>0</v>
      </c>
      <c r="BG400" s="3199">
        <f t="shared" si="280"/>
        <v>0</v>
      </c>
      <c r="BH400" s="3199">
        <f t="shared" si="281"/>
        <v>0</v>
      </c>
      <c r="BI400" s="3199">
        <f t="shared" si="282"/>
        <v>0</v>
      </c>
      <c r="BJ400" s="3199">
        <f t="shared" si="283"/>
        <v>0</v>
      </c>
      <c r="BK400" s="3199">
        <f t="shared" si="284"/>
        <v>0</v>
      </c>
      <c r="BL400" s="3199">
        <f t="shared" si="285"/>
        <v>0</v>
      </c>
      <c r="BM400" s="3199">
        <f t="shared" si="286"/>
        <v>0</v>
      </c>
      <c r="BN400" s="3199">
        <f t="shared" si="287"/>
        <v>0</v>
      </c>
      <c r="BO400" s="3199">
        <f t="shared" si="288"/>
        <v>0</v>
      </c>
      <c r="BP400" s="3199">
        <f t="shared" si="289"/>
        <v>0</v>
      </c>
      <c r="BQ400" s="3199">
        <f t="shared" si="290"/>
        <v>0</v>
      </c>
      <c r="BR400" s="3199">
        <f t="shared" si="291"/>
        <v>0</v>
      </c>
      <c r="BS400" s="3199">
        <f t="shared" si="292"/>
        <v>0</v>
      </c>
      <c r="BT400" s="3271">
        <f t="shared" si="293"/>
        <v>0</v>
      </c>
    </row>
    <row r="401" spans="1:72">
      <c r="A401" s="3197"/>
      <c r="B401" s="3205"/>
      <c r="C401" s="3204"/>
      <c r="D401" s="3193"/>
      <c r="E401" s="3199">
        <f t="shared" si="265"/>
        <v>0</v>
      </c>
      <c r="F401" s="3200"/>
      <c r="G401" s="3201">
        <f t="shared" si="266"/>
        <v>0</v>
      </c>
      <c r="H401" s="3202">
        <f t="shared" si="267"/>
        <v>0</v>
      </c>
      <c r="I401" s="3207"/>
      <c r="J401" s="3218"/>
      <c r="K401" s="3207"/>
      <c r="L401" s="3218"/>
      <c r="M401" s="3218"/>
      <c r="N401" s="3218"/>
      <c r="O401" s="3218"/>
      <c r="P401" s="3218"/>
      <c r="Q401" s="3218"/>
      <c r="R401" s="3218"/>
      <c r="S401" s="3218"/>
      <c r="T401" s="3218"/>
      <c r="U401" s="3218"/>
      <c r="V401" s="3218"/>
      <c r="W401" s="3218"/>
      <c r="X401" s="3218"/>
      <c r="Y401" s="3218"/>
      <c r="Z401" s="3218"/>
      <c r="AA401" s="3218"/>
      <c r="AB401" s="3218"/>
      <c r="AC401" s="3199">
        <f t="shared" si="268"/>
        <v>0</v>
      </c>
      <c r="AD401" s="3229"/>
      <c r="AE401" s="3229"/>
      <c r="AF401" s="3207"/>
      <c r="AG401" s="3229"/>
      <c r="AH401" s="3229"/>
      <c r="AI401" s="3229"/>
      <c r="AJ401" s="3229"/>
      <c r="AK401" s="3229"/>
      <c r="AL401" s="3229"/>
      <c r="AM401" s="3229"/>
      <c r="AN401" s="3229"/>
      <c r="AO401" s="3229"/>
      <c r="AP401" s="3229"/>
      <c r="AQ401" s="3229"/>
      <c r="AR401" s="3229"/>
      <c r="AS401" s="3229"/>
      <c r="AT401" s="3249"/>
      <c r="AU401" s="3250"/>
      <c r="AV401" s="475">
        <f t="shared" si="269"/>
        <v>0</v>
      </c>
      <c r="AW401" s="475">
        <f t="shared" si="270"/>
        <v>0</v>
      </c>
      <c r="AX401" s="475">
        <f t="shared" si="271"/>
        <v>0</v>
      </c>
      <c r="AY401" s="3266">
        <f t="shared" si="272"/>
        <v>0</v>
      </c>
      <c r="AZ401" s="3199">
        <f t="shared" si="273"/>
        <v>0</v>
      </c>
      <c r="BA401" s="3199">
        <f t="shared" si="274"/>
        <v>0</v>
      </c>
      <c r="BB401" s="3199">
        <f t="shared" si="275"/>
        <v>0</v>
      </c>
      <c r="BC401" s="3199">
        <f t="shared" si="276"/>
        <v>0</v>
      </c>
      <c r="BD401" s="3199">
        <f t="shared" si="277"/>
        <v>0</v>
      </c>
      <c r="BE401" s="3199">
        <f t="shared" si="278"/>
        <v>0</v>
      </c>
      <c r="BF401" s="3199">
        <f t="shared" si="279"/>
        <v>0</v>
      </c>
      <c r="BG401" s="3199">
        <f t="shared" si="280"/>
        <v>0</v>
      </c>
      <c r="BH401" s="3199">
        <f t="shared" si="281"/>
        <v>0</v>
      </c>
      <c r="BI401" s="3199">
        <f t="shared" si="282"/>
        <v>0</v>
      </c>
      <c r="BJ401" s="3199">
        <f t="shared" si="283"/>
        <v>0</v>
      </c>
      <c r="BK401" s="3199">
        <f t="shared" si="284"/>
        <v>0</v>
      </c>
      <c r="BL401" s="3199">
        <f t="shared" si="285"/>
        <v>0</v>
      </c>
      <c r="BM401" s="3199">
        <f t="shared" si="286"/>
        <v>0</v>
      </c>
      <c r="BN401" s="3199">
        <f t="shared" si="287"/>
        <v>0</v>
      </c>
      <c r="BO401" s="3199">
        <f t="shared" si="288"/>
        <v>0</v>
      </c>
      <c r="BP401" s="3199">
        <f t="shared" si="289"/>
        <v>0</v>
      </c>
      <c r="BQ401" s="3199">
        <f t="shared" si="290"/>
        <v>0</v>
      </c>
      <c r="BR401" s="3199">
        <f t="shared" si="291"/>
        <v>0</v>
      </c>
      <c r="BS401" s="3199">
        <f t="shared" si="292"/>
        <v>0</v>
      </c>
      <c r="BT401" s="3271">
        <f t="shared" si="293"/>
        <v>0</v>
      </c>
    </row>
    <row r="402" spans="1:72">
      <c r="A402" s="3197"/>
      <c r="B402" s="3205"/>
      <c r="C402" s="3204"/>
      <c r="D402" s="3193"/>
      <c r="E402" s="3199">
        <f t="shared" si="265"/>
        <v>0</v>
      </c>
      <c r="F402" s="3200"/>
      <c r="G402" s="3201">
        <f t="shared" si="266"/>
        <v>0</v>
      </c>
      <c r="H402" s="3202">
        <f t="shared" si="267"/>
        <v>0</v>
      </c>
      <c r="I402" s="3207"/>
      <c r="J402" s="3218"/>
      <c r="K402" s="3207"/>
      <c r="L402" s="3218"/>
      <c r="M402" s="3218"/>
      <c r="N402" s="3218"/>
      <c r="O402" s="3218"/>
      <c r="P402" s="3218"/>
      <c r="Q402" s="3218"/>
      <c r="R402" s="3218"/>
      <c r="S402" s="3218"/>
      <c r="T402" s="3218"/>
      <c r="U402" s="3218"/>
      <c r="V402" s="3218"/>
      <c r="W402" s="3218"/>
      <c r="X402" s="3218"/>
      <c r="Y402" s="3218"/>
      <c r="Z402" s="3218"/>
      <c r="AA402" s="3218"/>
      <c r="AB402" s="3218"/>
      <c r="AC402" s="3199">
        <f t="shared" si="268"/>
        <v>0</v>
      </c>
      <c r="AD402" s="3229"/>
      <c r="AE402" s="3229"/>
      <c r="AF402" s="3207"/>
      <c r="AG402" s="3229"/>
      <c r="AH402" s="3229"/>
      <c r="AI402" s="3229"/>
      <c r="AJ402" s="3229"/>
      <c r="AK402" s="3229"/>
      <c r="AL402" s="3229"/>
      <c r="AM402" s="3229"/>
      <c r="AN402" s="3229"/>
      <c r="AO402" s="3229"/>
      <c r="AP402" s="3229"/>
      <c r="AQ402" s="3229"/>
      <c r="AR402" s="3229"/>
      <c r="AS402" s="3229"/>
      <c r="AT402" s="3249"/>
      <c r="AU402" s="3250"/>
      <c r="AV402" s="475">
        <f t="shared" si="269"/>
        <v>0</v>
      </c>
      <c r="AW402" s="475">
        <f t="shared" si="270"/>
        <v>0</v>
      </c>
      <c r="AX402" s="475">
        <f t="shared" si="271"/>
        <v>0</v>
      </c>
      <c r="AY402" s="3266">
        <f t="shared" si="272"/>
        <v>0</v>
      </c>
      <c r="AZ402" s="3199">
        <f t="shared" si="273"/>
        <v>0</v>
      </c>
      <c r="BA402" s="3199">
        <f t="shared" si="274"/>
        <v>0</v>
      </c>
      <c r="BB402" s="3199">
        <f t="shared" si="275"/>
        <v>0</v>
      </c>
      <c r="BC402" s="3199">
        <f t="shared" si="276"/>
        <v>0</v>
      </c>
      <c r="BD402" s="3199">
        <f t="shared" si="277"/>
        <v>0</v>
      </c>
      <c r="BE402" s="3199">
        <f t="shared" si="278"/>
        <v>0</v>
      </c>
      <c r="BF402" s="3199">
        <f t="shared" si="279"/>
        <v>0</v>
      </c>
      <c r="BG402" s="3199">
        <f t="shared" si="280"/>
        <v>0</v>
      </c>
      <c r="BH402" s="3199">
        <f t="shared" si="281"/>
        <v>0</v>
      </c>
      <c r="BI402" s="3199">
        <f t="shared" si="282"/>
        <v>0</v>
      </c>
      <c r="BJ402" s="3199">
        <f t="shared" si="283"/>
        <v>0</v>
      </c>
      <c r="BK402" s="3199">
        <f t="shared" si="284"/>
        <v>0</v>
      </c>
      <c r="BL402" s="3199">
        <f t="shared" si="285"/>
        <v>0</v>
      </c>
      <c r="BM402" s="3199">
        <f t="shared" si="286"/>
        <v>0</v>
      </c>
      <c r="BN402" s="3199">
        <f t="shared" si="287"/>
        <v>0</v>
      </c>
      <c r="BO402" s="3199">
        <f t="shared" si="288"/>
        <v>0</v>
      </c>
      <c r="BP402" s="3199">
        <f t="shared" si="289"/>
        <v>0</v>
      </c>
      <c r="BQ402" s="3199">
        <f t="shared" si="290"/>
        <v>0</v>
      </c>
      <c r="BR402" s="3199">
        <f t="shared" si="291"/>
        <v>0</v>
      </c>
      <c r="BS402" s="3199">
        <f t="shared" si="292"/>
        <v>0</v>
      </c>
      <c r="BT402" s="3271">
        <f t="shared" si="293"/>
        <v>0</v>
      </c>
    </row>
    <row r="403" spans="1:72">
      <c r="A403" s="3197"/>
      <c r="B403" s="3205"/>
      <c r="C403" s="3204"/>
      <c r="D403" s="3193"/>
      <c r="E403" s="3199">
        <f t="shared" si="265"/>
        <v>0</v>
      </c>
      <c r="F403" s="3200"/>
      <c r="G403" s="3201">
        <f t="shared" si="266"/>
        <v>0</v>
      </c>
      <c r="H403" s="3202">
        <f t="shared" si="267"/>
        <v>0</v>
      </c>
      <c r="I403" s="3207"/>
      <c r="J403" s="3218"/>
      <c r="K403" s="3207"/>
      <c r="L403" s="3218"/>
      <c r="M403" s="3218"/>
      <c r="N403" s="3218"/>
      <c r="O403" s="3218"/>
      <c r="P403" s="3218"/>
      <c r="Q403" s="3218"/>
      <c r="R403" s="3218"/>
      <c r="S403" s="3218"/>
      <c r="T403" s="3218"/>
      <c r="U403" s="3218"/>
      <c r="V403" s="3218"/>
      <c r="W403" s="3218"/>
      <c r="X403" s="3218"/>
      <c r="Y403" s="3218"/>
      <c r="Z403" s="3218"/>
      <c r="AA403" s="3218"/>
      <c r="AB403" s="3218"/>
      <c r="AC403" s="3199">
        <f t="shared" si="268"/>
        <v>0</v>
      </c>
      <c r="AD403" s="3229"/>
      <c r="AE403" s="3229"/>
      <c r="AF403" s="3207"/>
      <c r="AG403" s="3229"/>
      <c r="AH403" s="3229"/>
      <c r="AI403" s="3229"/>
      <c r="AJ403" s="3229"/>
      <c r="AK403" s="3229"/>
      <c r="AL403" s="3229"/>
      <c r="AM403" s="3229"/>
      <c r="AN403" s="3229"/>
      <c r="AO403" s="3229"/>
      <c r="AP403" s="3229"/>
      <c r="AQ403" s="3229"/>
      <c r="AR403" s="3229"/>
      <c r="AS403" s="3229"/>
      <c r="AT403" s="3249"/>
      <c r="AU403" s="3250"/>
      <c r="AV403" s="475">
        <f t="shared" si="269"/>
        <v>0</v>
      </c>
      <c r="AW403" s="475">
        <f t="shared" si="270"/>
        <v>0</v>
      </c>
      <c r="AX403" s="475">
        <f t="shared" si="271"/>
        <v>0</v>
      </c>
      <c r="AY403" s="3266">
        <f t="shared" si="272"/>
        <v>0</v>
      </c>
      <c r="AZ403" s="3199">
        <f t="shared" si="273"/>
        <v>0</v>
      </c>
      <c r="BA403" s="3199">
        <f t="shared" si="274"/>
        <v>0</v>
      </c>
      <c r="BB403" s="3199">
        <f t="shared" si="275"/>
        <v>0</v>
      </c>
      <c r="BC403" s="3199">
        <f t="shared" si="276"/>
        <v>0</v>
      </c>
      <c r="BD403" s="3199">
        <f t="shared" si="277"/>
        <v>0</v>
      </c>
      <c r="BE403" s="3199">
        <f t="shared" si="278"/>
        <v>0</v>
      </c>
      <c r="BF403" s="3199">
        <f t="shared" si="279"/>
        <v>0</v>
      </c>
      <c r="BG403" s="3199">
        <f t="shared" si="280"/>
        <v>0</v>
      </c>
      <c r="BH403" s="3199">
        <f t="shared" si="281"/>
        <v>0</v>
      </c>
      <c r="BI403" s="3199">
        <f t="shared" si="282"/>
        <v>0</v>
      </c>
      <c r="BJ403" s="3199">
        <f t="shared" si="283"/>
        <v>0</v>
      </c>
      <c r="BK403" s="3199">
        <f t="shared" si="284"/>
        <v>0</v>
      </c>
      <c r="BL403" s="3199">
        <f t="shared" si="285"/>
        <v>0</v>
      </c>
      <c r="BM403" s="3199">
        <f t="shared" si="286"/>
        <v>0</v>
      </c>
      <c r="BN403" s="3199">
        <f t="shared" si="287"/>
        <v>0</v>
      </c>
      <c r="BO403" s="3199">
        <f t="shared" si="288"/>
        <v>0</v>
      </c>
      <c r="BP403" s="3199">
        <f t="shared" si="289"/>
        <v>0</v>
      </c>
      <c r="BQ403" s="3199">
        <f t="shared" si="290"/>
        <v>0</v>
      </c>
      <c r="BR403" s="3199">
        <f t="shared" si="291"/>
        <v>0</v>
      </c>
      <c r="BS403" s="3199">
        <f t="shared" si="292"/>
        <v>0</v>
      </c>
      <c r="BT403" s="3271">
        <f t="shared" si="293"/>
        <v>0</v>
      </c>
    </row>
    <row r="404" spans="1:72">
      <c r="A404" s="3197"/>
      <c r="B404" s="3205"/>
      <c r="C404" s="3204"/>
      <c r="D404" s="3193"/>
      <c r="E404" s="3199">
        <f t="shared" si="265"/>
        <v>0</v>
      </c>
      <c r="F404" s="3200"/>
      <c r="G404" s="3201">
        <f t="shared" si="266"/>
        <v>0</v>
      </c>
      <c r="H404" s="3202">
        <f t="shared" si="267"/>
        <v>0</v>
      </c>
      <c r="I404" s="3207"/>
      <c r="J404" s="3218"/>
      <c r="K404" s="3207"/>
      <c r="L404" s="3218"/>
      <c r="M404" s="3218"/>
      <c r="N404" s="3218"/>
      <c r="O404" s="3218"/>
      <c r="P404" s="3218"/>
      <c r="Q404" s="3218"/>
      <c r="R404" s="3218"/>
      <c r="S404" s="3218"/>
      <c r="T404" s="3218"/>
      <c r="U404" s="3218"/>
      <c r="V404" s="3218"/>
      <c r="W404" s="3218"/>
      <c r="X404" s="3218"/>
      <c r="Y404" s="3218"/>
      <c r="Z404" s="3218"/>
      <c r="AA404" s="3218"/>
      <c r="AB404" s="3218"/>
      <c r="AC404" s="3199">
        <f t="shared" si="268"/>
        <v>0</v>
      </c>
      <c r="AD404" s="3229"/>
      <c r="AE404" s="3229"/>
      <c r="AF404" s="3207"/>
      <c r="AG404" s="3229"/>
      <c r="AH404" s="3229"/>
      <c r="AI404" s="3229"/>
      <c r="AJ404" s="3229"/>
      <c r="AK404" s="3229"/>
      <c r="AL404" s="3229"/>
      <c r="AM404" s="3229"/>
      <c r="AN404" s="3229"/>
      <c r="AO404" s="3229"/>
      <c r="AP404" s="3229"/>
      <c r="AQ404" s="3229"/>
      <c r="AR404" s="3229"/>
      <c r="AS404" s="3229"/>
      <c r="AT404" s="3249"/>
      <c r="AU404" s="3250"/>
      <c r="AV404" s="475">
        <f t="shared" si="269"/>
        <v>0</v>
      </c>
      <c r="AW404" s="475">
        <f t="shared" si="270"/>
        <v>0</v>
      </c>
      <c r="AX404" s="475">
        <f t="shared" si="271"/>
        <v>0</v>
      </c>
      <c r="AY404" s="3266">
        <f t="shared" si="272"/>
        <v>0</v>
      </c>
      <c r="AZ404" s="3199">
        <f t="shared" si="273"/>
        <v>0</v>
      </c>
      <c r="BA404" s="3199">
        <f t="shared" si="274"/>
        <v>0</v>
      </c>
      <c r="BB404" s="3199">
        <f t="shared" si="275"/>
        <v>0</v>
      </c>
      <c r="BC404" s="3199">
        <f t="shared" si="276"/>
        <v>0</v>
      </c>
      <c r="BD404" s="3199">
        <f t="shared" si="277"/>
        <v>0</v>
      </c>
      <c r="BE404" s="3199">
        <f t="shared" si="278"/>
        <v>0</v>
      </c>
      <c r="BF404" s="3199">
        <f t="shared" si="279"/>
        <v>0</v>
      </c>
      <c r="BG404" s="3199">
        <f t="shared" si="280"/>
        <v>0</v>
      </c>
      <c r="BH404" s="3199">
        <f t="shared" si="281"/>
        <v>0</v>
      </c>
      <c r="BI404" s="3199">
        <f t="shared" si="282"/>
        <v>0</v>
      </c>
      <c r="BJ404" s="3199">
        <f t="shared" si="283"/>
        <v>0</v>
      </c>
      <c r="BK404" s="3199">
        <f t="shared" si="284"/>
        <v>0</v>
      </c>
      <c r="BL404" s="3199">
        <f t="shared" si="285"/>
        <v>0</v>
      </c>
      <c r="BM404" s="3199">
        <f t="shared" si="286"/>
        <v>0</v>
      </c>
      <c r="BN404" s="3199">
        <f t="shared" si="287"/>
        <v>0</v>
      </c>
      <c r="BO404" s="3199">
        <f t="shared" si="288"/>
        <v>0</v>
      </c>
      <c r="BP404" s="3199">
        <f t="shared" si="289"/>
        <v>0</v>
      </c>
      <c r="BQ404" s="3199">
        <f t="shared" si="290"/>
        <v>0</v>
      </c>
      <c r="BR404" s="3199">
        <f t="shared" si="291"/>
        <v>0</v>
      </c>
      <c r="BS404" s="3199">
        <f t="shared" si="292"/>
        <v>0</v>
      </c>
      <c r="BT404" s="3271">
        <f t="shared" si="293"/>
        <v>0</v>
      </c>
    </row>
    <row r="405" spans="1:72">
      <c r="A405" s="3197"/>
      <c r="B405" s="3205"/>
      <c r="C405" s="3204"/>
      <c r="D405" s="3193"/>
      <c r="E405" s="3199">
        <f t="shared" si="265"/>
        <v>0</v>
      </c>
      <c r="F405" s="3200"/>
      <c r="G405" s="3201">
        <f t="shared" si="266"/>
        <v>0</v>
      </c>
      <c r="H405" s="3202">
        <f t="shared" si="267"/>
        <v>0</v>
      </c>
      <c r="I405" s="3207"/>
      <c r="J405" s="3218"/>
      <c r="K405" s="3207"/>
      <c r="L405" s="3218"/>
      <c r="M405" s="3218"/>
      <c r="N405" s="3218"/>
      <c r="O405" s="3218"/>
      <c r="P405" s="3218"/>
      <c r="Q405" s="3218"/>
      <c r="R405" s="3218"/>
      <c r="S405" s="3218"/>
      <c r="T405" s="3218"/>
      <c r="U405" s="3218"/>
      <c r="V405" s="3218"/>
      <c r="W405" s="3218"/>
      <c r="X405" s="3218"/>
      <c r="Y405" s="3218"/>
      <c r="Z405" s="3218"/>
      <c r="AA405" s="3218"/>
      <c r="AB405" s="3218"/>
      <c r="AC405" s="3199">
        <f t="shared" si="268"/>
        <v>0</v>
      </c>
      <c r="AD405" s="3229"/>
      <c r="AE405" s="3229"/>
      <c r="AF405" s="3207"/>
      <c r="AG405" s="3229"/>
      <c r="AH405" s="3229"/>
      <c r="AI405" s="3229"/>
      <c r="AJ405" s="3229"/>
      <c r="AK405" s="3229"/>
      <c r="AL405" s="3229"/>
      <c r="AM405" s="3229"/>
      <c r="AN405" s="3229"/>
      <c r="AO405" s="3229"/>
      <c r="AP405" s="3229"/>
      <c r="AQ405" s="3229"/>
      <c r="AR405" s="3229"/>
      <c r="AS405" s="3229"/>
      <c r="AT405" s="3249"/>
      <c r="AU405" s="3250"/>
      <c r="AV405" s="475">
        <f t="shared" si="269"/>
        <v>0</v>
      </c>
      <c r="AW405" s="475">
        <f t="shared" si="270"/>
        <v>0</v>
      </c>
      <c r="AX405" s="475">
        <f t="shared" si="271"/>
        <v>0</v>
      </c>
      <c r="AY405" s="3266">
        <f t="shared" si="272"/>
        <v>0</v>
      </c>
      <c r="AZ405" s="3199">
        <f t="shared" si="273"/>
        <v>0</v>
      </c>
      <c r="BA405" s="3199">
        <f t="shared" si="274"/>
        <v>0</v>
      </c>
      <c r="BB405" s="3199">
        <f t="shared" si="275"/>
        <v>0</v>
      </c>
      <c r="BC405" s="3199">
        <f t="shared" si="276"/>
        <v>0</v>
      </c>
      <c r="BD405" s="3199">
        <f t="shared" si="277"/>
        <v>0</v>
      </c>
      <c r="BE405" s="3199">
        <f t="shared" si="278"/>
        <v>0</v>
      </c>
      <c r="BF405" s="3199">
        <f t="shared" si="279"/>
        <v>0</v>
      </c>
      <c r="BG405" s="3199">
        <f t="shared" si="280"/>
        <v>0</v>
      </c>
      <c r="BH405" s="3199">
        <f t="shared" si="281"/>
        <v>0</v>
      </c>
      <c r="BI405" s="3199">
        <f t="shared" si="282"/>
        <v>0</v>
      </c>
      <c r="BJ405" s="3199">
        <f t="shared" si="283"/>
        <v>0</v>
      </c>
      <c r="BK405" s="3199">
        <f t="shared" si="284"/>
        <v>0</v>
      </c>
      <c r="BL405" s="3199">
        <f t="shared" si="285"/>
        <v>0</v>
      </c>
      <c r="BM405" s="3199">
        <f t="shared" si="286"/>
        <v>0</v>
      </c>
      <c r="BN405" s="3199">
        <f t="shared" si="287"/>
        <v>0</v>
      </c>
      <c r="BO405" s="3199">
        <f t="shared" si="288"/>
        <v>0</v>
      </c>
      <c r="BP405" s="3199">
        <f t="shared" si="289"/>
        <v>0</v>
      </c>
      <c r="BQ405" s="3199">
        <f t="shared" si="290"/>
        <v>0</v>
      </c>
      <c r="BR405" s="3199">
        <f t="shared" si="291"/>
        <v>0</v>
      </c>
      <c r="BS405" s="3199">
        <f t="shared" si="292"/>
        <v>0</v>
      </c>
      <c r="BT405" s="3271">
        <f t="shared" si="293"/>
        <v>0</v>
      </c>
    </row>
    <row r="406" spans="1:72">
      <c r="A406" s="3197"/>
      <c r="B406" s="3205"/>
      <c r="C406" s="3204"/>
      <c r="D406" s="3193"/>
      <c r="E406" s="3199">
        <f t="shared" si="265"/>
        <v>0</v>
      </c>
      <c r="F406" s="3200"/>
      <c r="G406" s="3201">
        <f t="shared" si="266"/>
        <v>0</v>
      </c>
      <c r="H406" s="3202">
        <f t="shared" si="267"/>
        <v>0</v>
      </c>
      <c r="I406" s="3207"/>
      <c r="J406" s="3218"/>
      <c r="K406" s="3207"/>
      <c r="L406" s="3218"/>
      <c r="M406" s="3218"/>
      <c r="N406" s="3218"/>
      <c r="O406" s="3218"/>
      <c r="P406" s="3218"/>
      <c r="Q406" s="3218"/>
      <c r="R406" s="3218"/>
      <c r="S406" s="3218"/>
      <c r="T406" s="3218"/>
      <c r="U406" s="3218"/>
      <c r="V406" s="3218"/>
      <c r="W406" s="3218"/>
      <c r="X406" s="3218"/>
      <c r="Y406" s="3218"/>
      <c r="Z406" s="3218"/>
      <c r="AA406" s="3218"/>
      <c r="AB406" s="3218"/>
      <c r="AC406" s="3199">
        <f t="shared" si="268"/>
        <v>0</v>
      </c>
      <c r="AD406" s="3229"/>
      <c r="AE406" s="3229"/>
      <c r="AF406" s="3207"/>
      <c r="AG406" s="3229"/>
      <c r="AH406" s="3229"/>
      <c r="AI406" s="3229"/>
      <c r="AJ406" s="3229"/>
      <c r="AK406" s="3229"/>
      <c r="AL406" s="3229"/>
      <c r="AM406" s="3229"/>
      <c r="AN406" s="3229"/>
      <c r="AO406" s="3229"/>
      <c r="AP406" s="3229"/>
      <c r="AQ406" s="3229"/>
      <c r="AR406" s="3229"/>
      <c r="AS406" s="3229"/>
      <c r="AT406" s="3249"/>
      <c r="AU406" s="3250"/>
      <c r="AV406" s="475">
        <f t="shared" si="269"/>
        <v>0</v>
      </c>
      <c r="AW406" s="475">
        <f t="shared" si="270"/>
        <v>0</v>
      </c>
      <c r="AX406" s="475">
        <f t="shared" si="271"/>
        <v>0</v>
      </c>
      <c r="AY406" s="3266">
        <f t="shared" si="272"/>
        <v>0</v>
      </c>
      <c r="AZ406" s="3199">
        <f t="shared" si="273"/>
        <v>0</v>
      </c>
      <c r="BA406" s="3199">
        <f t="shared" si="274"/>
        <v>0</v>
      </c>
      <c r="BB406" s="3199">
        <f t="shared" si="275"/>
        <v>0</v>
      </c>
      <c r="BC406" s="3199">
        <f t="shared" si="276"/>
        <v>0</v>
      </c>
      <c r="BD406" s="3199">
        <f t="shared" si="277"/>
        <v>0</v>
      </c>
      <c r="BE406" s="3199">
        <f t="shared" si="278"/>
        <v>0</v>
      </c>
      <c r="BF406" s="3199">
        <f t="shared" si="279"/>
        <v>0</v>
      </c>
      <c r="BG406" s="3199">
        <f t="shared" si="280"/>
        <v>0</v>
      </c>
      <c r="BH406" s="3199">
        <f t="shared" si="281"/>
        <v>0</v>
      </c>
      <c r="BI406" s="3199">
        <f t="shared" si="282"/>
        <v>0</v>
      </c>
      <c r="BJ406" s="3199">
        <f t="shared" si="283"/>
        <v>0</v>
      </c>
      <c r="BK406" s="3199">
        <f t="shared" si="284"/>
        <v>0</v>
      </c>
      <c r="BL406" s="3199">
        <f t="shared" si="285"/>
        <v>0</v>
      </c>
      <c r="BM406" s="3199">
        <f t="shared" si="286"/>
        <v>0</v>
      </c>
      <c r="BN406" s="3199">
        <f t="shared" si="287"/>
        <v>0</v>
      </c>
      <c r="BO406" s="3199">
        <f t="shared" si="288"/>
        <v>0</v>
      </c>
      <c r="BP406" s="3199">
        <f t="shared" si="289"/>
        <v>0</v>
      </c>
      <c r="BQ406" s="3199">
        <f t="shared" si="290"/>
        <v>0</v>
      </c>
      <c r="BR406" s="3199">
        <f t="shared" si="291"/>
        <v>0</v>
      </c>
      <c r="BS406" s="3199">
        <f t="shared" si="292"/>
        <v>0</v>
      </c>
      <c r="BT406" s="3271">
        <f t="shared" si="293"/>
        <v>0</v>
      </c>
    </row>
    <row r="407" spans="1:72">
      <c r="A407" s="3197"/>
      <c r="B407" s="3205"/>
      <c r="C407" s="3204"/>
      <c r="D407" s="3193"/>
      <c r="E407" s="3199">
        <f t="shared" si="265"/>
        <v>0</v>
      </c>
      <c r="F407" s="3200"/>
      <c r="G407" s="3201">
        <f t="shared" si="266"/>
        <v>0</v>
      </c>
      <c r="H407" s="3202">
        <f t="shared" si="267"/>
        <v>0</v>
      </c>
      <c r="I407" s="3207"/>
      <c r="J407" s="3218"/>
      <c r="K407" s="3207"/>
      <c r="L407" s="3218"/>
      <c r="M407" s="3218"/>
      <c r="N407" s="3218"/>
      <c r="O407" s="3218"/>
      <c r="P407" s="3218"/>
      <c r="Q407" s="3218"/>
      <c r="R407" s="3218"/>
      <c r="S407" s="3218"/>
      <c r="T407" s="3218"/>
      <c r="U407" s="3218"/>
      <c r="V407" s="3218"/>
      <c r="W407" s="3218"/>
      <c r="X407" s="3218"/>
      <c r="Y407" s="3218"/>
      <c r="Z407" s="3218"/>
      <c r="AA407" s="3218"/>
      <c r="AB407" s="3218"/>
      <c r="AC407" s="3199">
        <f t="shared" si="268"/>
        <v>0</v>
      </c>
      <c r="AD407" s="3229"/>
      <c r="AE407" s="3229"/>
      <c r="AF407" s="3207"/>
      <c r="AG407" s="3229"/>
      <c r="AH407" s="3229"/>
      <c r="AI407" s="3229"/>
      <c r="AJ407" s="3229"/>
      <c r="AK407" s="3229"/>
      <c r="AL407" s="3229"/>
      <c r="AM407" s="3229"/>
      <c r="AN407" s="3229"/>
      <c r="AO407" s="3229"/>
      <c r="AP407" s="3229"/>
      <c r="AQ407" s="3229"/>
      <c r="AR407" s="3229"/>
      <c r="AS407" s="3229"/>
      <c r="AT407" s="3249"/>
      <c r="AU407" s="3250"/>
      <c r="AV407" s="475">
        <f t="shared" si="269"/>
        <v>0</v>
      </c>
      <c r="AW407" s="475">
        <f t="shared" si="270"/>
        <v>0</v>
      </c>
      <c r="AX407" s="475">
        <f t="shared" si="271"/>
        <v>0</v>
      </c>
      <c r="AY407" s="3266">
        <f t="shared" si="272"/>
        <v>0</v>
      </c>
      <c r="AZ407" s="3199">
        <f t="shared" si="273"/>
        <v>0</v>
      </c>
      <c r="BA407" s="3199">
        <f t="shared" si="274"/>
        <v>0</v>
      </c>
      <c r="BB407" s="3199">
        <f t="shared" si="275"/>
        <v>0</v>
      </c>
      <c r="BC407" s="3199">
        <f t="shared" si="276"/>
        <v>0</v>
      </c>
      <c r="BD407" s="3199">
        <f t="shared" si="277"/>
        <v>0</v>
      </c>
      <c r="BE407" s="3199">
        <f t="shared" si="278"/>
        <v>0</v>
      </c>
      <c r="BF407" s="3199">
        <f t="shared" si="279"/>
        <v>0</v>
      </c>
      <c r="BG407" s="3199">
        <f t="shared" si="280"/>
        <v>0</v>
      </c>
      <c r="BH407" s="3199">
        <f t="shared" si="281"/>
        <v>0</v>
      </c>
      <c r="BI407" s="3199">
        <f t="shared" si="282"/>
        <v>0</v>
      </c>
      <c r="BJ407" s="3199">
        <f t="shared" si="283"/>
        <v>0</v>
      </c>
      <c r="BK407" s="3199">
        <f t="shared" si="284"/>
        <v>0</v>
      </c>
      <c r="BL407" s="3199">
        <f t="shared" si="285"/>
        <v>0</v>
      </c>
      <c r="BM407" s="3199">
        <f t="shared" si="286"/>
        <v>0</v>
      </c>
      <c r="BN407" s="3199">
        <f t="shared" si="287"/>
        <v>0</v>
      </c>
      <c r="BO407" s="3199">
        <f t="shared" si="288"/>
        <v>0</v>
      </c>
      <c r="BP407" s="3199">
        <f t="shared" si="289"/>
        <v>0</v>
      </c>
      <c r="BQ407" s="3199">
        <f t="shared" si="290"/>
        <v>0</v>
      </c>
      <c r="BR407" s="3199">
        <f t="shared" si="291"/>
        <v>0</v>
      </c>
      <c r="BS407" s="3199">
        <f t="shared" si="292"/>
        <v>0</v>
      </c>
      <c r="BT407" s="3271">
        <f t="shared" si="293"/>
        <v>0</v>
      </c>
    </row>
    <row r="408" spans="1:72">
      <c r="A408" s="3197"/>
      <c r="B408" s="3205"/>
      <c r="C408" s="3204"/>
      <c r="D408" s="3193"/>
      <c r="E408" s="3199">
        <f t="shared" si="265"/>
        <v>0</v>
      </c>
      <c r="F408" s="3200"/>
      <c r="G408" s="3201">
        <f t="shared" si="266"/>
        <v>0</v>
      </c>
      <c r="H408" s="3202">
        <f t="shared" si="267"/>
        <v>0</v>
      </c>
      <c r="I408" s="3207"/>
      <c r="J408" s="3218"/>
      <c r="K408" s="3207"/>
      <c r="L408" s="3218"/>
      <c r="M408" s="3218"/>
      <c r="N408" s="3218"/>
      <c r="O408" s="3218"/>
      <c r="P408" s="3218"/>
      <c r="Q408" s="3218"/>
      <c r="R408" s="3218"/>
      <c r="S408" s="3218"/>
      <c r="T408" s="3218"/>
      <c r="U408" s="3218"/>
      <c r="V408" s="3218"/>
      <c r="W408" s="3218"/>
      <c r="X408" s="3218"/>
      <c r="Y408" s="3218"/>
      <c r="Z408" s="3218"/>
      <c r="AA408" s="3218"/>
      <c r="AB408" s="3218"/>
      <c r="AC408" s="3199">
        <f t="shared" si="268"/>
        <v>0</v>
      </c>
      <c r="AD408" s="3229"/>
      <c r="AE408" s="3229"/>
      <c r="AF408" s="3207"/>
      <c r="AG408" s="3229"/>
      <c r="AH408" s="3229"/>
      <c r="AI408" s="3229"/>
      <c r="AJ408" s="3229"/>
      <c r="AK408" s="3229"/>
      <c r="AL408" s="3229"/>
      <c r="AM408" s="3229"/>
      <c r="AN408" s="3229"/>
      <c r="AO408" s="3229"/>
      <c r="AP408" s="3229"/>
      <c r="AQ408" s="3229"/>
      <c r="AR408" s="3229"/>
      <c r="AS408" s="3229"/>
      <c r="AT408" s="3249"/>
      <c r="AU408" s="3250"/>
      <c r="AV408" s="475">
        <f t="shared" si="269"/>
        <v>0</v>
      </c>
      <c r="AW408" s="475">
        <f t="shared" si="270"/>
        <v>0</v>
      </c>
      <c r="AX408" s="475">
        <f t="shared" si="271"/>
        <v>0</v>
      </c>
      <c r="AY408" s="3266">
        <f t="shared" si="272"/>
        <v>0</v>
      </c>
      <c r="AZ408" s="3199">
        <f t="shared" si="273"/>
        <v>0</v>
      </c>
      <c r="BA408" s="3199">
        <f t="shared" si="274"/>
        <v>0</v>
      </c>
      <c r="BB408" s="3199">
        <f t="shared" si="275"/>
        <v>0</v>
      </c>
      <c r="BC408" s="3199">
        <f t="shared" si="276"/>
        <v>0</v>
      </c>
      <c r="BD408" s="3199">
        <f t="shared" si="277"/>
        <v>0</v>
      </c>
      <c r="BE408" s="3199">
        <f t="shared" si="278"/>
        <v>0</v>
      </c>
      <c r="BF408" s="3199">
        <f t="shared" si="279"/>
        <v>0</v>
      </c>
      <c r="BG408" s="3199">
        <f t="shared" si="280"/>
        <v>0</v>
      </c>
      <c r="BH408" s="3199">
        <f t="shared" si="281"/>
        <v>0</v>
      </c>
      <c r="BI408" s="3199">
        <f t="shared" si="282"/>
        <v>0</v>
      </c>
      <c r="BJ408" s="3199">
        <f t="shared" si="283"/>
        <v>0</v>
      </c>
      <c r="BK408" s="3199">
        <f t="shared" si="284"/>
        <v>0</v>
      </c>
      <c r="BL408" s="3199">
        <f t="shared" si="285"/>
        <v>0</v>
      </c>
      <c r="BM408" s="3199">
        <f t="shared" si="286"/>
        <v>0</v>
      </c>
      <c r="BN408" s="3199">
        <f t="shared" si="287"/>
        <v>0</v>
      </c>
      <c r="BO408" s="3199">
        <f t="shared" si="288"/>
        <v>0</v>
      </c>
      <c r="BP408" s="3199">
        <f t="shared" si="289"/>
        <v>0</v>
      </c>
      <c r="BQ408" s="3199">
        <f t="shared" si="290"/>
        <v>0</v>
      </c>
      <c r="BR408" s="3199">
        <f t="shared" si="291"/>
        <v>0</v>
      </c>
      <c r="BS408" s="3199">
        <f t="shared" si="292"/>
        <v>0</v>
      </c>
      <c r="BT408" s="3271">
        <f t="shared" si="293"/>
        <v>0</v>
      </c>
    </row>
    <row r="409" spans="1:72">
      <c r="A409" s="3197"/>
      <c r="B409" s="3205"/>
      <c r="C409" s="3204"/>
      <c r="D409" s="3193"/>
      <c r="E409" s="3199">
        <f t="shared" si="265"/>
        <v>0</v>
      </c>
      <c r="F409" s="3200"/>
      <c r="G409" s="3201">
        <f t="shared" si="266"/>
        <v>0</v>
      </c>
      <c r="H409" s="3202">
        <f t="shared" si="267"/>
        <v>0</v>
      </c>
      <c r="I409" s="3207"/>
      <c r="J409" s="3218"/>
      <c r="K409" s="3207"/>
      <c r="L409" s="3218"/>
      <c r="M409" s="3218"/>
      <c r="N409" s="3218"/>
      <c r="O409" s="3218"/>
      <c r="P409" s="3218"/>
      <c r="Q409" s="3218"/>
      <c r="R409" s="3218"/>
      <c r="S409" s="3218"/>
      <c r="T409" s="3218"/>
      <c r="U409" s="3218"/>
      <c r="V409" s="3218"/>
      <c r="W409" s="3218"/>
      <c r="X409" s="3218"/>
      <c r="Y409" s="3218"/>
      <c r="Z409" s="3218"/>
      <c r="AA409" s="3218"/>
      <c r="AB409" s="3218"/>
      <c r="AC409" s="3199">
        <f t="shared" si="268"/>
        <v>0</v>
      </c>
      <c r="AD409" s="3229"/>
      <c r="AE409" s="3229"/>
      <c r="AF409" s="3207"/>
      <c r="AG409" s="3229"/>
      <c r="AH409" s="3229"/>
      <c r="AI409" s="3229"/>
      <c r="AJ409" s="3229"/>
      <c r="AK409" s="3229"/>
      <c r="AL409" s="3229"/>
      <c r="AM409" s="3229"/>
      <c r="AN409" s="3229"/>
      <c r="AO409" s="3229"/>
      <c r="AP409" s="3229"/>
      <c r="AQ409" s="3229"/>
      <c r="AR409" s="3229"/>
      <c r="AS409" s="3229"/>
      <c r="AT409" s="3249"/>
      <c r="AU409" s="3250"/>
      <c r="AV409" s="475">
        <f t="shared" si="269"/>
        <v>0</v>
      </c>
      <c r="AW409" s="475">
        <f t="shared" si="270"/>
        <v>0</v>
      </c>
      <c r="AX409" s="475">
        <f t="shared" si="271"/>
        <v>0</v>
      </c>
      <c r="AY409" s="3266">
        <f t="shared" si="272"/>
        <v>0</v>
      </c>
      <c r="AZ409" s="3199">
        <f t="shared" si="273"/>
        <v>0</v>
      </c>
      <c r="BA409" s="3199">
        <f t="shared" si="274"/>
        <v>0</v>
      </c>
      <c r="BB409" s="3199">
        <f t="shared" si="275"/>
        <v>0</v>
      </c>
      <c r="BC409" s="3199">
        <f t="shared" si="276"/>
        <v>0</v>
      </c>
      <c r="BD409" s="3199">
        <f t="shared" si="277"/>
        <v>0</v>
      </c>
      <c r="BE409" s="3199">
        <f t="shared" si="278"/>
        <v>0</v>
      </c>
      <c r="BF409" s="3199">
        <f t="shared" si="279"/>
        <v>0</v>
      </c>
      <c r="BG409" s="3199">
        <f t="shared" si="280"/>
        <v>0</v>
      </c>
      <c r="BH409" s="3199">
        <f t="shared" si="281"/>
        <v>0</v>
      </c>
      <c r="BI409" s="3199">
        <f t="shared" si="282"/>
        <v>0</v>
      </c>
      <c r="BJ409" s="3199">
        <f t="shared" si="283"/>
        <v>0</v>
      </c>
      <c r="BK409" s="3199">
        <f t="shared" si="284"/>
        <v>0</v>
      </c>
      <c r="BL409" s="3199">
        <f t="shared" si="285"/>
        <v>0</v>
      </c>
      <c r="BM409" s="3199">
        <f t="shared" si="286"/>
        <v>0</v>
      </c>
      <c r="BN409" s="3199">
        <f t="shared" si="287"/>
        <v>0</v>
      </c>
      <c r="BO409" s="3199">
        <f t="shared" si="288"/>
        <v>0</v>
      </c>
      <c r="BP409" s="3199">
        <f t="shared" si="289"/>
        <v>0</v>
      </c>
      <c r="BQ409" s="3199">
        <f t="shared" si="290"/>
        <v>0</v>
      </c>
      <c r="BR409" s="3199">
        <f t="shared" si="291"/>
        <v>0</v>
      </c>
      <c r="BS409" s="3199">
        <f t="shared" si="292"/>
        <v>0</v>
      </c>
      <c r="BT409" s="3271">
        <f t="shared" si="293"/>
        <v>0</v>
      </c>
    </row>
    <row r="410" spans="1:72">
      <c r="A410" s="3197"/>
      <c r="B410" s="3205"/>
      <c r="C410" s="3204"/>
      <c r="D410" s="3193"/>
      <c r="E410" s="3199">
        <f t="shared" si="265"/>
        <v>0</v>
      </c>
      <c r="F410" s="3200"/>
      <c r="G410" s="3201">
        <f t="shared" si="266"/>
        <v>0</v>
      </c>
      <c r="H410" s="3202">
        <f t="shared" si="267"/>
        <v>0</v>
      </c>
      <c r="I410" s="3207"/>
      <c r="J410" s="3218"/>
      <c r="K410" s="3207"/>
      <c r="L410" s="3218"/>
      <c r="M410" s="3218"/>
      <c r="N410" s="3218"/>
      <c r="O410" s="3218"/>
      <c r="P410" s="3218"/>
      <c r="Q410" s="3218"/>
      <c r="R410" s="3218"/>
      <c r="S410" s="3218"/>
      <c r="T410" s="3218"/>
      <c r="U410" s="3218"/>
      <c r="V410" s="3218"/>
      <c r="W410" s="3218"/>
      <c r="X410" s="3218"/>
      <c r="Y410" s="3218"/>
      <c r="Z410" s="3218"/>
      <c r="AA410" s="3218"/>
      <c r="AB410" s="3218"/>
      <c r="AC410" s="3199">
        <f t="shared" si="268"/>
        <v>0</v>
      </c>
      <c r="AD410" s="3229"/>
      <c r="AE410" s="3229"/>
      <c r="AF410" s="3207"/>
      <c r="AG410" s="3229"/>
      <c r="AH410" s="3229"/>
      <c r="AI410" s="3229"/>
      <c r="AJ410" s="3229"/>
      <c r="AK410" s="3229"/>
      <c r="AL410" s="3229"/>
      <c r="AM410" s="3229"/>
      <c r="AN410" s="3229"/>
      <c r="AO410" s="3229"/>
      <c r="AP410" s="3229"/>
      <c r="AQ410" s="3229"/>
      <c r="AR410" s="3229"/>
      <c r="AS410" s="3229"/>
      <c r="AT410" s="3249"/>
      <c r="AU410" s="3250"/>
      <c r="AV410" s="475">
        <f t="shared" si="269"/>
        <v>0</v>
      </c>
      <c r="AW410" s="475">
        <f t="shared" si="270"/>
        <v>0</v>
      </c>
      <c r="AX410" s="475">
        <f t="shared" si="271"/>
        <v>0</v>
      </c>
      <c r="AY410" s="3266">
        <f t="shared" si="272"/>
        <v>0</v>
      </c>
      <c r="AZ410" s="3199">
        <f t="shared" si="273"/>
        <v>0</v>
      </c>
      <c r="BA410" s="3199">
        <f t="shared" si="274"/>
        <v>0</v>
      </c>
      <c r="BB410" s="3199">
        <f t="shared" si="275"/>
        <v>0</v>
      </c>
      <c r="BC410" s="3199">
        <f t="shared" si="276"/>
        <v>0</v>
      </c>
      <c r="BD410" s="3199">
        <f t="shared" si="277"/>
        <v>0</v>
      </c>
      <c r="BE410" s="3199">
        <f t="shared" si="278"/>
        <v>0</v>
      </c>
      <c r="BF410" s="3199">
        <f t="shared" si="279"/>
        <v>0</v>
      </c>
      <c r="BG410" s="3199">
        <f t="shared" si="280"/>
        <v>0</v>
      </c>
      <c r="BH410" s="3199">
        <f t="shared" si="281"/>
        <v>0</v>
      </c>
      <c r="BI410" s="3199">
        <f t="shared" si="282"/>
        <v>0</v>
      </c>
      <c r="BJ410" s="3199">
        <f t="shared" si="283"/>
        <v>0</v>
      </c>
      <c r="BK410" s="3199">
        <f t="shared" si="284"/>
        <v>0</v>
      </c>
      <c r="BL410" s="3199">
        <f t="shared" si="285"/>
        <v>0</v>
      </c>
      <c r="BM410" s="3199">
        <f t="shared" si="286"/>
        <v>0</v>
      </c>
      <c r="BN410" s="3199">
        <f t="shared" si="287"/>
        <v>0</v>
      </c>
      <c r="BO410" s="3199">
        <f t="shared" si="288"/>
        <v>0</v>
      </c>
      <c r="BP410" s="3199">
        <f t="shared" si="289"/>
        <v>0</v>
      </c>
      <c r="BQ410" s="3199">
        <f t="shared" si="290"/>
        <v>0</v>
      </c>
      <c r="BR410" s="3199">
        <f t="shared" si="291"/>
        <v>0</v>
      </c>
      <c r="BS410" s="3199">
        <f t="shared" si="292"/>
        <v>0</v>
      </c>
      <c r="BT410" s="3271">
        <f t="shared" si="293"/>
        <v>0</v>
      </c>
    </row>
    <row r="411" spans="1:72">
      <c r="A411" s="3197"/>
      <c r="B411" s="3205"/>
      <c r="C411" s="3204"/>
      <c r="D411" s="3193"/>
      <c r="E411" s="3199">
        <f t="shared" si="265"/>
        <v>0</v>
      </c>
      <c r="F411" s="3200"/>
      <c r="G411" s="3201">
        <f t="shared" si="266"/>
        <v>0</v>
      </c>
      <c r="H411" s="3202">
        <f t="shared" si="267"/>
        <v>0</v>
      </c>
      <c r="I411" s="3207"/>
      <c r="J411" s="3218"/>
      <c r="K411" s="3207"/>
      <c r="L411" s="3218"/>
      <c r="M411" s="3218"/>
      <c r="N411" s="3218"/>
      <c r="O411" s="3218"/>
      <c r="P411" s="3218"/>
      <c r="Q411" s="3218"/>
      <c r="R411" s="3218"/>
      <c r="S411" s="3218"/>
      <c r="T411" s="3218"/>
      <c r="U411" s="3218"/>
      <c r="V411" s="3218"/>
      <c r="W411" s="3218"/>
      <c r="X411" s="3218"/>
      <c r="Y411" s="3218"/>
      <c r="Z411" s="3218"/>
      <c r="AA411" s="3218"/>
      <c r="AB411" s="3218"/>
      <c r="AC411" s="3199">
        <f t="shared" si="268"/>
        <v>0</v>
      </c>
      <c r="AD411" s="3229"/>
      <c r="AE411" s="3229"/>
      <c r="AF411" s="3207"/>
      <c r="AG411" s="3229"/>
      <c r="AH411" s="3229"/>
      <c r="AI411" s="3229"/>
      <c r="AJ411" s="3229"/>
      <c r="AK411" s="3229"/>
      <c r="AL411" s="3229"/>
      <c r="AM411" s="3229"/>
      <c r="AN411" s="3229"/>
      <c r="AO411" s="3229"/>
      <c r="AP411" s="3229"/>
      <c r="AQ411" s="3229"/>
      <c r="AR411" s="3229"/>
      <c r="AS411" s="3229"/>
      <c r="AT411" s="3249"/>
      <c r="AU411" s="3250"/>
      <c r="AV411" s="475">
        <f t="shared" si="269"/>
        <v>0</v>
      </c>
      <c r="AW411" s="475">
        <f t="shared" si="270"/>
        <v>0</v>
      </c>
      <c r="AX411" s="475">
        <f t="shared" si="271"/>
        <v>0</v>
      </c>
      <c r="AY411" s="3266">
        <f t="shared" si="272"/>
        <v>0</v>
      </c>
      <c r="AZ411" s="3199">
        <f t="shared" si="273"/>
        <v>0</v>
      </c>
      <c r="BA411" s="3199">
        <f t="shared" si="274"/>
        <v>0</v>
      </c>
      <c r="BB411" s="3199">
        <f t="shared" si="275"/>
        <v>0</v>
      </c>
      <c r="BC411" s="3199">
        <f t="shared" si="276"/>
        <v>0</v>
      </c>
      <c r="BD411" s="3199">
        <f t="shared" si="277"/>
        <v>0</v>
      </c>
      <c r="BE411" s="3199">
        <f t="shared" si="278"/>
        <v>0</v>
      </c>
      <c r="BF411" s="3199">
        <f t="shared" si="279"/>
        <v>0</v>
      </c>
      <c r="BG411" s="3199">
        <f t="shared" si="280"/>
        <v>0</v>
      </c>
      <c r="BH411" s="3199">
        <f t="shared" si="281"/>
        <v>0</v>
      </c>
      <c r="BI411" s="3199">
        <f t="shared" si="282"/>
        <v>0</v>
      </c>
      <c r="BJ411" s="3199">
        <f t="shared" si="283"/>
        <v>0</v>
      </c>
      <c r="BK411" s="3199">
        <f t="shared" si="284"/>
        <v>0</v>
      </c>
      <c r="BL411" s="3199">
        <f t="shared" si="285"/>
        <v>0</v>
      </c>
      <c r="BM411" s="3199">
        <f t="shared" si="286"/>
        <v>0</v>
      </c>
      <c r="BN411" s="3199">
        <f t="shared" si="287"/>
        <v>0</v>
      </c>
      <c r="BO411" s="3199">
        <f t="shared" si="288"/>
        <v>0</v>
      </c>
      <c r="BP411" s="3199">
        <f t="shared" si="289"/>
        <v>0</v>
      </c>
      <c r="BQ411" s="3199">
        <f t="shared" si="290"/>
        <v>0</v>
      </c>
      <c r="BR411" s="3199">
        <f t="shared" si="291"/>
        <v>0</v>
      </c>
      <c r="BS411" s="3199">
        <f t="shared" si="292"/>
        <v>0</v>
      </c>
      <c r="BT411" s="3271">
        <f t="shared" si="293"/>
        <v>0</v>
      </c>
    </row>
    <row r="412" spans="1:72">
      <c r="A412" s="3197"/>
      <c r="B412" s="3205"/>
      <c r="C412" s="3204"/>
      <c r="D412" s="3193"/>
      <c r="E412" s="3199">
        <f t="shared" si="265"/>
        <v>0</v>
      </c>
      <c r="F412" s="3200"/>
      <c r="G412" s="3201">
        <f t="shared" si="266"/>
        <v>0</v>
      </c>
      <c r="H412" s="3202">
        <f t="shared" si="267"/>
        <v>0</v>
      </c>
      <c r="I412" s="3207"/>
      <c r="J412" s="3218"/>
      <c r="K412" s="3207"/>
      <c r="L412" s="3218"/>
      <c r="M412" s="3218"/>
      <c r="N412" s="3218"/>
      <c r="O412" s="3218"/>
      <c r="P412" s="3218"/>
      <c r="Q412" s="3218"/>
      <c r="R412" s="3218"/>
      <c r="S412" s="3218"/>
      <c r="T412" s="3218"/>
      <c r="U412" s="3218"/>
      <c r="V412" s="3218"/>
      <c r="W412" s="3218"/>
      <c r="X412" s="3218"/>
      <c r="Y412" s="3218"/>
      <c r="Z412" s="3218"/>
      <c r="AA412" s="3218"/>
      <c r="AB412" s="3218"/>
      <c r="AC412" s="3199">
        <f t="shared" si="268"/>
        <v>0</v>
      </c>
      <c r="AD412" s="3229"/>
      <c r="AE412" s="3229"/>
      <c r="AF412" s="3207"/>
      <c r="AG412" s="3229"/>
      <c r="AH412" s="3229"/>
      <c r="AI412" s="3229"/>
      <c r="AJ412" s="3229"/>
      <c r="AK412" s="3229"/>
      <c r="AL412" s="3229"/>
      <c r="AM412" s="3229"/>
      <c r="AN412" s="3229"/>
      <c r="AO412" s="3229"/>
      <c r="AP412" s="3229"/>
      <c r="AQ412" s="3229"/>
      <c r="AR412" s="3229"/>
      <c r="AS412" s="3229"/>
      <c r="AT412" s="3249"/>
      <c r="AU412" s="3250"/>
      <c r="AV412" s="475">
        <f t="shared" si="269"/>
        <v>0</v>
      </c>
      <c r="AW412" s="475">
        <f t="shared" si="270"/>
        <v>0</v>
      </c>
      <c r="AX412" s="475">
        <f t="shared" si="271"/>
        <v>0</v>
      </c>
      <c r="AY412" s="3266">
        <f t="shared" si="272"/>
        <v>0</v>
      </c>
      <c r="AZ412" s="3199">
        <f t="shared" si="273"/>
        <v>0</v>
      </c>
      <c r="BA412" s="3199">
        <f t="shared" si="274"/>
        <v>0</v>
      </c>
      <c r="BB412" s="3199">
        <f t="shared" si="275"/>
        <v>0</v>
      </c>
      <c r="BC412" s="3199">
        <f t="shared" si="276"/>
        <v>0</v>
      </c>
      <c r="BD412" s="3199">
        <f t="shared" si="277"/>
        <v>0</v>
      </c>
      <c r="BE412" s="3199">
        <f t="shared" si="278"/>
        <v>0</v>
      </c>
      <c r="BF412" s="3199">
        <f t="shared" si="279"/>
        <v>0</v>
      </c>
      <c r="BG412" s="3199">
        <f t="shared" si="280"/>
        <v>0</v>
      </c>
      <c r="BH412" s="3199">
        <f t="shared" si="281"/>
        <v>0</v>
      </c>
      <c r="BI412" s="3199">
        <f t="shared" si="282"/>
        <v>0</v>
      </c>
      <c r="BJ412" s="3199">
        <f t="shared" si="283"/>
        <v>0</v>
      </c>
      <c r="BK412" s="3199">
        <f t="shared" si="284"/>
        <v>0</v>
      </c>
      <c r="BL412" s="3199">
        <f t="shared" si="285"/>
        <v>0</v>
      </c>
      <c r="BM412" s="3199">
        <f t="shared" si="286"/>
        <v>0</v>
      </c>
      <c r="BN412" s="3199">
        <f t="shared" si="287"/>
        <v>0</v>
      </c>
      <c r="BO412" s="3199">
        <f t="shared" si="288"/>
        <v>0</v>
      </c>
      <c r="BP412" s="3199">
        <f t="shared" si="289"/>
        <v>0</v>
      </c>
      <c r="BQ412" s="3199">
        <f t="shared" si="290"/>
        <v>0</v>
      </c>
      <c r="BR412" s="3199">
        <f t="shared" si="291"/>
        <v>0</v>
      </c>
      <c r="BS412" s="3199">
        <f t="shared" si="292"/>
        <v>0</v>
      </c>
      <c r="BT412" s="3271">
        <f t="shared" si="293"/>
        <v>0</v>
      </c>
    </row>
    <row r="413" spans="1:72">
      <c r="A413" s="3197"/>
      <c r="B413" s="3205"/>
      <c r="C413" s="3204"/>
      <c r="D413" s="3193"/>
      <c r="E413" s="3199">
        <f t="shared" si="265"/>
        <v>0</v>
      </c>
      <c r="F413" s="3200"/>
      <c r="G413" s="3201">
        <f t="shared" si="266"/>
        <v>0</v>
      </c>
      <c r="H413" s="3202">
        <f t="shared" si="267"/>
        <v>0</v>
      </c>
      <c r="I413" s="3207"/>
      <c r="J413" s="3218"/>
      <c r="K413" s="3207"/>
      <c r="L413" s="3218"/>
      <c r="M413" s="3218"/>
      <c r="N413" s="3218"/>
      <c r="O413" s="3218"/>
      <c r="P413" s="3218"/>
      <c r="Q413" s="3218"/>
      <c r="R413" s="3218"/>
      <c r="S413" s="3218"/>
      <c r="T413" s="3218"/>
      <c r="U413" s="3218"/>
      <c r="V413" s="3218"/>
      <c r="W413" s="3218"/>
      <c r="X413" s="3218"/>
      <c r="Y413" s="3218"/>
      <c r="Z413" s="3218"/>
      <c r="AA413" s="3218"/>
      <c r="AB413" s="3218"/>
      <c r="AC413" s="3199">
        <f t="shared" si="268"/>
        <v>0</v>
      </c>
      <c r="AD413" s="3229"/>
      <c r="AE413" s="3229"/>
      <c r="AF413" s="3207"/>
      <c r="AG413" s="3229"/>
      <c r="AH413" s="3229"/>
      <c r="AI413" s="3229"/>
      <c r="AJ413" s="3229"/>
      <c r="AK413" s="3229"/>
      <c r="AL413" s="3229"/>
      <c r="AM413" s="3229"/>
      <c r="AN413" s="3229"/>
      <c r="AO413" s="3229"/>
      <c r="AP413" s="3229"/>
      <c r="AQ413" s="3229"/>
      <c r="AR413" s="3229"/>
      <c r="AS413" s="3229"/>
      <c r="AT413" s="3249"/>
      <c r="AU413" s="3250"/>
      <c r="AV413" s="475">
        <f t="shared" si="269"/>
        <v>0</v>
      </c>
      <c r="AW413" s="475">
        <f t="shared" si="270"/>
        <v>0</v>
      </c>
      <c r="AX413" s="475">
        <f t="shared" si="271"/>
        <v>0</v>
      </c>
      <c r="AY413" s="3266">
        <f t="shared" si="272"/>
        <v>0</v>
      </c>
      <c r="AZ413" s="3199">
        <f t="shared" si="273"/>
        <v>0</v>
      </c>
      <c r="BA413" s="3199">
        <f t="shared" si="274"/>
        <v>0</v>
      </c>
      <c r="BB413" s="3199">
        <f t="shared" si="275"/>
        <v>0</v>
      </c>
      <c r="BC413" s="3199">
        <f t="shared" si="276"/>
        <v>0</v>
      </c>
      <c r="BD413" s="3199">
        <f t="shared" si="277"/>
        <v>0</v>
      </c>
      <c r="BE413" s="3199">
        <f t="shared" si="278"/>
        <v>0</v>
      </c>
      <c r="BF413" s="3199">
        <f t="shared" si="279"/>
        <v>0</v>
      </c>
      <c r="BG413" s="3199">
        <f t="shared" si="280"/>
        <v>0</v>
      </c>
      <c r="BH413" s="3199">
        <f t="shared" si="281"/>
        <v>0</v>
      </c>
      <c r="BI413" s="3199">
        <f t="shared" si="282"/>
        <v>0</v>
      </c>
      <c r="BJ413" s="3199">
        <f t="shared" si="283"/>
        <v>0</v>
      </c>
      <c r="BK413" s="3199">
        <f t="shared" si="284"/>
        <v>0</v>
      </c>
      <c r="BL413" s="3199">
        <f t="shared" si="285"/>
        <v>0</v>
      </c>
      <c r="BM413" s="3199">
        <f t="shared" si="286"/>
        <v>0</v>
      </c>
      <c r="BN413" s="3199">
        <f t="shared" si="287"/>
        <v>0</v>
      </c>
      <c r="BO413" s="3199">
        <f t="shared" si="288"/>
        <v>0</v>
      </c>
      <c r="BP413" s="3199">
        <f t="shared" si="289"/>
        <v>0</v>
      </c>
      <c r="BQ413" s="3199">
        <f t="shared" si="290"/>
        <v>0</v>
      </c>
      <c r="BR413" s="3199">
        <f t="shared" si="291"/>
        <v>0</v>
      </c>
      <c r="BS413" s="3199">
        <f t="shared" si="292"/>
        <v>0</v>
      </c>
      <c r="BT413" s="3271">
        <f t="shared" si="293"/>
        <v>0</v>
      </c>
    </row>
    <row r="414" spans="1:72">
      <c r="A414" s="3197"/>
      <c r="B414" s="3205"/>
      <c r="C414" s="3204"/>
      <c r="D414" s="3193"/>
      <c r="E414" s="3199">
        <f t="shared" si="265"/>
        <v>0</v>
      </c>
      <c r="F414" s="3200"/>
      <c r="G414" s="3201">
        <f t="shared" si="266"/>
        <v>0</v>
      </c>
      <c r="H414" s="3202">
        <f t="shared" si="267"/>
        <v>0</v>
      </c>
      <c r="I414" s="3207"/>
      <c r="J414" s="3218"/>
      <c r="K414" s="3207"/>
      <c r="L414" s="3218"/>
      <c r="M414" s="3218"/>
      <c r="N414" s="3218"/>
      <c r="O414" s="3218"/>
      <c r="P414" s="3218"/>
      <c r="Q414" s="3218"/>
      <c r="R414" s="3218"/>
      <c r="S414" s="3218"/>
      <c r="T414" s="3218"/>
      <c r="U414" s="3218"/>
      <c r="V414" s="3218"/>
      <c r="W414" s="3218"/>
      <c r="X414" s="3218"/>
      <c r="Y414" s="3218"/>
      <c r="Z414" s="3218"/>
      <c r="AA414" s="3218"/>
      <c r="AB414" s="3218"/>
      <c r="AC414" s="3199">
        <f t="shared" si="268"/>
        <v>0</v>
      </c>
      <c r="AD414" s="3229"/>
      <c r="AE414" s="3229"/>
      <c r="AF414" s="3207"/>
      <c r="AG414" s="3229"/>
      <c r="AH414" s="3229"/>
      <c r="AI414" s="3229"/>
      <c r="AJ414" s="3229"/>
      <c r="AK414" s="3229"/>
      <c r="AL414" s="3229"/>
      <c r="AM414" s="3229"/>
      <c r="AN414" s="3229"/>
      <c r="AO414" s="3229"/>
      <c r="AP414" s="3229"/>
      <c r="AQ414" s="3229"/>
      <c r="AR414" s="3229"/>
      <c r="AS414" s="3229"/>
      <c r="AT414" s="3249"/>
      <c r="AU414" s="3250"/>
      <c r="AV414" s="475">
        <f t="shared" si="269"/>
        <v>0</v>
      </c>
      <c r="AW414" s="475">
        <f t="shared" si="270"/>
        <v>0</v>
      </c>
      <c r="AX414" s="475">
        <f t="shared" si="271"/>
        <v>0</v>
      </c>
      <c r="AY414" s="3266">
        <f t="shared" si="272"/>
        <v>0</v>
      </c>
      <c r="AZ414" s="3199">
        <f t="shared" si="273"/>
        <v>0</v>
      </c>
      <c r="BA414" s="3199">
        <f t="shared" si="274"/>
        <v>0</v>
      </c>
      <c r="BB414" s="3199">
        <f t="shared" si="275"/>
        <v>0</v>
      </c>
      <c r="BC414" s="3199">
        <f t="shared" si="276"/>
        <v>0</v>
      </c>
      <c r="BD414" s="3199">
        <f t="shared" si="277"/>
        <v>0</v>
      </c>
      <c r="BE414" s="3199">
        <f t="shared" si="278"/>
        <v>0</v>
      </c>
      <c r="BF414" s="3199">
        <f t="shared" si="279"/>
        <v>0</v>
      </c>
      <c r="BG414" s="3199">
        <f t="shared" si="280"/>
        <v>0</v>
      </c>
      <c r="BH414" s="3199">
        <f t="shared" si="281"/>
        <v>0</v>
      </c>
      <c r="BI414" s="3199">
        <f t="shared" si="282"/>
        <v>0</v>
      </c>
      <c r="BJ414" s="3199">
        <f t="shared" si="283"/>
        <v>0</v>
      </c>
      <c r="BK414" s="3199">
        <f t="shared" si="284"/>
        <v>0</v>
      </c>
      <c r="BL414" s="3199">
        <f t="shared" si="285"/>
        <v>0</v>
      </c>
      <c r="BM414" s="3199">
        <f t="shared" si="286"/>
        <v>0</v>
      </c>
      <c r="BN414" s="3199">
        <f t="shared" si="287"/>
        <v>0</v>
      </c>
      <c r="BO414" s="3199">
        <f t="shared" si="288"/>
        <v>0</v>
      </c>
      <c r="BP414" s="3199">
        <f t="shared" si="289"/>
        <v>0</v>
      </c>
      <c r="BQ414" s="3199">
        <f t="shared" si="290"/>
        <v>0</v>
      </c>
      <c r="BR414" s="3199">
        <f t="shared" si="291"/>
        <v>0</v>
      </c>
      <c r="BS414" s="3199">
        <f t="shared" si="292"/>
        <v>0</v>
      </c>
      <c r="BT414" s="3271">
        <f t="shared" si="293"/>
        <v>0</v>
      </c>
    </row>
    <row r="415" spans="1:72">
      <c r="A415" s="3197"/>
      <c r="B415" s="3205"/>
      <c r="C415" s="3204"/>
      <c r="D415" s="3193"/>
      <c r="E415" s="3199">
        <f t="shared" si="265"/>
        <v>0</v>
      </c>
      <c r="F415" s="3200"/>
      <c r="G415" s="3201">
        <f t="shared" si="266"/>
        <v>0</v>
      </c>
      <c r="H415" s="3202">
        <f t="shared" si="267"/>
        <v>0</v>
      </c>
      <c r="I415" s="3207"/>
      <c r="J415" s="3218"/>
      <c r="K415" s="3207"/>
      <c r="L415" s="3218"/>
      <c r="M415" s="3218"/>
      <c r="N415" s="3218"/>
      <c r="O415" s="3218"/>
      <c r="P415" s="3218"/>
      <c r="Q415" s="3218"/>
      <c r="R415" s="3218"/>
      <c r="S415" s="3218"/>
      <c r="T415" s="3218"/>
      <c r="U415" s="3218"/>
      <c r="V415" s="3218"/>
      <c r="W415" s="3218"/>
      <c r="X415" s="3218"/>
      <c r="Y415" s="3218"/>
      <c r="Z415" s="3218"/>
      <c r="AA415" s="3218"/>
      <c r="AB415" s="3218"/>
      <c r="AC415" s="3199">
        <f t="shared" si="268"/>
        <v>0</v>
      </c>
      <c r="AD415" s="3229"/>
      <c r="AE415" s="3229"/>
      <c r="AF415" s="3204"/>
      <c r="AG415" s="3229"/>
      <c r="AH415" s="3229"/>
      <c r="AI415" s="3229"/>
      <c r="AJ415" s="3229"/>
      <c r="AK415" s="3229"/>
      <c r="AL415" s="3229"/>
      <c r="AM415" s="3229"/>
      <c r="AN415" s="3229"/>
      <c r="AO415" s="3229"/>
      <c r="AP415" s="3229"/>
      <c r="AQ415" s="3229"/>
      <c r="AR415" s="3229"/>
      <c r="AS415" s="3229"/>
      <c r="AT415" s="3249"/>
      <c r="AU415" s="3250"/>
      <c r="AV415" s="475">
        <f t="shared" si="269"/>
        <v>0</v>
      </c>
      <c r="AW415" s="475">
        <f t="shared" si="270"/>
        <v>0</v>
      </c>
      <c r="AX415" s="475">
        <f t="shared" si="271"/>
        <v>0</v>
      </c>
      <c r="AY415" s="3266">
        <f t="shared" si="272"/>
        <v>0</v>
      </c>
      <c r="AZ415" s="3199">
        <f t="shared" si="273"/>
        <v>0</v>
      </c>
      <c r="BA415" s="3199">
        <f t="shared" si="274"/>
        <v>0</v>
      </c>
      <c r="BB415" s="3199">
        <f t="shared" si="275"/>
        <v>0</v>
      </c>
      <c r="BC415" s="3199">
        <f t="shared" si="276"/>
        <v>0</v>
      </c>
      <c r="BD415" s="3199">
        <f t="shared" si="277"/>
        <v>0</v>
      </c>
      <c r="BE415" s="3199">
        <f t="shared" si="278"/>
        <v>0</v>
      </c>
      <c r="BF415" s="3199">
        <f t="shared" si="279"/>
        <v>0</v>
      </c>
      <c r="BG415" s="3199">
        <f t="shared" si="280"/>
        <v>0</v>
      </c>
      <c r="BH415" s="3199">
        <f t="shared" si="281"/>
        <v>0</v>
      </c>
      <c r="BI415" s="3199">
        <f t="shared" si="282"/>
        <v>0</v>
      </c>
      <c r="BJ415" s="3199">
        <f t="shared" si="283"/>
        <v>0</v>
      </c>
      <c r="BK415" s="3199">
        <f t="shared" si="284"/>
        <v>0</v>
      </c>
      <c r="BL415" s="3199">
        <f t="shared" si="285"/>
        <v>0</v>
      </c>
      <c r="BM415" s="3199">
        <f t="shared" si="286"/>
        <v>0</v>
      </c>
      <c r="BN415" s="3199">
        <f t="shared" si="287"/>
        <v>0</v>
      </c>
      <c r="BO415" s="3199">
        <f t="shared" si="288"/>
        <v>0</v>
      </c>
      <c r="BP415" s="3199">
        <f t="shared" si="289"/>
        <v>0</v>
      </c>
      <c r="BQ415" s="3199">
        <f t="shared" si="290"/>
        <v>0</v>
      </c>
      <c r="BR415" s="3199">
        <f t="shared" si="291"/>
        <v>0</v>
      </c>
      <c r="BS415" s="3199">
        <f t="shared" si="292"/>
        <v>0</v>
      </c>
      <c r="BT415" s="3271">
        <f t="shared" si="293"/>
        <v>0</v>
      </c>
    </row>
    <row r="416" spans="1:72">
      <c r="A416" s="3197"/>
      <c r="B416" s="3205"/>
      <c r="C416" s="3204"/>
      <c r="D416" s="3193"/>
      <c r="E416" s="3199">
        <f t="shared" si="265"/>
        <v>0</v>
      </c>
      <c r="F416" s="3200"/>
      <c r="G416" s="3201">
        <f t="shared" si="266"/>
        <v>0</v>
      </c>
      <c r="H416" s="3202">
        <f t="shared" si="267"/>
        <v>0</v>
      </c>
      <c r="I416" s="3204"/>
      <c r="J416" s="3218"/>
      <c r="K416" s="3204"/>
      <c r="L416" s="3218"/>
      <c r="M416" s="3218"/>
      <c r="N416" s="3218"/>
      <c r="O416" s="3218"/>
      <c r="P416" s="3218"/>
      <c r="Q416" s="3218"/>
      <c r="R416" s="3218"/>
      <c r="S416" s="3218"/>
      <c r="T416" s="3218"/>
      <c r="U416" s="3218"/>
      <c r="V416" s="3218"/>
      <c r="W416" s="3218"/>
      <c r="X416" s="3218"/>
      <c r="Y416" s="3218"/>
      <c r="Z416" s="3218"/>
      <c r="AA416" s="3218"/>
      <c r="AB416" s="3218"/>
      <c r="AC416" s="3199">
        <f t="shared" si="268"/>
        <v>0</v>
      </c>
      <c r="AD416" s="3229"/>
      <c r="AE416" s="3229"/>
      <c r="AF416" s="3204"/>
      <c r="AG416" s="3229"/>
      <c r="AH416" s="3229"/>
      <c r="AI416" s="3229"/>
      <c r="AJ416" s="3229"/>
      <c r="AK416" s="3229"/>
      <c r="AL416" s="3229"/>
      <c r="AM416" s="3229"/>
      <c r="AN416" s="3229"/>
      <c r="AO416" s="3229"/>
      <c r="AP416" s="3229"/>
      <c r="AQ416" s="3229"/>
      <c r="AR416" s="3229"/>
      <c r="AS416" s="3229"/>
      <c r="AT416" s="3249"/>
      <c r="AU416" s="3250"/>
      <c r="AV416" s="475">
        <f t="shared" si="269"/>
        <v>0</v>
      </c>
      <c r="AW416" s="475">
        <f t="shared" si="270"/>
        <v>0</v>
      </c>
      <c r="AX416" s="475">
        <f t="shared" si="271"/>
        <v>0</v>
      </c>
      <c r="AY416" s="3266">
        <f t="shared" si="272"/>
        <v>0</v>
      </c>
      <c r="AZ416" s="3199">
        <f t="shared" si="273"/>
        <v>0</v>
      </c>
      <c r="BA416" s="3199">
        <f t="shared" si="274"/>
        <v>0</v>
      </c>
      <c r="BB416" s="3199">
        <f t="shared" si="275"/>
        <v>0</v>
      </c>
      <c r="BC416" s="3199">
        <f t="shared" si="276"/>
        <v>0</v>
      </c>
      <c r="BD416" s="3199">
        <f t="shared" si="277"/>
        <v>0</v>
      </c>
      <c r="BE416" s="3199">
        <f t="shared" si="278"/>
        <v>0</v>
      </c>
      <c r="BF416" s="3199">
        <f t="shared" si="279"/>
        <v>0</v>
      </c>
      <c r="BG416" s="3199">
        <f t="shared" si="280"/>
        <v>0</v>
      </c>
      <c r="BH416" s="3199">
        <f t="shared" si="281"/>
        <v>0</v>
      </c>
      <c r="BI416" s="3199">
        <f t="shared" si="282"/>
        <v>0</v>
      </c>
      <c r="BJ416" s="3199">
        <f t="shared" si="283"/>
        <v>0</v>
      </c>
      <c r="BK416" s="3199">
        <f t="shared" si="284"/>
        <v>0</v>
      </c>
      <c r="BL416" s="3199">
        <f t="shared" si="285"/>
        <v>0</v>
      </c>
      <c r="BM416" s="3199">
        <f t="shared" si="286"/>
        <v>0</v>
      </c>
      <c r="BN416" s="3199">
        <f t="shared" si="287"/>
        <v>0</v>
      </c>
      <c r="BO416" s="3199">
        <f t="shared" si="288"/>
        <v>0</v>
      </c>
      <c r="BP416" s="3199">
        <f t="shared" si="289"/>
        <v>0</v>
      </c>
      <c r="BQ416" s="3199">
        <f t="shared" si="290"/>
        <v>0</v>
      </c>
      <c r="BR416" s="3199">
        <f t="shared" si="291"/>
        <v>0</v>
      </c>
      <c r="BS416" s="3199">
        <f t="shared" si="292"/>
        <v>0</v>
      </c>
      <c r="BT416" s="3271">
        <f t="shared" si="293"/>
        <v>0</v>
      </c>
    </row>
    <row r="417" spans="1:72">
      <c r="A417" s="3197"/>
      <c r="B417" s="3205"/>
      <c r="C417" s="3204"/>
      <c r="D417" s="3193"/>
      <c r="E417" s="3199">
        <f t="shared" si="265"/>
        <v>0</v>
      </c>
      <c r="F417" s="3200"/>
      <c r="G417" s="3201">
        <f t="shared" si="266"/>
        <v>0</v>
      </c>
      <c r="H417" s="3202">
        <f t="shared" si="267"/>
        <v>0</v>
      </c>
      <c r="I417" s="3204"/>
      <c r="J417" s="3218"/>
      <c r="K417" s="3204"/>
      <c r="L417" s="3218"/>
      <c r="M417" s="3218"/>
      <c r="N417" s="3218"/>
      <c r="O417" s="3218"/>
      <c r="P417" s="3218"/>
      <c r="Q417" s="3218"/>
      <c r="R417" s="3218"/>
      <c r="S417" s="3218"/>
      <c r="T417" s="3218"/>
      <c r="U417" s="3218"/>
      <c r="V417" s="3218"/>
      <c r="W417" s="3218"/>
      <c r="X417" s="3218"/>
      <c r="Y417" s="3218"/>
      <c r="Z417" s="3218"/>
      <c r="AA417" s="3218"/>
      <c r="AB417" s="3218"/>
      <c r="AC417" s="3199">
        <f t="shared" si="268"/>
        <v>0</v>
      </c>
      <c r="AD417" s="3229"/>
      <c r="AE417" s="3229"/>
      <c r="AF417" s="3204"/>
      <c r="AG417" s="3229"/>
      <c r="AH417" s="3229"/>
      <c r="AI417" s="3229"/>
      <c r="AJ417" s="3229"/>
      <c r="AK417" s="3229"/>
      <c r="AL417" s="3229"/>
      <c r="AM417" s="3229"/>
      <c r="AN417" s="3229"/>
      <c r="AO417" s="3229"/>
      <c r="AP417" s="3229"/>
      <c r="AQ417" s="3229"/>
      <c r="AR417" s="3229"/>
      <c r="AS417" s="3229"/>
      <c r="AT417" s="3249"/>
      <c r="AU417" s="3250"/>
      <c r="AV417" s="475">
        <f t="shared" si="269"/>
        <v>0</v>
      </c>
      <c r="AW417" s="475">
        <f t="shared" si="270"/>
        <v>0</v>
      </c>
      <c r="AX417" s="475">
        <f t="shared" si="271"/>
        <v>0</v>
      </c>
      <c r="AY417" s="3266">
        <f t="shared" si="272"/>
        <v>0</v>
      </c>
      <c r="AZ417" s="3199">
        <f t="shared" si="273"/>
        <v>0</v>
      </c>
      <c r="BA417" s="3199">
        <f t="shared" si="274"/>
        <v>0</v>
      </c>
      <c r="BB417" s="3199">
        <f t="shared" si="275"/>
        <v>0</v>
      </c>
      <c r="BC417" s="3199">
        <f t="shared" si="276"/>
        <v>0</v>
      </c>
      <c r="BD417" s="3199">
        <f t="shared" si="277"/>
        <v>0</v>
      </c>
      <c r="BE417" s="3199">
        <f t="shared" si="278"/>
        <v>0</v>
      </c>
      <c r="BF417" s="3199">
        <f t="shared" si="279"/>
        <v>0</v>
      </c>
      <c r="BG417" s="3199">
        <f t="shared" si="280"/>
        <v>0</v>
      </c>
      <c r="BH417" s="3199">
        <f t="shared" si="281"/>
        <v>0</v>
      </c>
      <c r="BI417" s="3199">
        <f t="shared" si="282"/>
        <v>0</v>
      </c>
      <c r="BJ417" s="3199">
        <f t="shared" si="283"/>
        <v>0</v>
      </c>
      <c r="BK417" s="3199">
        <f t="shared" si="284"/>
        <v>0</v>
      </c>
      <c r="BL417" s="3199">
        <f t="shared" si="285"/>
        <v>0</v>
      </c>
      <c r="BM417" s="3199">
        <f t="shared" si="286"/>
        <v>0</v>
      </c>
      <c r="BN417" s="3199">
        <f t="shared" si="287"/>
        <v>0</v>
      </c>
      <c r="BO417" s="3199">
        <f t="shared" si="288"/>
        <v>0</v>
      </c>
      <c r="BP417" s="3199">
        <f t="shared" si="289"/>
        <v>0</v>
      </c>
      <c r="BQ417" s="3199">
        <f t="shared" si="290"/>
        <v>0</v>
      </c>
      <c r="BR417" s="3199">
        <f t="shared" si="291"/>
        <v>0</v>
      </c>
      <c r="BS417" s="3199">
        <f t="shared" si="292"/>
        <v>0</v>
      </c>
      <c r="BT417" s="3271">
        <f t="shared" si="293"/>
        <v>0</v>
      </c>
    </row>
    <row r="418" spans="1:72">
      <c r="A418" s="3197"/>
      <c r="B418" s="3205"/>
      <c r="C418" s="3204"/>
      <c r="D418" s="3193"/>
      <c r="E418" s="3199">
        <f t="shared" si="265"/>
        <v>0</v>
      </c>
      <c r="F418" s="3200"/>
      <c r="G418" s="3201">
        <f t="shared" si="266"/>
        <v>0</v>
      </c>
      <c r="H418" s="3202">
        <f t="shared" si="267"/>
        <v>0</v>
      </c>
      <c r="I418" s="3204"/>
      <c r="J418" s="3218"/>
      <c r="K418" s="3204"/>
      <c r="L418" s="3218"/>
      <c r="M418" s="3218"/>
      <c r="N418" s="3218"/>
      <c r="O418" s="3218"/>
      <c r="P418" s="3218"/>
      <c r="Q418" s="3218"/>
      <c r="R418" s="3218"/>
      <c r="S418" s="3218"/>
      <c r="T418" s="3218"/>
      <c r="U418" s="3218"/>
      <c r="V418" s="3218"/>
      <c r="W418" s="3218"/>
      <c r="X418" s="3218"/>
      <c r="Y418" s="3218"/>
      <c r="Z418" s="3218"/>
      <c r="AA418" s="3218"/>
      <c r="AB418" s="3218"/>
      <c r="AC418" s="3199">
        <f t="shared" si="268"/>
        <v>0</v>
      </c>
      <c r="AD418" s="3229"/>
      <c r="AE418" s="3229"/>
      <c r="AF418" s="3204"/>
      <c r="AG418" s="3229"/>
      <c r="AH418" s="3229"/>
      <c r="AI418" s="3229"/>
      <c r="AJ418" s="3229"/>
      <c r="AK418" s="3229"/>
      <c r="AL418" s="3229"/>
      <c r="AM418" s="3229"/>
      <c r="AN418" s="3229"/>
      <c r="AO418" s="3229"/>
      <c r="AP418" s="3229"/>
      <c r="AQ418" s="3229"/>
      <c r="AR418" s="3229"/>
      <c r="AS418" s="3229"/>
      <c r="AT418" s="3249"/>
      <c r="AU418" s="3250"/>
      <c r="AV418" s="475">
        <f t="shared" si="269"/>
        <v>0</v>
      </c>
      <c r="AW418" s="475">
        <f t="shared" si="270"/>
        <v>0</v>
      </c>
      <c r="AX418" s="475">
        <f t="shared" si="271"/>
        <v>0</v>
      </c>
      <c r="AY418" s="3266">
        <f t="shared" si="272"/>
        <v>0</v>
      </c>
      <c r="AZ418" s="3199">
        <f t="shared" si="273"/>
        <v>0</v>
      </c>
      <c r="BA418" s="3199">
        <f t="shared" si="274"/>
        <v>0</v>
      </c>
      <c r="BB418" s="3199">
        <f t="shared" si="275"/>
        <v>0</v>
      </c>
      <c r="BC418" s="3199">
        <f t="shared" si="276"/>
        <v>0</v>
      </c>
      <c r="BD418" s="3199">
        <f t="shared" si="277"/>
        <v>0</v>
      </c>
      <c r="BE418" s="3199">
        <f t="shared" si="278"/>
        <v>0</v>
      </c>
      <c r="BF418" s="3199">
        <f t="shared" si="279"/>
        <v>0</v>
      </c>
      <c r="BG418" s="3199">
        <f t="shared" si="280"/>
        <v>0</v>
      </c>
      <c r="BH418" s="3199">
        <f t="shared" si="281"/>
        <v>0</v>
      </c>
      <c r="BI418" s="3199">
        <f t="shared" si="282"/>
        <v>0</v>
      </c>
      <c r="BJ418" s="3199">
        <f t="shared" si="283"/>
        <v>0</v>
      </c>
      <c r="BK418" s="3199">
        <f t="shared" si="284"/>
        <v>0</v>
      </c>
      <c r="BL418" s="3199">
        <f t="shared" si="285"/>
        <v>0</v>
      </c>
      <c r="BM418" s="3199">
        <f t="shared" si="286"/>
        <v>0</v>
      </c>
      <c r="BN418" s="3199">
        <f t="shared" si="287"/>
        <v>0</v>
      </c>
      <c r="BO418" s="3199">
        <f t="shared" si="288"/>
        <v>0</v>
      </c>
      <c r="BP418" s="3199">
        <f t="shared" si="289"/>
        <v>0</v>
      </c>
      <c r="BQ418" s="3199">
        <f t="shared" si="290"/>
        <v>0</v>
      </c>
      <c r="BR418" s="3199">
        <f t="shared" si="291"/>
        <v>0</v>
      </c>
      <c r="BS418" s="3199">
        <f t="shared" si="292"/>
        <v>0</v>
      </c>
      <c r="BT418" s="3271">
        <f t="shared" si="293"/>
        <v>0</v>
      </c>
    </row>
    <row r="419" spans="1:72">
      <c r="A419" s="3197"/>
      <c r="B419" s="3205"/>
      <c r="C419" s="3204"/>
      <c r="D419" s="3193"/>
      <c r="E419" s="3199">
        <f t="shared" si="265"/>
        <v>0</v>
      </c>
      <c r="F419" s="3200"/>
      <c r="G419" s="3201">
        <f t="shared" si="266"/>
        <v>0</v>
      </c>
      <c r="H419" s="3202">
        <f t="shared" si="267"/>
        <v>0</v>
      </c>
      <c r="I419" s="3204"/>
      <c r="J419" s="3218"/>
      <c r="K419" s="3204"/>
      <c r="L419" s="3218"/>
      <c r="M419" s="3218"/>
      <c r="N419" s="3218"/>
      <c r="O419" s="3218"/>
      <c r="P419" s="3218"/>
      <c r="Q419" s="3218"/>
      <c r="R419" s="3218"/>
      <c r="S419" s="3218"/>
      <c r="T419" s="3218"/>
      <c r="U419" s="3218"/>
      <c r="V419" s="3218"/>
      <c r="W419" s="3218"/>
      <c r="X419" s="3218"/>
      <c r="Y419" s="3218"/>
      <c r="Z419" s="3218"/>
      <c r="AA419" s="3218"/>
      <c r="AB419" s="3218"/>
      <c r="AC419" s="3199">
        <f t="shared" si="268"/>
        <v>0</v>
      </c>
      <c r="AD419" s="3229"/>
      <c r="AE419" s="3229"/>
      <c r="AF419" s="3204"/>
      <c r="AG419" s="3229"/>
      <c r="AH419" s="3229"/>
      <c r="AI419" s="3229"/>
      <c r="AJ419" s="3229"/>
      <c r="AK419" s="3229"/>
      <c r="AL419" s="3229"/>
      <c r="AM419" s="3229"/>
      <c r="AN419" s="3229"/>
      <c r="AO419" s="3229"/>
      <c r="AP419" s="3229"/>
      <c r="AQ419" s="3229"/>
      <c r="AR419" s="3229"/>
      <c r="AS419" s="3229"/>
      <c r="AT419" s="3249"/>
      <c r="AU419" s="3250"/>
      <c r="AV419" s="475">
        <f t="shared" si="269"/>
        <v>0</v>
      </c>
      <c r="AW419" s="475">
        <f t="shared" si="270"/>
        <v>0</v>
      </c>
      <c r="AX419" s="475">
        <f t="shared" si="271"/>
        <v>0</v>
      </c>
      <c r="AY419" s="3266">
        <f t="shared" si="272"/>
        <v>0</v>
      </c>
      <c r="AZ419" s="3199">
        <f t="shared" si="273"/>
        <v>0</v>
      </c>
      <c r="BA419" s="3199">
        <f t="shared" si="274"/>
        <v>0</v>
      </c>
      <c r="BB419" s="3199">
        <f t="shared" si="275"/>
        <v>0</v>
      </c>
      <c r="BC419" s="3199">
        <f t="shared" si="276"/>
        <v>0</v>
      </c>
      <c r="BD419" s="3199">
        <f t="shared" si="277"/>
        <v>0</v>
      </c>
      <c r="BE419" s="3199">
        <f t="shared" si="278"/>
        <v>0</v>
      </c>
      <c r="BF419" s="3199">
        <f t="shared" si="279"/>
        <v>0</v>
      </c>
      <c r="BG419" s="3199">
        <f t="shared" si="280"/>
        <v>0</v>
      </c>
      <c r="BH419" s="3199">
        <f t="shared" si="281"/>
        <v>0</v>
      </c>
      <c r="BI419" s="3199">
        <f t="shared" si="282"/>
        <v>0</v>
      </c>
      <c r="BJ419" s="3199">
        <f t="shared" si="283"/>
        <v>0</v>
      </c>
      <c r="BK419" s="3199">
        <f t="shared" si="284"/>
        <v>0</v>
      </c>
      <c r="BL419" s="3199">
        <f t="shared" si="285"/>
        <v>0</v>
      </c>
      <c r="BM419" s="3199">
        <f t="shared" si="286"/>
        <v>0</v>
      </c>
      <c r="BN419" s="3199">
        <f t="shared" si="287"/>
        <v>0</v>
      </c>
      <c r="BO419" s="3199">
        <f t="shared" si="288"/>
        <v>0</v>
      </c>
      <c r="BP419" s="3199">
        <f t="shared" si="289"/>
        <v>0</v>
      </c>
      <c r="BQ419" s="3199">
        <f t="shared" si="290"/>
        <v>0</v>
      </c>
      <c r="BR419" s="3199">
        <f t="shared" si="291"/>
        <v>0</v>
      </c>
      <c r="BS419" s="3199">
        <f t="shared" si="292"/>
        <v>0</v>
      </c>
      <c r="BT419" s="3271">
        <f t="shared" si="293"/>
        <v>0</v>
      </c>
    </row>
    <row r="420" spans="1:72">
      <c r="A420" s="3197"/>
      <c r="B420" s="3205"/>
      <c r="C420" s="3204"/>
      <c r="D420" s="3193"/>
      <c r="E420" s="3199">
        <f t="shared" si="265"/>
        <v>0</v>
      </c>
      <c r="F420" s="3200"/>
      <c r="G420" s="3201">
        <f t="shared" si="266"/>
        <v>0</v>
      </c>
      <c r="H420" s="3202">
        <f t="shared" si="267"/>
        <v>0</v>
      </c>
      <c r="I420" s="3204"/>
      <c r="J420" s="3218"/>
      <c r="K420" s="3204"/>
      <c r="L420" s="3218"/>
      <c r="M420" s="3218"/>
      <c r="N420" s="3218"/>
      <c r="O420" s="3218"/>
      <c r="P420" s="3218"/>
      <c r="Q420" s="3218"/>
      <c r="R420" s="3218"/>
      <c r="S420" s="3218"/>
      <c r="T420" s="3218"/>
      <c r="U420" s="3218"/>
      <c r="V420" s="3218"/>
      <c r="W420" s="3218"/>
      <c r="X420" s="3218"/>
      <c r="Y420" s="3218"/>
      <c r="Z420" s="3218"/>
      <c r="AA420" s="3218"/>
      <c r="AB420" s="3218"/>
      <c r="AC420" s="3199">
        <f t="shared" si="268"/>
        <v>0</v>
      </c>
      <c r="AD420" s="3229"/>
      <c r="AE420" s="3229"/>
      <c r="AF420" s="3204"/>
      <c r="AG420" s="3229"/>
      <c r="AH420" s="3229"/>
      <c r="AI420" s="3229"/>
      <c r="AJ420" s="3229"/>
      <c r="AK420" s="3229"/>
      <c r="AL420" s="3229"/>
      <c r="AM420" s="3229"/>
      <c r="AN420" s="3229"/>
      <c r="AO420" s="3229"/>
      <c r="AP420" s="3229"/>
      <c r="AQ420" s="3229"/>
      <c r="AR420" s="3229"/>
      <c r="AS420" s="3229"/>
      <c r="AT420" s="3249"/>
      <c r="AU420" s="3250"/>
      <c r="AV420" s="475">
        <f t="shared" si="269"/>
        <v>0</v>
      </c>
      <c r="AW420" s="475">
        <f t="shared" si="270"/>
        <v>0</v>
      </c>
      <c r="AX420" s="475">
        <f t="shared" si="271"/>
        <v>0</v>
      </c>
      <c r="AY420" s="3266">
        <f t="shared" si="272"/>
        <v>0</v>
      </c>
      <c r="AZ420" s="3199">
        <f t="shared" si="273"/>
        <v>0</v>
      </c>
      <c r="BA420" s="3199">
        <f t="shared" si="274"/>
        <v>0</v>
      </c>
      <c r="BB420" s="3199">
        <f t="shared" si="275"/>
        <v>0</v>
      </c>
      <c r="BC420" s="3199">
        <f t="shared" si="276"/>
        <v>0</v>
      </c>
      <c r="BD420" s="3199">
        <f t="shared" si="277"/>
        <v>0</v>
      </c>
      <c r="BE420" s="3199">
        <f t="shared" si="278"/>
        <v>0</v>
      </c>
      <c r="BF420" s="3199">
        <f t="shared" si="279"/>
        <v>0</v>
      </c>
      <c r="BG420" s="3199">
        <f t="shared" si="280"/>
        <v>0</v>
      </c>
      <c r="BH420" s="3199">
        <f t="shared" si="281"/>
        <v>0</v>
      </c>
      <c r="BI420" s="3199">
        <f t="shared" si="282"/>
        <v>0</v>
      </c>
      <c r="BJ420" s="3199">
        <f t="shared" si="283"/>
        <v>0</v>
      </c>
      <c r="BK420" s="3199">
        <f t="shared" si="284"/>
        <v>0</v>
      </c>
      <c r="BL420" s="3199">
        <f t="shared" si="285"/>
        <v>0</v>
      </c>
      <c r="BM420" s="3199">
        <f t="shared" si="286"/>
        <v>0</v>
      </c>
      <c r="BN420" s="3199">
        <f t="shared" si="287"/>
        <v>0</v>
      </c>
      <c r="BO420" s="3199">
        <f t="shared" si="288"/>
        <v>0</v>
      </c>
      <c r="BP420" s="3199">
        <f t="shared" si="289"/>
        <v>0</v>
      </c>
      <c r="BQ420" s="3199">
        <f t="shared" si="290"/>
        <v>0</v>
      </c>
      <c r="BR420" s="3199">
        <f t="shared" si="291"/>
        <v>0</v>
      </c>
      <c r="BS420" s="3199">
        <f t="shared" si="292"/>
        <v>0</v>
      </c>
      <c r="BT420" s="3271">
        <f t="shared" si="293"/>
        <v>0</v>
      </c>
    </row>
    <row r="421" spans="1:72">
      <c r="A421" s="3197"/>
      <c r="B421" s="3205"/>
      <c r="C421" s="3204"/>
      <c r="D421" s="3193"/>
      <c r="E421" s="3199">
        <f t="shared" si="265"/>
        <v>0</v>
      </c>
      <c r="F421" s="3200"/>
      <c r="G421" s="3201">
        <f t="shared" si="266"/>
        <v>0</v>
      </c>
      <c r="H421" s="3202">
        <f t="shared" si="267"/>
        <v>0</v>
      </c>
      <c r="I421" s="3204"/>
      <c r="J421" s="3218"/>
      <c r="K421" s="3204"/>
      <c r="L421" s="3218"/>
      <c r="M421" s="3218"/>
      <c r="N421" s="3218"/>
      <c r="O421" s="3218"/>
      <c r="P421" s="3218"/>
      <c r="Q421" s="3218"/>
      <c r="R421" s="3218"/>
      <c r="S421" s="3218"/>
      <c r="T421" s="3218"/>
      <c r="U421" s="3218"/>
      <c r="V421" s="3218"/>
      <c r="W421" s="3218"/>
      <c r="X421" s="3218"/>
      <c r="Y421" s="3218"/>
      <c r="Z421" s="3218"/>
      <c r="AA421" s="3218"/>
      <c r="AB421" s="3218"/>
      <c r="AC421" s="3199">
        <f t="shared" si="268"/>
        <v>0</v>
      </c>
      <c r="AD421" s="3229"/>
      <c r="AE421" s="3229"/>
      <c r="AF421" s="3204"/>
      <c r="AG421" s="3229"/>
      <c r="AH421" s="3229"/>
      <c r="AI421" s="3229"/>
      <c r="AJ421" s="3229"/>
      <c r="AK421" s="3229"/>
      <c r="AL421" s="3229"/>
      <c r="AM421" s="3229"/>
      <c r="AN421" s="3229"/>
      <c r="AO421" s="3229"/>
      <c r="AP421" s="3229"/>
      <c r="AQ421" s="3229"/>
      <c r="AR421" s="3229"/>
      <c r="AS421" s="3229"/>
      <c r="AT421" s="3249"/>
      <c r="AU421" s="3250"/>
      <c r="AV421" s="475">
        <f t="shared" si="269"/>
        <v>0</v>
      </c>
      <c r="AW421" s="475">
        <f t="shared" si="270"/>
        <v>0</v>
      </c>
      <c r="AX421" s="475">
        <f t="shared" si="271"/>
        <v>0</v>
      </c>
      <c r="AY421" s="3266">
        <f t="shared" si="272"/>
        <v>0</v>
      </c>
      <c r="AZ421" s="3199">
        <f t="shared" si="273"/>
        <v>0</v>
      </c>
      <c r="BA421" s="3199">
        <f t="shared" si="274"/>
        <v>0</v>
      </c>
      <c r="BB421" s="3199">
        <f t="shared" si="275"/>
        <v>0</v>
      </c>
      <c r="BC421" s="3199">
        <f t="shared" si="276"/>
        <v>0</v>
      </c>
      <c r="BD421" s="3199">
        <f t="shared" si="277"/>
        <v>0</v>
      </c>
      <c r="BE421" s="3199">
        <f t="shared" si="278"/>
        <v>0</v>
      </c>
      <c r="BF421" s="3199">
        <f t="shared" si="279"/>
        <v>0</v>
      </c>
      <c r="BG421" s="3199">
        <f t="shared" si="280"/>
        <v>0</v>
      </c>
      <c r="BH421" s="3199">
        <f t="shared" si="281"/>
        <v>0</v>
      </c>
      <c r="BI421" s="3199">
        <f t="shared" si="282"/>
        <v>0</v>
      </c>
      <c r="BJ421" s="3199">
        <f t="shared" si="283"/>
        <v>0</v>
      </c>
      <c r="BK421" s="3199">
        <f t="shared" si="284"/>
        <v>0</v>
      </c>
      <c r="BL421" s="3199">
        <f t="shared" si="285"/>
        <v>0</v>
      </c>
      <c r="BM421" s="3199">
        <f t="shared" si="286"/>
        <v>0</v>
      </c>
      <c r="BN421" s="3199">
        <f t="shared" si="287"/>
        <v>0</v>
      </c>
      <c r="BO421" s="3199">
        <f t="shared" si="288"/>
        <v>0</v>
      </c>
      <c r="BP421" s="3199">
        <f t="shared" si="289"/>
        <v>0</v>
      </c>
      <c r="BQ421" s="3199">
        <f t="shared" si="290"/>
        <v>0</v>
      </c>
      <c r="BR421" s="3199">
        <f t="shared" si="291"/>
        <v>0</v>
      </c>
      <c r="BS421" s="3199">
        <f t="shared" si="292"/>
        <v>0</v>
      </c>
      <c r="BT421" s="3271">
        <f t="shared" si="293"/>
        <v>0</v>
      </c>
    </row>
    <row r="422" spans="1:72">
      <c r="A422" s="3197"/>
      <c r="B422" s="3205"/>
      <c r="C422" s="3204"/>
      <c r="D422" s="3193"/>
      <c r="E422" s="3199">
        <f t="shared" si="265"/>
        <v>0</v>
      </c>
      <c r="F422" s="3200"/>
      <c r="G422" s="3201">
        <f t="shared" si="266"/>
        <v>0</v>
      </c>
      <c r="H422" s="3202">
        <f t="shared" si="267"/>
        <v>0</v>
      </c>
      <c r="I422" s="3204"/>
      <c r="J422" s="3218"/>
      <c r="K422" s="3204"/>
      <c r="L422" s="3218"/>
      <c r="M422" s="3218"/>
      <c r="N422" s="3218"/>
      <c r="O422" s="3218"/>
      <c r="P422" s="3218"/>
      <c r="Q422" s="3218"/>
      <c r="R422" s="3218"/>
      <c r="S422" s="3218"/>
      <c r="T422" s="3218"/>
      <c r="U422" s="3218"/>
      <c r="V422" s="3218"/>
      <c r="W422" s="3218"/>
      <c r="X422" s="3218"/>
      <c r="Y422" s="3218"/>
      <c r="Z422" s="3218"/>
      <c r="AA422" s="3218"/>
      <c r="AB422" s="3218"/>
      <c r="AC422" s="3199">
        <f t="shared" si="268"/>
        <v>0</v>
      </c>
      <c r="AD422" s="3229"/>
      <c r="AE422" s="3229"/>
      <c r="AF422" s="3204"/>
      <c r="AG422" s="3229"/>
      <c r="AH422" s="3229"/>
      <c r="AI422" s="3229"/>
      <c r="AJ422" s="3229"/>
      <c r="AK422" s="3229"/>
      <c r="AL422" s="3229"/>
      <c r="AM422" s="3229"/>
      <c r="AN422" s="3229"/>
      <c r="AO422" s="3229"/>
      <c r="AP422" s="3229"/>
      <c r="AQ422" s="3229"/>
      <c r="AR422" s="3229"/>
      <c r="AS422" s="3229"/>
      <c r="AT422" s="3249"/>
      <c r="AU422" s="3250"/>
      <c r="AV422" s="475">
        <f t="shared" si="269"/>
        <v>0</v>
      </c>
      <c r="AW422" s="475">
        <f t="shared" si="270"/>
        <v>0</v>
      </c>
      <c r="AX422" s="475">
        <f t="shared" si="271"/>
        <v>0</v>
      </c>
      <c r="AY422" s="3266">
        <f t="shared" si="272"/>
        <v>0</v>
      </c>
      <c r="AZ422" s="3199">
        <f t="shared" si="273"/>
        <v>0</v>
      </c>
      <c r="BA422" s="3199">
        <f t="shared" si="274"/>
        <v>0</v>
      </c>
      <c r="BB422" s="3199">
        <f t="shared" si="275"/>
        <v>0</v>
      </c>
      <c r="BC422" s="3199">
        <f t="shared" si="276"/>
        <v>0</v>
      </c>
      <c r="BD422" s="3199">
        <f t="shared" si="277"/>
        <v>0</v>
      </c>
      <c r="BE422" s="3199">
        <f t="shared" si="278"/>
        <v>0</v>
      </c>
      <c r="BF422" s="3199">
        <f t="shared" si="279"/>
        <v>0</v>
      </c>
      <c r="BG422" s="3199">
        <f t="shared" si="280"/>
        <v>0</v>
      </c>
      <c r="BH422" s="3199">
        <f t="shared" si="281"/>
        <v>0</v>
      </c>
      <c r="BI422" s="3199">
        <f t="shared" si="282"/>
        <v>0</v>
      </c>
      <c r="BJ422" s="3199">
        <f t="shared" si="283"/>
        <v>0</v>
      </c>
      <c r="BK422" s="3199">
        <f t="shared" si="284"/>
        <v>0</v>
      </c>
      <c r="BL422" s="3199">
        <f t="shared" si="285"/>
        <v>0</v>
      </c>
      <c r="BM422" s="3199">
        <f t="shared" si="286"/>
        <v>0</v>
      </c>
      <c r="BN422" s="3199">
        <f t="shared" si="287"/>
        <v>0</v>
      </c>
      <c r="BO422" s="3199">
        <f t="shared" si="288"/>
        <v>0</v>
      </c>
      <c r="BP422" s="3199">
        <f t="shared" si="289"/>
        <v>0</v>
      </c>
      <c r="BQ422" s="3199">
        <f t="shared" si="290"/>
        <v>0</v>
      </c>
      <c r="BR422" s="3199">
        <f t="shared" si="291"/>
        <v>0</v>
      </c>
      <c r="BS422" s="3199">
        <f t="shared" si="292"/>
        <v>0</v>
      </c>
      <c r="BT422" s="3271">
        <f t="shared" si="293"/>
        <v>0</v>
      </c>
    </row>
    <row r="423" spans="1:72">
      <c r="A423" s="3197"/>
      <c r="B423" s="3206"/>
      <c r="C423" s="3207"/>
      <c r="D423" s="3193"/>
      <c r="E423" s="3199">
        <f t="shared" si="265"/>
        <v>0</v>
      </c>
      <c r="F423" s="3200"/>
      <c r="G423" s="3201">
        <f t="shared" si="266"/>
        <v>0</v>
      </c>
      <c r="H423" s="3202">
        <f t="shared" si="267"/>
        <v>0</v>
      </c>
      <c r="I423" s="3204"/>
      <c r="J423" s="3218"/>
      <c r="K423" s="3204"/>
      <c r="L423" s="3218"/>
      <c r="M423" s="3204"/>
      <c r="N423" s="3218"/>
      <c r="O423" s="3218"/>
      <c r="P423" s="3218"/>
      <c r="Q423" s="3218"/>
      <c r="R423" s="3218"/>
      <c r="S423" s="3218"/>
      <c r="T423" s="3218"/>
      <c r="U423" s="3218"/>
      <c r="V423" s="3218"/>
      <c r="W423" s="3218"/>
      <c r="X423" s="3218"/>
      <c r="Y423" s="3218"/>
      <c r="Z423" s="3218"/>
      <c r="AA423" s="3218"/>
      <c r="AB423" s="3218"/>
      <c r="AC423" s="3199">
        <f t="shared" si="268"/>
        <v>0</v>
      </c>
      <c r="AD423" s="3229"/>
      <c r="AE423" s="3229"/>
      <c r="AF423" s="3204"/>
      <c r="AG423" s="3229"/>
      <c r="AH423" s="3229"/>
      <c r="AI423" s="3229"/>
      <c r="AJ423" s="3229"/>
      <c r="AK423" s="3229"/>
      <c r="AL423" s="3229"/>
      <c r="AM423" s="3229"/>
      <c r="AN423" s="3229"/>
      <c r="AO423" s="3229"/>
      <c r="AP423" s="3229"/>
      <c r="AQ423" s="3229"/>
      <c r="AR423" s="3229"/>
      <c r="AS423" s="3229"/>
      <c r="AT423" s="3249"/>
      <c r="AU423" s="3250"/>
      <c r="AV423" s="475">
        <f t="shared" si="269"/>
        <v>0</v>
      </c>
      <c r="AW423" s="475">
        <f t="shared" si="270"/>
        <v>0</v>
      </c>
      <c r="AX423" s="475">
        <f t="shared" si="271"/>
        <v>0</v>
      </c>
      <c r="AY423" s="3266">
        <f t="shared" si="272"/>
        <v>0</v>
      </c>
      <c r="AZ423" s="3199">
        <f t="shared" si="273"/>
        <v>0</v>
      </c>
      <c r="BA423" s="3199">
        <f t="shared" si="274"/>
        <v>0</v>
      </c>
      <c r="BB423" s="3199">
        <f t="shared" si="275"/>
        <v>0</v>
      </c>
      <c r="BC423" s="3199">
        <f t="shared" si="276"/>
        <v>0</v>
      </c>
      <c r="BD423" s="3199">
        <f t="shared" si="277"/>
        <v>0</v>
      </c>
      <c r="BE423" s="3199">
        <f t="shared" si="278"/>
        <v>0</v>
      </c>
      <c r="BF423" s="3199">
        <f t="shared" si="279"/>
        <v>0</v>
      </c>
      <c r="BG423" s="3199">
        <f t="shared" si="280"/>
        <v>0</v>
      </c>
      <c r="BH423" s="3199">
        <f t="shared" si="281"/>
        <v>0</v>
      </c>
      <c r="BI423" s="3199">
        <f t="shared" si="282"/>
        <v>0</v>
      </c>
      <c r="BJ423" s="3199">
        <f t="shared" si="283"/>
        <v>0</v>
      </c>
      <c r="BK423" s="3199">
        <f t="shared" si="284"/>
        <v>0</v>
      </c>
      <c r="BL423" s="3199">
        <f t="shared" si="285"/>
        <v>0</v>
      </c>
      <c r="BM423" s="3199">
        <f t="shared" si="286"/>
        <v>0</v>
      </c>
      <c r="BN423" s="3199">
        <f t="shared" si="287"/>
        <v>0</v>
      </c>
      <c r="BO423" s="3199">
        <f t="shared" si="288"/>
        <v>0</v>
      </c>
      <c r="BP423" s="3199">
        <f t="shared" si="289"/>
        <v>0</v>
      </c>
      <c r="BQ423" s="3199">
        <f t="shared" si="290"/>
        <v>0</v>
      </c>
      <c r="BR423" s="3199">
        <f t="shared" si="291"/>
        <v>0</v>
      </c>
      <c r="BS423" s="3199">
        <f t="shared" si="292"/>
        <v>0</v>
      </c>
      <c r="BT423" s="3271">
        <f t="shared" si="293"/>
        <v>0</v>
      </c>
    </row>
    <row r="424" spans="1:72">
      <c r="A424" s="3197"/>
      <c r="B424" s="3198"/>
      <c r="C424" s="3198"/>
      <c r="D424" s="3193"/>
      <c r="E424" s="3199">
        <f t="shared" si="265"/>
        <v>0</v>
      </c>
      <c r="F424" s="3200"/>
      <c r="G424" s="3201">
        <f t="shared" si="266"/>
        <v>0</v>
      </c>
      <c r="H424" s="3202">
        <f t="shared" si="267"/>
        <v>0</v>
      </c>
      <c r="I424" s="3218"/>
      <c r="J424" s="3218"/>
      <c r="K424" s="3218"/>
      <c r="L424" s="3218"/>
      <c r="M424" s="3218"/>
      <c r="N424" s="3218"/>
      <c r="O424" s="3218"/>
      <c r="P424" s="3218"/>
      <c r="Q424" s="3218"/>
      <c r="R424" s="3218"/>
      <c r="S424" s="3218"/>
      <c r="T424" s="3218"/>
      <c r="U424" s="3218"/>
      <c r="V424" s="3218"/>
      <c r="W424" s="3218"/>
      <c r="X424" s="3218"/>
      <c r="Y424" s="3218"/>
      <c r="Z424" s="3218"/>
      <c r="AA424" s="3218"/>
      <c r="AB424" s="3218"/>
      <c r="AC424" s="3199">
        <f t="shared" si="268"/>
        <v>0</v>
      </c>
      <c r="AD424" s="3229"/>
      <c r="AE424" s="3229"/>
      <c r="AF424" s="3229"/>
      <c r="AG424" s="3229"/>
      <c r="AH424" s="3229"/>
      <c r="AI424" s="3229"/>
      <c r="AJ424" s="3229"/>
      <c r="AK424" s="3229"/>
      <c r="AL424" s="3229"/>
      <c r="AM424" s="3229"/>
      <c r="AN424" s="3229"/>
      <c r="AO424" s="3229"/>
      <c r="AP424" s="3229"/>
      <c r="AQ424" s="3229"/>
      <c r="AR424" s="3229"/>
      <c r="AS424" s="3229"/>
      <c r="AT424" s="3249"/>
      <c r="AU424" s="3250"/>
      <c r="AV424" s="475">
        <f t="shared" si="269"/>
        <v>0</v>
      </c>
      <c r="AW424" s="475">
        <f t="shared" si="270"/>
        <v>0</v>
      </c>
      <c r="AX424" s="475">
        <f t="shared" si="271"/>
        <v>0</v>
      </c>
      <c r="AY424" s="3266">
        <f t="shared" si="272"/>
        <v>0</v>
      </c>
      <c r="AZ424" s="3199">
        <f t="shared" si="273"/>
        <v>0</v>
      </c>
      <c r="BA424" s="3199">
        <f t="shared" si="274"/>
        <v>0</v>
      </c>
      <c r="BB424" s="3199">
        <f t="shared" si="275"/>
        <v>0</v>
      </c>
      <c r="BC424" s="3199">
        <f t="shared" si="276"/>
        <v>0</v>
      </c>
      <c r="BD424" s="3199">
        <f t="shared" si="277"/>
        <v>0</v>
      </c>
      <c r="BE424" s="3199">
        <f t="shared" si="278"/>
        <v>0</v>
      </c>
      <c r="BF424" s="3199">
        <f t="shared" si="279"/>
        <v>0</v>
      </c>
      <c r="BG424" s="3199">
        <f t="shared" si="280"/>
        <v>0</v>
      </c>
      <c r="BH424" s="3199">
        <f t="shared" si="281"/>
        <v>0</v>
      </c>
      <c r="BI424" s="3199">
        <f t="shared" si="282"/>
        <v>0</v>
      </c>
      <c r="BJ424" s="3199">
        <f t="shared" si="283"/>
        <v>0</v>
      </c>
      <c r="BK424" s="3199">
        <f t="shared" si="284"/>
        <v>0</v>
      </c>
      <c r="BL424" s="3199">
        <f t="shared" si="285"/>
        <v>0</v>
      </c>
      <c r="BM424" s="3199">
        <f t="shared" si="286"/>
        <v>0</v>
      </c>
      <c r="BN424" s="3199">
        <f t="shared" si="287"/>
        <v>0</v>
      </c>
      <c r="BO424" s="3199">
        <f t="shared" si="288"/>
        <v>0</v>
      </c>
      <c r="BP424" s="3199">
        <f t="shared" si="289"/>
        <v>0</v>
      </c>
      <c r="BQ424" s="3199">
        <f t="shared" si="290"/>
        <v>0</v>
      </c>
      <c r="BR424" s="3199">
        <f t="shared" si="291"/>
        <v>0</v>
      </c>
      <c r="BS424" s="3199">
        <f t="shared" si="292"/>
        <v>0</v>
      </c>
      <c r="BT424" s="3271">
        <f t="shared" si="293"/>
        <v>0</v>
      </c>
    </row>
    <row r="425" spans="1:72">
      <c r="A425" s="3197"/>
      <c r="B425" s="3198"/>
      <c r="C425" s="3198"/>
      <c r="D425" s="3193"/>
      <c r="E425" s="3199">
        <f t="shared" si="265"/>
        <v>0</v>
      </c>
      <c r="F425" s="3200"/>
      <c r="G425" s="3201">
        <f t="shared" si="266"/>
        <v>0</v>
      </c>
      <c r="H425" s="3202">
        <f t="shared" si="267"/>
        <v>0</v>
      </c>
      <c r="I425" s="3218"/>
      <c r="J425" s="3218"/>
      <c r="K425" s="3218"/>
      <c r="L425" s="3218"/>
      <c r="M425" s="3218"/>
      <c r="N425" s="3218"/>
      <c r="O425" s="3218"/>
      <c r="P425" s="3218"/>
      <c r="Q425" s="3218"/>
      <c r="R425" s="3218"/>
      <c r="S425" s="3218"/>
      <c r="T425" s="3218"/>
      <c r="U425" s="3218"/>
      <c r="V425" s="3218"/>
      <c r="W425" s="3218"/>
      <c r="X425" s="3218"/>
      <c r="Y425" s="3218"/>
      <c r="Z425" s="3218"/>
      <c r="AA425" s="3218"/>
      <c r="AB425" s="3218"/>
      <c r="AC425" s="3199">
        <f t="shared" si="268"/>
        <v>0</v>
      </c>
      <c r="AD425" s="3229"/>
      <c r="AE425" s="3229"/>
      <c r="AF425" s="3229"/>
      <c r="AG425" s="3229"/>
      <c r="AH425" s="3229"/>
      <c r="AI425" s="3229"/>
      <c r="AJ425" s="3229"/>
      <c r="AK425" s="3229"/>
      <c r="AL425" s="3229"/>
      <c r="AM425" s="3229"/>
      <c r="AN425" s="3229"/>
      <c r="AO425" s="3229"/>
      <c r="AP425" s="3229"/>
      <c r="AQ425" s="3229"/>
      <c r="AR425" s="3229"/>
      <c r="AS425" s="3229"/>
      <c r="AT425" s="3249"/>
      <c r="AU425" s="3250"/>
      <c r="AV425" s="475">
        <f t="shared" si="269"/>
        <v>0</v>
      </c>
      <c r="AW425" s="475">
        <f t="shared" si="270"/>
        <v>0</v>
      </c>
      <c r="AX425" s="475">
        <f t="shared" si="271"/>
        <v>0</v>
      </c>
      <c r="AY425" s="3266">
        <f t="shared" si="272"/>
        <v>0</v>
      </c>
      <c r="AZ425" s="3199">
        <f t="shared" si="273"/>
        <v>0</v>
      </c>
      <c r="BA425" s="3199">
        <f t="shared" si="274"/>
        <v>0</v>
      </c>
      <c r="BB425" s="3199">
        <f t="shared" si="275"/>
        <v>0</v>
      </c>
      <c r="BC425" s="3199">
        <f t="shared" si="276"/>
        <v>0</v>
      </c>
      <c r="BD425" s="3199">
        <f t="shared" si="277"/>
        <v>0</v>
      </c>
      <c r="BE425" s="3199">
        <f t="shared" si="278"/>
        <v>0</v>
      </c>
      <c r="BF425" s="3199">
        <f t="shared" si="279"/>
        <v>0</v>
      </c>
      <c r="BG425" s="3199">
        <f t="shared" si="280"/>
        <v>0</v>
      </c>
      <c r="BH425" s="3199">
        <f t="shared" si="281"/>
        <v>0</v>
      </c>
      <c r="BI425" s="3199">
        <f t="shared" si="282"/>
        <v>0</v>
      </c>
      <c r="BJ425" s="3199">
        <f t="shared" si="283"/>
        <v>0</v>
      </c>
      <c r="BK425" s="3199">
        <f t="shared" si="284"/>
        <v>0</v>
      </c>
      <c r="BL425" s="3199">
        <f t="shared" si="285"/>
        <v>0</v>
      </c>
      <c r="BM425" s="3199">
        <f t="shared" si="286"/>
        <v>0</v>
      </c>
      <c r="BN425" s="3199">
        <f t="shared" si="287"/>
        <v>0</v>
      </c>
      <c r="BO425" s="3199">
        <f t="shared" si="288"/>
        <v>0</v>
      </c>
      <c r="BP425" s="3199">
        <f t="shared" si="289"/>
        <v>0</v>
      </c>
      <c r="BQ425" s="3199">
        <f t="shared" si="290"/>
        <v>0</v>
      </c>
      <c r="BR425" s="3199">
        <f t="shared" si="291"/>
        <v>0</v>
      </c>
      <c r="BS425" s="3199">
        <f t="shared" si="292"/>
        <v>0</v>
      </c>
      <c r="BT425" s="3271">
        <f t="shared" si="293"/>
        <v>0</v>
      </c>
    </row>
    <row r="426" spans="1:72">
      <c r="A426" s="3197"/>
      <c r="B426" s="3198"/>
      <c r="C426" s="3198"/>
      <c r="D426" s="3193"/>
      <c r="E426" s="3199">
        <f t="shared" si="265"/>
        <v>0</v>
      </c>
      <c r="F426" s="3200"/>
      <c r="G426" s="3201">
        <f t="shared" si="266"/>
        <v>0</v>
      </c>
      <c r="H426" s="3202">
        <f t="shared" si="267"/>
        <v>0</v>
      </c>
      <c r="I426" s="3218"/>
      <c r="J426" s="3218"/>
      <c r="K426" s="3218"/>
      <c r="L426" s="3218"/>
      <c r="M426" s="3218"/>
      <c r="N426" s="3218"/>
      <c r="O426" s="3218"/>
      <c r="P426" s="3218"/>
      <c r="Q426" s="3218"/>
      <c r="R426" s="3218"/>
      <c r="S426" s="3218"/>
      <c r="T426" s="3218"/>
      <c r="U426" s="3218"/>
      <c r="V426" s="3218"/>
      <c r="W426" s="3218"/>
      <c r="X426" s="3218"/>
      <c r="Y426" s="3218"/>
      <c r="Z426" s="3218"/>
      <c r="AA426" s="3218"/>
      <c r="AB426" s="3218"/>
      <c r="AC426" s="3199">
        <f t="shared" si="268"/>
        <v>0</v>
      </c>
      <c r="AD426" s="3229"/>
      <c r="AE426" s="3229"/>
      <c r="AF426" s="3229"/>
      <c r="AG426" s="3229"/>
      <c r="AH426" s="3229"/>
      <c r="AI426" s="3229"/>
      <c r="AJ426" s="3229"/>
      <c r="AK426" s="3229"/>
      <c r="AL426" s="3229"/>
      <c r="AM426" s="3229"/>
      <c r="AN426" s="3229"/>
      <c r="AO426" s="3229"/>
      <c r="AP426" s="3229"/>
      <c r="AQ426" s="3229"/>
      <c r="AR426" s="3229"/>
      <c r="AS426" s="3229"/>
      <c r="AT426" s="3249"/>
      <c r="AU426" s="3250"/>
      <c r="AV426" s="475">
        <f t="shared" si="269"/>
        <v>0</v>
      </c>
      <c r="AW426" s="475">
        <f t="shared" si="270"/>
        <v>0</v>
      </c>
      <c r="AX426" s="475">
        <f t="shared" si="271"/>
        <v>0</v>
      </c>
      <c r="AY426" s="3266">
        <f t="shared" si="272"/>
        <v>0</v>
      </c>
      <c r="AZ426" s="3199">
        <f t="shared" si="273"/>
        <v>0</v>
      </c>
      <c r="BA426" s="3199">
        <f t="shared" si="274"/>
        <v>0</v>
      </c>
      <c r="BB426" s="3199">
        <f t="shared" si="275"/>
        <v>0</v>
      </c>
      <c r="BC426" s="3199">
        <f t="shared" si="276"/>
        <v>0</v>
      </c>
      <c r="BD426" s="3199">
        <f t="shared" si="277"/>
        <v>0</v>
      </c>
      <c r="BE426" s="3199">
        <f t="shared" si="278"/>
        <v>0</v>
      </c>
      <c r="BF426" s="3199">
        <f t="shared" si="279"/>
        <v>0</v>
      </c>
      <c r="BG426" s="3199">
        <f t="shared" si="280"/>
        <v>0</v>
      </c>
      <c r="BH426" s="3199">
        <f t="shared" si="281"/>
        <v>0</v>
      </c>
      <c r="BI426" s="3199">
        <f t="shared" si="282"/>
        <v>0</v>
      </c>
      <c r="BJ426" s="3199">
        <f t="shared" si="283"/>
        <v>0</v>
      </c>
      <c r="BK426" s="3199">
        <f t="shared" si="284"/>
        <v>0</v>
      </c>
      <c r="BL426" s="3199">
        <f t="shared" si="285"/>
        <v>0</v>
      </c>
      <c r="BM426" s="3199">
        <f t="shared" si="286"/>
        <v>0</v>
      </c>
      <c r="BN426" s="3199">
        <f t="shared" si="287"/>
        <v>0</v>
      </c>
      <c r="BO426" s="3199">
        <f t="shared" si="288"/>
        <v>0</v>
      </c>
      <c r="BP426" s="3199">
        <f t="shared" si="289"/>
        <v>0</v>
      </c>
      <c r="BQ426" s="3199">
        <f t="shared" si="290"/>
        <v>0</v>
      </c>
      <c r="BR426" s="3199">
        <f t="shared" si="291"/>
        <v>0</v>
      </c>
      <c r="BS426" s="3199">
        <f t="shared" si="292"/>
        <v>0</v>
      </c>
      <c r="BT426" s="3271">
        <f t="shared" si="293"/>
        <v>0</v>
      </c>
    </row>
    <row r="427" spans="1:72">
      <c r="A427" s="3197"/>
      <c r="B427" s="3198"/>
      <c r="C427" s="3198"/>
      <c r="D427" s="3193"/>
      <c r="E427" s="3199">
        <f t="shared" si="265"/>
        <v>0</v>
      </c>
      <c r="F427" s="3200"/>
      <c r="G427" s="3201">
        <f t="shared" si="266"/>
        <v>0</v>
      </c>
      <c r="H427" s="3202">
        <f t="shared" si="267"/>
        <v>0</v>
      </c>
      <c r="I427" s="3218"/>
      <c r="J427" s="3218"/>
      <c r="K427" s="3218"/>
      <c r="L427" s="3218"/>
      <c r="M427" s="3218"/>
      <c r="N427" s="3218"/>
      <c r="O427" s="3218"/>
      <c r="P427" s="3218"/>
      <c r="Q427" s="3218"/>
      <c r="R427" s="3218"/>
      <c r="S427" s="3218"/>
      <c r="T427" s="3218"/>
      <c r="U427" s="3218"/>
      <c r="V427" s="3218"/>
      <c r="W427" s="3218"/>
      <c r="X427" s="3218"/>
      <c r="Y427" s="3218"/>
      <c r="Z427" s="3218"/>
      <c r="AA427" s="3218"/>
      <c r="AB427" s="3218"/>
      <c r="AC427" s="3199">
        <f t="shared" si="268"/>
        <v>0</v>
      </c>
      <c r="AD427" s="3229"/>
      <c r="AE427" s="3229"/>
      <c r="AF427" s="3229"/>
      <c r="AG427" s="3229"/>
      <c r="AH427" s="3229"/>
      <c r="AI427" s="3229"/>
      <c r="AJ427" s="3229"/>
      <c r="AK427" s="3229"/>
      <c r="AL427" s="3229"/>
      <c r="AM427" s="3229"/>
      <c r="AN427" s="3229"/>
      <c r="AO427" s="3229"/>
      <c r="AP427" s="3229"/>
      <c r="AQ427" s="3229"/>
      <c r="AR427" s="3229"/>
      <c r="AS427" s="3229"/>
      <c r="AT427" s="3249"/>
      <c r="AU427" s="3250"/>
      <c r="AV427" s="475">
        <f t="shared" si="269"/>
        <v>0</v>
      </c>
      <c r="AW427" s="475">
        <f t="shared" si="270"/>
        <v>0</v>
      </c>
      <c r="AX427" s="475">
        <f t="shared" si="271"/>
        <v>0</v>
      </c>
      <c r="AY427" s="3266">
        <f t="shared" si="272"/>
        <v>0</v>
      </c>
      <c r="AZ427" s="3199">
        <f t="shared" si="273"/>
        <v>0</v>
      </c>
      <c r="BA427" s="3199">
        <f t="shared" si="274"/>
        <v>0</v>
      </c>
      <c r="BB427" s="3199">
        <f t="shared" si="275"/>
        <v>0</v>
      </c>
      <c r="BC427" s="3199">
        <f t="shared" si="276"/>
        <v>0</v>
      </c>
      <c r="BD427" s="3199">
        <f t="shared" si="277"/>
        <v>0</v>
      </c>
      <c r="BE427" s="3199">
        <f t="shared" si="278"/>
        <v>0</v>
      </c>
      <c r="BF427" s="3199">
        <f t="shared" si="279"/>
        <v>0</v>
      </c>
      <c r="BG427" s="3199">
        <f t="shared" si="280"/>
        <v>0</v>
      </c>
      <c r="BH427" s="3199">
        <f t="shared" si="281"/>
        <v>0</v>
      </c>
      <c r="BI427" s="3199">
        <f t="shared" si="282"/>
        <v>0</v>
      </c>
      <c r="BJ427" s="3199">
        <f t="shared" si="283"/>
        <v>0</v>
      </c>
      <c r="BK427" s="3199">
        <f t="shared" si="284"/>
        <v>0</v>
      </c>
      <c r="BL427" s="3199">
        <f t="shared" si="285"/>
        <v>0</v>
      </c>
      <c r="BM427" s="3199">
        <f t="shared" si="286"/>
        <v>0</v>
      </c>
      <c r="BN427" s="3199">
        <f t="shared" si="287"/>
        <v>0</v>
      </c>
      <c r="BO427" s="3199">
        <f t="shared" si="288"/>
        <v>0</v>
      </c>
      <c r="BP427" s="3199">
        <f t="shared" si="289"/>
        <v>0</v>
      </c>
      <c r="BQ427" s="3199">
        <f t="shared" si="290"/>
        <v>0</v>
      </c>
      <c r="BR427" s="3199">
        <f t="shared" si="291"/>
        <v>0</v>
      </c>
      <c r="BS427" s="3199">
        <f t="shared" si="292"/>
        <v>0</v>
      </c>
      <c r="BT427" s="3271">
        <f t="shared" si="293"/>
        <v>0</v>
      </c>
    </row>
    <row r="428" spans="1:72">
      <c r="A428" s="3197"/>
      <c r="B428" s="3198"/>
      <c r="C428" s="3198"/>
      <c r="D428" s="3193"/>
      <c r="E428" s="3199">
        <f t="shared" si="265"/>
        <v>0</v>
      </c>
      <c r="F428" s="3200"/>
      <c r="G428" s="3201">
        <f t="shared" si="266"/>
        <v>0</v>
      </c>
      <c r="H428" s="3202">
        <f t="shared" si="267"/>
        <v>0</v>
      </c>
      <c r="I428" s="3218"/>
      <c r="J428" s="3218"/>
      <c r="K428" s="3218"/>
      <c r="L428" s="3218"/>
      <c r="M428" s="3218"/>
      <c r="N428" s="3218"/>
      <c r="O428" s="3218"/>
      <c r="P428" s="3218"/>
      <c r="Q428" s="3218"/>
      <c r="R428" s="3218"/>
      <c r="S428" s="3218"/>
      <c r="T428" s="3218"/>
      <c r="U428" s="3218"/>
      <c r="V428" s="3218"/>
      <c r="W428" s="3218"/>
      <c r="X428" s="3218"/>
      <c r="Y428" s="3218"/>
      <c r="Z428" s="3218"/>
      <c r="AA428" s="3218"/>
      <c r="AB428" s="3218"/>
      <c r="AC428" s="3199">
        <f t="shared" si="268"/>
        <v>0</v>
      </c>
      <c r="AD428" s="3229"/>
      <c r="AE428" s="3229"/>
      <c r="AF428" s="3229"/>
      <c r="AG428" s="3229"/>
      <c r="AH428" s="3229"/>
      <c r="AI428" s="3229"/>
      <c r="AJ428" s="3229"/>
      <c r="AK428" s="3229"/>
      <c r="AL428" s="3229"/>
      <c r="AM428" s="3229"/>
      <c r="AN428" s="3229"/>
      <c r="AO428" s="3229"/>
      <c r="AP428" s="3229"/>
      <c r="AQ428" s="3229"/>
      <c r="AR428" s="3229"/>
      <c r="AS428" s="3229"/>
      <c r="AT428" s="3249"/>
      <c r="AU428" s="3250"/>
      <c r="AV428" s="475">
        <f t="shared" si="269"/>
        <v>0</v>
      </c>
      <c r="AW428" s="475">
        <f t="shared" si="270"/>
        <v>0</v>
      </c>
      <c r="AX428" s="475">
        <f t="shared" si="271"/>
        <v>0</v>
      </c>
      <c r="AY428" s="3266">
        <f t="shared" si="272"/>
        <v>0</v>
      </c>
      <c r="AZ428" s="3199">
        <f t="shared" si="273"/>
        <v>0</v>
      </c>
      <c r="BA428" s="3199">
        <f t="shared" si="274"/>
        <v>0</v>
      </c>
      <c r="BB428" s="3199">
        <f t="shared" si="275"/>
        <v>0</v>
      </c>
      <c r="BC428" s="3199">
        <f t="shared" si="276"/>
        <v>0</v>
      </c>
      <c r="BD428" s="3199">
        <f t="shared" si="277"/>
        <v>0</v>
      </c>
      <c r="BE428" s="3199">
        <f t="shared" si="278"/>
        <v>0</v>
      </c>
      <c r="BF428" s="3199">
        <f t="shared" si="279"/>
        <v>0</v>
      </c>
      <c r="BG428" s="3199">
        <f t="shared" si="280"/>
        <v>0</v>
      </c>
      <c r="BH428" s="3199">
        <f t="shared" si="281"/>
        <v>0</v>
      </c>
      <c r="BI428" s="3199">
        <f t="shared" si="282"/>
        <v>0</v>
      </c>
      <c r="BJ428" s="3199">
        <f t="shared" si="283"/>
        <v>0</v>
      </c>
      <c r="BK428" s="3199">
        <f t="shared" si="284"/>
        <v>0</v>
      </c>
      <c r="BL428" s="3199">
        <f t="shared" si="285"/>
        <v>0</v>
      </c>
      <c r="BM428" s="3199">
        <f t="shared" si="286"/>
        <v>0</v>
      </c>
      <c r="BN428" s="3199">
        <f t="shared" si="287"/>
        <v>0</v>
      </c>
      <c r="BO428" s="3199">
        <f t="shared" si="288"/>
        <v>0</v>
      </c>
      <c r="BP428" s="3199">
        <f t="shared" si="289"/>
        <v>0</v>
      </c>
      <c r="BQ428" s="3199">
        <f t="shared" si="290"/>
        <v>0</v>
      </c>
      <c r="BR428" s="3199">
        <f t="shared" si="291"/>
        <v>0</v>
      </c>
      <c r="BS428" s="3199">
        <f t="shared" si="292"/>
        <v>0</v>
      </c>
      <c r="BT428" s="3271">
        <f t="shared" si="293"/>
        <v>0</v>
      </c>
    </row>
    <row r="429" spans="1:72">
      <c r="A429" s="3197"/>
      <c r="B429" s="3198"/>
      <c r="C429" s="3198"/>
      <c r="D429" s="3193"/>
      <c r="E429" s="3199">
        <f t="shared" si="265"/>
        <v>0</v>
      </c>
      <c r="F429" s="3200"/>
      <c r="G429" s="3201">
        <f t="shared" si="266"/>
        <v>0</v>
      </c>
      <c r="H429" s="3202">
        <f t="shared" si="267"/>
        <v>0</v>
      </c>
      <c r="I429" s="3218"/>
      <c r="J429" s="3218"/>
      <c r="K429" s="3218"/>
      <c r="L429" s="3218"/>
      <c r="M429" s="3218"/>
      <c r="N429" s="3218"/>
      <c r="O429" s="3218"/>
      <c r="P429" s="3218"/>
      <c r="Q429" s="3218"/>
      <c r="R429" s="3218"/>
      <c r="S429" s="3218"/>
      <c r="T429" s="3218"/>
      <c r="U429" s="3218"/>
      <c r="V429" s="3218"/>
      <c r="W429" s="3218"/>
      <c r="X429" s="3218"/>
      <c r="Y429" s="3218"/>
      <c r="Z429" s="3218"/>
      <c r="AA429" s="3218"/>
      <c r="AB429" s="3218"/>
      <c r="AC429" s="3199">
        <f t="shared" si="268"/>
        <v>0</v>
      </c>
      <c r="AD429" s="3229"/>
      <c r="AE429" s="3229"/>
      <c r="AF429" s="3229"/>
      <c r="AG429" s="3229"/>
      <c r="AH429" s="3229"/>
      <c r="AI429" s="3229"/>
      <c r="AJ429" s="3229"/>
      <c r="AK429" s="3229"/>
      <c r="AL429" s="3229"/>
      <c r="AM429" s="3229"/>
      <c r="AN429" s="3229"/>
      <c r="AO429" s="3229"/>
      <c r="AP429" s="3229"/>
      <c r="AQ429" s="3229"/>
      <c r="AR429" s="3229"/>
      <c r="AS429" s="3229"/>
      <c r="AT429" s="3249"/>
      <c r="AU429" s="3250"/>
      <c r="AV429" s="475">
        <f t="shared" si="269"/>
        <v>0</v>
      </c>
      <c r="AW429" s="475">
        <f t="shared" si="270"/>
        <v>0</v>
      </c>
      <c r="AX429" s="475">
        <f t="shared" si="271"/>
        <v>0</v>
      </c>
      <c r="AY429" s="3266">
        <f t="shared" si="272"/>
        <v>0</v>
      </c>
      <c r="AZ429" s="3199">
        <f t="shared" si="273"/>
        <v>0</v>
      </c>
      <c r="BA429" s="3199">
        <f t="shared" si="274"/>
        <v>0</v>
      </c>
      <c r="BB429" s="3199">
        <f t="shared" si="275"/>
        <v>0</v>
      </c>
      <c r="BC429" s="3199">
        <f t="shared" si="276"/>
        <v>0</v>
      </c>
      <c r="BD429" s="3199">
        <f t="shared" si="277"/>
        <v>0</v>
      </c>
      <c r="BE429" s="3199">
        <f t="shared" si="278"/>
        <v>0</v>
      </c>
      <c r="BF429" s="3199">
        <f t="shared" si="279"/>
        <v>0</v>
      </c>
      <c r="BG429" s="3199">
        <f t="shared" si="280"/>
        <v>0</v>
      </c>
      <c r="BH429" s="3199">
        <f t="shared" si="281"/>
        <v>0</v>
      </c>
      <c r="BI429" s="3199">
        <f t="shared" si="282"/>
        <v>0</v>
      </c>
      <c r="BJ429" s="3199">
        <f t="shared" si="283"/>
        <v>0</v>
      </c>
      <c r="BK429" s="3199">
        <f t="shared" si="284"/>
        <v>0</v>
      </c>
      <c r="BL429" s="3199">
        <f t="shared" si="285"/>
        <v>0</v>
      </c>
      <c r="BM429" s="3199">
        <f t="shared" si="286"/>
        <v>0</v>
      </c>
      <c r="BN429" s="3199">
        <f t="shared" si="287"/>
        <v>0</v>
      </c>
      <c r="BO429" s="3199">
        <f t="shared" si="288"/>
        <v>0</v>
      </c>
      <c r="BP429" s="3199">
        <f t="shared" si="289"/>
        <v>0</v>
      </c>
      <c r="BQ429" s="3199">
        <f t="shared" si="290"/>
        <v>0</v>
      </c>
      <c r="BR429" s="3199">
        <f t="shared" si="291"/>
        <v>0</v>
      </c>
      <c r="BS429" s="3199">
        <f t="shared" si="292"/>
        <v>0</v>
      </c>
      <c r="BT429" s="3271">
        <f t="shared" si="293"/>
        <v>0</v>
      </c>
    </row>
    <row r="430" spans="1:72">
      <c r="A430" s="3197"/>
      <c r="B430" s="3198"/>
      <c r="C430" s="3198"/>
      <c r="D430" s="3193"/>
      <c r="E430" s="3199">
        <f t="shared" si="265"/>
        <v>0</v>
      </c>
      <c r="F430" s="3200"/>
      <c r="G430" s="3201">
        <f t="shared" si="266"/>
        <v>0</v>
      </c>
      <c r="H430" s="3202">
        <f t="shared" si="267"/>
        <v>0</v>
      </c>
      <c r="I430" s="3218"/>
      <c r="J430" s="3218"/>
      <c r="K430" s="3218"/>
      <c r="L430" s="3218"/>
      <c r="M430" s="3218"/>
      <c r="N430" s="3218"/>
      <c r="O430" s="3218"/>
      <c r="P430" s="3218"/>
      <c r="Q430" s="3218"/>
      <c r="R430" s="3218"/>
      <c r="S430" s="3218"/>
      <c r="T430" s="3218"/>
      <c r="U430" s="3218"/>
      <c r="V430" s="3218"/>
      <c r="W430" s="3218"/>
      <c r="X430" s="3218"/>
      <c r="Y430" s="3218"/>
      <c r="Z430" s="3218"/>
      <c r="AA430" s="3218"/>
      <c r="AB430" s="3218"/>
      <c r="AC430" s="3199">
        <f t="shared" si="268"/>
        <v>0</v>
      </c>
      <c r="AD430" s="3229"/>
      <c r="AE430" s="3229"/>
      <c r="AF430" s="3229"/>
      <c r="AG430" s="3229"/>
      <c r="AH430" s="3229"/>
      <c r="AI430" s="3229"/>
      <c r="AJ430" s="3229"/>
      <c r="AK430" s="3229"/>
      <c r="AL430" s="3229"/>
      <c r="AM430" s="3229"/>
      <c r="AN430" s="3229"/>
      <c r="AO430" s="3229"/>
      <c r="AP430" s="3229"/>
      <c r="AQ430" s="3229"/>
      <c r="AR430" s="3229"/>
      <c r="AS430" s="3229"/>
      <c r="AT430" s="3249"/>
      <c r="AU430" s="3250"/>
      <c r="AV430" s="475">
        <f t="shared" si="269"/>
        <v>0</v>
      </c>
      <c r="AW430" s="475">
        <f t="shared" si="270"/>
        <v>0</v>
      </c>
      <c r="AX430" s="475">
        <f t="shared" si="271"/>
        <v>0</v>
      </c>
      <c r="AY430" s="3266">
        <f t="shared" si="272"/>
        <v>0</v>
      </c>
      <c r="AZ430" s="3199">
        <f t="shared" si="273"/>
        <v>0</v>
      </c>
      <c r="BA430" s="3199">
        <f t="shared" si="274"/>
        <v>0</v>
      </c>
      <c r="BB430" s="3199">
        <f t="shared" si="275"/>
        <v>0</v>
      </c>
      <c r="BC430" s="3199">
        <f t="shared" si="276"/>
        <v>0</v>
      </c>
      <c r="BD430" s="3199">
        <f t="shared" si="277"/>
        <v>0</v>
      </c>
      <c r="BE430" s="3199">
        <f t="shared" si="278"/>
        <v>0</v>
      </c>
      <c r="BF430" s="3199">
        <f t="shared" si="279"/>
        <v>0</v>
      </c>
      <c r="BG430" s="3199">
        <f t="shared" si="280"/>
        <v>0</v>
      </c>
      <c r="BH430" s="3199">
        <f t="shared" si="281"/>
        <v>0</v>
      </c>
      <c r="BI430" s="3199">
        <f t="shared" si="282"/>
        <v>0</v>
      </c>
      <c r="BJ430" s="3199">
        <f t="shared" si="283"/>
        <v>0</v>
      </c>
      <c r="BK430" s="3199">
        <f t="shared" si="284"/>
        <v>0</v>
      </c>
      <c r="BL430" s="3199">
        <f t="shared" si="285"/>
        <v>0</v>
      </c>
      <c r="BM430" s="3199">
        <f t="shared" si="286"/>
        <v>0</v>
      </c>
      <c r="BN430" s="3199">
        <f t="shared" si="287"/>
        <v>0</v>
      </c>
      <c r="BO430" s="3199">
        <f t="shared" si="288"/>
        <v>0</v>
      </c>
      <c r="BP430" s="3199">
        <f t="shared" si="289"/>
        <v>0</v>
      </c>
      <c r="BQ430" s="3199">
        <f t="shared" si="290"/>
        <v>0</v>
      </c>
      <c r="BR430" s="3199">
        <f t="shared" si="291"/>
        <v>0</v>
      </c>
      <c r="BS430" s="3199">
        <f t="shared" si="292"/>
        <v>0</v>
      </c>
      <c r="BT430" s="3271">
        <f t="shared" si="293"/>
        <v>0</v>
      </c>
    </row>
    <row r="431" spans="1:72">
      <c r="A431" s="3197"/>
      <c r="B431" s="3198"/>
      <c r="C431" s="3198"/>
      <c r="D431" s="3193"/>
      <c r="E431" s="3199">
        <f t="shared" si="265"/>
        <v>0</v>
      </c>
      <c r="F431" s="3200"/>
      <c r="G431" s="3201">
        <f t="shared" si="266"/>
        <v>0</v>
      </c>
      <c r="H431" s="3202">
        <f t="shared" si="267"/>
        <v>0</v>
      </c>
      <c r="I431" s="3218"/>
      <c r="J431" s="3218"/>
      <c r="K431" s="3218"/>
      <c r="L431" s="3218"/>
      <c r="M431" s="3218"/>
      <c r="N431" s="3218"/>
      <c r="O431" s="3218"/>
      <c r="P431" s="3218"/>
      <c r="Q431" s="3218"/>
      <c r="R431" s="3218"/>
      <c r="S431" s="3218"/>
      <c r="T431" s="3218"/>
      <c r="U431" s="3218"/>
      <c r="V431" s="3218"/>
      <c r="W431" s="3218"/>
      <c r="X431" s="3218"/>
      <c r="Y431" s="3218"/>
      <c r="Z431" s="3218"/>
      <c r="AA431" s="3218"/>
      <c r="AB431" s="3218"/>
      <c r="AC431" s="3199">
        <f t="shared" si="268"/>
        <v>0</v>
      </c>
      <c r="AD431" s="3229"/>
      <c r="AE431" s="3229"/>
      <c r="AF431" s="3229"/>
      <c r="AG431" s="3229"/>
      <c r="AH431" s="3229"/>
      <c r="AI431" s="3229"/>
      <c r="AJ431" s="3229"/>
      <c r="AK431" s="3229"/>
      <c r="AL431" s="3229"/>
      <c r="AM431" s="3229"/>
      <c r="AN431" s="3229"/>
      <c r="AO431" s="3229"/>
      <c r="AP431" s="3229"/>
      <c r="AQ431" s="3229"/>
      <c r="AR431" s="3229"/>
      <c r="AS431" s="3229"/>
      <c r="AT431" s="3249"/>
      <c r="AU431" s="3250"/>
      <c r="AV431" s="475">
        <f t="shared" si="269"/>
        <v>0</v>
      </c>
      <c r="AW431" s="475">
        <f t="shared" si="270"/>
        <v>0</v>
      </c>
      <c r="AX431" s="475">
        <f t="shared" si="271"/>
        <v>0</v>
      </c>
      <c r="AY431" s="3266">
        <f t="shared" si="272"/>
        <v>0</v>
      </c>
      <c r="AZ431" s="3199">
        <f t="shared" si="273"/>
        <v>0</v>
      </c>
      <c r="BA431" s="3199">
        <f t="shared" si="274"/>
        <v>0</v>
      </c>
      <c r="BB431" s="3199">
        <f t="shared" si="275"/>
        <v>0</v>
      </c>
      <c r="BC431" s="3199">
        <f t="shared" si="276"/>
        <v>0</v>
      </c>
      <c r="BD431" s="3199">
        <f t="shared" si="277"/>
        <v>0</v>
      </c>
      <c r="BE431" s="3199">
        <f t="shared" si="278"/>
        <v>0</v>
      </c>
      <c r="BF431" s="3199">
        <f t="shared" si="279"/>
        <v>0</v>
      </c>
      <c r="BG431" s="3199">
        <f t="shared" si="280"/>
        <v>0</v>
      </c>
      <c r="BH431" s="3199">
        <f t="shared" si="281"/>
        <v>0</v>
      </c>
      <c r="BI431" s="3199">
        <f t="shared" si="282"/>
        <v>0</v>
      </c>
      <c r="BJ431" s="3199">
        <f t="shared" si="283"/>
        <v>0</v>
      </c>
      <c r="BK431" s="3199">
        <f t="shared" si="284"/>
        <v>0</v>
      </c>
      <c r="BL431" s="3199">
        <f t="shared" si="285"/>
        <v>0</v>
      </c>
      <c r="BM431" s="3199">
        <f t="shared" si="286"/>
        <v>0</v>
      </c>
      <c r="BN431" s="3199">
        <f t="shared" si="287"/>
        <v>0</v>
      </c>
      <c r="BO431" s="3199">
        <f t="shared" si="288"/>
        <v>0</v>
      </c>
      <c r="BP431" s="3199">
        <f t="shared" si="289"/>
        <v>0</v>
      </c>
      <c r="BQ431" s="3199">
        <f t="shared" si="290"/>
        <v>0</v>
      </c>
      <c r="BR431" s="3199">
        <f t="shared" si="291"/>
        <v>0</v>
      </c>
      <c r="BS431" s="3199">
        <f t="shared" si="292"/>
        <v>0</v>
      </c>
      <c r="BT431" s="3271">
        <f t="shared" si="293"/>
        <v>0</v>
      </c>
    </row>
    <row r="432" spans="1:72">
      <c r="A432" s="3197"/>
      <c r="B432" s="3198"/>
      <c r="C432" s="3198"/>
      <c r="D432" s="3193"/>
      <c r="E432" s="3199">
        <f t="shared" si="265"/>
        <v>0</v>
      </c>
      <c r="F432" s="3200"/>
      <c r="G432" s="3201">
        <f t="shared" si="266"/>
        <v>0</v>
      </c>
      <c r="H432" s="3202">
        <f t="shared" si="267"/>
        <v>0</v>
      </c>
      <c r="I432" s="3218"/>
      <c r="J432" s="3218"/>
      <c r="K432" s="3218"/>
      <c r="L432" s="3218"/>
      <c r="M432" s="3218"/>
      <c r="N432" s="3218"/>
      <c r="O432" s="3218"/>
      <c r="P432" s="3218"/>
      <c r="Q432" s="3218"/>
      <c r="R432" s="3218"/>
      <c r="S432" s="3218"/>
      <c r="T432" s="3218"/>
      <c r="U432" s="3218"/>
      <c r="V432" s="3218"/>
      <c r="W432" s="3218"/>
      <c r="X432" s="3218"/>
      <c r="Y432" s="3218"/>
      <c r="Z432" s="3218"/>
      <c r="AA432" s="3218"/>
      <c r="AB432" s="3218"/>
      <c r="AC432" s="3199">
        <f t="shared" si="268"/>
        <v>0</v>
      </c>
      <c r="AD432" s="3229"/>
      <c r="AE432" s="3229"/>
      <c r="AF432" s="3229"/>
      <c r="AG432" s="3229"/>
      <c r="AH432" s="3229"/>
      <c r="AI432" s="3229"/>
      <c r="AJ432" s="3229"/>
      <c r="AK432" s="3229"/>
      <c r="AL432" s="3229"/>
      <c r="AM432" s="3229"/>
      <c r="AN432" s="3229"/>
      <c r="AO432" s="3229"/>
      <c r="AP432" s="3229"/>
      <c r="AQ432" s="3229"/>
      <c r="AR432" s="3229"/>
      <c r="AS432" s="3229"/>
      <c r="AT432" s="3249"/>
      <c r="AU432" s="3250"/>
      <c r="AV432" s="475">
        <f t="shared" si="269"/>
        <v>0</v>
      </c>
      <c r="AW432" s="475">
        <f t="shared" si="270"/>
        <v>0</v>
      </c>
      <c r="AX432" s="475">
        <f t="shared" si="271"/>
        <v>0</v>
      </c>
      <c r="AY432" s="3266">
        <f t="shared" si="272"/>
        <v>0</v>
      </c>
      <c r="AZ432" s="3199">
        <f t="shared" si="273"/>
        <v>0</v>
      </c>
      <c r="BA432" s="3199">
        <f t="shared" si="274"/>
        <v>0</v>
      </c>
      <c r="BB432" s="3199">
        <f t="shared" si="275"/>
        <v>0</v>
      </c>
      <c r="BC432" s="3199">
        <f t="shared" si="276"/>
        <v>0</v>
      </c>
      <c r="BD432" s="3199">
        <f t="shared" si="277"/>
        <v>0</v>
      </c>
      <c r="BE432" s="3199">
        <f t="shared" si="278"/>
        <v>0</v>
      </c>
      <c r="BF432" s="3199">
        <f t="shared" si="279"/>
        <v>0</v>
      </c>
      <c r="BG432" s="3199">
        <f t="shared" si="280"/>
        <v>0</v>
      </c>
      <c r="BH432" s="3199">
        <f t="shared" si="281"/>
        <v>0</v>
      </c>
      <c r="BI432" s="3199">
        <f t="shared" si="282"/>
        <v>0</v>
      </c>
      <c r="BJ432" s="3199">
        <f t="shared" si="283"/>
        <v>0</v>
      </c>
      <c r="BK432" s="3199">
        <f t="shared" si="284"/>
        <v>0</v>
      </c>
      <c r="BL432" s="3199">
        <f t="shared" si="285"/>
        <v>0</v>
      </c>
      <c r="BM432" s="3199">
        <f t="shared" si="286"/>
        <v>0</v>
      </c>
      <c r="BN432" s="3199">
        <f t="shared" si="287"/>
        <v>0</v>
      </c>
      <c r="BO432" s="3199">
        <f t="shared" si="288"/>
        <v>0</v>
      </c>
      <c r="BP432" s="3199">
        <f t="shared" si="289"/>
        <v>0</v>
      </c>
      <c r="BQ432" s="3199">
        <f t="shared" si="290"/>
        <v>0</v>
      </c>
      <c r="BR432" s="3199">
        <f t="shared" si="291"/>
        <v>0</v>
      </c>
      <c r="BS432" s="3199">
        <f t="shared" si="292"/>
        <v>0</v>
      </c>
      <c r="BT432" s="3271">
        <f t="shared" si="293"/>
        <v>0</v>
      </c>
    </row>
    <row r="433" spans="1:72">
      <c r="A433" s="3197"/>
      <c r="B433" s="3198"/>
      <c r="C433" s="3198"/>
      <c r="D433" s="3193"/>
      <c r="E433" s="3199">
        <f t="shared" si="265"/>
        <v>0</v>
      </c>
      <c r="F433" s="3200"/>
      <c r="G433" s="3201">
        <f t="shared" si="266"/>
        <v>0</v>
      </c>
      <c r="H433" s="3202">
        <f t="shared" si="267"/>
        <v>0</v>
      </c>
      <c r="I433" s="3218"/>
      <c r="J433" s="3218"/>
      <c r="K433" s="3218"/>
      <c r="L433" s="3218"/>
      <c r="M433" s="3218"/>
      <c r="N433" s="3218"/>
      <c r="O433" s="3218"/>
      <c r="P433" s="3218"/>
      <c r="Q433" s="3218"/>
      <c r="R433" s="3218"/>
      <c r="S433" s="3218"/>
      <c r="T433" s="3218"/>
      <c r="U433" s="3218"/>
      <c r="V433" s="3218"/>
      <c r="W433" s="3218"/>
      <c r="X433" s="3218"/>
      <c r="Y433" s="3218"/>
      <c r="Z433" s="3218"/>
      <c r="AA433" s="3218"/>
      <c r="AB433" s="3218"/>
      <c r="AC433" s="3199">
        <f t="shared" si="268"/>
        <v>0</v>
      </c>
      <c r="AD433" s="3229"/>
      <c r="AE433" s="3229"/>
      <c r="AF433" s="3229"/>
      <c r="AG433" s="3229"/>
      <c r="AH433" s="3229"/>
      <c r="AI433" s="3229"/>
      <c r="AJ433" s="3229"/>
      <c r="AK433" s="3229"/>
      <c r="AL433" s="3229"/>
      <c r="AM433" s="3229"/>
      <c r="AN433" s="3229"/>
      <c r="AO433" s="3229"/>
      <c r="AP433" s="3229"/>
      <c r="AQ433" s="3229"/>
      <c r="AR433" s="3229"/>
      <c r="AS433" s="3229"/>
      <c r="AT433" s="3249"/>
      <c r="AU433" s="3250"/>
      <c r="AV433" s="475">
        <f t="shared" si="269"/>
        <v>0</v>
      </c>
      <c r="AW433" s="475">
        <f t="shared" si="270"/>
        <v>0</v>
      </c>
      <c r="AX433" s="475">
        <f t="shared" si="271"/>
        <v>0</v>
      </c>
      <c r="AY433" s="3266">
        <f t="shared" si="272"/>
        <v>0</v>
      </c>
      <c r="AZ433" s="3199">
        <f t="shared" si="273"/>
        <v>0</v>
      </c>
      <c r="BA433" s="3199">
        <f t="shared" si="274"/>
        <v>0</v>
      </c>
      <c r="BB433" s="3199">
        <f t="shared" si="275"/>
        <v>0</v>
      </c>
      <c r="BC433" s="3199">
        <f t="shared" si="276"/>
        <v>0</v>
      </c>
      <c r="BD433" s="3199">
        <f t="shared" si="277"/>
        <v>0</v>
      </c>
      <c r="BE433" s="3199">
        <f t="shared" si="278"/>
        <v>0</v>
      </c>
      <c r="BF433" s="3199">
        <f t="shared" si="279"/>
        <v>0</v>
      </c>
      <c r="BG433" s="3199">
        <f t="shared" si="280"/>
        <v>0</v>
      </c>
      <c r="BH433" s="3199">
        <f t="shared" si="281"/>
        <v>0</v>
      </c>
      <c r="BI433" s="3199">
        <f t="shared" si="282"/>
        <v>0</v>
      </c>
      <c r="BJ433" s="3199">
        <f t="shared" si="283"/>
        <v>0</v>
      </c>
      <c r="BK433" s="3199">
        <f t="shared" si="284"/>
        <v>0</v>
      </c>
      <c r="BL433" s="3199">
        <f t="shared" si="285"/>
        <v>0</v>
      </c>
      <c r="BM433" s="3199">
        <f t="shared" si="286"/>
        <v>0</v>
      </c>
      <c r="BN433" s="3199">
        <f t="shared" si="287"/>
        <v>0</v>
      </c>
      <c r="BO433" s="3199">
        <f t="shared" si="288"/>
        <v>0</v>
      </c>
      <c r="BP433" s="3199">
        <f t="shared" si="289"/>
        <v>0</v>
      </c>
      <c r="BQ433" s="3199">
        <f t="shared" si="290"/>
        <v>0</v>
      </c>
      <c r="BR433" s="3199">
        <f t="shared" si="291"/>
        <v>0</v>
      </c>
      <c r="BS433" s="3199">
        <f t="shared" si="292"/>
        <v>0</v>
      </c>
      <c r="BT433" s="3271">
        <f t="shared" si="293"/>
        <v>0</v>
      </c>
    </row>
    <row r="434" spans="1:72">
      <c r="A434" s="3197"/>
      <c r="B434" s="3198"/>
      <c r="C434" s="3198"/>
      <c r="D434" s="3193"/>
      <c r="E434" s="3199">
        <f t="shared" si="265"/>
        <v>0</v>
      </c>
      <c r="F434" s="3200"/>
      <c r="G434" s="3201">
        <f t="shared" si="266"/>
        <v>0</v>
      </c>
      <c r="H434" s="3202">
        <f t="shared" si="267"/>
        <v>0</v>
      </c>
      <c r="I434" s="3218"/>
      <c r="J434" s="3218"/>
      <c r="K434" s="3218"/>
      <c r="L434" s="3218"/>
      <c r="M434" s="3218"/>
      <c r="N434" s="3218"/>
      <c r="O434" s="3218"/>
      <c r="P434" s="3218"/>
      <c r="Q434" s="3218"/>
      <c r="R434" s="3218"/>
      <c r="S434" s="3218"/>
      <c r="T434" s="3218"/>
      <c r="U434" s="3218"/>
      <c r="V434" s="3218"/>
      <c r="W434" s="3218"/>
      <c r="X434" s="3218"/>
      <c r="Y434" s="3218"/>
      <c r="Z434" s="3218"/>
      <c r="AA434" s="3218"/>
      <c r="AB434" s="3218"/>
      <c r="AC434" s="3199">
        <f t="shared" si="268"/>
        <v>0</v>
      </c>
      <c r="AD434" s="3229"/>
      <c r="AE434" s="3229"/>
      <c r="AF434" s="3229"/>
      <c r="AG434" s="3229"/>
      <c r="AH434" s="3229"/>
      <c r="AI434" s="3229"/>
      <c r="AJ434" s="3229"/>
      <c r="AK434" s="3229"/>
      <c r="AL434" s="3229"/>
      <c r="AM434" s="3229"/>
      <c r="AN434" s="3229"/>
      <c r="AO434" s="3229"/>
      <c r="AP434" s="3229"/>
      <c r="AQ434" s="3229"/>
      <c r="AR434" s="3229"/>
      <c r="AS434" s="3229"/>
      <c r="AT434" s="3249"/>
      <c r="AU434" s="3250"/>
      <c r="AV434" s="475">
        <f t="shared" si="269"/>
        <v>0</v>
      </c>
      <c r="AW434" s="475">
        <f t="shared" si="270"/>
        <v>0</v>
      </c>
      <c r="AX434" s="475">
        <f t="shared" si="271"/>
        <v>0</v>
      </c>
      <c r="AY434" s="3266">
        <f t="shared" si="272"/>
        <v>0</v>
      </c>
      <c r="AZ434" s="3199">
        <f t="shared" si="273"/>
        <v>0</v>
      </c>
      <c r="BA434" s="3199">
        <f t="shared" si="274"/>
        <v>0</v>
      </c>
      <c r="BB434" s="3199">
        <f t="shared" si="275"/>
        <v>0</v>
      </c>
      <c r="BC434" s="3199">
        <f t="shared" si="276"/>
        <v>0</v>
      </c>
      <c r="BD434" s="3199">
        <f t="shared" si="277"/>
        <v>0</v>
      </c>
      <c r="BE434" s="3199">
        <f t="shared" si="278"/>
        <v>0</v>
      </c>
      <c r="BF434" s="3199">
        <f t="shared" si="279"/>
        <v>0</v>
      </c>
      <c r="BG434" s="3199">
        <f t="shared" si="280"/>
        <v>0</v>
      </c>
      <c r="BH434" s="3199">
        <f t="shared" si="281"/>
        <v>0</v>
      </c>
      <c r="BI434" s="3199">
        <f t="shared" si="282"/>
        <v>0</v>
      </c>
      <c r="BJ434" s="3199">
        <f t="shared" si="283"/>
        <v>0</v>
      </c>
      <c r="BK434" s="3199">
        <f t="shared" si="284"/>
        <v>0</v>
      </c>
      <c r="BL434" s="3199">
        <f t="shared" si="285"/>
        <v>0</v>
      </c>
      <c r="BM434" s="3199">
        <f t="shared" si="286"/>
        <v>0</v>
      </c>
      <c r="BN434" s="3199">
        <f t="shared" si="287"/>
        <v>0</v>
      </c>
      <c r="BO434" s="3199">
        <f t="shared" si="288"/>
        <v>0</v>
      </c>
      <c r="BP434" s="3199">
        <f t="shared" si="289"/>
        <v>0</v>
      </c>
      <c r="BQ434" s="3199">
        <f t="shared" si="290"/>
        <v>0</v>
      </c>
      <c r="BR434" s="3199">
        <f t="shared" si="291"/>
        <v>0</v>
      </c>
      <c r="BS434" s="3199">
        <f t="shared" si="292"/>
        <v>0</v>
      </c>
      <c r="BT434" s="3271">
        <f t="shared" si="293"/>
        <v>0</v>
      </c>
    </row>
    <row r="435" spans="1:72">
      <c r="A435" s="3197"/>
      <c r="B435" s="3198"/>
      <c r="C435" s="3198"/>
      <c r="D435" s="3193"/>
      <c r="E435" s="3199">
        <f t="shared" si="265"/>
        <v>0</v>
      </c>
      <c r="F435" s="3200"/>
      <c r="G435" s="3201">
        <f t="shared" si="266"/>
        <v>0</v>
      </c>
      <c r="H435" s="3202">
        <f t="shared" si="267"/>
        <v>0</v>
      </c>
      <c r="I435" s="3218"/>
      <c r="J435" s="3218"/>
      <c r="K435" s="3218"/>
      <c r="L435" s="3218"/>
      <c r="M435" s="3218"/>
      <c r="N435" s="3218"/>
      <c r="O435" s="3218"/>
      <c r="P435" s="3218"/>
      <c r="Q435" s="3218"/>
      <c r="R435" s="3218"/>
      <c r="S435" s="3218"/>
      <c r="T435" s="3218"/>
      <c r="U435" s="3218"/>
      <c r="V435" s="3218"/>
      <c r="W435" s="3218"/>
      <c r="X435" s="3218"/>
      <c r="Y435" s="3218"/>
      <c r="Z435" s="3218"/>
      <c r="AA435" s="3218"/>
      <c r="AB435" s="3218"/>
      <c r="AC435" s="3199">
        <f t="shared" si="268"/>
        <v>0</v>
      </c>
      <c r="AD435" s="3229"/>
      <c r="AE435" s="3229"/>
      <c r="AF435" s="3229"/>
      <c r="AG435" s="3229"/>
      <c r="AH435" s="3229"/>
      <c r="AI435" s="3229"/>
      <c r="AJ435" s="3229"/>
      <c r="AK435" s="3229"/>
      <c r="AL435" s="3229"/>
      <c r="AM435" s="3229"/>
      <c r="AN435" s="3229"/>
      <c r="AO435" s="3229"/>
      <c r="AP435" s="3229"/>
      <c r="AQ435" s="3229"/>
      <c r="AR435" s="3229"/>
      <c r="AS435" s="3229"/>
      <c r="AT435" s="3249"/>
      <c r="AU435" s="3250"/>
      <c r="AV435" s="475">
        <f t="shared" si="269"/>
        <v>0</v>
      </c>
      <c r="AW435" s="475">
        <f t="shared" si="270"/>
        <v>0</v>
      </c>
      <c r="AX435" s="475">
        <f t="shared" si="271"/>
        <v>0</v>
      </c>
      <c r="AY435" s="3266">
        <f t="shared" si="272"/>
        <v>0</v>
      </c>
      <c r="AZ435" s="3199">
        <f t="shared" si="273"/>
        <v>0</v>
      </c>
      <c r="BA435" s="3199">
        <f t="shared" si="274"/>
        <v>0</v>
      </c>
      <c r="BB435" s="3199">
        <f t="shared" si="275"/>
        <v>0</v>
      </c>
      <c r="BC435" s="3199">
        <f t="shared" si="276"/>
        <v>0</v>
      </c>
      <c r="BD435" s="3199">
        <f t="shared" si="277"/>
        <v>0</v>
      </c>
      <c r="BE435" s="3199">
        <f t="shared" si="278"/>
        <v>0</v>
      </c>
      <c r="BF435" s="3199">
        <f t="shared" si="279"/>
        <v>0</v>
      </c>
      <c r="BG435" s="3199">
        <f t="shared" si="280"/>
        <v>0</v>
      </c>
      <c r="BH435" s="3199">
        <f t="shared" si="281"/>
        <v>0</v>
      </c>
      <c r="BI435" s="3199">
        <f t="shared" si="282"/>
        <v>0</v>
      </c>
      <c r="BJ435" s="3199">
        <f t="shared" si="283"/>
        <v>0</v>
      </c>
      <c r="BK435" s="3199">
        <f t="shared" si="284"/>
        <v>0</v>
      </c>
      <c r="BL435" s="3199">
        <f t="shared" si="285"/>
        <v>0</v>
      </c>
      <c r="BM435" s="3199">
        <f t="shared" si="286"/>
        <v>0</v>
      </c>
      <c r="BN435" s="3199">
        <f t="shared" si="287"/>
        <v>0</v>
      </c>
      <c r="BO435" s="3199">
        <f t="shared" si="288"/>
        <v>0</v>
      </c>
      <c r="BP435" s="3199">
        <f t="shared" si="289"/>
        <v>0</v>
      </c>
      <c r="BQ435" s="3199">
        <f t="shared" si="290"/>
        <v>0</v>
      </c>
      <c r="BR435" s="3199">
        <f t="shared" si="291"/>
        <v>0</v>
      </c>
      <c r="BS435" s="3199">
        <f t="shared" si="292"/>
        <v>0</v>
      </c>
      <c r="BT435" s="3271">
        <f t="shared" si="293"/>
        <v>0</v>
      </c>
    </row>
    <row r="436" spans="1:72">
      <c r="A436" s="3197"/>
      <c r="B436" s="3198"/>
      <c r="C436" s="3198"/>
      <c r="D436" s="3193"/>
      <c r="E436" s="3199">
        <f t="shared" si="265"/>
        <v>0</v>
      </c>
      <c r="F436" s="3200"/>
      <c r="G436" s="3201">
        <f t="shared" si="266"/>
        <v>0</v>
      </c>
      <c r="H436" s="3202">
        <f t="shared" si="267"/>
        <v>0</v>
      </c>
      <c r="I436" s="3218"/>
      <c r="J436" s="3218"/>
      <c r="K436" s="3218"/>
      <c r="L436" s="3218"/>
      <c r="M436" s="3218"/>
      <c r="N436" s="3218"/>
      <c r="O436" s="3218"/>
      <c r="P436" s="3218"/>
      <c r="Q436" s="3218"/>
      <c r="R436" s="3218"/>
      <c r="S436" s="3218"/>
      <c r="T436" s="3218"/>
      <c r="U436" s="3218"/>
      <c r="V436" s="3218"/>
      <c r="W436" s="3218"/>
      <c r="X436" s="3218"/>
      <c r="Y436" s="3218"/>
      <c r="Z436" s="3218"/>
      <c r="AA436" s="3218"/>
      <c r="AB436" s="3218"/>
      <c r="AC436" s="3199">
        <f t="shared" si="268"/>
        <v>0</v>
      </c>
      <c r="AD436" s="3229"/>
      <c r="AE436" s="3229"/>
      <c r="AF436" s="3229"/>
      <c r="AG436" s="3229"/>
      <c r="AH436" s="3229"/>
      <c r="AI436" s="3229"/>
      <c r="AJ436" s="3229"/>
      <c r="AK436" s="3229"/>
      <c r="AL436" s="3229"/>
      <c r="AM436" s="3229"/>
      <c r="AN436" s="3229"/>
      <c r="AO436" s="3229"/>
      <c r="AP436" s="3229"/>
      <c r="AQ436" s="3229"/>
      <c r="AR436" s="3229"/>
      <c r="AS436" s="3229"/>
      <c r="AT436" s="3249"/>
      <c r="AU436" s="3250"/>
      <c r="AV436" s="475">
        <f t="shared" si="269"/>
        <v>0</v>
      </c>
      <c r="AW436" s="475">
        <f t="shared" si="270"/>
        <v>0</v>
      </c>
      <c r="AX436" s="475">
        <f t="shared" si="271"/>
        <v>0</v>
      </c>
      <c r="AY436" s="3266">
        <f t="shared" si="272"/>
        <v>0</v>
      </c>
      <c r="AZ436" s="3199">
        <f t="shared" si="273"/>
        <v>0</v>
      </c>
      <c r="BA436" s="3199">
        <f t="shared" si="274"/>
        <v>0</v>
      </c>
      <c r="BB436" s="3199">
        <f t="shared" si="275"/>
        <v>0</v>
      </c>
      <c r="BC436" s="3199">
        <f t="shared" si="276"/>
        <v>0</v>
      </c>
      <c r="BD436" s="3199">
        <f t="shared" si="277"/>
        <v>0</v>
      </c>
      <c r="BE436" s="3199">
        <f t="shared" si="278"/>
        <v>0</v>
      </c>
      <c r="BF436" s="3199">
        <f t="shared" si="279"/>
        <v>0</v>
      </c>
      <c r="BG436" s="3199">
        <f t="shared" si="280"/>
        <v>0</v>
      </c>
      <c r="BH436" s="3199">
        <f t="shared" si="281"/>
        <v>0</v>
      </c>
      <c r="BI436" s="3199">
        <f t="shared" si="282"/>
        <v>0</v>
      </c>
      <c r="BJ436" s="3199">
        <f t="shared" si="283"/>
        <v>0</v>
      </c>
      <c r="BK436" s="3199">
        <f t="shared" si="284"/>
        <v>0</v>
      </c>
      <c r="BL436" s="3199">
        <f t="shared" si="285"/>
        <v>0</v>
      </c>
      <c r="BM436" s="3199">
        <f t="shared" si="286"/>
        <v>0</v>
      </c>
      <c r="BN436" s="3199">
        <f t="shared" si="287"/>
        <v>0</v>
      </c>
      <c r="BO436" s="3199">
        <f t="shared" si="288"/>
        <v>0</v>
      </c>
      <c r="BP436" s="3199">
        <f t="shared" si="289"/>
        <v>0</v>
      </c>
      <c r="BQ436" s="3199">
        <f t="shared" si="290"/>
        <v>0</v>
      </c>
      <c r="BR436" s="3199">
        <f t="shared" si="291"/>
        <v>0</v>
      </c>
      <c r="BS436" s="3199">
        <f t="shared" si="292"/>
        <v>0</v>
      </c>
      <c r="BT436" s="3271">
        <f t="shared" si="293"/>
        <v>0</v>
      </c>
    </row>
    <row r="437" spans="1:72">
      <c r="A437" s="3197"/>
      <c r="B437" s="3198"/>
      <c r="C437" s="3198"/>
      <c r="D437" s="3193"/>
      <c r="E437" s="3199">
        <f t="shared" si="265"/>
        <v>0</v>
      </c>
      <c r="F437" s="3200"/>
      <c r="G437" s="3201">
        <f t="shared" si="266"/>
        <v>0</v>
      </c>
      <c r="H437" s="3202">
        <f t="shared" si="267"/>
        <v>0</v>
      </c>
      <c r="I437" s="3218"/>
      <c r="J437" s="3218"/>
      <c r="K437" s="3218"/>
      <c r="L437" s="3218"/>
      <c r="M437" s="3218"/>
      <c r="N437" s="3218"/>
      <c r="O437" s="3218"/>
      <c r="P437" s="3218"/>
      <c r="Q437" s="3218"/>
      <c r="R437" s="3218"/>
      <c r="S437" s="3218"/>
      <c r="T437" s="3218"/>
      <c r="U437" s="3218"/>
      <c r="V437" s="3218"/>
      <c r="W437" s="3218"/>
      <c r="X437" s="3218"/>
      <c r="Y437" s="3218"/>
      <c r="Z437" s="3218"/>
      <c r="AA437" s="3218"/>
      <c r="AB437" s="3218"/>
      <c r="AC437" s="3199">
        <f t="shared" si="268"/>
        <v>0</v>
      </c>
      <c r="AD437" s="3229"/>
      <c r="AE437" s="3229"/>
      <c r="AF437" s="3229"/>
      <c r="AG437" s="3229"/>
      <c r="AH437" s="3229"/>
      <c r="AI437" s="3229"/>
      <c r="AJ437" s="3229"/>
      <c r="AK437" s="3229"/>
      <c r="AL437" s="3229"/>
      <c r="AM437" s="3229"/>
      <c r="AN437" s="3229"/>
      <c r="AO437" s="3229"/>
      <c r="AP437" s="3229"/>
      <c r="AQ437" s="3229"/>
      <c r="AR437" s="3229"/>
      <c r="AS437" s="3229"/>
      <c r="AT437" s="3249"/>
      <c r="AU437" s="3250"/>
      <c r="AV437" s="475">
        <f t="shared" si="269"/>
        <v>0</v>
      </c>
      <c r="AW437" s="475">
        <f t="shared" si="270"/>
        <v>0</v>
      </c>
      <c r="AX437" s="475">
        <f t="shared" si="271"/>
        <v>0</v>
      </c>
      <c r="AY437" s="3266">
        <f t="shared" si="272"/>
        <v>0</v>
      </c>
      <c r="AZ437" s="3199">
        <f t="shared" si="273"/>
        <v>0</v>
      </c>
      <c r="BA437" s="3199">
        <f t="shared" si="274"/>
        <v>0</v>
      </c>
      <c r="BB437" s="3199">
        <f t="shared" si="275"/>
        <v>0</v>
      </c>
      <c r="BC437" s="3199">
        <f t="shared" si="276"/>
        <v>0</v>
      </c>
      <c r="BD437" s="3199">
        <f t="shared" si="277"/>
        <v>0</v>
      </c>
      <c r="BE437" s="3199">
        <f t="shared" si="278"/>
        <v>0</v>
      </c>
      <c r="BF437" s="3199">
        <f t="shared" si="279"/>
        <v>0</v>
      </c>
      <c r="BG437" s="3199">
        <f t="shared" si="280"/>
        <v>0</v>
      </c>
      <c r="BH437" s="3199">
        <f t="shared" si="281"/>
        <v>0</v>
      </c>
      <c r="BI437" s="3199">
        <f t="shared" si="282"/>
        <v>0</v>
      </c>
      <c r="BJ437" s="3199">
        <f t="shared" si="283"/>
        <v>0</v>
      </c>
      <c r="BK437" s="3199">
        <f t="shared" si="284"/>
        <v>0</v>
      </c>
      <c r="BL437" s="3199">
        <f t="shared" si="285"/>
        <v>0</v>
      </c>
      <c r="BM437" s="3199">
        <f t="shared" si="286"/>
        <v>0</v>
      </c>
      <c r="BN437" s="3199">
        <f t="shared" si="287"/>
        <v>0</v>
      </c>
      <c r="BO437" s="3199">
        <f t="shared" si="288"/>
        <v>0</v>
      </c>
      <c r="BP437" s="3199">
        <f t="shared" si="289"/>
        <v>0</v>
      </c>
      <c r="BQ437" s="3199">
        <f t="shared" si="290"/>
        <v>0</v>
      </c>
      <c r="BR437" s="3199">
        <f t="shared" si="291"/>
        <v>0</v>
      </c>
      <c r="BS437" s="3199">
        <f t="shared" si="292"/>
        <v>0</v>
      </c>
      <c r="BT437" s="3271">
        <f t="shared" si="293"/>
        <v>0</v>
      </c>
    </row>
    <row r="438" spans="1:72">
      <c r="A438" s="3197"/>
      <c r="B438" s="3198"/>
      <c r="C438" s="3198"/>
      <c r="D438" s="3193"/>
      <c r="E438" s="3199">
        <f t="shared" si="265"/>
        <v>0</v>
      </c>
      <c r="F438" s="3200"/>
      <c r="G438" s="3201">
        <f t="shared" si="266"/>
        <v>0</v>
      </c>
      <c r="H438" s="3202">
        <f t="shared" si="267"/>
        <v>0</v>
      </c>
      <c r="I438" s="3218"/>
      <c r="J438" s="3218"/>
      <c r="K438" s="3218"/>
      <c r="L438" s="3218"/>
      <c r="M438" s="3218"/>
      <c r="N438" s="3218"/>
      <c r="O438" s="3218"/>
      <c r="P438" s="3218"/>
      <c r="Q438" s="3218"/>
      <c r="R438" s="3218"/>
      <c r="S438" s="3218"/>
      <c r="T438" s="3218"/>
      <c r="U438" s="3218"/>
      <c r="V438" s="3218"/>
      <c r="W438" s="3218"/>
      <c r="X438" s="3218"/>
      <c r="Y438" s="3218"/>
      <c r="Z438" s="3218"/>
      <c r="AA438" s="3218"/>
      <c r="AB438" s="3218"/>
      <c r="AC438" s="3199">
        <f t="shared" si="268"/>
        <v>0</v>
      </c>
      <c r="AD438" s="3229"/>
      <c r="AE438" s="3229"/>
      <c r="AF438" s="3229"/>
      <c r="AG438" s="3229"/>
      <c r="AH438" s="3229"/>
      <c r="AI438" s="3229"/>
      <c r="AJ438" s="3229"/>
      <c r="AK438" s="3229"/>
      <c r="AL438" s="3229"/>
      <c r="AM438" s="3229"/>
      <c r="AN438" s="3229"/>
      <c r="AO438" s="3229"/>
      <c r="AP438" s="3229"/>
      <c r="AQ438" s="3229"/>
      <c r="AR438" s="3229"/>
      <c r="AS438" s="3229"/>
      <c r="AT438" s="3249"/>
      <c r="AU438" s="3250"/>
      <c r="AV438" s="475">
        <f t="shared" si="269"/>
        <v>0</v>
      </c>
      <c r="AW438" s="475">
        <f t="shared" si="270"/>
        <v>0</v>
      </c>
      <c r="AX438" s="475">
        <f t="shared" si="271"/>
        <v>0</v>
      </c>
      <c r="AY438" s="3266">
        <f t="shared" si="272"/>
        <v>0</v>
      </c>
      <c r="AZ438" s="3199">
        <f t="shared" si="273"/>
        <v>0</v>
      </c>
      <c r="BA438" s="3199">
        <f t="shared" si="274"/>
        <v>0</v>
      </c>
      <c r="BB438" s="3199">
        <f t="shared" si="275"/>
        <v>0</v>
      </c>
      <c r="BC438" s="3199">
        <f t="shared" si="276"/>
        <v>0</v>
      </c>
      <c r="BD438" s="3199">
        <f t="shared" si="277"/>
        <v>0</v>
      </c>
      <c r="BE438" s="3199">
        <f t="shared" si="278"/>
        <v>0</v>
      </c>
      <c r="BF438" s="3199">
        <f t="shared" si="279"/>
        <v>0</v>
      </c>
      <c r="BG438" s="3199">
        <f t="shared" si="280"/>
        <v>0</v>
      </c>
      <c r="BH438" s="3199">
        <f t="shared" si="281"/>
        <v>0</v>
      </c>
      <c r="BI438" s="3199">
        <f t="shared" si="282"/>
        <v>0</v>
      </c>
      <c r="BJ438" s="3199">
        <f t="shared" si="283"/>
        <v>0</v>
      </c>
      <c r="BK438" s="3199">
        <f t="shared" si="284"/>
        <v>0</v>
      </c>
      <c r="BL438" s="3199">
        <f t="shared" si="285"/>
        <v>0</v>
      </c>
      <c r="BM438" s="3199">
        <f t="shared" si="286"/>
        <v>0</v>
      </c>
      <c r="BN438" s="3199">
        <f t="shared" si="287"/>
        <v>0</v>
      </c>
      <c r="BO438" s="3199">
        <f t="shared" si="288"/>
        <v>0</v>
      </c>
      <c r="BP438" s="3199">
        <f t="shared" si="289"/>
        <v>0</v>
      </c>
      <c r="BQ438" s="3199">
        <f t="shared" si="290"/>
        <v>0</v>
      </c>
      <c r="BR438" s="3199">
        <f t="shared" si="291"/>
        <v>0</v>
      </c>
      <c r="BS438" s="3199">
        <f t="shared" si="292"/>
        <v>0</v>
      </c>
      <c r="BT438" s="3271">
        <f t="shared" si="293"/>
        <v>0</v>
      </c>
    </row>
    <row r="439" spans="1:72">
      <c r="A439" s="3197"/>
      <c r="B439" s="3198"/>
      <c r="C439" s="3198"/>
      <c r="D439" s="3193"/>
      <c r="E439" s="3199">
        <f t="shared" si="265"/>
        <v>0</v>
      </c>
      <c r="F439" s="3200"/>
      <c r="G439" s="3201">
        <f t="shared" si="266"/>
        <v>0</v>
      </c>
      <c r="H439" s="3202">
        <f t="shared" si="267"/>
        <v>0</v>
      </c>
      <c r="I439" s="3218"/>
      <c r="J439" s="3218"/>
      <c r="K439" s="3218"/>
      <c r="L439" s="3218"/>
      <c r="M439" s="3218"/>
      <c r="N439" s="3218"/>
      <c r="O439" s="3218"/>
      <c r="P439" s="3218"/>
      <c r="Q439" s="3218"/>
      <c r="R439" s="3218"/>
      <c r="S439" s="3218"/>
      <c r="T439" s="3218"/>
      <c r="U439" s="3218"/>
      <c r="V439" s="3218"/>
      <c r="W439" s="3218"/>
      <c r="X439" s="3218"/>
      <c r="Y439" s="3218"/>
      <c r="Z439" s="3218"/>
      <c r="AA439" s="3218"/>
      <c r="AB439" s="3218"/>
      <c r="AC439" s="3199">
        <f t="shared" si="268"/>
        <v>0</v>
      </c>
      <c r="AD439" s="3229"/>
      <c r="AE439" s="3229"/>
      <c r="AF439" s="3229"/>
      <c r="AG439" s="3229"/>
      <c r="AH439" s="3229"/>
      <c r="AI439" s="3229"/>
      <c r="AJ439" s="3229"/>
      <c r="AK439" s="3229"/>
      <c r="AL439" s="3229"/>
      <c r="AM439" s="3229"/>
      <c r="AN439" s="3229"/>
      <c r="AO439" s="3229"/>
      <c r="AP439" s="3229"/>
      <c r="AQ439" s="3229"/>
      <c r="AR439" s="3229"/>
      <c r="AS439" s="3229"/>
      <c r="AT439" s="3249"/>
      <c r="AU439" s="3250"/>
      <c r="AV439" s="475">
        <f t="shared" si="269"/>
        <v>0</v>
      </c>
      <c r="AW439" s="475">
        <f t="shared" si="270"/>
        <v>0</v>
      </c>
      <c r="AX439" s="475">
        <f t="shared" si="271"/>
        <v>0</v>
      </c>
      <c r="AY439" s="3266">
        <f t="shared" si="272"/>
        <v>0</v>
      </c>
      <c r="AZ439" s="3199">
        <f t="shared" si="273"/>
        <v>0</v>
      </c>
      <c r="BA439" s="3199">
        <f t="shared" si="274"/>
        <v>0</v>
      </c>
      <c r="BB439" s="3199">
        <f t="shared" si="275"/>
        <v>0</v>
      </c>
      <c r="BC439" s="3199">
        <f t="shared" si="276"/>
        <v>0</v>
      </c>
      <c r="BD439" s="3199">
        <f t="shared" si="277"/>
        <v>0</v>
      </c>
      <c r="BE439" s="3199">
        <f t="shared" si="278"/>
        <v>0</v>
      </c>
      <c r="BF439" s="3199">
        <f t="shared" si="279"/>
        <v>0</v>
      </c>
      <c r="BG439" s="3199">
        <f t="shared" si="280"/>
        <v>0</v>
      </c>
      <c r="BH439" s="3199">
        <f t="shared" si="281"/>
        <v>0</v>
      </c>
      <c r="BI439" s="3199">
        <f t="shared" si="282"/>
        <v>0</v>
      </c>
      <c r="BJ439" s="3199">
        <f t="shared" si="283"/>
        <v>0</v>
      </c>
      <c r="BK439" s="3199">
        <f t="shared" si="284"/>
        <v>0</v>
      </c>
      <c r="BL439" s="3199">
        <f t="shared" si="285"/>
        <v>0</v>
      </c>
      <c r="BM439" s="3199">
        <f t="shared" si="286"/>
        <v>0</v>
      </c>
      <c r="BN439" s="3199">
        <f t="shared" si="287"/>
        <v>0</v>
      </c>
      <c r="BO439" s="3199">
        <f t="shared" si="288"/>
        <v>0</v>
      </c>
      <c r="BP439" s="3199">
        <f t="shared" si="289"/>
        <v>0</v>
      </c>
      <c r="BQ439" s="3199">
        <f t="shared" si="290"/>
        <v>0</v>
      </c>
      <c r="BR439" s="3199">
        <f t="shared" si="291"/>
        <v>0</v>
      </c>
      <c r="BS439" s="3199">
        <f t="shared" si="292"/>
        <v>0</v>
      </c>
      <c r="BT439" s="3271">
        <f t="shared" si="293"/>
        <v>0</v>
      </c>
    </row>
    <row r="440" spans="1:72">
      <c r="A440" s="3197"/>
      <c r="B440" s="3198"/>
      <c r="C440" s="3198"/>
      <c r="D440" s="3193"/>
      <c r="E440" s="3199">
        <f t="shared" si="265"/>
        <v>0</v>
      </c>
      <c r="F440" s="3200"/>
      <c r="G440" s="3201">
        <f t="shared" si="266"/>
        <v>0</v>
      </c>
      <c r="H440" s="3202">
        <f t="shared" si="267"/>
        <v>0</v>
      </c>
      <c r="I440" s="3218"/>
      <c r="J440" s="3218"/>
      <c r="K440" s="3218"/>
      <c r="L440" s="3218"/>
      <c r="M440" s="3218"/>
      <c r="N440" s="3218"/>
      <c r="O440" s="3218"/>
      <c r="P440" s="3218"/>
      <c r="Q440" s="3218"/>
      <c r="R440" s="3218"/>
      <c r="S440" s="3218"/>
      <c r="T440" s="3218"/>
      <c r="U440" s="3218"/>
      <c r="V440" s="3218"/>
      <c r="W440" s="3218"/>
      <c r="X440" s="3218"/>
      <c r="Y440" s="3218"/>
      <c r="Z440" s="3218"/>
      <c r="AA440" s="3218"/>
      <c r="AB440" s="3218"/>
      <c r="AC440" s="3199">
        <f t="shared" si="268"/>
        <v>0</v>
      </c>
      <c r="AD440" s="3229"/>
      <c r="AE440" s="3229"/>
      <c r="AF440" s="3229"/>
      <c r="AG440" s="3229"/>
      <c r="AH440" s="3229"/>
      <c r="AI440" s="3229"/>
      <c r="AJ440" s="3229"/>
      <c r="AK440" s="3229"/>
      <c r="AL440" s="3229"/>
      <c r="AM440" s="3229"/>
      <c r="AN440" s="3229"/>
      <c r="AO440" s="3229"/>
      <c r="AP440" s="3229"/>
      <c r="AQ440" s="3229"/>
      <c r="AR440" s="3229"/>
      <c r="AS440" s="3229"/>
      <c r="AT440" s="3249"/>
      <c r="AU440" s="3250"/>
      <c r="AV440" s="475">
        <f t="shared" si="269"/>
        <v>0</v>
      </c>
      <c r="AW440" s="475">
        <f t="shared" si="270"/>
        <v>0</v>
      </c>
      <c r="AX440" s="475">
        <f t="shared" si="271"/>
        <v>0</v>
      </c>
      <c r="AY440" s="3266">
        <f t="shared" si="272"/>
        <v>0</v>
      </c>
      <c r="AZ440" s="3199">
        <f t="shared" si="273"/>
        <v>0</v>
      </c>
      <c r="BA440" s="3199">
        <f t="shared" si="274"/>
        <v>0</v>
      </c>
      <c r="BB440" s="3199">
        <f t="shared" si="275"/>
        <v>0</v>
      </c>
      <c r="BC440" s="3199">
        <f t="shared" si="276"/>
        <v>0</v>
      </c>
      <c r="BD440" s="3199">
        <f t="shared" si="277"/>
        <v>0</v>
      </c>
      <c r="BE440" s="3199">
        <f t="shared" si="278"/>
        <v>0</v>
      </c>
      <c r="BF440" s="3199">
        <f t="shared" si="279"/>
        <v>0</v>
      </c>
      <c r="BG440" s="3199">
        <f t="shared" si="280"/>
        <v>0</v>
      </c>
      <c r="BH440" s="3199">
        <f t="shared" si="281"/>
        <v>0</v>
      </c>
      <c r="BI440" s="3199">
        <f t="shared" si="282"/>
        <v>0</v>
      </c>
      <c r="BJ440" s="3199">
        <f t="shared" si="283"/>
        <v>0</v>
      </c>
      <c r="BK440" s="3199">
        <f t="shared" si="284"/>
        <v>0</v>
      </c>
      <c r="BL440" s="3199">
        <f t="shared" si="285"/>
        <v>0</v>
      </c>
      <c r="BM440" s="3199">
        <f t="shared" si="286"/>
        <v>0</v>
      </c>
      <c r="BN440" s="3199">
        <f t="shared" si="287"/>
        <v>0</v>
      </c>
      <c r="BO440" s="3199">
        <f t="shared" si="288"/>
        <v>0</v>
      </c>
      <c r="BP440" s="3199">
        <f t="shared" si="289"/>
        <v>0</v>
      </c>
      <c r="BQ440" s="3199">
        <f t="shared" si="290"/>
        <v>0</v>
      </c>
      <c r="BR440" s="3199">
        <f t="shared" si="291"/>
        <v>0</v>
      </c>
      <c r="BS440" s="3199">
        <f t="shared" si="292"/>
        <v>0</v>
      </c>
      <c r="BT440" s="3271">
        <f t="shared" si="293"/>
        <v>0</v>
      </c>
    </row>
    <row r="441" spans="1:72">
      <c r="A441" s="3197"/>
      <c r="B441" s="3198"/>
      <c r="C441" s="3198"/>
      <c r="D441" s="3193"/>
      <c r="E441" s="3199">
        <f t="shared" si="265"/>
        <v>0</v>
      </c>
      <c r="F441" s="3200"/>
      <c r="G441" s="3201">
        <f t="shared" si="266"/>
        <v>0</v>
      </c>
      <c r="H441" s="3202">
        <f t="shared" si="267"/>
        <v>0</v>
      </c>
      <c r="I441" s="3218"/>
      <c r="J441" s="3218"/>
      <c r="K441" s="3218"/>
      <c r="L441" s="3218"/>
      <c r="M441" s="3218"/>
      <c r="N441" s="3218"/>
      <c r="O441" s="3218"/>
      <c r="P441" s="3218"/>
      <c r="Q441" s="3218"/>
      <c r="R441" s="3218"/>
      <c r="S441" s="3218"/>
      <c r="T441" s="3218"/>
      <c r="U441" s="3218"/>
      <c r="V441" s="3218"/>
      <c r="W441" s="3218"/>
      <c r="X441" s="3218"/>
      <c r="Y441" s="3218"/>
      <c r="Z441" s="3218"/>
      <c r="AA441" s="3218"/>
      <c r="AB441" s="3218"/>
      <c r="AC441" s="3199">
        <f t="shared" si="268"/>
        <v>0</v>
      </c>
      <c r="AD441" s="3229"/>
      <c r="AE441" s="3229"/>
      <c r="AF441" s="3229"/>
      <c r="AG441" s="3229"/>
      <c r="AH441" s="3229"/>
      <c r="AI441" s="3229"/>
      <c r="AJ441" s="3229"/>
      <c r="AK441" s="3229"/>
      <c r="AL441" s="3229"/>
      <c r="AM441" s="3229"/>
      <c r="AN441" s="3229"/>
      <c r="AO441" s="3229"/>
      <c r="AP441" s="3229"/>
      <c r="AQ441" s="3229"/>
      <c r="AR441" s="3229"/>
      <c r="AS441" s="3229"/>
      <c r="AT441" s="3249"/>
      <c r="AU441" s="3250"/>
      <c r="AV441" s="475">
        <f t="shared" si="269"/>
        <v>0</v>
      </c>
      <c r="AW441" s="475">
        <f t="shared" si="270"/>
        <v>0</v>
      </c>
      <c r="AX441" s="475">
        <f t="shared" si="271"/>
        <v>0</v>
      </c>
      <c r="AY441" s="3266">
        <f t="shared" si="272"/>
        <v>0</v>
      </c>
      <c r="AZ441" s="3199">
        <f t="shared" si="273"/>
        <v>0</v>
      </c>
      <c r="BA441" s="3199">
        <f t="shared" si="274"/>
        <v>0</v>
      </c>
      <c r="BB441" s="3199">
        <f t="shared" si="275"/>
        <v>0</v>
      </c>
      <c r="BC441" s="3199">
        <f t="shared" si="276"/>
        <v>0</v>
      </c>
      <c r="BD441" s="3199">
        <f t="shared" si="277"/>
        <v>0</v>
      </c>
      <c r="BE441" s="3199">
        <f t="shared" si="278"/>
        <v>0</v>
      </c>
      <c r="BF441" s="3199">
        <f t="shared" si="279"/>
        <v>0</v>
      </c>
      <c r="BG441" s="3199">
        <f t="shared" si="280"/>
        <v>0</v>
      </c>
      <c r="BH441" s="3199">
        <f t="shared" si="281"/>
        <v>0</v>
      </c>
      <c r="BI441" s="3199">
        <f t="shared" si="282"/>
        <v>0</v>
      </c>
      <c r="BJ441" s="3199">
        <f t="shared" si="283"/>
        <v>0</v>
      </c>
      <c r="BK441" s="3199">
        <f t="shared" si="284"/>
        <v>0</v>
      </c>
      <c r="BL441" s="3199">
        <f t="shared" si="285"/>
        <v>0</v>
      </c>
      <c r="BM441" s="3199">
        <f t="shared" si="286"/>
        <v>0</v>
      </c>
      <c r="BN441" s="3199">
        <f t="shared" si="287"/>
        <v>0</v>
      </c>
      <c r="BO441" s="3199">
        <f t="shared" si="288"/>
        <v>0</v>
      </c>
      <c r="BP441" s="3199">
        <f t="shared" si="289"/>
        <v>0</v>
      </c>
      <c r="BQ441" s="3199">
        <f t="shared" si="290"/>
        <v>0</v>
      </c>
      <c r="BR441" s="3199">
        <f t="shared" si="291"/>
        <v>0</v>
      </c>
      <c r="BS441" s="3199">
        <f t="shared" si="292"/>
        <v>0</v>
      </c>
      <c r="BT441" s="3271">
        <f t="shared" si="293"/>
        <v>0</v>
      </c>
    </row>
    <row r="442" spans="1:72">
      <c r="A442" s="3197"/>
      <c r="B442" s="3198"/>
      <c r="C442" s="3198"/>
      <c r="D442" s="3193"/>
      <c r="E442" s="3199">
        <f t="shared" si="265"/>
        <v>0</v>
      </c>
      <c r="F442" s="3200"/>
      <c r="G442" s="3201">
        <f t="shared" si="266"/>
        <v>0</v>
      </c>
      <c r="H442" s="3202">
        <f t="shared" si="267"/>
        <v>0</v>
      </c>
      <c r="I442" s="3218"/>
      <c r="J442" s="3218"/>
      <c r="K442" s="3218"/>
      <c r="L442" s="3218"/>
      <c r="M442" s="3218"/>
      <c r="N442" s="3218"/>
      <c r="O442" s="3218"/>
      <c r="P442" s="3218"/>
      <c r="Q442" s="3218"/>
      <c r="R442" s="3218"/>
      <c r="S442" s="3218"/>
      <c r="T442" s="3218"/>
      <c r="U442" s="3218"/>
      <c r="V442" s="3218"/>
      <c r="W442" s="3218"/>
      <c r="X442" s="3218"/>
      <c r="Y442" s="3218"/>
      <c r="Z442" s="3218"/>
      <c r="AA442" s="3218"/>
      <c r="AB442" s="3218"/>
      <c r="AC442" s="3199">
        <f t="shared" si="268"/>
        <v>0</v>
      </c>
      <c r="AD442" s="3229"/>
      <c r="AE442" s="3229"/>
      <c r="AF442" s="3229"/>
      <c r="AG442" s="3229"/>
      <c r="AH442" s="3229"/>
      <c r="AI442" s="3229"/>
      <c r="AJ442" s="3229"/>
      <c r="AK442" s="3229"/>
      <c r="AL442" s="3229"/>
      <c r="AM442" s="3229"/>
      <c r="AN442" s="3229"/>
      <c r="AO442" s="3229"/>
      <c r="AP442" s="3229"/>
      <c r="AQ442" s="3229"/>
      <c r="AR442" s="3229"/>
      <c r="AS442" s="3229"/>
      <c r="AT442" s="3249"/>
      <c r="AU442" s="3250"/>
      <c r="AV442" s="475">
        <f t="shared" si="269"/>
        <v>0</v>
      </c>
      <c r="AW442" s="475">
        <f t="shared" si="270"/>
        <v>0</v>
      </c>
      <c r="AX442" s="475">
        <f t="shared" si="271"/>
        <v>0</v>
      </c>
      <c r="AY442" s="3266">
        <f t="shared" si="272"/>
        <v>0</v>
      </c>
      <c r="AZ442" s="3199">
        <f t="shared" si="273"/>
        <v>0</v>
      </c>
      <c r="BA442" s="3199">
        <f t="shared" si="274"/>
        <v>0</v>
      </c>
      <c r="BB442" s="3199">
        <f t="shared" si="275"/>
        <v>0</v>
      </c>
      <c r="BC442" s="3199">
        <f t="shared" si="276"/>
        <v>0</v>
      </c>
      <c r="BD442" s="3199">
        <f t="shared" si="277"/>
        <v>0</v>
      </c>
      <c r="BE442" s="3199">
        <f t="shared" si="278"/>
        <v>0</v>
      </c>
      <c r="BF442" s="3199">
        <f t="shared" si="279"/>
        <v>0</v>
      </c>
      <c r="BG442" s="3199">
        <f t="shared" si="280"/>
        <v>0</v>
      </c>
      <c r="BH442" s="3199">
        <f t="shared" si="281"/>
        <v>0</v>
      </c>
      <c r="BI442" s="3199">
        <f t="shared" si="282"/>
        <v>0</v>
      </c>
      <c r="BJ442" s="3199">
        <f t="shared" si="283"/>
        <v>0</v>
      </c>
      <c r="BK442" s="3199">
        <f t="shared" si="284"/>
        <v>0</v>
      </c>
      <c r="BL442" s="3199">
        <f t="shared" si="285"/>
        <v>0</v>
      </c>
      <c r="BM442" s="3199">
        <f t="shared" si="286"/>
        <v>0</v>
      </c>
      <c r="BN442" s="3199">
        <f t="shared" si="287"/>
        <v>0</v>
      </c>
      <c r="BO442" s="3199">
        <f t="shared" si="288"/>
        <v>0</v>
      </c>
      <c r="BP442" s="3199">
        <f t="shared" si="289"/>
        <v>0</v>
      </c>
      <c r="BQ442" s="3199">
        <f t="shared" si="290"/>
        <v>0</v>
      </c>
      <c r="BR442" s="3199">
        <f t="shared" si="291"/>
        <v>0</v>
      </c>
      <c r="BS442" s="3199">
        <f t="shared" si="292"/>
        <v>0</v>
      </c>
      <c r="BT442" s="3271">
        <f t="shared" si="293"/>
        <v>0</v>
      </c>
    </row>
    <row r="443" spans="1:72">
      <c r="A443" s="3197"/>
      <c r="B443" s="3198"/>
      <c r="C443" s="3198"/>
      <c r="D443" s="3193"/>
      <c r="E443" s="3199">
        <f t="shared" si="265"/>
        <v>0</v>
      </c>
      <c r="F443" s="3200"/>
      <c r="G443" s="3201">
        <f t="shared" si="266"/>
        <v>0</v>
      </c>
      <c r="H443" s="3202">
        <f t="shared" si="267"/>
        <v>0</v>
      </c>
      <c r="I443" s="3218"/>
      <c r="J443" s="3218"/>
      <c r="K443" s="3218"/>
      <c r="L443" s="3218"/>
      <c r="M443" s="3218"/>
      <c r="N443" s="3218"/>
      <c r="O443" s="3218"/>
      <c r="P443" s="3218"/>
      <c r="Q443" s="3218"/>
      <c r="R443" s="3218"/>
      <c r="S443" s="3218"/>
      <c r="T443" s="3218"/>
      <c r="U443" s="3218"/>
      <c r="V443" s="3218"/>
      <c r="W443" s="3218"/>
      <c r="X443" s="3218"/>
      <c r="Y443" s="3218"/>
      <c r="Z443" s="3218"/>
      <c r="AA443" s="3218"/>
      <c r="AB443" s="3218"/>
      <c r="AC443" s="3199">
        <f t="shared" si="268"/>
        <v>0</v>
      </c>
      <c r="AD443" s="3229"/>
      <c r="AE443" s="3229"/>
      <c r="AF443" s="3229"/>
      <c r="AG443" s="3229"/>
      <c r="AH443" s="3229"/>
      <c r="AI443" s="3229"/>
      <c r="AJ443" s="3229"/>
      <c r="AK443" s="3229"/>
      <c r="AL443" s="3229"/>
      <c r="AM443" s="3229"/>
      <c r="AN443" s="3229"/>
      <c r="AO443" s="3229"/>
      <c r="AP443" s="3229"/>
      <c r="AQ443" s="3229"/>
      <c r="AR443" s="3229"/>
      <c r="AS443" s="3229"/>
      <c r="AT443" s="3249"/>
      <c r="AU443" s="3250"/>
      <c r="AV443" s="475">
        <f t="shared" si="269"/>
        <v>0</v>
      </c>
      <c r="AW443" s="475">
        <f t="shared" si="270"/>
        <v>0</v>
      </c>
      <c r="AX443" s="475">
        <f t="shared" si="271"/>
        <v>0</v>
      </c>
      <c r="AY443" s="3266">
        <f t="shared" si="272"/>
        <v>0</v>
      </c>
      <c r="AZ443" s="3199">
        <f t="shared" si="273"/>
        <v>0</v>
      </c>
      <c r="BA443" s="3199">
        <f t="shared" si="274"/>
        <v>0</v>
      </c>
      <c r="BB443" s="3199">
        <f t="shared" si="275"/>
        <v>0</v>
      </c>
      <c r="BC443" s="3199">
        <f t="shared" si="276"/>
        <v>0</v>
      </c>
      <c r="BD443" s="3199">
        <f t="shared" si="277"/>
        <v>0</v>
      </c>
      <c r="BE443" s="3199">
        <f t="shared" si="278"/>
        <v>0</v>
      </c>
      <c r="BF443" s="3199">
        <f t="shared" si="279"/>
        <v>0</v>
      </c>
      <c r="BG443" s="3199">
        <f t="shared" si="280"/>
        <v>0</v>
      </c>
      <c r="BH443" s="3199">
        <f t="shared" si="281"/>
        <v>0</v>
      </c>
      <c r="BI443" s="3199">
        <f t="shared" si="282"/>
        <v>0</v>
      </c>
      <c r="BJ443" s="3199">
        <f t="shared" si="283"/>
        <v>0</v>
      </c>
      <c r="BK443" s="3199">
        <f t="shared" si="284"/>
        <v>0</v>
      </c>
      <c r="BL443" s="3199">
        <f t="shared" si="285"/>
        <v>0</v>
      </c>
      <c r="BM443" s="3199">
        <f t="shared" si="286"/>
        <v>0</v>
      </c>
      <c r="BN443" s="3199">
        <f t="shared" si="287"/>
        <v>0</v>
      </c>
      <c r="BO443" s="3199">
        <f t="shared" si="288"/>
        <v>0</v>
      </c>
      <c r="BP443" s="3199">
        <f t="shared" si="289"/>
        <v>0</v>
      </c>
      <c r="BQ443" s="3199">
        <f t="shared" si="290"/>
        <v>0</v>
      </c>
      <c r="BR443" s="3199">
        <f t="shared" si="291"/>
        <v>0</v>
      </c>
      <c r="BS443" s="3199">
        <f t="shared" si="292"/>
        <v>0</v>
      </c>
      <c r="BT443" s="3271">
        <f t="shared" si="293"/>
        <v>0</v>
      </c>
    </row>
    <row r="444" spans="1:72">
      <c r="A444" s="3197"/>
      <c r="B444" s="3198"/>
      <c r="C444" s="3198"/>
      <c r="D444" s="3193"/>
      <c r="E444" s="3199">
        <f t="shared" si="265"/>
        <v>0</v>
      </c>
      <c r="F444" s="3200"/>
      <c r="G444" s="3201">
        <f t="shared" si="266"/>
        <v>0</v>
      </c>
      <c r="H444" s="3202">
        <f t="shared" si="267"/>
        <v>0</v>
      </c>
      <c r="I444" s="3218"/>
      <c r="J444" s="3218"/>
      <c r="K444" s="3218"/>
      <c r="L444" s="3218"/>
      <c r="M444" s="3218"/>
      <c r="N444" s="3218"/>
      <c r="O444" s="3218"/>
      <c r="P444" s="3218"/>
      <c r="Q444" s="3218"/>
      <c r="R444" s="3218"/>
      <c r="S444" s="3218"/>
      <c r="T444" s="3218"/>
      <c r="U444" s="3218"/>
      <c r="V444" s="3218"/>
      <c r="W444" s="3218"/>
      <c r="X444" s="3218"/>
      <c r="Y444" s="3218"/>
      <c r="Z444" s="3218"/>
      <c r="AA444" s="3218"/>
      <c r="AB444" s="3218"/>
      <c r="AC444" s="3199">
        <f t="shared" si="268"/>
        <v>0</v>
      </c>
      <c r="AD444" s="3229"/>
      <c r="AE444" s="3229"/>
      <c r="AF444" s="3229"/>
      <c r="AG444" s="3229"/>
      <c r="AH444" s="3229"/>
      <c r="AI444" s="3229"/>
      <c r="AJ444" s="3229"/>
      <c r="AK444" s="3229"/>
      <c r="AL444" s="3229"/>
      <c r="AM444" s="3229"/>
      <c r="AN444" s="3229"/>
      <c r="AO444" s="3229"/>
      <c r="AP444" s="3229"/>
      <c r="AQ444" s="3229"/>
      <c r="AR444" s="3229"/>
      <c r="AS444" s="3229"/>
      <c r="AT444" s="3249"/>
      <c r="AU444" s="3250"/>
      <c r="AV444" s="475">
        <f t="shared" si="269"/>
        <v>0</v>
      </c>
      <c r="AW444" s="475">
        <f t="shared" si="270"/>
        <v>0</v>
      </c>
      <c r="AX444" s="475">
        <f t="shared" si="271"/>
        <v>0</v>
      </c>
      <c r="AY444" s="3266">
        <f t="shared" si="272"/>
        <v>0</v>
      </c>
      <c r="AZ444" s="3199">
        <f t="shared" si="273"/>
        <v>0</v>
      </c>
      <c r="BA444" s="3199">
        <f t="shared" si="274"/>
        <v>0</v>
      </c>
      <c r="BB444" s="3199">
        <f t="shared" si="275"/>
        <v>0</v>
      </c>
      <c r="BC444" s="3199">
        <f t="shared" si="276"/>
        <v>0</v>
      </c>
      <c r="BD444" s="3199">
        <f t="shared" si="277"/>
        <v>0</v>
      </c>
      <c r="BE444" s="3199">
        <f t="shared" si="278"/>
        <v>0</v>
      </c>
      <c r="BF444" s="3199">
        <f t="shared" si="279"/>
        <v>0</v>
      </c>
      <c r="BG444" s="3199">
        <f t="shared" si="280"/>
        <v>0</v>
      </c>
      <c r="BH444" s="3199">
        <f t="shared" si="281"/>
        <v>0</v>
      </c>
      <c r="BI444" s="3199">
        <f t="shared" si="282"/>
        <v>0</v>
      </c>
      <c r="BJ444" s="3199">
        <f t="shared" si="283"/>
        <v>0</v>
      </c>
      <c r="BK444" s="3199">
        <f t="shared" si="284"/>
        <v>0</v>
      </c>
      <c r="BL444" s="3199">
        <f t="shared" si="285"/>
        <v>0</v>
      </c>
      <c r="BM444" s="3199">
        <f t="shared" si="286"/>
        <v>0</v>
      </c>
      <c r="BN444" s="3199">
        <f t="shared" si="287"/>
        <v>0</v>
      </c>
      <c r="BO444" s="3199">
        <f t="shared" si="288"/>
        <v>0</v>
      </c>
      <c r="BP444" s="3199">
        <f t="shared" si="289"/>
        <v>0</v>
      </c>
      <c r="BQ444" s="3199">
        <f t="shared" si="290"/>
        <v>0</v>
      </c>
      <c r="BR444" s="3199">
        <f t="shared" si="291"/>
        <v>0</v>
      </c>
      <c r="BS444" s="3199">
        <f t="shared" si="292"/>
        <v>0</v>
      </c>
      <c r="BT444" s="3271">
        <f t="shared" si="293"/>
        <v>0</v>
      </c>
    </row>
    <row r="445" spans="1:72">
      <c r="A445" s="3197"/>
      <c r="B445" s="3198"/>
      <c r="C445" s="3198"/>
      <c r="D445" s="3193"/>
      <c r="E445" s="3199">
        <f t="shared" si="265"/>
        <v>0</v>
      </c>
      <c r="F445" s="3200"/>
      <c r="G445" s="3201">
        <f t="shared" si="266"/>
        <v>0</v>
      </c>
      <c r="H445" s="3202">
        <f t="shared" si="267"/>
        <v>0</v>
      </c>
      <c r="I445" s="3218"/>
      <c r="J445" s="3218"/>
      <c r="K445" s="3218"/>
      <c r="L445" s="3218"/>
      <c r="M445" s="3218"/>
      <c r="N445" s="3218"/>
      <c r="O445" s="3218"/>
      <c r="P445" s="3218"/>
      <c r="Q445" s="3218"/>
      <c r="R445" s="3218"/>
      <c r="S445" s="3218"/>
      <c r="T445" s="3218"/>
      <c r="U445" s="3218"/>
      <c r="V445" s="3218"/>
      <c r="W445" s="3218"/>
      <c r="X445" s="3218"/>
      <c r="Y445" s="3218"/>
      <c r="Z445" s="3218"/>
      <c r="AA445" s="3218"/>
      <c r="AB445" s="3218"/>
      <c r="AC445" s="3199">
        <f t="shared" si="268"/>
        <v>0</v>
      </c>
      <c r="AD445" s="3229"/>
      <c r="AE445" s="3229"/>
      <c r="AF445" s="3229"/>
      <c r="AG445" s="3229"/>
      <c r="AH445" s="3229"/>
      <c r="AI445" s="3229"/>
      <c r="AJ445" s="3229"/>
      <c r="AK445" s="3229"/>
      <c r="AL445" s="3229"/>
      <c r="AM445" s="3229"/>
      <c r="AN445" s="3229"/>
      <c r="AO445" s="3229"/>
      <c r="AP445" s="3229"/>
      <c r="AQ445" s="3229"/>
      <c r="AR445" s="3229"/>
      <c r="AS445" s="3229"/>
      <c r="AT445" s="3249"/>
      <c r="AU445" s="3250"/>
      <c r="AV445" s="475">
        <f t="shared" si="269"/>
        <v>0</v>
      </c>
      <c r="AW445" s="475">
        <f t="shared" si="270"/>
        <v>0</v>
      </c>
      <c r="AX445" s="475">
        <f t="shared" si="271"/>
        <v>0</v>
      </c>
      <c r="AY445" s="3266">
        <f t="shared" si="272"/>
        <v>0</v>
      </c>
      <c r="AZ445" s="3199">
        <f t="shared" si="273"/>
        <v>0</v>
      </c>
      <c r="BA445" s="3199">
        <f t="shared" si="274"/>
        <v>0</v>
      </c>
      <c r="BB445" s="3199">
        <f t="shared" si="275"/>
        <v>0</v>
      </c>
      <c r="BC445" s="3199">
        <f t="shared" si="276"/>
        <v>0</v>
      </c>
      <c r="BD445" s="3199">
        <f t="shared" si="277"/>
        <v>0</v>
      </c>
      <c r="BE445" s="3199">
        <f t="shared" si="278"/>
        <v>0</v>
      </c>
      <c r="BF445" s="3199">
        <f t="shared" si="279"/>
        <v>0</v>
      </c>
      <c r="BG445" s="3199">
        <f t="shared" si="280"/>
        <v>0</v>
      </c>
      <c r="BH445" s="3199">
        <f t="shared" si="281"/>
        <v>0</v>
      </c>
      <c r="BI445" s="3199">
        <f t="shared" si="282"/>
        <v>0</v>
      </c>
      <c r="BJ445" s="3199">
        <f t="shared" si="283"/>
        <v>0</v>
      </c>
      <c r="BK445" s="3199">
        <f t="shared" si="284"/>
        <v>0</v>
      </c>
      <c r="BL445" s="3199">
        <f t="shared" si="285"/>
        <v>0</v>
      </c>
      <c r="BM445" s="3199">
        <f t="shared" si="286"/>
        <v>0</v>
      </c>
      <c r="BN445" s="3199">
        <f t="shared" si="287"/>
        <v>0</v>
      </c>
      <c r="BO445" s="3199">
        <f t="shared" si="288"/>
        <v>0</v>
      </c>
      <c r="BP445" s="3199">
        <f t="shared" si="289"/>
        <v>0</v>
      </c>
      <c r="BQ445" s="3199">
        <f t="shared" si="290"/>
        <v>0</v>
      </c>
      <c r="BR445" s="3199">
        <f t="shared" si="291"/>
        <v>0</v>
      </c>
      <c r="BS445" s="3199">
        <f t="shared" si="292"/>
        <v>0</v>
      </c>
      <c r="BT445" s="3271">
        <f t="shared" si="293"/>
        <v>0</v>
      </c>
    </row>
    <row r="446" spans="1:72">
      <c r="A446" s="3197"/>
      <c r="B446" s="3198"/>
      <c r="C446" s="3198"/>
      <c r="D446" s="3193"/>
      <c r="E446" s="3199">
        <f t="shared" si="265"/>
        <v>0</v>
      </c>
      <c r="F446" s="3200"/>
      <c r="G446" s="3201">
        <f t="shared" si="266"/>
        <v>0</v>
      </c>
      <c r="H446" s="3202">
        <f t="shared" si="267"/>
        <v>0</v>
      </c>
      <c r="I446" s="3218"/>
      <c r="J446" s="3218"/>
      <c r="K446" s="3218"/>
      <c r="L446" s="3218"/>
      <c r="M446" s="3218"/>
      <c r="N446" s="3218"/>
      <c r="O446" s="3218"/>
      <c r="P446" s="3218"/>
      <c r="Q446" s="3218"/>
      <c r="R446" s="3218"/>
      <c r="S446" s="3218"/>
      <c r="T446" s="3218"/>
      <c r="U446" s="3218"/>
      <c r="V446" s="3218"/>
      <c r="W446" s="3218"/>
      <c r="X446" s="3218"/>
      <c r="Y446" s="3218"/>
      <c r="Z446" s="3218"/>
      <c r="AA446" s="3218"/>
      <c r="AB446" s="3218"/>
      <c r="AC446" s="3199">
        <f t="shared" si="268"/>
        <v>0</v>
      </c>
      <c r="AD446" s="3229"/>
      <c r="AE446" s="3229"/>
      <c r="AF446" s="3229"/>
      <c r="AG446" s="3229"/>
      <c r="AH446" s="3229"/>
      <c r="AI446" s="3229"/>
      <c r="AJ446" s="3229"/>
      <c r="AK446" s="3229"/>
      <c r="AL446" s="3229"/>
      <c r="AM446" s="3229"/>
      <c r="AN446" s="3229"/>
      <c r="AO446" s="3229"/>
      <c r="AP446" s="3229"/>
      <c r="AQ446" s="3229"/>
      <c r="AR446" s="3229"/>
      <c r="AS446" s="3229"/>
      <c r="AT446" s="3249"/>
      <c r="AU446" s="3250"/>
      <c r="AV446" s="475">
        <f t="shared" si="269"/>
        <v>0</v>
      </c>
      <c r="AW446" s="475">
        <f t="shared" si="270"/>
        <v>0</v>
      </c>
      <c r="AX446" s="475">
        <f t="shared" si="271"/>
        <v>0</v>
      </c>
      <c r="AY446" s="3266">
        <f t="shared" si="272"/>
        <v>0</v>
      </c>
      <c r="AZ446" s="3199">
        <f t="shared" si="273"/>
        <v>0</v>
      </c>
      <c r="BA446" s="3199">
        <f t="shared" si="274"/>
        <v>0</v>
      </c>
      <c r="BB446" s="3199">
        <f t="shared" si="275"/>
        <v>0</v>
      </c>
      <c r="BC446" s="3199">
        <f t="shared" si="276"/>
        <v>0</v>
      </c>
      <c r="BD446" s="3199">
        <f t="shared" si="277"/>
        <v>0</v>
      </c>
      <c r="BE446" s="3199">
        <f t="shared" si="278"/>
        <v>0</v>
      </c>
      <c r="BF446" s="3199">
        <f t="shared" si="279"/>
        <v>0</v>
      </c>
      <c r="BG446" s="3199">
        <f t="shared" si="280"/>
        <v>0</v>
      </c>
      <c r="BH446" s="3199">
        <f t="shared" si="281"/>
        <v>0</v>
      </c>
      <c r="BI446" s="3199">
        <f t="shared" si="282"/>
        <v>0</v>
      </c>
      <c r="BJ446" s="3199">
        <f t="shared" si="283"/>
        <v>0</v>
      </c>
      <c r="BK446" s="3199">
        <f t="shared" si="284"/>
        <v>0</v>
      </c>
      <c r="BL446" s="3199">
        <f t="shared" si="285"/>
        <v>0</v>
      </c>
      <c r="BM446" s="3199">
        <f t="shared" si="286"/>
        <v>0</v>
      </c>
      <c r="BN446" s="3199">
        <f t="shared" si="287"/>
        <v>0</v>
      </c>
      <c r="BO446" s="3199">
        <f t="shared" si="288"/>
        <v>0</v>
      </c>
      <c r="BP446" s="3199">
        <f t="shared" si="289"/>
        <v>0</v>
      </c>
      <c r="BQ446" s="3199">
        <f t="shared" si="290"/>
        <v>0</v>
      </c>
      <c r="BR446" s="3199">
        <f t="shared" si="291"/>
        <v>0</v>
      </c>
      <c r="BS446" s="3199">
        <f t="shared" si="292"/>
        <v>0</v>
      </c>
      <c r="BT446" s="3271">
        <f t="shared" si="293"/>
        <v>0</v>
      </c>
    </row>
    <row r="447" spans="1:72">
      <c r="A447" s="3197"/>
      <c r="B447" s="3198"/>
      <c r="C447" s="3198"/>
      <c r="D447" s="3193"/>
      <c r="E447" s="3199">
        <f t="shared" si="265"/>
        <v>0</v>
      </c>
      <c r="F447" s="3200"/>
      <c r="G447" s="3201">
        <f t="shared" si="266"/>
        <v>0</v>
      </c>
      <c r="H447" s="3202">
        <f t="shared" si="267"/>
        <v>0</v>
      </c>
      <c r="I447" s="3218"/>
      <c r="J447" s="3218"/>
      <c r="K447" s="3218"/>
      <c r="L447" s="3218"/>
      <c r="M447" s="3218"/>
      <c r="N447" s="3218"/>
      <c r="O447" s="3218"/>
      <c r="P447" s="3218"/>
      <c r="Q447" s="3218"/>
      <c r="R447" s="3218"/>
      <c r="S447" s="3218"/>
      <c r="T447" s="3218"/>
      <c r="U447" s="3218"/>
      <c r="V447" s="3218"/>
      <c r="W447" s="3218"/>
      <c r="X447" s="3218"/>
      <c r="Y447" s="3218"/>
      <c r="Z447" s="3218"/>
      <c r="AA447" s="3218"/>
      <c r="AB447" s="3218"/>
      <c r="AC447" s="3199">
        <f t="shared" si="268"/>
        <v>0</v>
      </c>
      <c r="AD447" s="3229"/>
      <c r="AE447" s="3229"/>
      <c r="AF447" s="3229"/>
      <c r="AG447" s="3229"/>
      <c r="AH447" s="3229"/>
      <c r="AI447" s="3229"/>
      <c r="AJ447" s="3229"/>
      <c r="AK447" s="3229"/>
      <c r="AL447" s="3229"/>
      <c r="AM447" s="3229"/>
      <c r="AN447" s="3229"/>
      <c r="AO447" s="3229"/>
      <c r="AP447" s="3229"/>
      <c r="AQ447" s="3229"/>
      <c r="AR447" s="3229"/>
      <c r="AS447" s="3229"/>
      <c r="AT447" s="3249"/>
      <c r="AU447" s="3250"/>
      <c r="AV447" s="475">
        <f t="shared" si="269"/>
        <v>0</v>
      </c>
      <c r="AW447" s="475">
        <f t="shared" si="270"/>
        <v>0</v>
      </c>
      <c r="AX447" s="475">
        <f t="shared" si="271"/>
        <v>0</v>
      </c>
      <c r="AY447" s="3266">
        <f t="shared" si="272"/>
        <v>0</v>
      </c>
      <c r="AZ447" s="3199">
        <f t="shared" si="273"/>
        <v>0</v>
      </c>
      <c r="BA447" s="3199">
        <f t="shared" si="274"/>
        <v>0</v>
      </c>
      <c r="BB447" s="3199">
        <f t="shared" si="275"/>
        <v>0</v>
      </c>
      <c r="BC447" s="3199">
        <f t="shared" si="276"/>
        <v>0</v>
      </c>
      <c r="BD447" s="3199">
        <f t="shared" si="277"/>
        <v>0</v>
      </c>
      <c r="BE447" s="3199">
        <f t="shared" si="278"/>
        <v>0</v>
      </c>
      <c r="BF447" s="3199">
        <f t="shared" si="279"/>
        <v>0</v>
      </c>
      <c r="BG447" s="3199">
        <f t="shared" si="280"/>
        <v>0</v>
      </c>
      <c r="BH447" s="3199">
        <f t="shared" si="281"/>
        <v>0</v>
      </c>
      <c r="BI447" s="3199">
        <f t="shared" si="282"/>
        <v>0</v>
      </c>
      <c r="BJ447" s="3199">
        <f t="shared" si="283"/>
        <v>0</v>
      </c>
      <c r="BK447" s="3199">
        <f t="shared" si="284"/>
        <v>0</v>
      </c>
      <c r="BL447" s="3199">
        <f t="shared" si="285"/>
        <v>0</v>
      </c>
      <c r="BM447" s="3199">
        <f t="shared" si="286"/>
        <v>0</v>
      </c>
      <c r="BN447" s="3199">
        <f t="shared" si="287"/>
        <v>0</v>
      </c>
      <c r="BO447" s="3199">
        <f t="shared" si="288"/>
        <v>0</v>
      </c>
      <c r="BP447" s="3199">
        <f t="shared" si="289"/>
        <v>0</v>
      </c>
      <c r="BQ447" s="3199">
        <f t="shared" si="290"/>
        <v>0</v>
      </c>
      <c r="BR447" s="3199">
        <f t="shared" si="291"/>
        <v>0</v>
      </c>
      <c r="BS447" s="3199">
        <f t="shared" si="292"/>
        <v>0</v>
      </c>
      <c r="BT447" s="3271">
        <f t="shared" si="293"/>
        <v>0</v>
      </c>
    </row>
    <row r="448" spans="1:72">
      <c r="A448" s="3197"/>
      <c r="B448" s="3198"/>
      <c r="C448" s="3198"/>
      <c r="D448" s="3193"/>
      <c r="E448" s="3199">
        <f t="shared" si="265"/>
        <v>0</v>
      </c>
      <c r="F448" s="3200"/>
      <c r="G448" s="3201">
        <f t="shared" si="266"/>
        <v>0</v>
      </c>
      <c r="H448" s="3202">
        <f t="shared" si="267"/>
        <v>0</v>
      </c>
      <c r="I448" s="3218"/>
      <c r="J448" s="3218"/>
      <c r="K448" s="3218"/>
      <c r="L448" s="3218"/>
      <c r="M448" s="3218"/>
      <c r="N448" s="3218"/>
      <c r="O448" s="3218"/>
      <c r="P448" s="3218"/>
      <c r="Q448" s="3218"/>
      <c r="R448" s="3218"/>
      <c r="S448" s="3218"/>
      <c r="T448" s="3218"/>
      <c r="U448" s="3218"/>
      <c r="V448" s="3218"/>
      <c r="W448" s="3218"/>
      <c r="X448" s="3218"/>
      <c r="Y448" s="3218"/>
      <c r="Z448" s="3218"/>
      <c r="AA448" s="3218"/>
      <c r="AB448" s="3218"/>
      <c r="AC448" s="3199">
        <f t="shared" si="268"/>
        <v>0</v>
      </c>
      <c r="AD448" s="3229"/>
      <c r="AE448" s="3229"/>
      <c r="AF448" s="3229"/>
      <c r="AG448" s="3229"/>
      <c r="AH448" s="3229"/>
      <c r="AI448" s="3229"/>
      <c r="AJ448" s="3229"/>
      <c r="AK448" s="3229"/>
      <c r="AL448" s="3229"/>
      <c r="AM448" s="3229"/>
      <c r="AN448" s="3229"/>
      <c r="AO448" s="3229"/>
      <c r="AP448" s="3229"/>
      <c r="AQ448" s="3229"/>
      <c r="AR448" s="3229"/>
      <c r="AS448" s="3229"/>
      <c r="AT448" s="3249"/>
      <c r="AU448" s="3250"/>
      <c r="AV448" s="475">
        <f t="shared" si="269"/>
        <v>0</v>
      </c>
      <c r="AW448" s="475">
        <f t="shared" si="270"/>
        <v>0</v>
      </c>
      <c r="AX448" s="475">
        <f t="shared" si="271"/>
        <v>0</v>
      </c>
      <c r="AY448" s="3266">
        <f t="shared" si="272"/>
        <v>0</v>
      </c>
      <c r="AZ448" s="3199">
        <f t="shared" si="273"/>
        <v>0</v>
      </c>
      <c r="BA448" s="3199">
        <f t="shared" si="274"/>
        <v>0</v>
      </c>
      <c r="BB448" s="3199">
        <f t="shared" si="275"/>
        <v>0</v>
      </c>
      <c r="BC448" s="3199">
        <f t="shared" si="276"/>
        <v>0</v>
      </c>
      <c r="BD448" s="3199">
        <f t="shared" si="277"/>
        <v>0</v>
      </c>
      <c r="BE448" s="3199">
        <f t="shared" si="278"/>
        <v>0</v>
      </c>
      <c r="BF448" s="3199">
        <f t="shared" si="279"/>
        <v>0</v>
      </c>
      <c r="BG448" s="3199">
        <f t="shared" si="280"/>
        <v>0</v>
      </c>
      <c r="BH448" s="3199">
        <f t="shared" si="281"/>
        <v>0</v>
      </c>
      <c r="BI448" s="3199">
        <f t="shared" si="282"/>
        <v>0</v>
      </c>
      <c r="BJ448" s="3199">
        <f t="shared" si="283"/>
        <v>0</v>
      </c>
      <c r="BK448" s="3199">
        <f t="shared" si="284"/>
        <v>0</v>
      </c>
      <c r="BL448" s="3199">
        <f t="shared" si="285"/>
        <v>0</v>
      </c>
      <c r="BM448" s="3199">
        <f t="shared" si="286"/>
        <v>0</v>
      </c>
      <c r="BN448" s="3199">
        <f t="shared" si="287"/>
        <v>0</v>
      </c>
      <c r="BO448" s="3199">
        <f t="shared" si="288"/>
        <v>0</v>
      </c>
      <c r="BP448" s="3199">
        <f t="shared" si="289"/>
        <v>0</v>
      </c>
      <c r="BQ448" s="3199">
        <f t="shared" si="290"/>
        <v>0</v>
      </c>
      <c r="BR448" s="3199">
        <f t="shared" si="291"/>
        <v>0</v>
      </c>
      <c r="BS448" s="3199">
        <f t="shared" si="292"/>
        <v>0</v>
      </c>
      <c r="BT448" s="3271">
        <f t="shared" si="293"/>
        <v>0</v>
      </c>
    </row>
    <row r="449" spans="1:72">
      <c r="A449" s="3197"/>
      <c r="B449" s="3198"/>
      <c r="C449" s="3198"/>
      <c r="D449" s="3193"/>
      <c r="E449" s="3199">
        <f t="shared" si="265"/>
        <v>0</v>
      </c>
      <c r="F449" s="3200"/>
      <c r="G449" s="3201">
        <f t="shared" si="266"/>
        <v>0</v>
      </c>
      <c r="H449" s="3202">
        <f t="shared" si="267"/>
        <v>0</v>
      </c>
      <c r="I449" s="3218"/>
      <c r="J449" s="3218"/>
      <c r="K449" s="3218"/>
      <c r="L449" s="3218"/>
      <c r="M449" s="3218"/>
      <c r="N449" s="3218"/>
      <c r="O449" s="3218"/>
      <c r="P449" s="3218"/>
      <c r="Q449" s="3218"/>
      <c r="R449" s="3218"/>
      <c r="S449" s="3218"/>
      <c r="T449" s="3218"/>
      <c r="U449" s="3218"/>
      <c r="V449" s="3218"/>
      <c r="W449" s="3218"/>
      <c r="X449" s="3218"/>
      <c r="Y449" s="3218"/>
      <c r="Z449" s="3218"/>
      <c r="AA449" s="3218"/>
      <c r="AB449" s="3218"/>
      <c r="AC449" s="3199">
        <f t="shared" si="268"/>
        <v>0</v>
      </c>
      <c r="AD449" s="3229"/>
      <c r="AE449" s="3229"/>
      <c r="AF449" s="3229"/>
      <c r="AG449" s="3229"/>
      <c r="AH449" s="3229"/>
      <c r="AI449" s="3229"/>
      <c r="AJ449" s="3229"/>
      <c r="AK449" s="3229"/>
      <c r="AL449" s="3229"/>
      <c r="AM449" s="3229"/>
      <c r="AN449" s="3229"/>
      <c r="AO449" s="3229"/>
      <c r="AP449" s="3229"/>
      <c r="AQ449" s="3229"/>
      <c r="AR449" s="3229"/>
      <c r="AS449" s="3229"/>
      <c r="AT449" s="3249"/>
      <c r="AU449" s="3250"/>
      <c r="AV449" s="475">
        <f t="shared" si="269"/>
        <v>0</v>
      </c>
      <c r="AW449" s="475">
        <f t="shared" si="270"/>
        <v>0</v>
      </c>
      <c r="AX449" s="475">
        <f t="shared" si="271"/>
        <v>0</v>
      </c>
      <c r="AY449" s="3266">
        <f t="shared" si="272"/>
        <v>0</v>
      </c>
      <c r="AZ449" s="3199">
        <f t="shared" si="273"/>
        <v>0</v>
      </c>
      <c r="BA449" s="3199">
        <f t="shared" si="274"/>
        <v>0</v>
      </c>
      <c r="BB449" s="3199">
        <f t="shared" si="275"/>
        <v>0</v>
      </c>
      <c r="BC449" s="3199">
        <f t="shared" si="276"/>
        <v>0</v>
      </c>
      <c r="BD449" s="3199">
        <f t="shared" si="277"/>
        <v>0</v>
      </c>
      <c r="BE449" s="3199">
        <f t="shared" si="278"/>
        <v>0</v>
      </c>
      <c r="BF449" s="3199">
        <f t="shared" si="279"/>
        <v>0</v>
      </c>
      <c r="BG449" s="3199">
        <f t="shared" si="280"/>
        <v>0</v>
      </c>
      <c r="BH449" s="3199">
        <f t="shared" si="281"/>
        <v>0</v>
      </c>
      <c r="BI449" s="3199">
        <f t="shared" si="282"/>
        <v>0</v>
      </c>
      <c r="BJ449" s="3199">
        <f t="shared" si="283"/>
        <v>0</v>
      </c>
      <c r="BK449" s="3199">
        <f t="shared" si="284"/>
        <v>0</v>
      </c>
      <c r="BL449" s="3199">
        <f t="shared" si="285"/>
        <v>0</v>
      </c>
      <c r="BM449" s="3199">
        <f t="shared" si="286"/>
        <v>0</v>
      </c>
      <c r="BN449" s="3199">
        <f t="shared" si="287"/>
        <v>0</v>
      </c>
      <c r="BO449" s="3199">
        <f t="shared" si="288"/>
        <v>0</v>
      </c>
      <c r="BP449" s="3199">
        <f t="shared" si="289"/>
        <v>0</v>
      </c>
      <c r="BQ449" s="3199">
        <f t="shared" si="290"/>
        <v>0</v>
      </c>
      <c r="BR449" s="3199">
        <f t="shared" si="291"/>
        <v>0</v>
      </c>
      <c r="BS449" s="3199">
        <f t="shared" si="292"/>
        <v>0</v>
      </c>
      <c r="BT449" s="3271">
        <f t="shared" si="293"/>
        <v>0</v>
      </c>
    </row>
    <row r="450" spans="1:72">
      <c r="A450" s="3197"/>
      <c r="B450" s="3198"/>
      <c r="C450" s="3198"/>
      <c r="D450" s="3193"/>
      <c r="E450" s="3199">
        <f t="shared" si="265"/>
        <v>0</v>
      </c>
      <c r="F450" s="3200"/>
      <c r="G450" s="3201">
        <f t="shared" si="266"/>
        <v>0</v>
      </c>
      <c r="H450" s="3202">
        <f t="shared" si="267"/>
        <v>0</v>
      </c>
      <c r="I450" s="3218"/>
      <c r="J450" s="3218"/>
      <c r="K450" s="3218"/>
      <c r="L450" s="3218"/>
      <c r="M450" s="3218"/>
      <c r="N450" s="3218"/>
      <c r="O450" s="3218"/>
      <c r="P450" s="3218"/>
      <c r="Q450" s="3218"/>
      <c r="R450" s="3218"/>
      <c r="S450" s="3218"/>
      <c r="T450" s="3218"/>
      <c r="U450" s="3218"/>
      <c r="V450" s="3218"/>
      <c r="W450" s="3218"/>
      <c r="X450" s="3218"/>
      <c r="Y450" s="3218"/>
      <c r="Z450" s="3218"/>
      <c r="AA450" s="3218"/>
      <c r="AB450" s="3218"/>
      <c r="AC450" s="3199">
        <f t="shared" si="268"/>
        <v>0</v>
      </c>
      <c r="AD450" s="3229"/>
      <c r="AE450" s="3229"/>
      <c r="AF450" s="3229"/>
      <c r="AG450" s="3229"/>
      <c r="AH450" s="3229"/>
      <c r="AI450" s="3229"/>
      <c r="AJ450" s="3229"/>
      <c r="AK450" s="3229"/>
      <c r="AL450" s="3229"/>
      <c r="AM450" s="3229"/>
      <c r="AN450" s="3229"/>
      <c r="AO450" s="3229"/>
      <c r="AP450" s="3229"/>
      <c r="AQ450" s="3229"/>
      <c r="AR450" s="3229"/>
      <c r="AS450" s="3229"/>
      <c r="AT450" s="3249"/>
      <c r="AU450" s="3250"/>
      <c r="AV450" s="475">
        <f t="shared" si="269"/>
        <v>0</v>
      </c>
      <c r="AW450" s="475">
        <f t="shared" si="270"/>
        <v>0</v>
      </c>
      <c r="AX450" s="475">
        <f t="shared" si="271"/>
        <v>0</v>
      </c>
      <c r="AY450" s="3266">
        <f t="shared" si="272"/>
        <v>0</v>
      </c>
      <c r="AZ450" s="3199">
        <f t="shared" si="273"/>
        <v>0</v>
      </c>
      <c r="BA450" s="3199">
        <f t="shared" si="274"/>
        <v>0</v>
      </c>
      <c r="BB450" s="3199">
        <f t="shared" si="275"/>
        <v>0</v>
      </c>
      <c r="BC450" s="3199">
        <f t="shared" si="276"/>
        <v>0</v>
      </c>
      <c r="BD450" s="3199">
        <f t="shared" si="277"/>
        <v>0</v>
      </c>
      <c r="BE450" s="3199">
        <f t="shared" si="278"/>
        <v>0</v>
      </c>
      <c r="BF450" s="3199">
        <f t="shared" si="279"/>
        <v>0</v>
      </c>
      <c r="BG450" s="3199">
        <f t="shared" si="280"/>
        <v>0</v>
      </c>
      <c r="BH450" s="3199">
        <f t="shared" si="281"/>
        <v>0</v>
      </c>
      <c r="BI450" s="3199">
        <f t="shared" si="282"/>
        <v>0</v>
      </c>
      <c r="BJ450" s="3199">
        <f t="shared" si="283"/>
        <v>0</v>
      </c>
      <c r="BK450" s="3199">
        <f t="shared" si="284"/>
        <v>0</v>
      </c>
      <c r="BL450" s="3199">
        <f t="shared" si="285"/>
        <v>0</v>
      </c>
      <c r="BM450" s="3199">
        <f t="shared" si="286"/>
        <v>0</v>
      </c>
      <c r="BN450" s="3199">
        <f t="shared" si="287"/>
        <v>0</v>
      </c>
      <c r="BO450" s="3199">
        <f t="shared" si="288"/>
        <v>0</v>
      </c>
      <c r="BP450" s="3199">
        <f t="shared" si="289"/>
        <v>0</v>
      </c>
      <c r="BQ450" s="3199">
        <f t="shared" si="290"/>
        <v>0</v>
      </c>
      <c r="BR450" s="3199">
        <f t="shared" si="291"/>
        <v>0</v>
      </c>
      <c r="BS450" s="3199">
        <f t="shared" si="292"/>
        <v>0</v>
      </c>
      <c r="BT450" s="3271">
        <f t="shared" si="293"/>
        <v>0</v>
      </c>
    </row>
    <row r="451" spans="1:72">
      <c r="A451" s="3197"/>
      <c r="B451" s="3198"/>
      <c r="C451" s="3198"/>
      <c r="D451" s="3193"/>
      <c r="E451" s="3199">
        <f t="shared" si="265"/>
        <v>0</v>
      </c>
      <c r="F451" s="3200"/>
      <c r="G451" s="3201">
        <f t="shared" si="266"/>
        <v>0</v>
      </c>
      <c r="H451" s="3202">
        <f t="shared" si="267"/>
        <v>0</v>
      </c>
      <c r="I451" s="3218"/>
      <c r="J451" s="3218"/>
      <c r="K451" s="3218"/>
      <c r="L451" s="3218"/>
      <c r="M451" s="3218"/>
      <c r="N451" s="3218"/>
      <c r="O451" s="3218"/>
      <c r="P451" s="3218"/>
      <c r="Q451" s="3218"/>
      <c r="R451" s="3218"/>
      <c r="S451" s="3218"/>
      <c r="T451" s="3218"/>
      <c r="U451" s="3218"/>
      <c r="V451" s="3218"/>
      <c r="W451" s="3218"/>
      <c r="X451" s="3218"/>
      <c r="Y451" s="3218"/>
      <c r="Z451" s="3218"/>
      <c r="AA451" s="3218"/>
      <c r="AB451" s="3218"/>
      <c r="AC451" s="3199">
        <f t="shared" si="268"/>
        <v>0</v>
      </c>
      <c r="AD451" s="3229"/>
      <c r="AE451" s="3229"/>
      <c r="AF451" s="3229"/>
      <c r="AG451" s="3229"/>
      <c r="AH451" s="3229"/>
      <c r="AI451" s="3229"/>
      <c r="AJ451" s="3229"/>
      <c r="AK451" s="3229"/>
      <c r="AL451" s="3229"/>
      <c r="AM451" s="3229"/>
      <c r="AN451" s="3229"/>
      <c r="AO451" s="3229"/>
      <c r="AP451" s="3229"/>
      <c r="AQ451" s="3229"/>
      <c r="AR451" s="3229"/>
      <c r="AS451" s="3229"/>
      <c r="AT451" s="3249"/>
      <c r="AU451" s="3250"/>
      <c r="AV451" s="475">
        <f t="shared" si="269"/>
        <v>0</v>
      </c>
      <c r="AW451" s="475">
        <f t="shared" si="270"/>
        <v>0</v>
      </c>
      <c r="AX451" s="475">
        <f t="shared" si="271"/>
        <v>0</v>
      </c>
      <c r="AY451" s="3266">
        <f t="shared" si="272"/>
        <v>0</v>
      </c>
      <c r="AZ451" s="3199">
        <f t="shared" si="273"/>
        <v>0</v>
      </c>
      <c r="BA451" s="3199">
        <f t="shared" si="274"/>
        <v>0</v>
      </c>
      <c r="BB451" s="3199">
        <f t="shared" si="275"/>
        <v>0</v>
      </c>
      <c r="BC451" s="3199">
        <f t="shared" si="276"/>
        <v>0</v>
      </c>
      <c r="BD451" s="3199">
        <f t="shared" si="277"/>
        <v>0</v>
      </c>
      <c r="BE451" s="3199">
        <f t="shared" si="278"/>
        <v>0</v>
      </c>
      <c r="BF451" s="3199">
        <f t="shared" si="279"/>
        <v>0</v>
      </c>
      <c r="BG451" s="3199">
        <f t="shared" si="280"/>
        <v>0</v>
      </c>
      <c r="BH451" s="3199">
        <f t="shared" si="281"/>
        <v>0</v>
      </c>
      <c r="BI451" s="3199">
        <f t="shared" si="282"/>
        <v>0</v>
      </c>
      <c r="BJ451" s="3199">
        <f t="shared" si="283"/>
        <v>0</v>
      </c>
      <c r="BK451" s="3199">
        <f t="shared" si="284"/>
        <v>0</v>
      </c>
      <c r="BL451" s="3199">
        <f t="shared" si="285"/>
        <v>0</v>
      </c>
      <c r="BM451" s="3199">
        <f t="shared" si="286"/>
        <v>0</v>
      </c>
      <c r="BN451" s="3199">
        <f t="shared" si="287"/>
        <v>0</v>
      </c>
      <c r="BO451" s="3199">
        <f t="shared" si="288"/>
        <v>0</v>
      </c>
      <c r="BP451" s="3199">
        <f t="shared" si="289"/>
        <v>0</v>
      </c>
      <c r="BQ451" s="3199">
        <f t="shared" si="290"/>
        <v>0</v>
      </c>
      <c r="BR451" s="3199">
        <f t="shared" si="291"/>
        <v>0</v>
      </c>
      <c r="BS451" s="3199">
        <f t="shared" si="292"/>
        <v>0</v>
      </c>
      <c r="BT451" s="3271">
        <f t="shared" si="293"/>
        <v>0</v>
      </c>
    </row>
    <row r="452" spans="1:72">
      <c r="A452" s="3197"/>
      <c r="B452" s="3198"/>
      <c r="C452" s="3198"/>
      <c r="D452" s="3193"/>
      <c r="E452" s="3199">
        <f t="shared" si="265"/>
        <v>0</v>
      </c>
      <c r="F452" s="3200"/>
      <c r="G452" s="3201">
        <f t="shared" si="266"/>
        <v>0</v>
      </c>
      <c r="H452" s="3202">
        <f t="shared" si="267"/>
        <v>0</v>
      </c>
      <c r="I452" s="3218"/>
      <c r="J452" s="3218"/>
      <c r="K452" s="3218"/>
      <c r="L452" s="3218"/>
      <c r="M452" s="3218"/>
      <c r="N452" s="3218"/>
      <c r="O452" s="3218"/>
      <c r="P452" s="3218"/>
      <c r="Q452" s="3218"/>
      <c r="R452" s="3218"/>
      <c r="S452" s="3218"/>
      <c r="T452" s="3218"/>
      <c r="U452" s="3218"/>
      <c r="V452" s="3218"/>
      <c r="W452" s="3218"/>
      <c r="X452" s="3218"/>
      <c r="Y452" s="3218"/>
      <c r="Z452" s="3218"/>
      <c r="AA452" s="3218"/>
      <c r="AB452" s="3218"/>
      <c r="AC452" s="3199">
        <f t="shared" si="268"/>
        <v>0</v>
      </c>
      <c r="AD452" s="3229"/>
      <c r="AE452" s="3229"/>
      <c r="AF452" s="3229"/>
      <c r="AG452" s="3229"/>
      <c r="AH452" s="3229"/>
      <c r="AI452" s="3229"/>
      <c r="AJ452" s="3229"/>
      <c r="AK452" s="3229"/>
      <c r="AL452" s="3229"/>
      <c r="AM452" s="3229"/>
      <c r="AN452" s="3229"/>
      <c r="AO452" s="3229"/>
      <c r="AP452" s="3229"/>
      <c r="AQ452" s="3229"/>
      <c r="AR452" s="3229"/>
      <c r="AS452" s="3229"/>
      <c r="AT452" s="3249"/>
      <c r="AU452" s="3250"/>
      <c r="AV452" s="475">
        <f t="shared" si="269"/>
        <v>0</v>
      </c>
      <c r="AW452" s="475">
        <f t="shared" si="270"/>
        <v>0</v>
      </c>
      <c r="AX452" s="475">
        <f t="shared" si="271"/>
        <v>0</v>
      </c>
      <c r="AY452" s="3266">
        <f t="shared" si="272"/>
        <v>0</v>
      </c>
      <c r="AZ452" s="3199">
        <f t="shared" si="273"/>
        <v>0</v>
      </c>
      <c r="BA452" s="3199">
        <f t="shared" si="274"/>
        <v>0</v>
      </c>
      <c r="BB452" s="3199">
        <f t="shared" si="275"/>
        <v>0</v>
      </c>
      <c r="BC452" s="3199">
        <f t="shared" si="276"/>
        <v>0</v>
      </c>
      <c r="BD452" s="3199">
        <f t="shared" si="277"/>
        <v>0</v>
      </c>
      <c r="BE452" s="3199">
        <f t="shared" si="278"/>
        <v>0</v>
      </c>
      <c r="BF452" s="3199">
        <f t="shared" si="279"/>
        <v>0</v>
      </c>
      <c r="BG452" s="3199">
        <f t="shared" si="280"/>
        <v>0</v>
      </c>
      <c r="BH452" s="3199">
        <f t="shared" si="281"/>
        <v>0</v>
      </c>
      <c r="BI452" s="3199">
        <f t="shared" si="282"/>
        <v>0</v>
      </c>
      <c r="BJ452" s="3199">
        <f t="shared" si="283"/>
        <v>0</v>
      </c>
      <c r="BK452" s="3199">
        <f t="shared" si="284"/>
        <v>0</v>
      </c>
      <c r="BL452" s="3199">
        <f t="shared" si="285"/>
        <v>0</v>
      </c>
      <c r="BM452" s="3199">
        <f t="shared" si="286"/>
        <v>0</v>
      </c>
      <c r="BN452" s="3199">
        <f t="shared" si="287"/>
        <v>0</v>
      </c>
      <c r="BO452" s="3199">
        <f t="shared" si="288"/>
        <v>0</v>
      </c>
      <c r="BP452" s="3199">
        <f t="shared" si="289"/>
        <v>0</v>
      </c>
      <c r="BQ452" s="3199">
        <f t="shared" si="290"/>
        <v>0</v>
      </c>
      <c r="BR452" s="3199">
        <f t="shared" si="291"/>
        <v>0</v>
      </c>
      <c r="BS452" s="3199">
        <f t="shared" si="292"/>
        <v>0</v>
      </c>
      <c r="BT452" s="3271">
        <f t="shared" si="293"/>
        <v>0</v>
      </c>
    </row>
    <row r="453" spans="1:72">
      <c r="A453" s="3197"/>
      <c r="B453" s="3198"/>
      <c r="C453" s="3198"/>
      <c r="D453" s="3193"/>
      <c r="E453" s="3199">
        <f t="shared" si="265"/>
        <v>0</v>
      </c>
      <c r="F453" s="3200"/>
      <c r="G453" s="3201">
        <f t="shared" si="266"/>
        <v>0</v>
      </c>
      <c r="H453" s="3202">
        <f t="shared" si="267"/>
        <v>0</v>
      </c>
      <c r="I453" s="3218"/>
      <c r="J453" s="3218"/>
      <c r="K453" s="3218"/>
      <c r="L453" s="3218"/>
      <c r="M453" s="3218"/>
      <c r="N453" s="3218"/>
      <c r="O453" s="3218"/>
      <c r="P453" s="3218"/>
      <c r="Q453" s="3218"/>
      <c r="R453" s="3218"/>
      <c r="S453" s="3218"/>
      <c r="T453" s="3218"/>
      <c r="U453" s="3218"/>
      <c r="V453" s="3218"/>
      <c r="W453" s="3218"/>
      <c r="X453" s="3218"/>
      <c r="Y453" s="3218"/>
      <c r="Z453" s="3218"/>
      <c r="AA453" s="3218"/>
      <c r="AB453" s="3218"/>
      <c r="AC453" s="3199">
        <f t="shared" si="268"/>
        <v>0</v>
      </c>
      <c r="AD453" s="3229"/>
      <c r="AE453" s="3229"/>
      <c r="AF453" s="3229"/>
      <c r="AG453" s="3229"/>
      <c r="AH453" s="3229"/>
      <c r="AI453" s="3229"/>
      <c r="AJ453" s="3229"/>
      <c r="AK453" s="3229"/>
      <c r="AL453" s="3229"/>
      <c r="AM453" s="3229"/>
      <c r="AN453" s="3229"/>
      <c r="AO453" s="3229"/>
      <c r="AP453" s="3229"/>
      <c r="AQ453" s="3229"/>
      <c r="AR453" s="3229"/>
      <c r="AS453" s="3229"/>
      <c r="AT453" s="3249"/>
      <c r="AU453" s="3250"/>
      <c r="AV453" s="475">
        <f t="shared" si="269"/>
        <v>0</v>
      </c>
      <c r="AW453" s="475">
        <f t="shared" si="270"/>
        <v>0</v>
      </c>
      <c r="AX453" s="475">
        <f t="shared" si="271"/>
        <v>0</v>
      </c>
      <c r="AY453" s="3266">
        <f t="shared" si="272"/>
        <v>0</v>
      </c>
      <c r="AZ453" s="3199">
        <f t="shared" si="273"/>
        <v>0</v>
      </c>
      <c r="BA453" s="3199">
        <f t="shared" si="274"/>
        <v>0</v>
      </c>
      <c r="BB453" s="3199">
        <f t="shared" si="275"/>
        <v>0</v>
      </c>
      <c r="BC453" s="3199">
        <f t="shared" si="276"/>
        <v>0</v>
      </c>
      <c r="BD453" s="3199">
        <f t="shared" si="277"/>
        <v>0</v>
      </c>
      <c r="BE453" s="3199">
        <f t="shared" si="278"/>
        <v>0</v>
      </c>
      <c r="BF453" s="3199">
        <f t="shared" si="279"/>
        <v>0</v>
      </c>
      <c r="BG453" s="3199">
        <f t="shared" si="280"/>
        <v>0</v>
      </c>
      <c r="BH453" s="3199">
        <f t="shared" si="281"/>
        <v>0</v>
      </c>
      <c r="BI453" s="3199">
        <f t="shared" si="282"/>
        <v>0</v>
      </c>
      <c r="BJ453" s="3199">
        <f t="shared" si="283"/>
        <v>0</v>
      </c>
      <c r="BK453" s="3199">
        <f t="shared" si="284"/>
        <v>0</v>
      </c>
      <c r="BL453" s="3199">
        <f t="shared" si="285"/>
        <v>0</v>
      </c>
      <c r="BM453" s="3199">
        <f t="shared" si="286"/>
        <v>0</v>
      </c>
      <c r="BN453" s="3199">
        <f t="shared" si="287"/>
        <v>0</v>
      </c>
      <c r="BO453" s="3199">
        <f t="shared" si="288"/>
        <v>0</v>
      </c>
      <c r="BP453" s="3199">
        <f t="shared" si="289"/>
        <v>0</v>
      </c>
      <c r="BQ453" s="3199">
        <f t="shared" si="290"/>
        <v>0</v>
      </c>
      <c r="BR453" s="3199">
        <f t="shared" si="291"/>
        <v>0</v>
      </c>
      <c r="BS453" s="3199">
        <f t="shared" si="292"/>
        <v>0</v>
      </c>
      <c r="BT453" s="3271">
        <f t="shared" si="293"/>
        <v>0</v>
      </c>
    </row>
    <row r="454" spans="1:72">
      <c r="A454" s="3197"/>
      <c r="B454" s="3198"/>
      <c r="C454" s="3198"/>
      <c r="D454" s="3193"/>
      <c r="E454" s="3199">
        <f t="shared" si="265"/>
        <v>0</v>
      </c>
      <c r="F454" s="3200"/>
      <c r="G454" s="3201">
        <f t="shared" si="266"/>
        <v>0</v>
      </c>
      <c r="H454" s="3202">
        <f t="shared" si="267"/>
        <v>0</v>
      </c>
      <c r="I454" s="3218"/>
      <c r="J454" s="3218"/>
      <c r="K454" s="3218"/>
      <c r="L454" s="3218"/>
      <c r="M454" s="3218"/>
      <c r="N454" s="3218"/>
      <c r="O454" s="3218"/>
      <c r="P454" s="3218"/>
      <c r="Q454" s="3218"/>
      <c r="R454" s="3218"/>
      <c r="S454" s="3218"/>
      <c r="T454" s="3218"/>
      <c r="U454" s="3218"/>
      <c r="V454" s="3218"/>
      <c r="W454" s="3218"/>
      <c r="X454" s="3218"/>
      <c r="Y454" s="3218"/>
      <c r="Z454" s="3218"/>
      <c r="AA454" s="3218"/>
      <c r="AB454" s="3218"/>
      <c r="AC454" s="3199">
        <f t="shared" si="268"/>
        <v>0</v>
      </c>
      <c r="AD454" s="3229"/>
      <c r="AE454" s="3229"/>
      <c r="AF454" s="3229"/>
      <c r="AG454" s="3229"/>
      <c r="AH454" s="3229"/>
      <c r="AI454" s="3229"/>
      <c r="AJ454" s="3229"/>
      <c r="AK454" s="3229"/>
      <c r="AL454" s="3229"/>
      <c r="AM454" s="3229"/>
      <c r="AN454" s="3229"/>
      <c r="AO454" s="3229"/>
      <c r="AP454" s="3229"/>
      <c r="AQ454" s="3229"/>
      <c r="AR454" s="3229"/>
      <c r="AS454" s="3229"/>
      <c r="AT454" s="3249"/>
      <c r="AU454" s="3250"/>
      <c r="AV454" s="475">
        <f t="shared" si="269"/>
        <v>0</v>
      </c>
      <c r="AW454" s="475">
        <f t="shared" si="270"/>
        <v>0</v>
      </c>
      <c r="AX454" s="475">
        <f t="shared" si="271"/>
        <v>0</v>
      </c>
      <c r="AY454" s="3266">
        <f t="shared" si="272"/>
        <v>0</v>
      </c>
      <c r="AZ454" s="3199">
        <f t="shared" si="273"/>
        <v>0</v>
      </c>
      <c r="BA454" s="3199">
        <f t="shared" si="274"/>
        <v>0</v>
      </c>
      <c r="BB454" s="3199">
        <f t="shared" si="275"/>
        <v>0</v>
      </c>
      <c r="BC454" s="3199">
        <f t="shared" si="276"/>
        <v>0</v>
      </c>
      <c r="BD454" s="3199">
        <f t="shared" si="277"/>
        <v>0</v>
      </c>
      <c r="BE454" s="3199">
        <f t="shared" si="278"/>
        <v>0</v>
      </c>
      <c r="BF454" s="3199">
        <f t="shared" si="279"/>
        <v>0</v>
      </c>
      <c r="BG454" s="3199">
        <f t="shared" si="280"/>
        <v>0</v>
      </c>
      <c r="BH454" s="3199">
        <f t="shared" si="281"/>
        <v>0</v>
      </c>
      <c r="BI454" s="3199">
        <f t="shared" si="282"/>
        <v>0</v>
      </c>
      <c r="BJ454" s="3199">
        <f t="shared" si="283"/>
        <v>0</v>
      </c>
      <c r="BK454" s="3199">
        <f t="shared" si="284"/>
        <v>0</v>
      </c>
      <c r="BL454" s="3199">
        <f t="shared" si="285"/>
        <v>0</v>
      </c>
      <c r="BM454" s="3199">
        <f t="shared" si="286"/>
        <v>0</v>
      </c>
      <c r="BN454" s="3199">
        <f t="shared" si="287"/>
        <v>0</v>
      </c>
      <c r="BO454" s="3199">
        <f t="shared" si="288"/>
        <v>0</v>
      </c>
      <c r="BP454" s="3199">
        <f t="shared" si="289"/>
        <v>0</v>
      </c>
      <c r="BQ454" s="3199">
        <f t="shared" si="290"/>
        <v>0</v>
      </c>
      <c r="BR454" s="3199">
        <f t="shared" si="291"/>
        <v>0</v>
      </c>
      <c r="BS454" s="3199">
        <f t="shared" si="292"/>
        <v>0</v>
      </c>
      <c r="BT454" s="3271">
        <f t="shared" si="293"/>
        <v>0</v>
      </c>
    </row>
    <row r="455" spans="1:72">
      <c r="A455" s="3197"/>
      <c r="B455" s="3198"/>
      <c r="C455" s="3198"/>
      <c r="D455" s="3193"/>
      <c r="E455" s="3199">
        <f t="shared" si="265"/>
        <v>0</v>
      </c>
      <c r="F455" s="3200"/>
      <c r="G455" s="3201">
        <f t="shared" si="266"/>
        <v>0</v>
      </c>
      <c r="H455" s="3202">
        <f t="shared" si="267"/>
        <v>0</v>
      </c>
      <c r="I455" s="3218"/>
      <c r="J455" s="3218"/>
      <c r="K455" s="3218"/>
      <c r="L455" s="3218"/>
      <c r="M455" s="3218"/>
      <c r="N455" s="3218"/>
      <c r="O455" s="3218"/>
      <c r="P455" s="3218"/>
      <c r="Q455" s="3218"/>
      <c r="R455" s="3218"/>
      <c r="S455" s="3218"/>
      <c r="T455" s="3218"/>
      <c r="U455" s="3218"/>
      <c r="V455" s="3218"/>
      <c r="W455" s="3218"/>
      <c r="X455" s="3218"/>
      <c r="Y455" s="3218"/>
      <c r="Z455" s="3218"/>
      <c r="AA455" s="3218"/>
      <c r="AB455" s="3218"/>
      <c r="AC455" s="3199">
        <f t="shared" si="268"/>
        <v>0</v>
      </c>
      <c r="AD455" s="3229"/>
      <c r="AE455" s="3229"/>
      <c r="AF455" s="3229"/>
      <c r="AG455" s="3229"/>
      <c r="AH455" s="3229"/>
      <c r="AI455" s="3229"/>
      <c r="AJ455" s="3229"/>
      <c r="AK455" s="3229"/>
      <c r="AL455" s="3229"/>
      <c r="AM455" s="3229"/>
      <c r="AN455" s="3229"/>
      <c r="AO455" s="3229"/>
      <c r="AP455" s="3229"/>
      <c r="AQ455" s="3229"/>
      <c r="AR455" s="3229"/>
      <c r="AS455" s="3229"/>
      <c r="AT455" s="3249"/>
      <c r="AU455" s="3250"/>
      <c r="AV455" s="475">
        <f t="shared" si="269"/>
        <v>0</v>
      </c>
      <c r="AW455" s="475">
        <f t="shared" si="270"/>
        <v>0</v>
      </c>
      <c r="AX455" s="475">
        <f t="shared" si="271"/>
        <v>0</v>
      </c>
      <c r="AY455" s="3266">
        <f t="shared" si="272"/>
        <v>0</v>
      </c>
      <c r="AZ455" s="3199">
        <f t="shared" si="273"/>
        <v>0</v>
      </c>
      <c r="BA455" s="3199">
        <f t="shared" si="274"/>
        <v>0</v>
      </c>
      <c r="BB455" s="3199">
        <f t="shared" si="275"/>
        <v>0</v>
      </c>
      <c r="BC455" s="3199">
        <f t="shared" si="276"/>
        <v>0</v>
      </c>
      <c r="BD455" s="3199">
        <f t="shared" si="277"/>
        <v>0</v>
      </c>
      <c r="BE455" s="3199">
        <f t="shared" si="278"/>
        <v>0</v>
      </c>
      <c r="BF455" s="3199">
        <f t="shared" si="279"/>
        <v>0</v>
      </c>
      <c r="BG455" s="3199">
        <f t="shared" si="280"/>
        <v>0</v>
      </c>
      <c r="BH455" s="3199">
        <f t="shared" si="281"/>
        <v>0</v>
      </c>
      <c r="BI455" s="3199">
        <f t="shared" si="282"/>
        <v>0</v>
      </c>
      <c r="BJ455" s="3199">
        <f t="shared" si="283"/>
        <v>0</v>
      </c>
      <c r="BK455" s="3199">
        <f t="shared" si="284"/>
        <v>0</v>
      </c>
      <c r="BL455" s="3199">
        <f t="shared" si="285"/>
        <v>0</v>
      </c>
      <c r="BM455" s="3199">
        <f t="shared" si="286"/>
        <v>0</v>
      </c>
      <c r="BN455" s="3199">
        <f t="shared" si="287"/>
        <v>0</v>
      </c>
      <c r="BO455" s="3199">
        <f t="shared" si="288"/>
        <v>0</v>
      </c>
      <c r="BP455" s="3199">
        <f t="shared" si="289"/>
        <v>0</v>
      </c>
      <c r="BQ455" s="3199">
        <f t="shared" si="290"/>
        <v>0</v>
      </c>
      <c r="BR455" s="3199">
        <f t="shared" si="291"/>
        <v>0</v>
      </c>
      <c r="BS455" s="3199">
        <f t="shared" si="292"/>
        <v>0</v>
      </c>
      <c r="BT455" s="3271">
        <f t="shared" si="293"/>
        <v>0</v>
      </c>
    </row>
    <row r="456" spans="1:72">
      <c r="A456" s="3197"/>
      <c r="B456" s="3198"/>
      <c r="C456" s="3198"/>
      <c r="D456" s="3193"/>
      <c r="E456" s="3199">
        <f t="shared" si="265"/>
        <v>0</v>
      </c>
      <c r="F456" s="3200"/>
      <c r="G456" s="3201">
        <f t="shared" si="266"/>
        <v>0</v>
      </c>
      <c r="H456" s="3202">
        <f t="shared" si="267"/>
        <v>0</v>
      </c>
      <c r="I456" s="3218"/>
      <c r="J456" s="3218"/>
      <c r="K456" s="3218"/>
      <c r="L456" s="3218"/>
      <c r="M456" s="3218"/>
      <c r="N456" s="3218"/>
      <c r="O456" s="3218"/>
      <c r="P456" s="3218"/>
      <c r="Q456" s="3218"/>
      <c r="R456" s="3218"/>
      <c r="S456" s="3218"/>
      <c r="T456" s="3218"/>
      <c r="U456" s="3218"/>
      <c r="V456" s="3218"/>
      <c r="W456" s="3218"/>
      <c r="X456" s="3218"/>
      <c r="Y456" s="3218"/>
      <c r="Z456" s="3218"/>
      <c r="AA456" s="3218"/>
      <c r="AB456" s="3218"/>
      <c r="AC456" s="3199">
        <f t="shared" si="268"/>
        <v>0</v>
      </c>
      <c r="AD456" s="3229"/>
      <c r="AE456" s="3229"/>
      <c r="AF456" s="3229"/>
      <c r="AG456" s="3229"/>
      <c r="AH456" s="3229"/>
      <c r="AI456" s="3229"/>
      <c r="AJ456" s="3229"/>
      <c r="AK456" s="3229"/>
      <c r="AL456" s="3229"/>
      <c r="AM456" s="3229"/>
      <c r="AN456" s="3229"/>
      <c r="AO456" s="3229"/>
      <c r="AP456" s="3229"/>
      <c r="AQ456" s="3229"/>
      <c r="AR456" s="3229"/>
      <c r="AS456" s="3229"/>
      <c r="AT456" s="3249"/>
      <c r="AU456" s="3250"/>
      <c r="AV456" s="475">
        <f t="shared" si="269"/>
        <v>0</v>
      </c>
      <c r="AW456" s="475">
        <f t="shared" si="270"/>
        <v>0</v>
      </c>
      <c r="AX456" s="475">
        <f t="shared" si="271"/>
        <v>0</v>
      </c>
      <c r="AY456" s="3266">
        <f t="shared" si="272"/>
        <v>0</v>
      </c>
      <c r="AZ456" s="3199">
        <f t="shared" si="273"/>
        <v>0</v>
      </c>
      <c r="BA456" s="3199">
        <f t="shared" si="274"/>
        <v>0</v>
      </c>
      <c r="BB456" s="3199">
        <f t="shared" si="275"/>
        <v>0</v>
      </c>
      <c r="BC456" s="3199">
        <f t="shared" si="276"/>
        <v>0</v>
      </c>
      <c r="BD456" s="3199">
        <f t="shared" si="277"/>
        <v>0</v>
      </c>
      <c r="BE456" s="3199">
        <f t="shared" si="278"/>
        <v>0</v>
      </c>
      <c r="BF456" s="3199">
        <f t="shared" si="279"/>
        <v>0</v>
      </c>
      <c r="BG456" s="3199">
        <f t="shared" si="280"/>
        <v>0</v>
      </c>
      <c r="BH456" s="3199">
        <f t="shared" si="281"/>
        <v>0</v>
      </c>
      <c r="BI456" s="3199">
        <f t="shared" si="282"/>
        <v>0</v>
      </c>
      <c r="BJ456" s="3199">
        <f t="shared" si="283"/>
        <v>0</v>
      </c>
      <c r="BK456" s="3199">
        <f t="shared" si="284"/>
        <v>0</v>
      </c>
      <c r="BL456" s="3199">
        <f t="shared" si="285"/>
        <v>0</v>
      </c>
      <c r="BM456" s="3199">
        <f t="shared" si="286"/>
        <v>0</v>
      </c>
      <c r="BN456" s="3199">
        <f t="shared" si="287"/>
        <v>0</v>
      </c>
      <c r="BO456" s="3199">
        <f t="shared" si="288"/>
        <v>0</v>
      </c>
      <c r="BP456" s="3199">
        <f t="shared" si="289"/>
        <v>0</v>
      </c>
      <c r="BQ456" s="3199">
        <f t="shared" si="290"/>
        <v>0</v>
      </c>
      <c r="BR456" s="3199">
        <f t="shared" si="291"/>
        <v>0</v>
      </c>
      <c r="BS456" s="3199">
        <f t="shared" si="292"/>
        <v>0</v>
      </c>
      <c r="BT456" s="3271">
        <f t="shared" si="293"/>
        <v>0</v>
      </c>
    </row>
    <row r="457" spans="1:72">
      <c r="A457" s="3197"/>
      <c r="B457" s="3198"/>
      <c r="C457" s="3198"/>
      <c r="D457" s="3193"/>
      <c r="E457" s="3199">
        <f t="shared" si="265"/>
        <v>0</v>
      </c>
      <c r="F457" s="3200"/>
      <c r="G457" s="3201">
        <f t="shared" si="266"/>
        <v>0</v>
      </c>
      <c r="H457" s="3202">
        <f t="shared" si="267"/>
        <v>0</v>
      </c>
      <c r="I457" s="3218"/>
      <c r="J457" s="3218"/>
      <c r="K457" s="3218"/>
      <c r="L457" s="3218"/>
      <c r="M457" s="3218"/>
      <c r="N457" s="3218"/>
      <c r="O457" s="3218"/>
      <c r="P457" s="3218"/>
      <c r="Q457" s="3218"/>
      <c r="R457" s="3218"/>
      <c r="S457" s="3218"/>
      <c r="T457" s="3218"/>
      <c r="U457" s="3218"/>
      <c r="V457" s="3218"/>
      <c r="W457" s="3218"/>
      <c r="X457" s="3218"/>
      <c r="Y457" s="3218"/>
      <c r="Z457" s="3218"/>
      <c r="AA457" s="3218"/>
      <c r="AB457" s="3218"/>
      <c r="AC457" s="3199">
        <f t="shared" si="268"/>
        <v>0</v>
      </c>
      <c r="AD457" s="3229"/>
      <c r="AE457" s="3229"/>
      <c r="AF457" s="3229"/>
      <c r="AG457" s="3229"/>
      <c r="AH457" s="3229"/>
      <c r="AI457" s="3229"/>
      <c r="AJ457" s="3229"/>
      <c r="AK457" s="3229"/>
      <c r="AL457" s="3229"/>
      <c r="AM457" s="3229"/>
      <c r="AN457" s="3229"/>
      <c r="AO457" s="3229"/>
      <c r="AP457" s="3229"/>
      <c r="AQ457" s="3229"/>
      <c r="AR457" s="3229"/>
      <c r="AS457" s="3229"/>
      <c r="AT457" s="3249"/>
      <c r="AU457" s="3250"/>
      <c r="AV457" s="475">
        <f t="shared" si="269"/>
        <v>0</v>
      </c>
      <c r="AW457" s="475">
        <f t="shared" si="270"/>
        <v>0</v>
      </c>
      <c r="AX457" s="475">
        <f t="shared" si="271"/>
        <v>0</v>
      </c>
      <c r="AY457" s="3266">
        <f t="shared" si="272"/>
        <v>0</v>
      </c>
      <c r="AZ457" s="3199">
        <f t="shared" si="273"/>
        <v>0</v>
      </c>
      <c r="BA457" s="3199">
        <f t="shared" si="274"/>
        <v>0</v>
      </c>
      <c r="BB457" s="3199">
        <f t="shared" si="275"/>
        <v>0</v>
      </c>
      <c r="BC457" s="3199">
        <f t="shared" si="276"/>
        <v>0</v>
      </c>
      <c r="BD457" s="3199">
        <f t="shared" si="277"/>
        <v>0</v>
      </c>
      <c r="BE457" s="3199">
        <f t="shared" si="278"/>
        <v>0</v>
      </c>
      <c r="BF457" s="3199">
        <f t="shared" si="279"/>
        <v>0</v>
      </c>
      <c r="BG457" s="3199">
        <f t="shared" si="280"/>
        <v>0</v>
      </c>
      <c r="BH457" s="3199">
        <f t="shared" si="281"/>
        <v>0</v>
      </c>
      <c r="BI457" s="3199">
        <f t="shared" si="282"/>
        <v>0</v>
      </c>
      <c r="BJ457" s="3199">
        <f t="shared" si="283"/>
        <v>0</v>
      </c>
      <c r="BK457" s="3199">
        <f t="shared" si="284"/>
        <v>0</v>
      </c>
      <c r="BL457" s="3199">
        <f t="shared" si="285"/>
        <v>0</v>
      </c>
      <c r="BM457" s="3199">
        <f t="shared" si="286"/>
        <v>0</v>
      </c>
      <c r="BN457" s="3199">
        <f t="shared" si="287"/>
        <v>0</v>
      </c>
      <c r="BO457" s="3199">
        <f t="shared" si="288"/>
        <v>0</v>
      </c>
      <c r="BP457" s="3199">
        <f t="shared" si="289"/>
        <v>0</v>
      </c>
      <c r="BQ457" s="3199">
        <f t="shared" si="290"/>
        <v>0</v>
      </c>
      <c r="BR457" s="3199">
        <f t="shared" si="291"/>
        <v>0</v>
      </c>
      <c r="BS457" s="3199">
        <f t="shared" si="292"/>
        <v>0</v>
      </c>
      <c r="BT457" s="3271">
        <f t="shared" si="293"/>
        <v>0</v>
      </c>
    </row>
    <row r="458" spans="1:72">
      <c r="A458" s="3197"/>
      <c r="B458" s="3198"/>
      <c r="C458" s="3198"/>
      <c r="D458" s="3193"/>
      <c r="E458" s="3199">
        <f t="shared" si="265"/>
        <v>0</v>
      </c>
      <c r="F458" s="3200"/>
      <c r="G458" s="3201">
        <f t="shared" si="266"/>
        <v>0</v>
      </c>
      <c r="H458" s="3202">
        <f t="shared" si="267"/>
        <v>0</v>
      </c>
      <c r="I458" s="3218"/>
      <c r="J458" s="3218"/>
      <c r="K458" s="3218"/>
      <c r="L458" s="3218"/>
      <c r="M458" s="3218"/>
      <c r="N458" s="3218"/>
      <c r="O458" s="3218"/>
      <c r="P458" s="3218"/>
      <c r="Q458" s="3218"/>
      <c r="R458" s="3218"/>
      <c r="S458" s="3218"/>
      <c r="T458" s="3218"/>
      <c r="U458" s="3218"/>
      <c r="V458" s="3218"/>
      <c r="W458" s="3218"/>
      <c r="X458" s="3218"/>
      <c r="Y458" s="3218"/>
      <c r="Z458" s="3218"/>
      <c r="AA458" s="3218"/>
      <c r="AB458" s="3218"/>
      <c r="AC458" s="3199">
        <f t="shared" si="268"/>
        <v>0</v>
      </c>
      <c r="AD458" s="3229"/>
      <c r="AE458" s="3229"/>
      <c r="AF458" s="3229"/>
      <c r="AG458" s="3229"/>
      <c r="AH458" s="3229"/>
      <c r="AI458" s="3229"/>
      <c r="AJ458" s="3229"/>
      <c r="AK458" s="3229"/>
      <c r="AL458" s="3229"/>
      <c r="AM458" s="3229"/>
      <c r="AN458" s="3229"/>
      <c r="AO458" s="3229"/>
      <c r="AP458" s="3229"/>
      <c r="AQ458" s="3229"/>
      <c r="AR458" s="3229"/>
      <c r="AS458" s="3229"/>
      <c r="AT458" s="3249"/>
      <c r="AU458" s="3250"/>
      <c r="AV458" s="475">
        <f t="shared" si="269"/>
        <v>0</v>
      </c>
      <c r="AW458" s="475">
        <f t="shared" si="270"/>
        <v>0</v>
      </c>
      <c r="AX458" s="475">
        <f t="shared" si="271"/>
        <v>0</v>
      </c>
      <c r="AY458" s="3266">
        <f t="shared" si="272"/>
        <v>0</v>
      </c>
      <c r="AZ458" s="3199">
        <f t="shared" si="273"/>
        <v>0</v>
      </c>
      <c r="BA458" s="3199">
        <f t="shared" si="274"/>
        <v>0</v>
      </c>
      <c r="BB458" s="3199">
        <f t="shared" si="275"/>
        <v>0</v>
      </c>
      <c r="BC458" s="3199">
        <f t="shared" si="276"/>
        <v>0</v>
      </c>
      <c r="BD458" s="3199">
        <f t="shared" si="277"/>
        <v>0</v>
      </c>
      <c r="BE458" s="3199">
        <f t="shared" si="278"/>
        <v>0</v>
      </c>
      <c r="BF458" s="3199">
        <f t="shared" si="279"/>
        <v>0</v>
      </c>
      <c r="BG458" s="3199">
        <f t="shared" si="280"/>
        <v>0</v>
      </c>
      <c r="BH458" s="3199">
        <f t="shared" si="281"/>
        <v>0</v>
      </c>
      <c r="BI458" s="3199">
        <f t="shared" si="282"/>
        <v>0</v>
      </c>
      <c r="BJ458" s="3199">
        <f t="shared" si="283"/>
        <v>0</v>
      </c>
      <c r="BK458" s="3199">
        <f t="shared" si="284"/>
        <v>0</v>
      </c>
      <c r="BL458" s="3199">
        <f t="shared" si="285"/>
        <v>0</v>
      </c>
      <c r="BM458" s="3199">
        <f t="shared" si="286"/>
        <v>0</v>
      </c>
      <c r="BN458" s="3199">
        <f t="shared" si="287"/>
        <v>0</v>
      </c>
      <c r="BO458" s="3199">
        <f t="shared" si="288"/>
        <v>0</v>
      </c>
      <c r="BP458" s="3199">
        <f t="shared" si="289"/>
        <v>0</v>
      </c>
      <c r="BQ458" s="3199">
        <f t="shared" si="290"/>
        <v>0</v>
      </c>
      <c r="BR458" s="3199">
        <f t="shared" si="291"/>
        <v>0</v>
      </c>
      <c r="BS458" s="3199">
        <f t="shared" si="292"/>
        <v>0</v>
      </c>
      <c r="BT458" s="3271">
        <f t="shared" si="293"/>
        <v>0</v>
      </c>
    </row>
    <row r="459" spans="1:72">
      <c r="A459" s="3197"/>
      <c r="B459" s="3198"/>
      <c r="C459" s="3198"/>
      <c r="D459" s="3193"/>
      <c r="E459" s="3199">
        <f t="shared" si="265"/>
        <v>0</v>
      </c>
      <c r="F459" s="3200"/>
      <c r="G459" s="3201">
        <f t="shared" si="266"/>
        <v>0</v>
      </c>
      <c r="H459" s="3202">
        <f t="shared" si="267"/>
        <v>0</v>
      </c>
      <c r="I459" s="3218"/>
      <c r="J459" s="3218"/>
      <c r="K459" s="3218"/>
      <c r="L459" s="3218"/>
      <c r="M459" s="3218"/>
      <c r="N459" s="3218"/>
      <c r="O459" s="3218"/>
      <c r="P459" s="3218"/>
      <c r="Q459" s="3218"/>
      <c r="R459" s="3218"/>
      <c r="S459" s="3218"/>
      <c r="T459" s="3218"/>
      <c r="U459" s="3218"/>
      <c r="V459" s="3218"/>
      <c r="W459" s="3218"/>
      <c r="X459" s="3218"/>
      <c r="Y459" s="3218"/>
      <c r="Z459" s="3218"/>
      <c r="AA459" s="3218"/>
      <c r="AB459" s="3218"/>
      <c r="AC459" s="3199">
        <f t="shared" si="268"/>
        <v>0</v>
      </c>
      <c r="AD459" s="3229"/>
      <c r="AE459" s="3229"/>
      <c r="AF459" s="3229"/>
      <c r="AG459" s="3229"/>
      <c r="AH459" s="3229"/>
      <c r="AI459" s="3229"/>
      <c r="AJ459" s="3229"/>
      <c r="AK459" s="3229"/>
      <c r="AL459" s="3229"/>
      <c r="AM459" s="3229"/>
      <c r="AN459" s="3229"/>
      <c r="AO459" s="3229"/>
      <c r="AP459" s="3229"/>
      <c r="AQ459" s="3229"/>
      <c r="AR459" s="3229"/>
      <c r="AS459" s="3229"/>
      <c r="AT459" s="3249"/>
      <c r="AU459" s="3250"/>
      <c r="AV459" s="475">
        <f t="shared" si="269"/>
        <v>0</v>
      </c>
      <c r="AW459" s="475">
        <f t="shared" si="270"/>
        <v>0</v>
      </c>
      <c r="AX459" s="475">
        <f t="shared" si="271"/>
        <v>0</v>
      </c>
      <c r="AY459" s="3266">
        <f t="shared" si="272"/>
        <v>0</v>
      </c>
      <c r="AZ459" s="3199">
        <f t="shared" si="273"/>
        <v>0</v>
      </c>
      <c r="BA459" s="3199">
        <f t="shared" si="274"/>
        <v>0</v>
      </c>
      <c r="BB459" s="3199">
        <f t="shared" si="275"/>
        <v>0</v>
      </c>
      <c r="BC459" s="3199">
        <f t="shared" si="276"/>
        <v>0</v>
      </c>
      <c r="BD459" s="3199">
        <f t="shared" si="277"/>
        <v>0</v>
      </c>
      <c r="BE459" s="3199">
        <f t="shared" si="278"/>
        <v>0</v>
      </c>
      <c r="BF459" s="3199">
        <f t="shared" si="279"/>
        <v>0</v>
      </c>
      <c r="BG459" s="3199">
        <f t="shared" si="280"/>
        <v>0</v>
      </c>
      <c r="BH459" s="3199">
        <f t="shared" si="281"/>
        <v>0</v>
      </c>
      <c r="BI459" s="3199">
        <f t="shared" si="282"/>
        <v>0</v>
      </c>
      <c r="BJ459" s="3199">
        <f t="shared" si="283"/>
        <v>0</v>
      </c>
      <c r="BK459" s="3199">
        <f t="shared" si="284"/>
        <v>0</v>
      </c>
      <c r="BL459" s="3199">
        <f t="shared" si="285"/>
        <v>0</v>
      </c>
      <c r="BM459" s="3199">
        <f t="shared" si="286"/>
        <v>0</v>
      </c>
      <c r="BN459" s="3199">
        <f t="shared" si="287"/>
        <v>0</v>
      </c>
      <c r="BO459" s="3199">
        <f t="shared" si="288"/>
        <v>0</v>
      </c>
      <c r="BP459" s="3199">
        <f t="shared" si="289"/>
        <v>0</v>
      </c>
      <c r="BQ459" s="3199">
        <f t="shared" si="290"/>
        <v>0</v>
      </c>
      <c r="BR459" s="3199">
        <f t="shared" si="291"/>
        <v>0</v>
      </c>
      <c r="BS459" s="3199">
        <f t="shared" si="292"/>
        <v>0</v>
      </c>
      <c r="BT459" s="3271">
        <f t="shared" si="293"/>
        <v>0</v>
      </c>
    </row>
    <row r="460" spans="1:72">
      <c r="A460" s="3197"/>
      <c r="B460" s="3198"/>
      <c r="C460" s="3198"/>
      <c r="D460" s="3193"/>
      <c r="E460" s="3199">
        <f t="shared" si="265"/>
        <v>0</v>
      </c>
      <c r="F460" s="3200"/>
      <c r="G460" s="3201">
        <f t="shared" si="266"/>
        <v>0</v>
      </c>
      <c r="H460" s="3202">
        <f t="shared" si="267"/>
        <v>0</v>
      </c>
      <c r="I460" s="3218"/>
      <c r="J460" s="3218"/>
      <c r="K460" s="3218"/>
      <c r="L460" s="3218"/>
      <c r="M460" s="3218"/>
      <c r="N460" s="3218"/>
      <c r="O460" s="3218"/>
      <c r="P460" s="3218"/>
      <c r="Q460" s="3218"/>
      <c r="R460" s="3218"/>
      <c r="S460" s="3218"/>
      <c r="T460" s="3218"/>
      <c r="U460" s="3218"/>
      <c r="V460" s="3218"/>
      <c r="W460" s="3218"/>
      <c r="X460" s="3218"/>
      <c r="Y460" s="3218"/>
      <c r="Z460" s="3218"/>
      <c r="AA460" s="3218"/>
      <c r="AB460" s="3218"/>
      <c r="AC460" s="3199">
        <f t="shared" si="268"/>
        <v>0</v>
      </c>
      <c r="AD460" s="3229"/>
      <c r="AE460" s="3229"/>
      <c r="AF460" s="3229"/>
      <c r="AG460" s="3229"/>
      <c r="AH460" s="3229"/>
      <c r="AI460" s="3229"/>
      <c r="AJ460" s="3229"/>
      <c r="AK460" s="3229"/>
      <c r="AL460" s="3229"/>
      <c r="AM460" s="3229"/>
      <c r="AN460" s="3229"/>
      <c r="AO460" s="3229"/>
      <c r="AP460" s="3229"/>
      <c r="AQ460" s="3229"/>
      <c r="AR460" s="3229"/>
      <c r="AS460" s="3229"/>
      <c r="AT460" s="3249"/>
      <c r="AU460" s="3250"/>
      <c r="AV460" s="475">
        <f t="shared" si="269"/>
        <v>0</v>
      </c>
      <c r="AW460" s="475">
        <f t="shared" si="270"/>
        <v>0</v>
      </c>
      <c r="AX460" s="475">
        <f t="shared" si="271"/>
        <v>0</v>
      </c>
      <c r="AY460" s="3266">
        <f t="shared" si="272"/>
        <v>0</v>
      </c>
      <c r="AZ460" s="3199">
        <f t="shared" si="273"/>
        <v>0</v>
      </c>
      <c r="BA460" s="3199">
        <f t="shared" si="274"/>
        <v>0</v>
      </c>
      <c r="BB460" s="3199">
        <f t="shared" si="275"/>
        <v>0</v>
      </c>
      <c r="BC460" s="3199">
        <f t="shared" si="276"/>
        <v>0</v>
      </c>
      <c r="BD460" s="3199">
        <f t="shared" si="277"/>
        <v>0</v>
      </c>
      <c r="BE460" s="3199">
        <f t="shared" si="278"/>
        <v>0</v>
      </c>
      <c r="BF460" s="3199">
        <f t="shared" si="279"/>
        <v>0</v>
      </c>
      <c r="BG460" s="3199">
        <f t="shared" si="280"/>
        <v>0</v>
      </c>
      <c r="BH460" s="3199">
        <f t="shared" si="281"/>
        <v>0</v>
      </c>
      <c r="BI460" s="3199">
        <f t="shared" si="282"/>
        <v>0</v>
      </c>
      <c r="BJ460" s="3199">
        <f t="shared" si="283"/>
        <v>0</v>
      </c>
      <c r="BK460" s="3199">
        <f t="shared" si="284"/>
        <v>0</v>
      </c>
      <c r="BL460" s="3199">
        <f t="shared" si="285"/>
        <v>0</v>
      </c>
      <c r="BM460" s="3199">
        <f t="shared" si="286"/>
        <v>0</v>
      </c>
      <c r="BN460" s="3199">
        <f t="shared" si="287"/>
        <v>0</v>
      </c>
      <c r="BO460" s="3199">
        <f t="shared" si="288"/>
        <v>0</v>
      </c>
      <c r="BP460" s="3199">
        <f t="shared" si="289"/>
        <v>0</v>
      </c>
      <c r="BQ460" s="3199">
        <f t="shared" si="290"/>
        <v>0</v>
      </c>
      <c r="BR460" s="3199">
        <f t="shared" si="291"/>
        <v>0</v>
      </c>
      <c r="BS460" s="3199">
        <f t="shared" si="292"/>
        <v>0</v>
      </c>
      <c r="BT460" s="3271">
        <f t="shared" si="293"/>
        <v>0</v>
      </c>
    </row>
    <row r="461" spans="1:72">
      <c r="A461" s="3197"/>
      <c r="B461" s="3198"/>
      <c r="C461" s="3198"/>
      <c r="D461" s="3193"/>
      <c r="E461" s="3199">
        <f t="shared" si="265"/>
        <v>0</v>
      </c>
      <c r="F461" s="3200"/>
      <c r="G461" s="3201">
        <f t="shared" si="266"/>
        <v>0</v>
      </c>
      <c r="H461" s="3202">
        <f t="shared" si="267"/>
        <v>0</v>
      </c>
      <c r="I461" s="3218"/>
      <c r="J461" s="3218"/>
      <c r="K461" s="3218"/>
      <c r="L461" s="3218"/>
      <c r="M461" s="3218"/>
      <c r="N461" s="3218"/>
      <c r="O461" s="3218"/>
      <c r="P461" s="3218"/>
      <c r="Q461" s="3218"/>
      <c r="R461" s="3218"/>
      <c r="S461" s="3218"/>
      <c r="T461" s="3218"/>
      <c r="U461" s="3218"/>
      <c r="V461" s="3218"/>
      <c r="W461" s="3218"/>
      <c r="X461" s="3218"/>
      <c r="Y461" s="3218"/>
      <c r="Z461" s="3218"/>
      <c r="AA461" s="3218"/>
      <c r="AB461" s="3218"/>
      <c r="AC461" s="3199">
        <f t="shared" si="268"/>
        <v>0</v>
      </c>
      <c r="AD461" s="3229"/>
      <c r="AE461" s="3229"/>
      <c r="AF461" s="3229"/>
      <c r="AG461" s="3229"/>
      <c r="AH461" s="3229"/>
      <c r="AI461" s="3229"/>
      <c r="AJ461" s="3229"/>
      <c r="AK461" s="3229"/>
      <c r="AL461" s="3229"/>
      <c r="AM461" s="3229"/>
      <c r="AN461" s="3229"/>
      <c r="AO461" s="3229"/>
      <c r="AP461" s="3229"/>
      <c r="AQ461" s="3229"/>
      <c r="AR461" s="3229"/>
      <c r="AS461" s="3229"/>
      <c r="AT461" s="3249"/>
      <c r="AU461" s="3250"/>
      <c r="AV461" s="475">
        <f t="shared" si="269"/>
        <v>0</v>
      </c>
      <c r="AW461" s="475">
        <f t="shared" si="270"/>
        <v>0</v>
      </c>
      <c r="AX461" s="475">
        <f t="shared" si="271"/>
        <v>0</v>
      </c>
      <c r="AY461" s="3266">
        <f t="shared" si="272"/>
        <v>0</v>
      </c>
      <c r="AZ461" s="3199">
        <f t="shared" si="273"/>
        <v>0</v>
      </c>
      <c r="BA461" s="3199">
        <f t="shared" si="274"/>
        <v>0</v>
      </c>
      <c r="BB461" s="3199">
        <f t="shared" si="275"/>
        <v>0</v>
      </c>
      <c r="BC461" s="3199">
        <f t="shared" si="276"/>
        <v>0</v>
      </c>
      <c r="BD461" s="3199">
        <f t="shared" si="277"/>
        <v>0</v>
      </c>
      <c r="BE461" s="3199">
        <f t="shared" si="278"/>
        <v>0</v>
      </c>
      <c r="BF461" s="3199">
        <f t="shared" si="279"/>
        <v>0</v>
      </c>
      <c r="BG461" s="3199">
        <f t="shared" si="280"/>
        <v>0</v>
      </c>
      <c r="BH461" s="3199">
        <f t="shared" si="281"/>
        <v>0</v>
      </c>
      <c r="BI461" s="3199">
        <f t="shared" si="282"/>
        <v>0</v>
      </c>
      <c r="BJ461" s="3199">
        <f t="shared" si="283"/>
        <v>0</v>
      </c>
      <c r="BK461" s="3199">
        <f t="shared" si="284"/>
        <v>0</v>
      </c>
      <c r="BL461" s="3199">
        <f t="shared" si="285"/>
        <v>0</v>
      </c>
      <c r="BM461" s="3199">
        <f t="shared" si="286"/>
        <v>0</v>
      </c>
      <c r="BN461" s="3199">
        <f t="shared" si="287"/>
        <v>0</v>
      </c>
      <c r="BO461" s="3199">
        <f t="shared" si="288"/>
        <v>0</v>
      </c>
      <c r="BP461" s="3199">
        <f t="shared" si="289"/>
        <v>0</v>
      </c>
      <c r="BQ461" s="3199">
        <f t="shared" si="290"/>
        <v>0</v>
      </c>
      <c r="BR461" s="3199">
        <f t="shared" si="291"/>
        <v>0</v>
      </c>
      <c r="BS461" s="3199">
        <f t="shared" si="292"/>
        <v>0</v>
      </c>
      <c r="BT461" s="3271">
        <f t="shared" si="293"/>
        <v>0</v>
      </c>
    </row>
    <row r="462" spans="1:72">
      <c r="A462" s="3197"/>
      <c r="B462" s="3198"/>
      <c r="C462" s="3198"/>
      <c r="D462" s="3193"/>
      <c r="E462" s="3199">
        <f t="shared" si="265"/>
        <v>0</v>
      </c>
      <c r="F462" s="3200"/>
      <c r="G462" s="3201">
        <f t="shared" si="266"/>
        <v>0</v>
      </c>
      <c r="H462" s="3202">
        <f t="shared" si="267"/>
        <v>0</v>
      </c>
      <c r="I462" s="3218"/>
      <c r="J462" s="3218"/>
      <c r="K462" s="3218"/>
      <c r="L462" s="3218"/>
      <c r="M462" s="3218"/>
      <c r="N462" s="3218"/>
      <c r="O462" s="3218"/>
      <c r="P462" s="3218"/>
      <c r="Q462" s="3218"/>
      <c r="R462" s="3218"/>
      <c r="S462" s="3218"/>
      <c r="T462" s="3218"/>
      <c r="U462" s="3218"/>
      <c r="V462" s="3218"/>
      <c r="W462" s="3218"/>
      <c r="X462" s="3218"/>
      <c r="Y462" s="3218"/>
      <c r="Z462" s="3218"/>
      <c r="AA462" s="3218"/>
      <c r="AB462" s="3218"/>
      <c r="AC462" s="3199">
        <f t="shared" si="268"/>
        <v>0</v>
      </c>
      <c r="AD462" s="3229"/>
      <c r="AE462" s="3229"/>
      <c r="AF462" s="3229"/>
      <c r="AG462" s="3229"/>
      <c r="AH462" s="3229"/>
      <c r="AI462" s="3229"/>
      <c r="AJ462" s="3229"/>
      <c r="AK462" s="3229"/>
      <c r="AL462" s="3229"/>
      <c r="AM462" s="3229"/>
      <c r="AN462" s="3229"/>
      <c r="AO462" s="3229"/>
      <c r="AP462" s="3229"/>
      <c r="AQ462" s="3229"/>
      <c r="AR462" s="3229"/>
      <c r="AS462" s="3229"/>
      <c r="AT462" s="3249"/>
      <c r="AU462" s="3250"/>
      <c r="AV462" s="475">
        <f t="shared" si="269"/>
        <v>0</v>
      </c>
      <c r="AW462" s="475">
        <f t="shared" si="270"/>
        <v>0</v>
      </c>
      <c r="AX462" s="475">
        <f t="shared" si="271"/>
        <v>0</v>
      </c>
      <c r="AY462" s="3266">
        <f t="shared" si="272"/>
        <v>0</v>
      </c>
      <c r="AZ462" s="3199">
        <f t="shared" si="273"/>
        <v>0</v>
      </c>
      <c r="BA462" s="3199">
        <f t="shared" si="274"/>
        <v>0</v>
      </c>
      <c r="BB462" s="3199">
        <f t="shared" si="275"/>
        <v>0</v>
      </c>
      <c r="BC462" s="3199">
        <f t="shared" si="276"/>
        <v>0</v>
      </c>
      <c r="BD462" s="3199">
        <f t="shared" si="277"/>
        <v>0</v>
      </c>
      <c r="BE462" s="3199">
        <f t="shared" si="278"/>
        <v>0</v>
      </c>
      <c r="BF462" s="3199">
        <f t="shared" si="279"/>
        <v>0</v>
      </c>
      <c r="BG462" s="3199">
        <f t="shared" si="280"/>
        <v>0</v>
      </c>
      <c r="BH462" s="3199">
        <f t="shared" si="281"/>
        <v>0</v>
      </c>
      <c r="BI462" s="3199">
        <f t="shared" si="282"/>
        <v>0</v>
      </c>
      <c r="BJ462" s="3199">
        <f t="shared" si="283"/>
        <v>0</v>
      </c>
      <c r="BK462" s="3199">
        <f t="shared" si="284"/>
        <v>0</v>
      </c>
      <c r="BL462" s="3199">
        <f t="shared" si="285"/>
        <v>0</v>
      </c>
      <c r="BM462" s="3199">
        <f t="shared" si="286"/>
        <v>0</v>
      </c>
      <c r="BN462" s="3199">
        <f t="shared" si="287"/>
        <v>0</v>
      </c>
      <c r="BO462" s="3199">
        <f t="shared" si="288"/>
        <v>0</v>
      </c>
      <c r="BP462" s="3199">
        <f t="shared" si="289"/>
        <v>0</v>
      </c>
      <c r="BQ462" s="3199">
        <f t="shared" si="290"/>
        <v>0</v>
      </c>
      <c r="BR462" s="3199">
        <f t="shared" si="291"/>
        <v>0</v>
      </c>
      <c r="BS462" s="3199">
        <f t="shared" si="292"/>
        <v>0</v>
      </c>
      <c r="BT462" s="3271">
        <f t="shared" si="293"/>
        <v>0</v>
      </c>
    </row>
    <row r="463" spans="1:72">
      <c r="A463" s="3197"/>
      <c r="B463" s="3198"/>
      <c r="C463" s="3198"/>
      <c r="D463" s="3193"/>
      <c r="E463" s="3199">
        <f t="shared" si="265"/>
        <v>0</v>
      </c>
      <c r="F463" s="3200"/>
      <c r="G463" s="3201">
        <f t="shared" si="266"/>
        <v>0</v>
      </c>
      <c r="H463" s="3202">
        <f t="shared" si="267"/>
        <v>0</v>
      </c>
      <c r="I463" s="3218"/>
      <c r="J463" s="3218"/>
      <c r="K463" s="3218"/>
      <c r="L463" s="3218"/>
      <c r="M463" s="3218"/>
      <c r="N463" s="3218"/>
      <c r="O463" s="3218"/>
      <c r="P463" s="3218"/>
      <c r="Q463" s="3218"/>
      <c r="R463" s="3218"/>
      <c r="S463" s="3218"/>
      <c r="T463" s="3218"/>
      <c r="U463" s="3218"/>
      <c r="V463" s="3218"/>
      <c r="W463" s="3218"/>
      <c r="X463" s="3218"/>
      <c r="Y463" s="3218"/>
      <c r="Z463" s="3218"/>
      <c r="AA463" s="3218"/>
      <c r="AB463" s="3218"/>
      <c r="AC463" s="3199">
        <f t="shared" si="268"/>
        <v>0</v>
      </c>
      <c r="AD463" s="3229"/>
      <c r="AE463" s="3229"/>
      <c r="AF463" s="3229"/>
      <c r="AG463" s="3229"/>
      <c r="AH463" s="3229"/>
      <c r="AI463" s="3229"/>
      <c r="AJ463" s="3229"/>
      <c r="AK463" s="3229"/>
      <c r="AL463" s="3229"/>
      <c r="AM463" s="3229"/>
      <c r="AN463" s="3229"/>
      <c r="AO463" s="3229"/>
      <c r="AP463" s="3229"/>
      <c r="AQ463" s="3229"/>
      <c r="AR463" s="3229"/>
      <c r="AS463" s="3229"/>
      <c r="AT463" s="3249"/>
      <c r="AU463" s="3250"/>
      <c r="AV463" s="475">
        <f t="shared" si="269"/>
        <v>0</v>
      </c>
      <c r="AW463" s="475">
        <f t="shared" si="270"/>
        <v>0</v>
      </c>
      <c r="AX463" s="475">
        <f t="shared" si="271"/>
        <v>0</v>
      </c>
      <c r="AY463" s="3266">
        <f t="shared" si="272"/>
        <v>0</v>
      </c>
      <c r="AZ463" s="3199">
        <f t="shared" si="273"/>
        <v>0</v>
      </c>
      <c r="BA463" s="3199">
        <f t="shared" si="274"/>
        <v>0</v>
      </c>
      <c r="BB463" s="3199">
        <f t="shared" si="275"/>
        <v>0</v>
      </c>
      <c r="BC463" s="3199">
        <f t="shared" si="276"/>
        <v>0</v>
      </c>
      <c r="BD463" s="3199">
        <f t="shared" si="277"/>
        <v>0</v>
      </c>
      <c r="BE463" s="3199">
        <f t="shared" si="278"/>
        <v>0</v>
      </c>
      <c r="BF463" s="3199">
        <f t="shared" si="279"/>
        <v>0</v>
      </c>
      <c r="BG463" s="3199">
        <f t="shared" si="280"/>
        <v>0</v>
      </c>
      <c r="BH463" s="3199">
        <f t="shared" si="281"/>
        <v>0</v>
      </c>
      <c r="BI463" s="3199">
        <f t="shared" si="282"/>
        <v>0</v>
      </c>
      <c r="BJ463" s="3199">
        <f t="shared" si="283"/>
        <v>0</v>
      </c>
      <c r="BK463" s="3199">
        <f t="shared" si="284"/>
        <v>0</v>
      </c>
      <c r="BL463" s="3199">
        <f t="shared" si="285"/>
        <v>0</v>
      </c>
      <c r="BM463" s="3199">
        <f t="shared" si="286"/>
        <v>0</v>
      </c>
      <c r="BN463" s="3199">
        <f t="shared" si="287"/>
        <v>0</v>
      </c>
      <c r="BO463" s="3199">
        <f t="shared" si="288"/>
        <v>0</v>
      </c>
      <c r="BP463" s="3199">
        <f t="shared" si="289"/>
        <v>0</v>
      </c>
      <c r="BQ463" s="3199">
        <f t="shared" si="290"/>
        <v>0</v>
      </c>
      <c r="BR463" s="3199">
        <f t="shared" si="291"/>
        <v>0</v>
      </c>
      <c r="BS463" s="3199">
        <f t="shared" si="292"/>
        <v>0</v>
      </c>
      <c r="BT463" s="3271">
        <f t="shared" si="293"/>
        <v>0</v>
      </c>
    </row>
    <row r="464" spans="1:72">
      <c r="A464" s="3197"/>
      <c r="B464" s="3198"/>
      <c r="C464" s="3198"/>
      <c r="D464" s="3193"/>
      <c r="E464" s="3199">
        <f t="shared" si="265"/>
        <v>0</v>
      </c>
      <c r="F464" s="3200"/>
      <c r="G464" s="3201">
        <f t="shared" si="266"/>
        <v>0</v>
      </c>
      <c r="H464" s="3202">
        <f t="shared" si="267"/>
        <v>0</v>
      </c>
      <c r="I464" s="3218"/>
      <c r="J464" s="3218"/>
      <c r="K464" s="3218"/>
      <c r="L464" s="3218"/>
      <c r="M464" s="3218"/>
      <c r="N464" s="3218"/>
      <c r="O464" s="3218"/>
      <c r="P464" s="3218"/>
      <c r="Q464" s="3218"/>
      <c r="R464" s="3218"/>
      <c r="S464" s="3218"/>
      <c r="T464" s="3218"/>
      <c r="U464" s="3218"/>
      <c r="V464" s="3218"/>
      <c r="W464" s="3218"/>
      <c r="X464" s="3218"/>
      <c r="Y464" s="3218"/>
      <c r="Z464" s="3218"/>
      <c r="AA464" s="3218"/>
      <c r="AB464" s="3218"/>
      <c r="AC464" s="3199">
        <f t="shared" si="268"/>
        <v>0</v>
      </c>
      <c r="AD464" s="3229"/>
      <c r="AE464" s="3229"/>
      <c r="AF464" s="3229"/>
      <c r="AG464" s="3229"/>
      <c r="AH464" s="3229"/>
      <c r="AI464" s="3229"/>
      <c r="AJ464" s="3229"/>
      <c r="AK464" s="3229"/>
      <c r="AL464" s="3229"/>
      <c r="AM464" s="3229"/>
      <c r="AN464" s="3229"/>
      <c r="AO464" s="3229"/>
      <c r="AP464" s="3229"/>
      <c r="AQ464" s="3229"/>
      <c r="AR464" s="3229"/>
      <c r="AS464" s="3229"/>
      <c r="AT464" s="3249"/>
      <c r="AU464" s="3250"/>
      <c r="AV464" s="475">
        <f t="shared" si="269"/>
        <v>0</v>
      </c>
      <c r="AW464" s="475">
        <f t="shared" si="270"/>
        <v>0</v>
      </c>
      <c r="AX464" s="475">
        <f t="shared" si="271"/>
        <v>0</v>
      </c>
      <c r="AY464" s="3266">
        <f t="shared" si="272"/>
        <v>0</v>
      </c>
      <c r="AZ464" s="3199">
        <f t="shared" si="273"/>
        <v>0</v>
      </c>
      <c r="BA464" s="3199">
        <f t="shared" si="274"/>
        <v>0</v>
      </c>
      <c r="BB464" s="3199">
        <f t="shared" si="275"/>
        <v>0</v>
      </c>
      <c r="BC464" s="3199">
        <f t="shared" si="276"/>
        <v>0</v>
      </c>
      <c r="BD464" s="3199">
        <f t="shared" si="277"/>
        <v>0</v>
      </c>
      <c r="BE464" s="3199">
        <f t="shared" si="278"/>
        <v>0</v>
      </c>
      <c r="BF464" s="3199">
        <f t="shared" si="279"/>
        <v>0</v>
      </c>
      <c r="BG464" s="3199">
        <f t="shared" si="280"/>
        <v>0</v>
      </c>
      <c r="BH464" s="3199">
        <f t="shared" si="281"/>
        <v>0</v>
      </c>
      <c r="BI464" s="3199">
        <f t="shared" si="282"/>
        <v>0</v>
      </c>
      <c r="BJ464" s="3199">
        <f t="shared" si="283"/>
        <v>0</v>
      </c>
      <c r="BK464" s="3199">
        <f t="shared" si="284"/>
        <v>0</v>
      </c>
      <c r="BL464" s="3199">
        <f t="shared" si="285"/>
        <v>0</v>
      </c>
      <c r="BM464" s="3199">
        <f t="shared" si="286"/>
        <v>0</v>
      </c>
      <c r="BN464" s="3199">
        <f t="shared" si="287"/>
        <v>0</v>
      </c>
      <c r="BO464" s="3199">
        <f t="shared" si="288"/>
        <v>0</v>
      </c>
      <c r="BP464" s="3199">
        <f t="shared" si="289"/>
        <v>0</v>
      </c>
      <c r="BQ464" s="3199">
        <f t="shared" si="290"/>
        <v>0</v>
      </c>
      <c r="BR464" s="3199">
        <f t="shared" si="291"/>
        <v>0</v>
      </c>
      <c r="BS464" s="3199">
        <f t="shared" si="292"/>
        <v>0</v>
      </c>
      <c r="BT464" s="3271">
        <f t="shared" si="293"/>
        <v>0</v>
      </c>
    </row>
    <row r="465" spans="1:72">
      <c r="A465" s="3197"/>
      <c r="B465" s="3198"/>
      <c r="C465" s="3198"/>
      <c r="D465" s="3193"/>
      <c r="E465" s="3199">
        <f t="shared" si="265"/>
        <v>0</v>
      </c>
      <c r="F465" s="3200"/>
      <c r="G465" s="3201">
        <f t="shared" si="266"/>
        <v>0</v>
      </c>
      <c r="H465" s="3202">
        <f t="shared" si="267"/>
        <v>0</v>
      </c>
      <c r="I465" s="3218"/>
      <c r="J465" s="3218"/>
      <c r="K465" s="3218"/>
      <c r="L465" s="3218"/>
      <c r="M465" s="3218"/>
      <c r="N465" s="3218"/>
      <c r="O465" s="3218"/>
      <c r="P465" s="3218"/>
      <c r="Q465" s="3218"/>
      <c r="R465" s="3218"/>
      <c r="S465" s="3218"/>
      <c r="T465" s="3218"/>
      <c r="U465" s="3218"/>
      <c r="V465" s="3218"/>
      <c r="W465" s="3218"/>
      <c r="X465" s="3218"/>
      <c r="Y465" s="3218"/>
      <c r="Z465" s="3218"/>
      <c r="AA465" s="3218"/>
      <c r="AB465" s="3218"/>
      <c r="AC465" s="3199">
        <f t="shared" si="268"/>
        <v>0</v>
      </c>
      <c r="AD465" s="3229"/>
      <c r="AE465" s="3229"/>
      <c r="AF465" s="3229"/>
      <c r="AG465" s="3229"/>
      <c r="AH465" s="3229"/>
      <c r="AI465" s="3229"/>
      <c r="AJ465" s="3229"/>
      <c r="AK465" s="3229"/>
      <c r="AL465" s="3229"/>
      <c r="AM465" s="3229"/>
      <c r="AN465" s="3229"/>
      <c r="AO465" s="3229"/>
      <c r="AP465" s="3229"/>
      <c r="AQ465" s="3229"/>
      <c r="AR465" s="3229"/>
      <c r="AS465" s="3229"/>
      <c r="AT465" s="3249"/>
      <c r="AU465" s="3250"/>
      <c r="AV465" s="475">
        <f t="shared" si="269"/>
        <v>0</v>
      </c>
      <c r="AW465" s="475">
        <f t="shared" si="270"/>
        <v>0</v>
      </c>
      <c r="AX465" s="475">
        <f t="shared" si="271"/>
        <v>0</v>
      </c>
      <c r="AY465" s="3266">
        <f t="shared" si="272"/>
        <v>0</v>
      </c>
      <c r="AZ465" s="3199">
        <f t="shared" si="273"/>
        <v>0</v>
      </c>
      <c r="BA465" s="3199">
        <f t="shared" si="274"/>
        <v>0</v>
      </c>
      <c r="BB465" s="3199">
        <f t="shared" si="275"/>
        <v>0</v>
      </c>
      <c r="BC465" s="3199">
        <f t="shared" si="276"/>
        <v>0</v>
      </c>
      <c r="BD465" s="3199">
        <f t="shared" si="277"/>
        <v>0</v>
      </c>
      <c r="BE465" s="3199">
        <f t="shared" si="278"/>
        <v>0</v>
      </c>
      <c r="BF465" s="3199">
        <f t="shared" si="279"/>
        <v>0</v>
      </c>
      <c r="BG465" s="3199">
        <f t="shared" si="280"/>
        <v>0</v>
      </c>
      <c r="BH465" s="3199">
        <f t="shared" si="281"/>
        <v>0</v>
      </c>
      <c r="BI465" s="3199">
        <f t="shared" si="282"/>
        <v>0</v>
      </c>
      <c r="BJ465" s="3199">
        <f t="shared" si="283"/>
        <v>0</v>
      </c>
      <c r="BK465" s="3199">
        <f t="shared" si="284"/>
        <v>0</v>
      </c>
      <c r="BL465" s="3199">
        <f t="shared" si="285"/>
        <v>0</v>
      </c>
      <c r="BM465" s="3199">
        <f t="shared" si="286"/>
        <v>0</v>
      </c>
      <c r="BN465" s="3199">
        <f t="shared" si="287"/>
        <v>0</v>
      </c>
      <c r="BO465" s="3199">
        <f t="shared" si="288"/>
        <v>0</v>
      </c>
      <c r="BP465" s="3199">
        <f t="shared" si="289"/>
        <v>0</v>
      </c>
      <c r="BQ465" s="3199">
        <f t="shared" si="290"/>
        <v>0</v>
      </c>
      <c r="BR465" s="3199">
        <f t="shared" si="291"/>
        <v>0</v>
      </c>
      <c r="BS465" s="3199">
        <f t="shared" si="292"/>
        <v>0</v>
      </c>
      <c r="BT465" s="3271">
        <f t="shared" si="293"/>
        <v>0</v>
      </c>
    </row>
    <row r="466" spans="1:72">
      <c r="A466" s="3197"/>
      <c r="B466" s="3198"/>
      <c r="C466" s="3198"/>
      <c r="D466" s="3193"/>
      <c r="E466" s="3199">
        <f t="shared" si="265"/>
        <v>0</v>
      </c>
      <c r="F466" s="3200"/>
      <c r="G466" s="3201">
        <f t="shared" si="266"/>
        <v>0</v>
      </c>
      <c r="H466" s="3202">
        <f t="shared" si="267"/>
        <v>0</v>
      </c>
      <c r="I466" s="3218"/>
      <c r="J466" s="3218"/>
      <c r="K466" s="3218"/>
      <c r="L466" s="3218"/>
      <c r="M466" s="3218"/>
      <c r="N466" s="3218"/>
      <c r="O466" s="3218"/>
      <c r="P466" s="3218"/>
      <c r="Q466" s="3218"/>
      <c r="R466" s="3218"/>
      <c r="S466" s="3218"/>
      <c r="T466" s="3218"/>
      <c r="U466" s="3218"/>
      <c r="V466" s="3218"/>
      <c r="W466" s="3218"/>
      <c r="X466" s="3218"/>
      <c r="Y466" s="3218"/>
      <c r="Z466" s="3218"/>
      <c r="AA466" s="3218"/>
      <c r="AB466" s="3218"/>
      <c r="AC466" s="3199">
        <f t="shared" si="268"/>
        <v>0</v>
      </c>
      <c r="AD466" s="3229"/>
      <c r="AE466" s="3229"/>
      <c r="AF466" s="3229"/>
      <c r="AG466" s="3229"/>
      <c r="AH466" s="3229"/>
      <c r="AI466" s="3229"/>
      <c r="AJ466" s="3229"/>
      <c r="AK466" s="3229"/>
      <c r="AL466" s="3229"/>
      <c r="AM466" s="3229"/>
      <c r="AN466" s="3229"/>
      <c r="AO466" s="3229"/>
      <c r="AP466" s="3229"/>
      <c r="AQ466" s="3229"/>
      <c r="AR466" s="3229"/>
      <c r="AS466" s="3229"/>
      <c r="AT466" s="3249"/>
      <c r="AU466" s="3250"/>
      <c r="AV466" s="475">
        <f t="shared" si="269"/>
        <v>0</v>
      </c>
      <c r="AW466" s="475">
        <f t="shared" si="270"/>
        <v>0</v>
      </c>
      <c r="AX466" s="475">
        <f t="shared" si="271"/>
        <v>0</v>
      </c>
      <c r="AY466" s="3266">
        <f t="shared" si="272"/>
        <v>0</v>
      </c>
      <c r="AZ466" s="3199">
        <f t="shared" si="273"/>
        <v>0</v>
      </c>
      <c r="BA466" s="3199">
        <f t="shared" si="274"/>
        <v>0</v>
      </c>
      <c r="BB466" s="3199">
        <f t="shared" si="275"/>
        <v>0</v>
      </c>
      <c r="BC466" s="3199">
        <f t="shared" si="276"/>
        <v>0</v>
      </c>
      <c r="BD466" s="3199">
        <f t="shared" si="277"/>
        <v>0</v>
      </c>
      <c r="BE466" s="3199">
        <f t="shared" si="278"/>
        <v>0</v>
      </c>
      <c r="BF466" s="3199">
        <f t="shared" si="279"/>
        <v>0</v>
      </c>
      <c r="BG466" s="3199">
        <f t="shared" si="280"/>
        <v>0</v>
      </c>
      <c r="BH466" s="3199">
        <f t="shared" si="281"/>
        <v>0</v>
      </c>
      <c r="BI466" s="3199">
        <f t="shared" si="282"/>
        <v>0</v>
      </c>
      <c r="BJ466" s="3199">
        <f t="shared" si="283"/>
        <v>0</v>
      </c>
      <c r="BK466" s="3199">
        <f t="shared" si="284"/>
        <v>0</v>
      </c>
      <c r="BL466" s="3199">
        <f t="shared" si="285"/>
        <v>0</v>
      </c>
      <c r="BM466" s="3199">
        <f t="shared" si="286"/>
        <v>0</v>
      </c>
      <c r="BN466" s="3199">
        <f t="shared" si="287"/>
        <v>0</v>
      </c>
      <c r="BO466" s="3199">
        <f t="shared" si="288"/>
        <v>0</v>
      </c>
      <c r="BP466" s="3199">
        <f t="shared" si="289"/>
        <v>0</v>
      </c>
      <c r="BQ466" s="3199">
        <f t="shared" si="290"/>
        <v>0</v>
      </c>
      <c r="BR466" s="3199">
        <f t="shared" si="291"/>
        <v>0</v>
      </c>
      <c r="BS466" s="3199">
        <f t="shared" si="292"/>
        <v>0</v>
      </c>
      <c r="BT466" s="3271">
        <f t="shared" si="293"/>
        <v>0</v>
      </c>
    </row>
    <row r="467" spans="1:72">
      <c r="A467" s="3197"/>
      <c r="B467" s="3198"/>
      <c r="C467" s="3198"/>
      <c r="D467" s="3193"/>
      <c r="E467" s="3199">
        <f t="shared" si="265"/>
        <v>0</v>
      </c>
      <c r="F467" s="3200"/>
      <c r="G467" s="3201">
        <f t="shared" si="266"/>
        <v>0</v>
      </c>
      <c r="H467" s="3202">
        <f t="shared" si="267"/>
        <v>0</v>
      </c>
      <c r="I467" s="3218"/>
      <c r="J467" s="3218"/>
      <c r="K467" s="3218"/>
      <c r="L467" s="3218"/>
      <c r="M467" s="3218"/>
      <c r="N467" s="3218"/>
      <c r="O467" s="3218"/>
      <c r="P467" s="3218"/>
      <c r="Q467" s="3218"/>
      <c r="R467" s="3218"/>
      <c r="S467" s="3218"/>
      <c r="T467" s="3218"/>
      <c r="U467" s="3218"/>
      <c r="V467" s="3218"/>
      <c r="W467" s="3218"/>
      <c r="X467" s="3218"/>
      <c r="Y467" s="3218"/>
      <c r="Z467" s="3218"/>
      <c r="AA467" s="3218"/>
      <c r="AB467" s="3218"/>
      <c r="AC467" s="3199">
        <f t="shared" si="268"/>
        <v>0</v>
      </c>
      <c r="AD467" s="3229"/>
      <c r="AE467" s="3229"/>
      <c r="AF467" s="3229"/>
      <c r="AG467" s="3229"/>
      <c r="AH467" s="3229"/>
      <c r="AI467" s="3229"/>
      <c r="AJ467" s="3229"/>
      <c r="AK467" s="3229"/>
      <c r="AL467" s="3229"/>
      <c r="AM467" s="3229"/>
      <c r="AN467" s="3229"/>
      <c r="AO467" s="3229"/>
      <c r="AP467" s="3229"/>
      <c r="AQ467" s="3229"/>
      <c r="AR467" s="3229"/>
      <c r="AS467" s="3229"/>
      <c r="AT467" s="3249"/>
      <c r="AU467" s="3250"/>
      <c r="AV467" s="475">
        <f t="shared" si="269"/>
        <v>0</v>
      </c>
      <c r="AW467" s="475">
        <f t="shared" si="270"/>
        <v>0</v>
      </c>
      <c r="AX467" s="475">
        <f t="shared" si="271"/>
        <v>0</v>
      </c>
      <c r="AY467" s="3266">
        <f t="shared" si="272"/>
        <v>0</v>
      </c>
      <c r="AZ467" s="3199">
        <f t="shared" si="273"/>
        <v>0</v>
      </c>
      <c r="BA467" s="3199">
        <f t="shared" si="274"/>
        <v>0</v>
      </c>
      <c r="BB467" s="3199">
        <f t="shared" si="275"/>
        <v>0</v>
      </c>
      <c r="BC467" s="3199">
        <f t="shared" si="276"/>
        <v>0</v>
      </c>
      <c r="BD467" s="3199">
        <f t="shared" si="277"/>
        <v>0</v>
      </c>
      <c r="BE467" s="3199">
        <f t="shared" si="278"/>
        <v>0</v>
      </c>
      <c r="BF467" s="3199">
        <f t="shared" si="279"/>
        <v>0</v>
      </c>
      <c r="BG467" s="3199">
        <f t="shared" si="280"/>
        <v>0</v>
      </c>
      <c r="BH467" s="3199">
        <f t="shared" si="281"/>
        <v>0</v>
      </c>
      <c r="BI467" s="3199">
        <f t="shared" si="282"/>
        <v>0</v>
      </c>
      <c r="BJ467" s="3199">
        <f t="shared" si="283"/>
        <v>0</v>
      </c>
      <c r="BK467" s="3199">
        <f t="shared" si="284"/>
        <v>0</v>
      </c>
      <c r="BL467" s="3199">
        <f t="shared" si="285"/>
        <v>0</v>
      </c>
      <c r="BM467" s="3199">
        <f t="shared" si="286"/>
        <v>0</v>
      </c>
      <c r="BN467" s="3199">
        <f t="shared" si="287"/>
        <v>0</v>
      </c>
      <c r="BO467" s="3199">
        <f t="shared" si="288"/>
        <v>0</v>
      </c>
      <c r="BP467" s="3199">
        <f t="shared" si="289"/>
        <v>0</v>
      </c>
      <c r="BQ467" s="3199">
        <f t="shared" si="290"/>
        <v>0</v>
      </c>
      <c r="BR467" s="3199">
        <f t="shared" si="291"/>
        <v>0</v>
      </c>
      <c r="BS467" s="3199">
        <f t="shared" si="292"/>
        <v>0</v>
      </c>
      <c r="BT467" s="3271">
        <f t="shared" si="293"/>
        <v>0</v>
      </c>
    </row>
    <row r="468" spans="1:72">
      <c r="A468" s="3197"/>
      <c r="B468" s="3198"/>
      <c r="C468" s="3198"/>
      <c r="D468" s="3193"/>
      <c r="E468" s="3199">
        <f t="shared" si="265"/>
        <v>0</v>
      </c>
      <c r="F468" s="3200"/>
      <c r="G468" s="3201">
        <f t="shared" si="266"/>
        <v>0</v>
      </c>
      <c r="H468" s="3202">
        <f t="shared" si="267"/>
        <v>0</v>
      </c>
      <c r="I468" s="3218"/>
      <c r="J468" s="3218"/>
      <c r="K468" s="3218"/>
      <c r="L468" s="3218"/>
      <c r="M468" s="3218"/>
      <c r="N468" s="3218"/>
      <c r="O468" s="3218"/>
      <c r="P468" s="3218"/>
      <c r="Q468" s="3218"/>
      <c r="R468" s="3218"/>
      <c r="S468" s="3218"/>
      <c r="T468" s="3218"/>
      <c r="U468" s="3218"/>
      <c r="V468" s="3218"/>
      <c r="W468" s="3218"/>
      <c r="X468" s="3218"/>
      <c r="Y468" s="3218"/>
      <c r="Z468" s="3218"/>
      <c r="AA468" s="3218"/>
      <c r="AB468" s="3218"/>
      <c r="AC468" s="3199">
        <f t="shared" si="268"/>
        <v>0</v>
      </c>
      <c r="AD468" s="3229"/>
      <c r="AE468" s="3229"/>
      <c r="AF468" s="3229"/>
      <c r="AG468" s="3229"/>
      <c r="AH468" s="3229"/>
      <c r="AI468" s="3229"/>
      <c r="AJ468" s="3229"/>
      <c r="AK468" s="3229"/>
      <c r="AL468" s="3229"/>
      <c r="AM468" s="3229"/>
      <c r="AN468" s="3229"/>
      <c r="AO468" s="3229"/>
      <c r="AP468" s="3229"/>
      <c r="AQ468" s="3229"/>
      <c r="AR468" s="3229"/>
      <c r="AS468" s="3229"/>
      <c r="AT468" s="3249"/>
      <c r="AU468" s="3250"/>
      <c r="AV468" s="475">
        <f t="shared" si="269"/>
        <v>0</v>
      </c>
      <c r="AW468" s="475">
        <f t="shared" si="270"/>
        <v>0</v>
      </c>
      <c r="AX468" s="475">
        <f t="shared" si="271"/>
        <v>0</v>
      </c>
      <c r="AY468" s="3266">
        <f t="shared" si="272"/>
        <v>0</v>
      </c>
      <c r="AZ468" s="3199">
        <f t="shared" si="273"/>
        <v>0</v>
      </c>
      <c r="BA468" s="3199">
        <f t="shared" si="274"/>
        <v>0</v>
      </c>
      <c r="BB468" s="3199">
        <f t="shared" si="275"/>
        <v>0</v>
      </c>
      <c r="BC468" s="3199">
        <f t="shared" si="276"/>
        <v>0</v>
      </c>
      <c r="BD468" s="3199">
        <f t="shared" si="277"/>
        <v>0</v>
      </c>
      <c r="BE468" s="3199">
        <f t="shared" si="278"/>
        <v>0</v>
      </c>
      <c r="BF468" s="3199">
        <f t="shared" si="279"/>
        <v>0</v>
      </c>
      <c r="BG468" s="3199">
        <f t="shared" si="280"/>
        <v>0</v>
      </c>
      <c r="BH468" s="3199">
        <f t="shared" si="281"/>
        <v>0</v>
      </c>
      <c r="BI468" s="3199">
        <f t="shared" si="282"/>
        <v>0</v>
      </c>
      <c r="BJ468" s="3199">
        <f t="shared" si="283"/>
        <v>0</v>
      </c>
      <c r="BK468" s="3199">
        <f t="shared" si="284"/>
        <v>0</v>
      </c>
      <c r="BL468" s="3199">
        <f t="shared" si="285"/>
        <v>0</v>
      </c>
      <c r="BM468" s="3199">
        <f t="shared" si="286"/>
        <v>0</v>
      </c>
      <c r="BN468" s="3199">
        <f t="shared" si="287"/>
        <v>0</v>
      </c>
      <c r="BO468" s="3199">
        <f t="shared" si="288"/>
        <v>0</v>
      </c>
      <c r="BP468" s="3199">
        <f t="shared" si="289"/>
        <v>0</v>
      </c>
      <c r="BQ468" s="3199">
        <f t="shared" si="290"/>
        <v>0</v>
      </c>
      <c r="BR468" s="3199">
        <f t="shared" si="291"/>
        <v>0</v>
      </c>
      <c r="BS468" s="3199">
        <f t="shared" si="292"/>
        <v>0</v>
      </c>
      <c r="BT468" s="3271">
        <f t="shared" si="293"/>
        <v>0</v>
      </c>
    </row>
    <row r="469" spans="1:72">
      <c r="A469" s="3197"/>
      <c r="B469" s="3198"/>
      <c r="C469" s="3198"/>
      <c r="D469" s="3193"/>
      <c r="E469" s="3199">
        <f t="shared" si="265"/>
        <v>0</v>
      </c>
      <c r="F469" s="3200"/>
      <c r="G469" s="3201">
        <f t="shared" si="266"/>
        <v>0</v>
      </c>
      <c r="H469" s="3202">
        <f t="shared" si="267"/>
        <v>0</v>
      </c>
      <c r="I469" s="3218"/>
      <c r="J469" s="3218"/>
      <c r="K469" s="3218"/>
      <c r="L469" s="3218"/>
      <c r="M469" s="3218"/>
      <c r="N469" s="3218"/>
      <c r="O469" s="3218"/>
      <c r="P469" s="3218"/>
      <c r="Q469" s="3218"/>
      <c r="R469" s="3218"/>
      <c r="S469" s="3218"/>
      <c r="T469" s="3218"/>
      <c r="U469" s="3218"/>
      <c r="V469" s="3218"/>
      <c r="W469" s="3218"/>
      <c r="X469" s="3218"/>
      <c r="Y469" s="3218"/>
      <c r="Z469" s="3218"/>
      <c r="AA469" s="3218"/>
      <c r="AB469" s="3218"/>
      <c r="AC469" s="3199">
        <f t="shared" si="268"/>
        <v>0</v>
      </c>
      <c r="AD469" s="3229"/>
      <c r="AE469" s="3229"/>
      <c r="AF469" s="3229"/>
      <c r="AG469" s="3229"/>
      <c r="AH469" s="3229"/>
      <c r="AI469" s="3229"/>
      <c r="AJ469" s="3229"/>
      <c r="AK469" s="3229"/>
      <c r="AL469" s="3229"/>
      <c r="AM469" s="3229"/>
      <c r="AN469" s="3229"/>
      <c r="AO469" s="3229"/>
      <c r="AP469" s="3229"/>
      <c r="AQ469" s="3229"/>
      <c r="AR469" s="3229"/>
      <c r="AS469" s="3229"/>
      <c r="AT469" s="3249"/>
      <c r="AU469" s="3250"/>
      <c r="AV469" s="475">
        <f t="shared" si="269"/>
        <v>0</v>
      </c>
      <c r="AW469" s="475">
        <f t="shared" si="270"/>
        <v>0</v>
      </c>
      <c r="AX469" s="475">
        <f t="shared" si="271"/>
        <v>0</v>
      </c>
      <c r="AY469" s="3266">
        <f t="shared" si="272"/>
        <v>0</v>
      </c>
      <c r="AZ469" s="3199">
        <f t="shared" si="273"/>
        <v>0</v>
      </c>
      <c r="BA469" s="3199">
        <f t="shared" si="274"/>
        <v>0</v>
      </c>
      <c r="BB469" s="3199">
        <f t="shared" si="275"/>
        <v>0</v>
      </c>
      <c r="BC469" s="3199">
        <f t="shared" si="276"/>
        <v>0</v>
      </c>
      <c r="BD469" s="3199">
        <f t="shared" si="277"/>
        <v>0</v>
      </c>
      <c r="BE469" s="3199">
        <f t="shared" si="278"/>
        <v>0</v>
      </c>
      <c r="BF469" s="3199">
        <f t="shared" si="279"/>
        <v>0</v>
      </c>
      <c r="BG469" s="3199">
        <f t="shared" si="280"/>
        <v>0</v>
      </c>
      <c r="BH469" s="3199">
        <f t="shared" si="281"/>
        <v>0</v>
      </c>
      <c r="BI469" s="3199">
        <f t="shared" si="282"/>
        <v>0</v>
      </c>
      <c r="BJ469" s="3199">
        <f t="shared" si="283"/>
        <v>0</v>
      </c>
      <c r="BK469" s="3199">
        <f t="shared" si="284"/>
        <v>0</v>
      </c>
      <c r="BL469" s="3199">
        <f t="shared" si="285"/>
        <v>0</v>
      </c>
      <c r="BM469" s="3199">
        <f t="shared" si="286"/>
        <v>0</v>
      </c>
      <c r="BN469" s="3199">
        <f t="shared" si="287"/>
        <v>0</v>
      </c>
      <c r="BO469" s="3199">
        <f t="shared" si="288"/>
        <v>0</v>
      </c>
      <c r="BP469" s="3199">
        <f t="shared" si="289"/>
        <v>0</v>
      </c>
      <c r="BQ469" s="3199">
        <f t="shared" si="290"/>
        <v>0</v>
      </c>
      <c r="BR469" s="3199">
        <f t="shared" si="291"/>
        <v>0</v>
      </c>
      <c r="BS469" s="3199">
        <f t="shared" si="292"/>
        <v>0</v>
      </c>
      <c r="BT469" s="3271">
        <f t="shared" si="293"/>
        <v>0</v>
      </c>
    </row>
    <row r="470" spans="1:72">
      <c r="A470" s="3197"/>
      <c r="B470" s="3198"/>
      <c r="C470" s="3198"/>
      <c r="D470" s="3193"/>
      <c r="E470" s="3199">
        <f t="shared" si="265"/>
        <v>0</v>
      </c>
      <c r="F470" s="3200"/>
      <c r="G470" s="3201">
        <f t="shared" si="266"/>
        <v>0</v>
      </c>
      <c r="H470" s="3202">
        <f t="shared" si="267"/>
        <v>0</v>
      </c>
      <c r="I470" s="3218"/>
      <c r="J470" s="3218"/>
      <c r="K470" s="3218"/>
      <c r="L470" s="3218"/>
      <c r="M470" s="3218"/>
      <c r="N470" s="3218"/>
      <c r="O470" s="3218"/>
      <c r="P470" s="3218"/>
      <c r="Q470" s="3218"/>
      <c r="R470" s="3218"/>
      <c r="S470" s="3218"/>
      <c r="T470" s="3218"/>
      <c r="U470" s="3218"/>
      <c r="V470" s="3218"/>
      <c r="W470" s="3218"/>
      <c r="X470" s="3218"/>
      <c r="Y470" s="3218"/>
      <c r="Z470" s="3218"/>
      <c r="AA470" s="3218"/>
      <c r="AB470" s="3218"/>
      <c r="AC470" s="3199">
        <f t="shared" si="268"/>
        <v>0</v>
      </c>
      <c r="AD470" s="3229"/>
      <c r="AE470" s="3229"/>
      <c r="AF470" s="3229"/>
      <c r="AG470" s="3229"/>
      <c r="AH470" s="3229"/>
      <c r="AI470" s="3229"/>
      <c r="AJ470" s="3229"/>
      <c r="AK470" s="3229"/>
      <c r="AL470" s="3229"/>
      <c r="AM470" s="3229"/>
      <c r="AN470" s="3229"/>
      <c r="AO470" s="3229"/>
      <c r="AP470" s="3229"/>
      <c r="AQ470" s="3229"/>
      <c r="AR470" s="3229"/>
      <c r="AS470" s="3229"/>
      <c r="AT470" s="3249"/>
      <c r="AU470" s="3250"/>
      <c r="AV470" s="475">
        <f t="shared" si="269"/>
        <v>0</v>
      </c>
      <c r="AW470" s="475">
        <f t="shared" si="270"/>
        <v>0</v>
      </c>
      <c r="AX470" s="475">
        <f t="shared" si="271"/>
        <v>0</v>
      </c>
      <c r="AY470" s="3266">
        <f t="shared" si="272"/>
        <v>0</v>
      </c>
      <c r="AZ470" s="3199">
        <f t="shared" si="273"/>
        <v>0</v>
      </c>
      <c r="BA470" s="3199">
        <f t="shared" si="274"/>
        <v>0</v>
      </c>
      <c r="BB470" s="3199">
        <f t="shared" si="275"/>
        <v>0</v>
      </c>
      <c r="BC470" s="3199">
        <f t="shared" si="276"/>
        <v>0</v>
      </c>
      <c r="BD470" s="3199">
        <f t="shared" si="277"/>
        <v>0</v>
      </c>
      <c r="BE470" s="3199">
        <f t="shared" si="278"/>
        <v>0</v>
      </c>
      <c r="BF470" s="3199">
        <f t="shared" si="279"/>
        <v>0</v>
      </c>
      <c r="BG470" s="3199">
        <f t="shared" si="280"/>
        <v>0</v>
      </c>
      <c r="BH470" s="3199">
        <f t="shared" si="281"/>
        <v>0</v>
      </c>
      <c r="BI470" s="3199">
        <f t="shared" si="282"/>
        <v>0</v>
      </c>
      <c r="BJ470" s="3199">
        <f t="shared" si="283"/>
        <v>0</v>
      </c>
      <c r="BK470" s="3199">
        <f t="shared" si="284"/>
        <v>0</v>
      </c>
      <c r="BL470" s="3199">
        <f t="shared" si="285"/>
        <v>0</v>
      </c>
      <c r="BM470" s="3199">
        <f t="shared" si="286"/>
        <v>0</v>
      </c>
      <c r="BN470" s="3199">
        <f t="shared" si="287"/>
        <v>0</v>
      </c>
      <c r="BO470" s="3199">
        <f t="shared" si="288"/>
        <v>0</v>
      </c>
      <c r="BP470" s="3199">
        <f t="shared" si="289"/>
        <v>0</v>
      </c>
      <c r="BQ470" s="3199">
        <f t="shared" si="290"/>
        <v>0</v>
      </c>
      <c r="BR470" s="3199">
        <f t="shared" si="291"/>
        <v>0</v>
      </c>
      <c r="BS470" s="3199">
        <f t="shared" si="292"/>
        <v>0</v>
      </c>
      <c r="BT470" s="3271">
        <f t="shared" si="293"/>
        <v>0</v>
      </c>
    </row>
    <row r="471" spans="1:72">
      <c r="A471" s="3197"/>
      <c r="B471" s="3198"/>
      <c r="C471" s="3198"/>
      <c r="D471" s="3193"/>
      <c r="E471" s="3199">
        <f t="shared" si="265"/>
        <v>0</v>
      </c>
      <c r="F471" s="3200"/>
      <c r="G471" s="3201">
        <f t="shared" si="266"/>
        <v>0</v>
      </c>
      <c r="H471" s="3202">
        <f t="shared" si="267"/>
        <v>0</v>
      </c>
      <c r="I471" s="3218"/>
      <c r="J471" s="3218"/>
      <c r="K471" s="3218"/>
      <c r="L471" s="3218"/>
      <c r="M471" s="3218"/>
      <c r="N471" s="3218"/>
      <c r="O471" s="3218"/>
      <c r="P471" s="3218"/>
      <c r="Q471" s="3218"/>
      <c r="R471" s="3218"/>
      <c r="S471" s="3218"/>
      <c r="T471" s="3218"/>
      <c r="U471" s="3218"/>
      <c r="V471" s="3218"/>
      <c r="W471" s="3218"/>
      <c r="X471" s="3218"/>
      <c r="Y471" s="3218"/>
      <c r="Z471" s="3218"/>
      <c r="AA471" s="3218"/>
      <c r="AB471" s="3218"/>
      <c r="AC471" s="3199">
        <f t="shared" si="268"/>
        <v>0</v>
      </c>
      <c r="AD471" s="3229"/>
      <c r="AE471" s="3229"/>
      <c r="AF471" s="3229"/>
      <c r="AG471" s="3229"/>
      <c r="AH471" s="3229"/>
      <c r="AI471" s="3229"/>
      <c r="AJ471" s="3229"/>
      <c r="AK471" s="3229"/>
      <c r="AL471" s="3229"/>
      <c r="AM471" s="3229"/>
      <c r="AN471" s="3229"/>
      <c r="AO471" s="3229"/>
      <c r="AP471" s="3229"/>
      <c r="AQ471" s="3229"/>
      <c r="AR471" s="3229"/>
      <c r="AS471" s="3229"/>
      <c r="AT471" s="3249"/>
      <c r="AU471" s="3250"/>
      <c r="AV471" s="475">
        <f t="shared" si="269"/>
        <v>0</v>
      </c>
      <c r="AW471" s="475">
        <f t="shared" si="270"/>
        <v>0</v>
      </c>
      <c r="AX471" s="475">
        <f t="shared" si="271"/>
        <v>0</v>
      </c>
      <c r="AY471" s="3266">
        <f t="shared" si="272"/>
        <v>0</v>
      </c>
      <c r="AZ471" s="3199">
        <f t="shared" si="273"/>
        <v>0</v>
      </c>
      <c r="BA471" s="3199">
        <f t="shared" si="274"/>
        <v>0</v>
      </c>
      <c r="BB471" s="3199">
        <f t="shared" si="275"/>
        <v>0</v>
      </c>
      <c r="BC471" s="3199">
        <f t="shared" si="276"/>
        <v>0</v>
      </c>
      <c r="BD471" s="3199">
        <f t="shared" si="277"/>
        <v>0</v>
      </c>
      <c r="BE471" s="3199">
        <f t="shared" si="278"/>
        <v>0</v>
      </c>
      <c r="BF471" s="3199">
        <f t="shared" si="279"/>
        <v>0</v>
      </c>
      <c r="BG471" s="3199">
        <f t="shared" si="280"/>
        <v>0</v>
      </c>
      <c r="BH471" s="3199">
        <f t="shared" si="281"/>
        <v>0</v>
      </c>
      <c r="BI471" s="3199">
        <f t="shared" si="282"/>
        <v>0</v>
      </c>
      <c r="BJ471" s="3199">
        <f t="shared" si="283"/>
        <v>0</v>
      </c>
      <c r="BK471" s="3199">
        <f t="shared" si="284"/>
        <v>0</v>
      </c>
      <c r="BL471" s="3199">
        <f t="shared" si="285"/>
        <v>0</v>
      </c>
      <c r="BM471" s="3199">
        <f t="shared" si="286"/>
        <v>0</v>
      </c>
      <c r="BN471" s="3199">
        <f t="shared" si="287"/>
        <v>0</v>
      </c>
      <c r="BO471" s="3199">
        <f t="shared" si="288"/>
        <v>0</v>
      </c>
      <c r="BP471" s="3199">
        <f t="shared" si="289"/>
        <v>0</v>
      </c>
      <c r="BQ471" s="3199">
        <f t="shared" si="290"/>
        <v>0</v>
      </c>
      <c r="BR471" s="3199">
        <f t="shared" si="291"/>
        <v>0</v>
      </c>
      <c r="BS471" s="3199">
        <f t="shared" si="292"/>
        <v>0</v>
      </c>
      <c r="BT471" s="3271">
        <f t="shared" si="293"/>
        <v>0</v>
      </c>
    </row>
    <row r="472" spans="1:72">
      <c r="A472" s="3197"/>
      <c r="B472" s="3198"/>
      <c r="C472" s="3198"/>
      <c r="D472" s="3193"/>
      <c r="E472" s="3199">
        <f t="shared" si="265"/>
        <v>0</v>
      </c>
      <c r="F472" s="3200"/>
      <c r="G472" s="3201">
        <f t="shared" si="266"/>
        <v>0</v>
      </c>
      <c r="H472" s="3202">
        <f t="shared" si="267"/>
        <v>0</v>
      </c>
      <c r="I472" s="3218"/>
      <c r="J472" s="3218"/>
      <c r="K472" s="3218"/>
      <c r="L472" s="3218"/>
      <c r="M472" s="3218"/>
      <c r="N472" s="3218"/>
      <c r="O472" s="3218"/>
      <c r="P472" s="3218"/>
      <c r="Q472" s="3218"/>
      <c r="R472" s="3218"/>
      <c r="S472" s="3218"/>
      <c r="T472" s="3218"/>
      <c r="U472" s="3218"/>
      <c r="V472" s="3218"/>
      <c r="W472" s="3218"/>
      <c r="X472" s="3218"/>
      <c r="Y472" s="3218"/>
      <c r="Z472" s="3218"/>
      <c r="AA472" s="3218"/>
      <c r="AB472" s="3218"/>
      <c r="AC472" s="3199">
        <f t="shared" si="268"/>
        <v>0</v>
      </c>
      <c r="AD472" s="3229"/>
      <c r="AE472" s="3229"/>
      <c r="AF472" s="3229"/>
      <c r="AG472" s="3229"/>
      <c r="AH472" s="3229"/>
      <c r="AI472" s="3229"/>
      <c r="AJ472" s="3229"/>
      <c r="AK472" s="3229"/>
      <c r="AL472" s="3229"/>
      <c r="AM472" s="3229"/>
      <c r="AN472" s="3229"/>
      <c r="AO472" s="3229"/>
      <c r="AP472" s="3229"/>
      <c r="AQ472" s="3229"/>
      <c r="AR472" s="3229"/>
      <c r="AS472" s="3229"/>
      <c r="AT472" s="3249"/>
      <c r="AU472" s="3250"/>
      <c r="AV472" s="475">
        <f t="shared" si="269"/>
        <v>0</v>
      </c>
      <c r="AW472" s="475">
        <f t="shared" si="270"/>
        <v>0</v>
      </c>
      <c r="AX472" s="475">
        <f t="shared" si="271"/>
        <v>0</v>
      </c>
      <c r="AY472" s="3266">
        <f t="shared" si="272"/>
        <v>0</v>
      </c>
      <c r="AZ472" s="3199">
        <f t="shared" si="273"/>
        <v>0</v>
      </c>
      <c r="BA472" s="3199">
        <f t="shared" si="274"/>
        <v>0</v>
      </c>
      <c r="BB472" s="3199">
        <f t="shared" si="275"/>
        <v>0</v>
      </c>
      <c r="BC472" s="3199">
        <f t="shared" si="276"/>
        <v>0</v>
      </c>
      <c r="BD472" s="3199">
        <f t="shared" si="277"/>
        <v>0</v>
      </c>
      <c r="BE472" s="3199">
        <f t="shared" si="278"/>
        <v>0</v>
      </c>
      <c r="BF472" s="3199">
        <f t="shared" si="279"/>
        <v>0</v>
      </c>
      <c r="BG472" s="3199">
        <f t="shared" si="280"/>
        <v>0</v>
      </c>
      <c r="BH472" s="3199">
        <f t="shared" si="281"/>
        <v>0</v>
      </c>
      <c r="BI472" s="3199">
        <f t="shared" si="282"/>
        <v>0</v>
      </c>
      <c r="BJ472" s="3199">
        <f t="shared" si="283"/>
        <v>0</v>
      </c>
      <c r="BK472" s="3199">
        <f t="shared" si="284"/>
        <v>0</v>
      </c>
      <c r="BL472" s="3199">
        <f t="shared" si="285"/>
        <v>0</v>
      </c>
      <c r="BM472" s="3199">
        <f t="shared" si="286"/>
        <v>0</v>
      </c>
      <c r="BN472" s="3199">
        <f t="shared" si="287"/>
        <v>0</v>
      </c>
      <c r="BO472" s="3199">
        <f t="shared" si="288"/>
        <v>0</v>
      </c>
      <c r="BP472" s="3199">
        <f t="shared" si="289"/>
        <v>0</v>
      </c>
      <c r="BQ472" s="3199">
        <f t="shared" si="290"/>
        <v>0</v>
      </c>
      <c r="BR472" s="3199">
        <f t="shared" si="291"/>
        <v>0</v>
      </c>
      <c r="BS472" s="3199">
        <f t="shared" si="292"/>
        <v>0</v>
      </c>
      <c r="BT472" s="3271">
        <f t="shared" si="293"/>
        <v>0</v>
      </c>
    </row>
    <row r="473" spans="1:72">
      <c r="A473" s="3197"/>
      <c r="B473" s="3198"/>
      <c r="C473" s="3198"/>
      <c r="D473" s="3193"/>
      <c r="E473" s="3199">
        <f t="shared" si="265"/>
        <v>0</v>
      </c>
      <c r="F473" s="3200"/>
      <c r="G473" s="3201">
        <f t="shared" si="266"/>
        <v>0</v>
      </c>
      <c r="H473" s="3202">
        <f t="shared" si="267"/>
        <v>0</v>
      </c>
      <c r="I473" s="3218"/>
      <c r="J473" s="3218"/>
      <c r="K473" s="3218"/>
      <c r="L473" s="3218"/>
      <c r="M473" s="3218"/>
      <c r="N473" s="3218"/>
      <c r="O473" s="3218"/>
      <c r="P473" s="3218"/>
      <c r="Q473" s="3218"/>
      <c r="R473" s="3218"/>
      <c r="S473" s="3218"/>
      <c r="T473" s="3218"/>
      <c r="U473" s="3218"/>
      <c r="V473" s="3218"/>
      <c r="W473" s="3218"/>
      <c r="X473" s="3218"/>
      <c r="Y473" s="3218"/>
      <c r="Z473" s="3218"/>
      <c r="AA473" s="3218"/>
      <c r="AB473" s="3218"/>
      <c r="AC473" s="3199">
        <f t="shared" si="268"/>
        <v>0</v>
      </c>
      <c r="AD473" s="3229"/>
      <c r="AE473" s="3229"/>
      <c r="AF473" s="3229"/>
      <c r="AG473" s="3229"/>
      <c r="AH473" s="3229"/>
      <c r="AI473" s="3229"/>
      <c r="AJ473" s="3229"/>
      <c r="AK473" s="3229"/>
      <c r="AL473" s="3229"/>
      <c r="AM473" s="3229"/>
      <c r="AN473" s="3229"/>
      <c r="AO473" s="3229"/>
      <c r="AP473" s="3229"/>
      <c r="AQ473" s="3229"/>
      <c r="AR473" s="3229"/>
      <c r="AS473" s="3229"/>
      <c r="AT473" s="3249"/>
      <c r="AU473" s="3250"/>
      <c r="AV473" s="475">
        <f t="shared" si="269"/>
        <v>0</v>
      </c>
      <c r="AW473" s="475">
        <f t="shared" si="270"/>
        <v>0</v>
      </c>
      <c r="AX473" s="475">
        <f t="shared" si="271"/>
        <v>0</v>
      </c>
      <c r="AY473" s="3266">
        <f t="shared" si="272"/>
        <v>0</v>
      </c>
      <c r="AZ473" s="3199">
        <f t="shared" si="273"/>
        <v>0</v>
      </c>
      <c r="BA473" s="3199">
        <f t="shared" si="274"/>
        <v>0</v>
      </c>
      <c r="BB473" s="3199">
        <f t="shared" si="275"/>
        <v>0</v>
      </c>
      <c r="BC473" s="3199">
        <f t="shared" si="276"/>
        <v>0</v>
      </c>
      <c r="BD473" s="3199">
        <f t="shared" si="277"/>
        <v>0</v>
      </c>
      <c r="BE473" s="3199">
        <f t="shared" si="278"/>
        <v>0</v>
      </c>
      <c r="BF473" s="3199">
        <f t="shared" si="279"/>
        <v>0</v>
      </c>
      <c r="BG473" s="3199">
        <f t="shared" si="280"/>
        <v>0</v>
      </c>
      <c r="BH473" s="3199">
        <f t="shared" si="281"/>
        <v>0</v>
      </c>
      <c r="BI473" s="3199">
        <f t="shared" si="282"/>
        <v>0</v>
      </c>
      <c r="BJ473" s="3199">
        <f t="shared" si="283"/>
        <v>0</v>
      </c>
      <c r="BK473" s="3199">
        <f t="shared" si="284"/>
        <v>0</v>
      </c>
      <c r="BL473" s="3199">
        <f t="shared" si="285"/>
        <v>0</v>
      </c>
      <c r="BM473" s="3199">
        <f t="shared" si="286"/>
        <v>0</v>
      </c>
      <c r="BN473" s="3199">
        <f t="shared" si="287"/>
        <v>0</v>
      </c>
      <c r="BO473" s="3199">
        <f t="shared" si="288"/>
        <v>0</v>
      </c>
      <c r="BP473" s="3199">
        <f t="shared" si="289"/>
        <v>0</v>
      </c>
      <c r="BQ473" s="3199">
        <f t="shared" si="290"/>
        <v>0</v>
      </c>
      <c r="BR473" s="3199">
        <f t="shared" si="291"/>
        <v>0</v>
      </c>
      <c r="BS473" s="3199">
        <f t="shared" si="292"/>
        <v>0</v>
      </c>
      <c r="BT473" s="3271">
        <f t="shared" si="293"/>
        <v>0</v>
      </c>
    </row>
    <row r="474" spans="1:72">
      <c r="A474" s="3197"/>
      <c r="B474" s="3198"/>
      <c r="C474" s="3198"/>
      <c r="D474" s="3193"/>
      <c r="E474" s="3199">
        <f t="shared" si="265"/>
        <v>0</v>
      </c>
      <c r="F474" s="3200"/>
      <c r="G474" s="3201">
        <f t="shared" si="266"/>
        <v>0</v>
      </c>
      <c r="H474" s="3202">
        <f t="shared" si="267"/>
        <v>0</v>
      </c>
      <c r="I474" s="3218"/>
      <c r="J474" s="3218"/>
      <c r="K474" s="3218"/>
      <c r="L474" s="3218"/>
      <c r="M474" s="3218"/>
      <c r="N474" s="3218"/>
      <c r="O474" s="3218"/>
      <c r="P474" s="3218"/>
      <c r="Q474" s="3218"/>
      <c r="R474" s="3218"/>
      <c r="S474" s="3218"/>
      <c r="T474" s="3218"/>
      <c r="U474" s="3218"/>
      <c r="V474" s="3218"/>
      <c r="W474" s="3218"/>
      <c r="X474" s="3218"/>
      <c r="Y474" s="3218"/>
      <c r="Z474" s="3218"/>
      <c r="AA474" s="3218"/>
      <c r="AB474" s="3218"/>
      <c r="AC474" s="3199">
        <f t="shared" si="268"/>
        <v>0</v>
      </c>
      <c r="AD474" s="3229"/>
      <c r="AE474" s="3229"/>
      <c r="AF474" s="3229"/>
      <c r="AG474" s="3229"/>
      <c r="AH474" s="3229"/>
      <c r="AI474" s="3229"/>
      <c r="AJ474" s="3229"/>
      <c r="AK474" s="3229"/>
      <c r="AL474" s="3229"/>
      <c r="AM474" s="3229"/>
      <c r="AN474" s="3229"/>
      <c r="AO474" s="3229"/>
      <c r="AP474" s="3229"/>
      <c r="AQ474" s="3229"/>
      <c r="AR474" s="3229"/>
      <c r="AS474" s="3229"/>
      <c r="AT474" s="3249"/>
      <c r="AU474" s="3250"/>
      <c r="AV474" s="475">
        <f t="shared" si="269"/>
        <v>0</v>
      </c>
      <c r="AW474" s="475">
        <f t="shared" si="270"/>
        <v>0</v>
      </c>
      <c r="AX474" s="475">
        <f t="shared" si="271"/>
        <v>0</v>
      </c>
      <c r="AY474" s="3266">
        <f t="shared" si="272"/>
        <v>0</v>
      </c>
      <c r="AZ474" s="3199">
        <f t="shared" si="273"/>
        <v>0</v>
      </c>
      <c r="BA474" s="3199">
        <f t="shared" si="274"/>
        <v>0</v>
      </c>
      <c r="BB474" s="3199">
        <f t="shared" si="275"/>
        <v>0</v>
      </c>
      <c r="BC474" s="3199">
        <f t="shared" si="276"/>
        <v>0</v>
      </c>
      <c r="BD474" s="3199">
        <f t="shared" si="277"/>
        <v>0</v>
      </c>
      <c r="BE474" s="3199">
        <f t="shared" si="278"/>
        <v>0</v>
      </c>
      <c r="BF474" s="3199">
        <f t="shared" si="279"/>
        <v>0</v>
      </c>
      <c r="BG474" s="3199">
        <f t="shared" si="280"/>
        <v>0</v>
      </c>
      <c r="BH474" s="3199">
        <f t="shared" si="281"/>
        <v>0</v>
      </c>
      <c r="BI474" s="3199">
        <f t="shared" si="282"/>
        <v>0</v>
      </c>
      <c r="BJ474" s="3199">
        <f t="shared" si="283"/>
        <v>0</v>
      </c>
      <c r="BK474" s="3199">
        <f t="shared" si="284"/>
        <v>0</v>
      </c>
      <c r="BL474" s="3199">
        <f t="shared" si="285"/>
        <v>0</v>
      </c>
      <c r="BM474" s="3199">
        <f t="shared" si="286"/>
        <v>0</v>
      </c>
      <c r="BN474" s="3199">
        <f t="shared" si="287"/>
        <v>0</v>
      </c>
      <c r="BO474" s="3199">
        <f t="shared" si="288"/>
        <v>0</v>
      </c>
      <c r="BP474" s="3199">
        <f t="shared" si="289"/>
        <v>0</v>
      </c>
      <c r="BQ474" s="3199">
        <f t="shared" si="290"/>
        <v>0</v>
      </c>
      <c r="BR474" s="3199">
        <f t="shared" si="291"/>
        <v>0</v>
      </c>
      <c r="BS474" s="3199">
        <f t="shared" si="292"/>
        <v>0</v>
      </c>
      <c r="BT474" s="3271">
        <f t="shared" si="293"/>
        <v>0</v>
      </c>
    </row>
    <row r="475" spans="1:72">
      <c r="A475" s="3197"/>
      <c r="B475" s="3198"/>
      <c r="C475" s="3198"/>
      <c r="D475" s="3193"/>
      <c r="E475" s="3199">
        <f t="shared" si="265"/>
        <v>0</v>
      </c>
      <c r="F475" s="3200"/>
      <c r="G475" s="3201">
        <f t="shared" si="266"/>
        <v>0</v>
      </c>
      <c r="H475" s="3202">
        <f t="shared" si="267"/>
        <v>0</v>
      </c>
      <c r="I475" s="3218"/>
      <c r="J475" s="3218"/>
      <c r="K475" s="3218"/>
      <c r="L475" s="3218"/>
      <c r="M475" s="3218"/>
      <c r="N475" s="3218"/>
      <c r="O475" s="3218"/>
      <c r="P475" s="3218"/>
      <c r="Q475" s="3218"/>
      <c r="R475" s="3218"/>
      <c r="S475" s="3218"/>
      <c r="T475" s="3218"/>
      <c r="U475" s="3218"/>
      <c r="V475" s="3218"/>
      <c r="W475" s="3218"/>
      <c r="X475" s="3218"/>
      <c r="Y475" s="3218"/>
      <c r="Z475" s="3218"/>
      <c r="AA475" s="3218"/>
      <c r="AB475" s="3218"/>
      <c r="AC475" s="3199">
        <f t="shared" si="268"/>
        <v>0</v>
      </c>
      <c r="AD475" s="3229"/>
      <c r="AE475" s="3229"/>
      <c r="AF475" s="3229"/>
      <c r="AG475" s="3229"/>
      <c r="AH475" s="3229"/>
      <c r="AI475" s="3229"/>
      <c r="AJ475" s="3229"/>
      <c r="AK475" s="3229"/>
      <c r="AL475" s="3229"/>
      <c r="AM475" s="3229"/>
      <c r="AN475" s="3229"/>
      <c r="AO475" s="3229"/>
      <c r="AP475" s="3229"/>
      <c r="AQ475" s="3229"/>
      <c r="AR475" s="3229"/>
      <c r="AS475" s="3229"/>
      <c r="AT475" s="3249"/>
      <c r="AU475" s="3250"/>
      <c r="AV475" s="475">
        <f t="shared" si="269"/>
        <v>0</v>
      </c>
      <c r="AW475" s="475">
        <f t="shared" si="270"/>
        <v>0</v>
      </c>
      <c r="AX475" s="475">
        <f t="shared" si="271"/>
        <v>0</v>
      </c>
      <c r="AY475" s="3266">
        <f t="shared" si="272"/>
        <v>0</v>
      </c>
      <c r="AZ475" s="3199">
        <f t="shared" si="273"/>
        <v>0</v>
      </c>
      <c r="BA475" s="3199">
        <f t="shared" si="274"/>
        <v>0</v>
      </c>
      <c r="BB475" s="3199">
        <f t="shared" si="275"/>
        <v>0</v>
      </c>
      <c r="BC475" s="3199">
        <f t="shared" si="276"/>
        <v>0</v>
      </c>
      <c r="BD475" s="3199">
        <f t="shared" si="277"/>
        <v>0</v>
      </c>
      <c r="BE475" s="3199">
        <f t="shared" si="278"/>
        <v>0</v>
      </c>
      <c r="BF475" s="3199">
        <f t="shared" si="279"/>
        <v>0</v>
      </c>
      <c r="BG475" s="3199">
        <f t="shared" si="280"/>
        <v>0</v>
      </c>
      <c r="BH475" s="3199">
        <f t="shared" si="281"/>
        <v>0</v>
      </c>
      <c r="BI475" s="3199">
        <f t="shared" si="282"/>
        <v>0</v>
      </c>
      <c r="BJ475" s="3199">
        <f t="shared" si="283"/>
        <v>0</v>
      </c>
      <c r="BK475" s="3199">
        <f t="shared" si="284"/>
        <v>0</v>
      </c>
      <c r="BL475" s="3199">
        <f t="shared" si="285"/>
        <v>0</v>
      </c>
      <c r="BM475" s="3199">
        <f t="shared" si="286"/>
        <v>0</v>
      </c>
      <c r="BN475" s="3199">
        <f t="shared" si="287"/>
        <v>0</v>
      </c>
      <c r="BO475" s="3199">
        <f t="shared" si="288"/>
        <v>0</v>
      </c>
      <c r="BP475" s="3199">
        <f t="shared" si="289"/>
        <v>0</v>
      </c>
      <c r="BQ475" s="3199">
        <f t="shared" si="290"/>
        <v>0</v>
      </c>
      <c r="BR475" s="3199">
        <f t="shared" si="291"/>
        <v>0</v>
      </c>
      <c r="BS475" s="3199">
        <f t="shared" si="292"/>
        <v>0</v>
      </c>
      <c r="BT475" s="3271">
        <f t="shared" si="293"/>
        <v>0</v>
      </c>
    </row>
    <row r="476" spans="1:72">
      <c r="A476" s="3197"/>
      <c r="B476" s="3198"/>
      <c r="C476" s="3198"/>
      <c r="D476" s="3193"/>
      <c r="E476" s="3199">
        <f t="shared" si="265"/>
        <v>0</v>
      </c>
      <c r="F476" s="3200"/>
      <c r="G476" s="3201">
        <f t="shared" si="266"/>
        <v>0</v>
      </c>
      <c r="H476" s="3202">
        <f t="shared" si="267"/>
        <v>0</v>
      </c>
      <c r="I476" s="3218"/>
      <c r="J476" s="3218"/>
      <c r="K476" s="3218"/>
      <c r="L476" s="3218"/>
      <c r="M476" s="3218"/>
      <c r="N476" s="3218"/>
      <c r="O476" s="3218"/>
      <c r="P476" s="3218"/>
      <c r="Q476" s="3218"/>
      <c r="R476" s="3218"/>
      <c r="S476" s="3218"/>
      <c r="T476" s="3218"/>
      <c r="U476" s="3218"/>
      <c r="V476" s="3218"/>
      <c r="W476" s="3218"/>
      <c r="X476" s="3218"/>
      <c r="Y476" s="3218"/>
      <c r="Z476" s="3218"/>
      <c r="AA476" s="3218"/>
      <c r="AB476" s="3218"/>
      <c r="AC476" s="3199">
        <f t="shared" si="268"/>
        <v>0</v>
      </c>
      <c r="AD476" s="3229"/>
      <c r="AE476" s="3229"/>
      <c r="AF476" s="3229"/>
      <c r="AG476" s="3229"/>
      <c r="AH476" s="3229"/>
      <c r="AI476" s="3229"/>
      <c r="AJ476" s="3229"/>
      <c r="AK476" s="3229"/>
      <c r="AL476" s="3229"/>
      <c r="AM476" s="3229"/>
      <c r="AN476" s="3229"/>
      <c r="AO476" s="3229"/>
      <c r="AP476" s="3229"/>
      <c r="AQ476" s="3229"/>
      <c r="AR476" s="3229"/>
      <c r="AS476" s="3229"/>
      <c r="AT476" s="3249"/>
      <c r="AU476" s="3250"/>
      <c r="AV476" s="475">
        <f t="shared" si="269"/>
        <v>0</v>
      </c>
      <c r="AW476" s="475">
        <f t="shared" si="270"/>
        <v>0</v>
      </c>
      <c r="AX476" s="475">
        <f t="shared" si="271"/>
        <v>0</v>
      </c>
      <c r="AY476" s="3266">
        <f t="shared" si="272"/>
        <v>0</v>
      </c>
      <c r="AZ476" s="3199">
        <f t="shared" si="273"/>
        <v>0</v>
      </c>
      <c r="BA476" s="3199">
        <f t="shared" si="274"/>
        <v>0</v>
      </c>
      <c r="BB476" s="3199">
        <f t="shared" si="275"/>
        <v>0</v>
      </c>
      <c r="BC476" s="3199">
        <f t="shared" si="276"/>
        <v>0</v>
      </c>
      <c r="BD476" s="3199">
        <f t="shared" si="277"/>
        <v>0</v>
      </c>
      <c r="BE476" s="3199">
        <f t="shared" si="278"/>
        <v>0</v>
      </c>
      <c r="BF476" s="3199">
        <f t="shared" si="279"/>
        <v>0</v>
      </c>
      <c r="BG476" s="3199">
        <f t="shared" si="280"/>
        <v>0</v>
      </c>
      <c r="BH476" s="3199">
        <f t="shared" si="281"/>
        <v>0</v>
      </c>
      <c r="BI476" s="3199">
        <f t="shared" si="282"/>
        <v>0</v>
      </c>
      <c r="BJ476" s="3199">
        <f t="shared" si="283"/>
        <v>0</v>
      </c>
      <c r="BK476" s="3199">
        <f t="shared" si="284"/>
        <v>0</v>
      </c>
      <c r="BL476" s="3199">
        <f t="shared" si="285"/>
        <v>0</v>
      </c>
      <c r="BM476" s="3199">
        <f t="shared" si="286"/>
        <v>0</v>
      </c>
      <c r="BN476" s="3199">
        <f t="shared" si="287"/>
        <v>0</v>
      </c>
      <c r="BO476" s="3199">
        <f t="shared" si="288"/>
        <v>0</v>
      </c>
      <c r="BP476" s="3199">
        <f t="shared" si="289"/>
        <v>0</v>
      </c>
      <c r="BQ476" s="3199">
        <f t="shared" si="290"/>
        <v>0</v>
      </c>
      <c r="BR476" s="3199">
        <f t="shared" si="291"/>
        <v>0</v>
      </c>
      <c r="BS476" s="3199">
        <f t="shared" si="292"/>
        <v>0</v>
      </c>
      <c r="BT476" s="3271">
        <f t="shared" si="293"/>
        <v>0</v>
      </c>
    </row>
    <row r="477" spans="1:72">
      <c r="A477" s="3197"/>
      <c r="B477" s="3198"/>
      <c r="C477" s="3198"/>
      <c r="D477" s="3193"/>
      <c r="E477" s="3199">
        <f t="shared" si="265"/>
        <v>0</v>
      </c>
      <c r="F477" s="3200"/>
      <c r="G477" s="3201">
        <f t="shared" si="266"/>
        <v>0</v>
      </c>
      <c r="H477" s="3202">
        <f t="shared" si="267"/>
        <v>0</v>
      </c>
      <c r="I477" s="3218"/>
      <c r="J477" s="3218"/>
      <c r="K477" s="3218"/>
      <c r="L477" s="3218"/>
      <c r="M477" s="3218"/>
      <c r="N477" s="3218"/>
      <c r="O477" s="3218"/>
      <c r="P477" s="3218"/>
      <c r="Q477" s="3218"/>
      <c r="R477" s="3218"/>
      <c r="S477" s="3218"/>
      <c r="T477" s="3218"/>
      <c r="U477" s="3218"/>
      <c r="V477" s="3218"/>
      <c r="W477" s="3218"/>
      <c r="X477" s="3218"/>
      <c r="Y477" s="3218"/>
      <c r="Z477" s="3218"/>
      <c r="AA477" s="3218"/>
      <c r="AB477" s="3218"/>
      <c r="AC477" s="3199">
        <f t="shared" si="268"/>
        <v>0</v>
      </c>
      <c r="AD477" s="3229"/>
      <c r="AE477" s="3229"/>
      <c r="AF477" s="3229"/>
      <c r="AG477" s="3229"/>
      <c r="AH477" s="3229"/>
      <c r="AI477" s="3229"/>
      <c r="AJ477" s="3229"/>
      <c r="AK477" s="3229"/>
      <c r="AL477" s="3229"/>
      <c r="AM477" s="3229"/>
      <c r="AN477" s="3229"/>
      <c r="AO477" s="3229"/>
      <c r="AP477" s="3229"/>
      <c r="AQ477" s="3229"/>
      <c r="AR477" s="3229"/>
      <c r="AS477" s="3229"/>
      <c r="AT477" s="3249"/>
      <c r="AU477" s="3250"/>
      <c r="AV477" s="475">
        <f t="shared" si="269"/>
        <v>0</v>
      </c>
      <c r="AW477" s="475">
        <f t="shared" si="270"/>
        <v>0</v>
      </c>
      <c r="AX477" s="475">
        <f t="shared" si="271"/>
        <v>0</v>
      </c>
      <c r="AY477" s="3266">
        <f t="shared" si="272"/>
        <v>0</v>
      </c>
      <c r="AZ477" s="3199">
        <f t="shared" si="273"/>
        <v>0</v>
      </c>
      <c r="BA477" s="3199">
        <f t="shared" si="274"/>
        <v>0</v>
      </c>
      <c r="BB477" s="3199">
        <f t="shared" si="275"/>
        <v>0</v>
      </c>
      <c r="BC477" s="3199">
        <f t="shared" si="276"/>
        <v>0</v>
      </c>
      <c r="BD477" s="3199">
        <f t="shared" si="277"/>
        <v>0</v>
      </c>
      <c r="BE477" s="3199">
        <f t="shared" si="278"/>
        <v>0</v>
      </c>
      <c r="BF477" s="3199">
        <f t="shared" si="279"/>
        <v>0</v>
      </c>
      <c r="BG477" s="3199">
        <f t="shared" si="280"/>
        <v>0</v>
      </c>
      <c r="BH477" s="3199">
        <f t="shared" si="281"/>
        <v>0</v>
      </c>
      <c r="BI477" s="3199">
        <f t="shared" si="282"/>
        <v>0</v>
      </c>
      <c r="BJ477" s="3199">
        <f t="shared" si="283"/>
        <v>0</v>
      </c>
      <c r="BK477" s="3199">
        <f t="shared" si="284"/>
        <v>0</v>
      </c>
      <c r="BL477" s="3199">
        <f t="shared" si="285"/>
        <v>0</v>
      </c>
      <c r="BM477" s="3199">
        <f t="shared" si="286"/>
        <v>0</v>
      </c>
      <c r="BN477" s="3199">
        <f t="shared" si="287"/>
        <v>0</v>
      </c>
      <c r="BO477" s="3199">
        <f t="shared" si="288"/>
        <v>0</v>
      </c>
      <c r="BP477" s="3199">
        <f t="shared" si="289"/>
        <v>0</v>
      </c>
      <c r="BQ477" s="3199">
        <f t="shared" si="290"/>
        <v>0</v>
      </c>
      <c r="BR477" s="3199">
        <f t="shared" si="291"/>
        <v>0</v>
      </c>
      <c r="BS477" s="3199">
        <f t="shared" si="292"/>
        <v>0</v>
      </c>
      <c r="BT477" s="3271">
        <f t="shared" si="293"/>
        <v>0</v>
      </c>
    </row>
    <row r="478" spans="1:72">
      <c r="A478" s="3197"/>
      <c r="B478" s="3197"/>
      <c r="C478" s="3197"/>
      <c r="D478" s="3193"/>
      <c r="E478" s="3199">
        <f t="shared" si="265"/>
        <v>0</v>
      </c>
      <c r="F478" s="3272"/>
      <c r="G478" s="3201">
        <f t="shared" ref="G478:G509" si="294">H478+AC478+AT478</f>
        <v>0</v>
      </c>
      <c r="H478" s="3202">
        <f t="shared" ref="H478:H509" si="295">SUMIF(I$12:AB$12,"总值",I478:AB478)</f>
        <v>0</v>
      </c>
      <c r="I478" s="3273"/>
      <c r="J478" s="3273"/>
      <c r="K478" s="3218"/>
      <c r="L478" s="3218"/>
      <c r="M478" s="3218"/>
      <c r="N478" s="3218"/>
      <c r="O478" s="3218"/>
      <c r="P478" s="3218"/>
      <c r="Q478" s="3218"/>
      <c r="R478" s="3218"/>
      <c r="S478" s="3218"/>
      <c r="T478" s="3218"/>
      <c r="U478" s="3218"/>
      <c r="V478" s="3218"/>
      <c r="W478" s="3218"/>
      <c r="X478" s="3218"/>
      <c r="Y478" s="3218"/>
      <c r="Z478" s="3218"/>
      <c r="AA478" s="3218"/>
      <c r="AB478" s="3218"/>
      <c r="AC478" s="3199">
        <f t="shared" ref="AC478:AC509" si="296">SUMIF(AD$12:AS$12,"总值",AD478:AS478)</f>
        <v>0</v>
      </c>
      <c r="AD478" s="3229"/>
      <c r="AE478" s="3229"/>
      <c r="AF478" s="3229"/>
      <c r="AG478" s="3229"/>
      <c r="AH478" s="3229"/>
      <c r="AI478" s="3229"/>
      <c r="AJ478" s="3229"/>
      <c r="AK478" s="3229"/>
      <c r="AL478" s="3229"/>
      <c r="AM478" s="3229"/>
      <c r="AN478" s="3229"/>
      <c r="AO478" s="3229"/>
      <c r="AP478" s="3229"/>
      <c r="AQ478" s="3229"/>
      <c r="AR478" s="3229"/>
      <c r="AS478" s="3229"/>
      <c r="AT478" s="3229"/>
      <c r="AU478" s="3274"/>
      <c r="AV478" s="475">
        <f t="shared" si="269"/>
        <v>0</v>
      </c>
      <c r="AW478" s="475">
        <f t="shared" si="270"/>
        <v>0</v>
      </c>
      <c r="AX478" s="475">
        <f t="shared" si="271"/>
        <v>0</v>
      </c>
      <c r="AY478" s="3266">
        <f t="shared" ref="AY478:AY509" si="297">ROUND($AY$6*AZ478/$AZ$5,2)</f>
        <v>0</v>
      </c>
      <c r="AZ478" s="3199">
        <f t="shared" ref="AZ478:AZ509" si="298">BA478+BL478</f>
        <v>0</v>
      </c>
      <c r="BA478" s="3199">
        <f t="shared" ref="BA478:BA509" si="299">SUM(BB478:BK478)</f>
        <v>0</v>
      </c>
      <c r="BB478" s="3199">
        <f t="shared" ref="BB478:BB509" si="300">IF($D478="是",I478-J478,0)</f>
        <v>0</v>
      </c>
      <c r="BC478" s="3199">
        <f t="shared" ref="BC478:BC509" si="301">IF($D478="是",K478-L478,0)</f>
        <v>0</v>
      </c>
      <c r="BD478" s="3199">
        <f t="shared" ref="BD478:BD509" si="302">IF($D478="是",M478-N478,0)</f>
        <v>0</v>
      </c>
      <c r="BE478" s="3199">
        <f t="shared" ref="BE478:BE509" si="303">IF($D478="是",O478-P478,0)</f>
        <v>0</v>
      </c>
      <c r="BF478" s="3199">
        <f t="shared" ref="BF478:BF509" si="304">IF($D478="是",Q478-R478,0)</f>
        <v>0</v>
      </c>
      <c r="BG478" s="3199">
        <f t="shared" ref="BG478:BG509" si="305">IF($D478="是",S478-T478,0)</f>
        <v>0</v>
      </c>
      <c r="BH478" s="3199">
        <f t="shared" ref="BH478:BH509" si="306">IF($D478="是",U478-V478,0)</f>
        <v>0</v>
      </c>
      <c r="BI478" s="3199">
        <f t="shared" ref="BI478:BI509" si="307">IF($D478="是",W478-X478,0)</f>
        <v>0</v>
      </c>
      <c r="BJ478" s="3199">
        <f t="shared" ref="BJ478:BJ509" si="308">IF($D478="是",Y478-Z478,0)</f>
        <v>0</v>
      </c>
      <c r="BK478" s="3199">
        <f t="shared" ref="BK478:BK509" si="309">IF($D478="是",AA478-AB478,0)</f>
        <v>0</v>
      </c>
      <c r="BL478" s="3199">
        <f t="shared" ref="BL478:BL509" si="310">SUM(BM478:BT478)</f>
        <v>0</v>
      </c>
      <c r="BM478" s="3199">
        <f t="shared" ref="BM478:BM509" si="311">IF($D478="是",AD478-AE478,0)</f>
        <v>0</v>
      </c>
      <c r="BN478" s="3199">
        <f t="shared" ref="BN478:BN509" si="312">IF($D478="是",AF478-AG478,0)</f>
        <v>0</v>
      </c>
      <c r="BO478" s="3199">
        <f t="shared" ref="BO478:BO509" si="313">IF($D478="是",AH478-AI478,0)</f>
        <v>0</v>
      </c>
      <c r="BP478" s="3199">
        <f t="shared" ref="BP478:BP509" si="314">IF($D478="是",AJ478-AK478,0)</f>
        <v>0</v>
      </c>
      <c r="BQ478" s="3199">
        <f t="shared" ref="BQ478:BQ509" si="315">IF($D478="是",AL478-AM478,0)</f>
        <v>0</v>
      </c>
      <c r="BR478" s="3199">
        <f t="shared" ref="BR478:BR509" si="316">IF($D478="是",AN478-AO478,0)</f>
        <v>0</v>
      </c>
      <c r="BS478" s="3199">
        <f t="shared" ref="BS478:BS509" si="317">IF($D478="是",AP478-AQ478,0)</f>
        <v>0</v>
      </c>
      <c r="BT478" s="3271">
        <f t="shared" ref="BT478:BT509" si="318">IF($D478="是",AR478-AS478,0)</f>
        <v>0</v>
      </c>
    </row>
    <row r="479" spans="1:72">
      <c r="A479" s="3197"/>
      <c r="B479" s="3197"/>
      <c r="C479" s="3197"/>
      <c r="D479" s="3193"/>
      <c r="E479" s="3199">
        <f t="shared" si="265"/>
        <v>0</v>
      </c>
      <c r="F479" s="3272"/>
      <c r="G479" s="3201">
        <f t="shared" si="294"/>
        <v>0</v>
      </c>
      <c r="H479" s="3202">
        <f t="shared" si="295"/>
        <v>0</v>
      </c>
      <c r="I479" s="3218"/>
      <c r="J479" s="3218"/>
      <c r="K479" s="3218"/>
      <c r="L479" s="3218"/>
      <c r="M479" s="3218"/>
      <c r="N479" s="3218"/>
      <c r="O479" s="3218"/>
      <c r="P479" s="3218"/>
      <c r="Q479" s="3218"/>
      <c r="R479" s="3218"/>
      <c r="S479" s="3218"/>
      <c r="T479" s="3218"/>
      <c r="U479" s="3218"/>
      <c r="V479" s="3218"/>
      <c r="W479" s="3218"/>
      <c r="X479" s="3218"/>
      <c r="Y479" s="3218"/>
      <c r="Z479" s="3218"/>
      <c r="AA479" s="3218"/>
      <c r="AB479" s="3218"/>
      <c r="AC479" s="3199">
        <f t="shared" si="296"/>
        <v>0</v>
      </c>
      <c r="AD479" s="3229"/>
      <c r="AE479" s="3229"/>
      <c r="AF479" s="3229"/>
      <c r="AG479" s="3229"/>
      <c r="AH479" s="3229"/>
      <c r="AI479" s="3229"/>
      <c r="AJ479" s="3229"/>
      <c r="AK479" s="3229"/>
      <c r="AL479" s="3229"/>
      <c r="AM479" s="3229"/>
      <c r="AN479" s="3229"/>
      <c r="AO479" s="3229"/>
      <c r="AP479" s="3229"/>
      <c r="AQ479" s="3229"/>
      <c r="AR479" s="3229"/>
      <c r="AS479" s="3229"/>
      <c r="AT479" s="3229"/>
      <c r="AU479" s="3274"/>
      <c r="AV479" s="475">
        <f t="shared" si="269"/>
        <v>0</v>
      </c>
      <c r="AW479" s="475">
        <f t="shared" si="270"/>
        <v>0</v>
      </c>
      <c r="AX479" s="475">
        <f t="shared" si="271"/>
        <v>0</v>
      </c>
      <c r="AY479" s="3266">
        <f t="shared" si="297"/>
        <v>0</v>
      </c>
      <c r="AZ479" s="3199">
        <f t="shared" si="298"/>
        <v>0</v>
      </c>
      <c r="BA479" s="3199">
        <f t="shared" si="299"/>
        <v>0</v>
      </c>
      <c r="BB479" s="3199">
        <f t="shared" si="300"/>
        <v>0</v>
      </c>
      <c r="BC479" s="3199">
        <f t="shared" si="301"/>
        <v>0</v>
      </c>
      <c r="BD479" s="3199">
        <f t="shared" si="302"/>
        <v>0</v>
      </c>
      <c r="BE479" s="3199">
        <f t="shared" si="303"/>
        <v>0</v>
      </c>
      <c r="BF479" s="3199">
        <f t="shared" si="304"/>
        <v>0</v>
      </c>
      <c r="BG479" s="3199">
        <f t="shared" si="305"/>
        <v>0</v>
      </c>
      <c r="BH479" s="3199">
        <f t="shared" si="306"/>
        <v>0</v>
      </c>
      <c r="BI479" s="3199">
        <f t="shared" si="307"/>
        <v>0</v>
      </c>
      <c r="BJ479" s="3199">
        <f t="shared" si="308"/>
        <v>0</v>
      </c>
      <c r="BK479" s="3199">
        <f t="shared" si="309"/>
        <v>0</v>
      </c>
      <c r="BL479" s="3199">
        <f t="shared" si="310"/>
        <v>0</v>
      </c>
      <c r="BM479" s="3199">
        <f t="shared" si="311"/>
        <v>0</v>
      </c>
      <c r="BN479" s="3199">
        <f t="shared" si="312"/>
        <v>0</v>
      </c>
      <c r="BO479" s="3199">
        <f t="shared" si="313"/>
        <v>0</v>
      </c>
      <c r="BP479" s="3199">
        <f t="shared" si="314"/>
        <v>0</v>
      </c>
      <c r="BQ479" s="3199">
        <f t="shared" si="315"/>
        <v>0</v>
      </c>
      <c r="BR479" s="3199">
        <f t="shared" si="316"/>
        <v>0</v>
      </c>
      <c r="BS479" s="3199">
        <f t="shared" si="317"/>
        <v>0</v>
      </c>
      <c r="BT479" s="3271">
        <f t="shared" si="318"/>
        <v>0</v>
      </c>
    </row>
    <row r="480" spans="1:72">
      <c r="A480" s="3197"/>
      <c r="B480" s="3197"/>
      <c r="C480" s="3197"/>
      <c r="D480" s="3193"/>
      <c r="E480" s="3199">
        <f t="shared" si="265"/>
        <v>0</v>
      </c>
      <c r="F480" s="3272"/>
      <c r="G480" s="3201">
        <f t="shared" si="294"/>
        <v>0</v>
      </c>
      <c r="H480" s="3202">
        <f t="shared" si="295"/>
        <v>0</v>
      </c>
      <c r="I480" s="3218"/>
      <c r="J480" s="3218"/>
      <c r="K480" s="3218"/>
      <c r="L480" s="3218"/>
      <c r="M480" s="3218"/>
      <c r="N480" s="3218"/>
      <c r="O480" s="3218"/>
      <c r="P480" s="3218"/>
      <c r="Q480" s="3218"/>
      <c r="R480" s="3218"/>
      <c r="S480" s="3218"/>
      <c r="T480" s="3218"/>
      <c r="U480" s="3218"/>
      <c r="V480" s="3218"/>
      <c r="W480" s="3218"/>
      <c r="X480" s="3218"/>
      <c r="Y480" s="3218"/>
      <c r="Z480" s="3218"/>
      <c r="AA480" s="3218"/>
      <c r="AB480" s="3218"/>
      <c r="AC480" s="3199">
        <f t="shared" si="296"/>
        <v>0</v>
      </c>
      <c r="AD480" s="3229"/>
      <c r="AE480" s="3229"/>
      <c r="AF480" s="3229"/>
      <c r="AG480" s="3229"/>
      <c r="AH480" s="3229"/>
      <c r="AI480" s="3229"/>
      <c r="AJ480" s="3229"/>
      <c r="AK480" s="3229"/>
      <c r="AL480" s="3229"/>
      <c r="AM480" s="3229"/>
      <c r="AN480" s="3229"/>
      <c r="AO480" s="3229"/>
      <c r="AP480" s="3229"/>
      <c r="AQ480" s="3229"/>
      <c r="AR480" s="3229"/>
      <c r="AS480" s="3229"/>
      <c r="AT480" s="3229"/>
      <c r="AU480" s="3274"/>
      <c r="AV480" s="475">
        <f t="shared" si="269"/>
        <v>0</v>
      </c>
      <c r="AW480" s="475">
        <f t="shared" si="270"/>
        <v>0</v>
      </c>
      <c r="AX480" s="475">
        <f t="shared" si="271"/>
        <v>0</v>
      </c>
      <c r="AY480" s="3266">
        <f t="shared" si="297"/>
        <v>0</v>
      </c>
      <c r="AZ480" s="3199">
        <f t="shared" si="298"/>
        <v>0</v>
      </c>
      <c r="BA480" s="3199">
        <f t="shared" si="299"/>
        <v>0</v>
      </c>
      <c r="BB480" s="3199">
        <f t="shared" si="300"/>
        <v>0</v>
      </c>
      <c r="BC480" s="3199">
        <f t="shared" si="301"/>
        <v>0</v>
      </c>
      <c r="BD480" s="3199">
        <f t="shared" si="302"/>
        <v>0</v>
      </c>
      <c r="BE480" s="3199">
        <f t="shared" si="303"/>
        <v>0</v>
      </c>
      <c r="BF480" s="3199">
        <f t="shared" si="304"/>
        <v>0</v>
      </c>
      <c r="BG480" s="3199">
        <f t="shared" si="305"/>
        <v>0</v>
      </c>
      <c r="BH480" s="3199">
        <f t="shared" si="306"/>
        <v>0</v>
      </c>
      <c r="BI480" s="3199">
        <f t="shared" si="307"/>
        <v>0</v>
      </c>
      <c r="BJ480" s="3199">
        <f t="shared" si="308"/>
        <v>0</v>
      </c>
      <c r="BK480" s="3199">
        <f t="shared" si="309"/>
        <v>0</v>
      </c>
      <c r="BL480" s="3199">
        <f t="shared" si="310"/>
        <v>0</v>
      </c>
      <c r="BM480" s="3199">
        <f t="shared" si="311"/>
        <v>0</v>
      </c>
      <c r="BN480" s="3199">
        <f t="shared" si="312"/>
        <v>0</v>
      </c>
      <c r="BO480" s="3199">
        <f t="shared" si="313"/>
        <v>0</v>
      </c>
      <c r="BP480" s="3199">
        <f t="shared" si="314"/>
        <v>0</v>
      </c>
      <c r="BQ480" s="3199">
        <f t="shared" si="315"/>
        <v>0</v>
      </c>
      <c r="BR480" s="3199">
        <f t="shared" si="316"/>
        <v>0</v>
      </c>
      <c r="BS480" s="3199">
        <f t="shared" si="317"/>
        <v>0</v>
      </c>
      <c r="BT480" s="3271">
        <f t="shared" si="318"/>
        <v>0</v>
      </c>
    </row>
    <row r="481" spans="1:72">
      <c r="A481" s="3197"/>
      <c r="B481" s="3205"/>
      <c r="C481" s="3204"/>
      <c r="D481" s="3193"/>
      <c r="E481" s="3199">
        <f t="shared" ref="E481:E504" si="319">IF($C$3="是",ROUND($A$3*G481/$B$3,2),ROUND($A$3*(G481-AT481)/$B$3,2))</f>
        <v>0</v>
      </c>
      <c r="F481" s="3200"/>
      <c r="G481" s="3201">
        <f t="shared" si="294"/>
        <v>0</v>
      </c>
      <c r="H481" s="3202">
        <f t="shared" si="295"/>
        <v>0</v>
      </c>
      <c r="I481" s="3207"/>
      <c r="J481" s="3218"/>
      <c r="K481" s="3207"/>
      <c r="L481" s="3218"/>
      <c r="M481" s="3218"/>
      <c r="N481" s="3218"/>
      <c r="O481" s="3218"/>
      <c r="P481" s="3218"/>
      <c r="Q481" s="3218"/>
      <c r="R481" s="3218"/>
      <c r="S481" s="3218"/>
      <c r="T481" s="3218"/>
      <c r="U481" s="3218"/>
      <c r="V481" s="3218"/>
      <c r="W481" s="3218"/>
      <c r="X481" s="3218"/>
      <c r="Y481" s="3218"/>
      <c r="Z481" s="3218"/>
      <c r="AA481" s="3218"/>
      <c r="AB481" s="3218"/>
      <c r="AC481" s="3199">
        <f t="shared" si="296"/>
        <v>0</v>
      </c>
      <c r="AD481" s="3229"/>
      <c r="AE481" s="3229"/>
      <c r="AF481" s="3230"/>
      <c r="AG481" s="3229"/>
      <c r="AH481" s="3229"/>
      <c r="AI481" s="3229"/>
      <c r="AJ481" s="3229"/>
      <c r="AK481" s="3229"/>
      <c r="AL481" s="3229"/>
      <c r="AM481" s="3229"/>
      <c r="AN481" s="3219"/>
      <c r="AO481" s="3229"/>
      <c r="AP481" s="3229"/>
      <c r="AQ481" s="3229"/>
      <c r="AR481" s="3229"/>
      <c r="AS481" s="3229"/>
      <c r="AT481" s="3249"/>
      <c r="AU481" s="3250"/>
      <c r="AV481" s="475">
        <f t="shared" ref="AV481:AV505" si="320">A481</f>
        <v>0</v>
      </c>
      <c r="AW481" s="475">
        <f t="shared" ref="AW481:AW505" si="321">B481</f>
        <v>0</v>
      </c>
      <c r="AX481" s="475">
        <f t="shared" ref="AX481:AX505" si="322">C481</f>
        <v>0</v>
      </c>
      <c r="AY481" s="3266">
        <f t="shared" si="297"/>
        <v>0</v>
      </c>
      <c r="AZ481" s="3199">
        <f t="shared" si="298"/>
        <v>0</v>
      </c>
      <c r="BA481" s="3199">
        <f t="shared" si="299"/>
        <v>0</v>
      </c>
      <c r="BB481" s="3199">
        <f t="shared" si="300"/>
        <v>0</v>
      </c>
      <c r="BC481" s="3199">
        <f t="shared" si="301"/>
        <v>0</v>
      </c>
      <c r="BD481" s="3199">
        <f t="shared" si="302"/>
        <v>0</v>
      </c>
      <c r="BE481" s="3199">
        <f t="shared" si="303"/>
        <v>0</v>
      </c>
      <c r="BF481" s="3199">
        <f t="shared" si="304"/>
        <v>0</v>
      </c>
      <c r="BG481" s="3199">
        <f t="shared" si="305"/>
        <v>0</v>
      </c>
      <c r="BH481" s="3199">
        <f t="shared" si="306"/>
        <v>0</v>
      </c>
      <c r="BI481" s="3199">
        <f t="shared" si="307"/>
        <v>0</v>
      </c>
      <c r="BJ481" s="3199">
        <f t="shared" si="308"/>
        <v>0</v>
      </c>
      <c r="BK481" s="3199">
        <f t="shared" si="309"/>
        <v>0</v>
      </c>
      <c r="BL481" s="3199">
        <f t="shared" si="310"/>
        <v>0</v>
      </c>
      <c r="BM481" s="3199">
        <f t="shared" si="311"/>
        <v>0</v>
      </c>
      <c r="BN481" s="3199">
        <f t="shared" si="312"/>
        <v>0</v>
      </c>
      <c r="BO481" s="3199">
        <f t="shared" si="313"/>
        <v>0</v>
      </c>
      <c r="BP481" s="3199">
        <f t="shared" si="314"/>
        <v>0</v>
      </c>
      <c r="BQ481" s="3199">
        <f t="shared" si="315"/>
        <v>0</v>
      </c>
      <c r="BR481" s="3199">
        <f t="shared" si="316"/>
        <v>0</v>
      </c>
      <c r="BS481" s="3199">
        <f t="shared" si="317"/>
        <v>0</v>
      </c>
      <c r="BT481" s="3271">
        <f t="shared" si="318"/>
        <v>0</v>
      </c>
    </row>
    <row r="482" spans="1:72">
      <c r="A482" s="3197"/>
      <c r="B482" s="3205"/>
      <c r="C482" s="3204"/>
      <c r="D482" s="3193"/>
      <c r="E482" s="3199">
        <f t="shared" si="319"/>
        <v>0</v>
      </c>
      <c r="F482" s="3200"/>
      <c r="G482" s="3201">
        <f t="shared" si="294"/>
        <v>0</v>
      </c>
      <c r="H482" s="3202">
        <f t="shared" si="295"/>
        <v>0</v>
      </c>
      <c r="I482" s="3207"/>
      <c r="J482" s="3218"/>
      <c r="K482" s="3207"/>
      <c r="L482" s="3218"/>
      <c r="M482" s="3219"/>
      <c r="N482" s="3218"/>
      <c r="O482" s="3218"/>
      <c r="P482" s="3218"/>
      <c r="Q482" s="3218"/>
      <c r="R482" s="3218"/>
      <c r="S482" s="3218"/>
      <c r="T482" s="3218"/>
      <c r="U482" s="3218"/>
      <c r="V482" s="3218"/>
      <c r="W482" s="3218"/>
      <c r="X482" s="3218"/>
      <c r="Y482" s="3218"/>
      <c r="Z482" s="3218"/>
      <c r="AA482" s="3218"/>
      <c r="AB482" s="3218"/>
      <c r="AC482" s="3199">
        <f t="shared" si="296"/>
        <v>0</v>
      </c>
      <c r="AD482" s="3219"/>
      <c r="AE482" s="3229"/>
      <c r="AF482" s="3230"/>
      <c r="AG482" s="3229"/>
      <c r="AH482" s="3229"/>
      <c r="AI482" s="3229"/>
      <c r="AJ482" s="3229"/>
      <c r="AK482" s="3229"/>
      <c r="AL482" s="3219"/>
      <c r="AM482" s="3229"/>
      <c r="AN482" s="3219"/>
      <c r="AO482" s="3229"/>
      <c r="AP482" s="3229"/>
      <c r="AQ482" s="3229"/>
      <c r="AR482" s="3229"/>
      <c r="AS482" s="3229"/>
      <c r="AT482" s="3249"/>
      <c r="AU482" s="3250"/>
      <c r="AV482" s="475">
        <f t="shared" si="320"/>
        <v>0</v>
      </c>
      <c r="AW482" s="475">
        <f t="shared" si="321"/>
        <v>0</v>
      </c>
      <c r="AX482" s="475">
        <f t="shared" si="322"/>
        <v>0</v>
      </c>
      <c r="AY482" s="3266">
        <f t="shared" si="297"/>
        <v>0</v>
      </c>
      <c r="AZ482" s="3199">
        <f t="shared" si="298"/>
        <v>0</v>
      </c>
      <c r="BA482" s="3199">
        <f t="shared" si="299"/>
        <v>0</v>
      </c>
      <c r="BB482" s="3199">
        <f t="shared" si="300"/>
        <v>0</v>
      </c>
      <c r="BC482" s="3199">
        <f t="shared" si="301"/>
        <v>0</v>
      </c>
      <c r="BD482" s="3199">
        <f t="shared" si="302"/>
        <v>0</v>
      </c>
      <c r="BE482" s="3199">
        <f t="shared" si="303"/>
        <v>0</v>
      </c>
      <c r="BF482" s="3199">
        <f t="shared" si="304"/>
        <v>0</v>
      </c>
      <c r="BG482" s="3199">
        <f t="shared" si="305"/>
        <v>0</v>
      </c>
      <c r="BH482" s="3199">
        <f t="shared" si="306"/>
        <v>0</v>
      </c>
      <c r="BI482" s="3199">
        <f t="shared" si="307"/>
        <v>0</v>
      </c>
      <c r="BJ482" s="3199">
        <f t="shared" si="308"/>
        <v>0</v>
      </c>
      <c r="BK482" s="3199">
        <f t="shared" si="309"/>
        <v>0</v>
      </c>
      <c r="BL482" s="3199">
        <f t="shared" si="310"/>
        <v>0</v>
      </c>
      <c r="BM482" s="3199">
        <f t="shared" si="311"/>
        <v>0</v>
      </c>
      <c r="BN482" s="3199">
        <f t="shared" si="312"/>
        <v>0</v>
      </c>
      <c r="BO482" s="3199">
        <f t="shared" si="313"/>
        <v>0</v>
      </c>
      <c r="BP482" s="3199">
        <f t="shared" si="314"/>
        <v>0</v>
      </c>
      <c r="BQ482" s="3199">
        <f t="shared" si="315"/>
        <v>0</v>
      </c>
      <c r="BR482" s="3199">
        <f t="shared" si="316"/>
        <v>0</v>
      </c>
      <c r="BS482" s="3199">
        <f t="shared" si="317"/>
        <v>0</v>
      </c>
      <c r="BT482" s="3271">
        <f t="shared" si="318"/>
        <v>0</v>
      </c>
    </row>
    <row r="483" spans="1:72">
      <c r="A483" s="3197"/>
      <c r="B483" s="3205"/>
      <c r="C483" s="3204"/>
      <c r="D483" s="3193"/>
      <c r="E483" s="3199">
        <f t="shared" si="319"/>
        <v>0</v>
      </c>
      <c r="F483" s="3200"/>
      <c r="G483" s="3201">
        <f t="shared" si="294"/>
        <v>0</v>
      </c>
      <c r="H483" s="3202">
        <f t="shared" si="295"/>
        <v>0</v>
      </c>
      <c r="I483" s="3207"/>
      <c r="J483" s="3218"/>
      <c r="K483" s="3207"/>
      <c r="L483" s="3218"/>
      <c r="M483" s="3219"/>
      <c r="N483" s="3218"/>
      <c r="O483" s="3218"/>
      <c r="P483" s="3218"/>
      <c r="Q483" s="3218"/>
      <c r="R483" s="3218"/>
      <c r="S483" s="3218"/>
      <c r="T483" s="3218"/>
      <c r="U483" s="3218"/>
      <c r="V483" s="3218"/>
      <c r="W483" s="3218"/>
      <c r="X483" s="3218"/>
      <c r="Y483" s="3218"/>
      <c r="Z483" s="3218"/>
      <c r="AA483" s="3218"/>
      <c r="AB483" s="3218"/>
      <c r="AC483" s="3199">
        <f t="shared" si="296"/>
        <v>0</v>
      </c>
      <c r="AD483" s="3229"/>
      <c r="AE483" s="3229"/>
      <c r="AF483" s="3230"/>
      <c r="AG483" s="3229"/>
      <c r="AH483" s="3229"/>
      <c r="AI483" s="3229"/>
      <c r="AJ483" s="3229"/>
      <c r="AK483" s="3229"/>
      <c r="AL483" s="3219"/>
      <c r="AM483" s="3229"/>
      <c r="AN483" s="3219"/>
      <c r="AO483" s="3229"/>
      <c r="AP483" s="3229"/>
      <c r="AQ483" s="3229"/>
      <c r="AR483" s="3229"/>
      <c r="AS483" s="3229"/>
      <c r="AT483" s="3249"/>
      <c r="AU483" s="3250"/>
      <c r="AV483" s="475">
        <f t="shared" si="320"/>
        <v>0</v>
      </c>
      <c r="AW483" s="475">
        <f t="shared" si="321"/>
        <v>0</v>
      </c>
      <c r="AX483" s="475">
        <f t="shared" si="322"/>
        <v>0</v>
      </c>
      <c r="AY483" s="3266">
        <f t="shared" si="297"/>
        <v>0</v>
      </c>
      <c r="AZ483" s="3199">
        <f t="shared" si="298"/>
        <v>0</v>
      </c>
      <c r="BA483" s="3199">
        <f t="shared" si="299"/>
        <v>0</v>
      </c>
      <c r="BB483" s="3199">
        <f t="shared" si="300"/>
        <v>0</v>
      </c>
      <c r="BC483" s="3199">
        <f t="shared" si="301"/>
        <v>0</v>
      </c>
      <c r="BD483" s="3199">
        <f t="shared" si="302"/>
        <v>0</v>
      </c>
      <c r="BE483" s="3199">
        <f t="shared" si="303"/>
        <v>0</v>
      </c>
      <c r="BF483" s="3199">
        <f t="shared" si="304"/>
        <v>0</v>
      </c>
      <c r="BG483" s="3199">
        <f t="shared" si="305"/>
        <v>0</v>
      </c>
      <c r="BH483" s="3199">
        <f t="shared" si="306"/>
        <v>0</v>
      </c>
      <c r="BI483" s="3199">
        <f t="shared" si="307"/>
        <v>0</v>
      </c>
      <c r="BJ483" s="3199">
        <f t="shared" si="308"/>
        <v>0</v>
      </c>
      <c r="BK483" s="3199">
        <f t="shared" si="309"/>
        <v>0</v>
      </c>
      <c r="BL483" s="3199">
        <f t="shared" si="310"/>
        <v>0</v>
      </c>
      <c r="BM483" s="3199">
        <f t="shared" si="311"/>
        <v>0</v>
      </c>
      <c r="BN483" s="3199">
        <f t="shared" si="312"/>
        <v>0</v>
      </c>
      <c r="BO483" s="3199">
        <f t="shared" si="313"/>
        <v>0</v>
      </c>
      <c r="BP483" s="3199">
        <f t="shared" si="314"/>
        <v>0</v>
      </c>
      <c r="BQ483" s="3199">
        <f t="shared" si="315"/>
        <v>0</v>
      </c>
      <c r="BR483" s="3199">
        <f t="shared" si="316"/>
        <v>0</v>
      </c>
      <c r="BS483" s="3199">
        <f t="shared" si="317"/>
        <v>0</v>
      </c>
      <c r="BT483" s="3271">
        <f t="shared" si="318"/>
        <v>0</v>
      </c>
    </row>
    <row r="484" spans="1:72">
      <c r="A484" s="3197"/>
      <c r="B484" s="3205"/>
      <c r="C484" s="3204"/>
      <c r="D484" s="3193"/>
      <c r="E484" s="3199">
        <f t="shared" si="319"/>
        <v>0</v>
      </c>
      <c r="F484" s="3200"/>
      <c r="G484" s="3201">
        <f t="shared" si="294"/>
        <v>0</v>
      </c>
      <c r="H484" s="3202">
        <f t="shared" si="295"/>
        <v>0</v>
      </c>
      <c r="I484" s="3207"/>
      <c r="J484" s="3218"/>
      <c r="K484" s="3207"/>
      <c r="L484" s="3218"/>
      <c r="M484" s="3218"/>
      <c r="N484" s="3218"/>
      <c r="O484" s="3219"/>
      <c r="P484" s="3218"/>
      <c r="Q484" s="3218"/>
      <c r="R484" s="3218"/>
      <c r="S484" s="3218"/>
      <c r="T484" s="3218"/>
      <c r="U484" s="3218"/>
      <c r="V484" s="3218"/>
      <c r="W484" s="3218"/>
      <c r="X484" s="3218"/>
      <c r="Y484" s="3218"/>
      <c r="Z484" s="3218"/>
      <c r="AA484" s="3218"/>
      <c r="AB484" s="3218"/>
      <c r="AC484" s="3199">
        <f t="shared" si="296"/>
        <v>0</v>
      </c>
      <c r="AD484" s="3229"/>
      <c r="AE484" s="3229"/>
      <c r="AF484" s="3230"/>
      <c r="AG484" s="3229"/>
      <c r="AH484" s="3229"/>
      <c r="AI484" s="3229"/>
      <c r="AJ484" s="3229"/>
      <c r="AK484" s="3229"/>
      <c r="AL484" s="3229"/>
      <c r="AM484" s="3229"/>
      <c r="AN484" s="3219"/>
      <c r="AO484" s="3229"/>
      <c r="AP484" s="3229"/>
      <c r="AQ484" s="3229"/>
      <c r="AR484" s="3229"/>
      <c r="AS484" s="3229"/>
      <c r="AT484" s="3249"/>
      <c r="AU484" s="3250"/>
      <c r="AV484" s="475">
        <f t="shared" si="320"/>
        <v>0</v>
      </c>
      <c r="AW484" s="475">
        <f t="shared" si="321"/>
        <v>0</v>
      </c>
      <c r="AX484" s="475">
        <f t="shared" si="322"/>
        <v>0</v>
      </c>
      <c r="AY484" s="3266">
        <f t="shared" si="297"/>
        <v>0</v>
      </c>
      <c r="AZ484" s="3199">
        <f t="shared" si="298"/>
        <v>0</v>
      </c>
      <c r="BA484" s="3199">
        <f t="shared" si="299"/>
        <v>0</v>
      </c>
      <c r="BB484" s="3199">
        <f t="shared" si="300"/>
        <v>0</v>
      </c>
      <c r="BC484" s="3199">
        <f t="shared" si="301"/>
        <v>0</v>
      </c>
      <c r="BD484" s="3199">
        <f t="shared" si="302"/>
        <v>0</v>
      </c>
      <c r="BE484" s="3199">
        <f t="shared" si="303"/>
        <v>0</v>
      </c>
      <c r="BF484" s="3199">
        <f t="shared" si="304"/>
        <v>0</v>
      </c>
      <c r="BG484" s="3199">
        <f t="shared" si="305"/>
        <v>0</v>
      </c>
      <c r="BH484" s="3199">
        <f t="shared" si="306"/>
        <v>0</v>
      </c>
      <c r="BI484" s="3199">
        <f t="shared" si="307"/>
        <v>0</v>
      </c>
      <c r="BJ484" s="3199">
        <f t="shared" si="308"/>
        <v>0</v>
      </c>
      <c r="BK484" s="3199">
        <f t="shared" si="309"/>
        <v>0</v>
      </c>
      <c r="BL484" s="3199">
        <f t="shared" si="310"/>
        <v>0</v>
      </c>
      <c r="BM484" s="3199">
        <f t="shared" si="311"/>
        <v>0</v>
      </c>
      <c r="BN484" s="3199">
        <f t="shared" si="312"/>
        <v>0</v>
      </c>
      <c r="BO484" s="3199">
        <f t="shared" si="313"/>
        <v>0</v>
      </c>
      <c r="BP484" s="3199">
        <f t="shared" si="314"/>
        <v>0</v>
      </c>
      <c r="BQ484" s="3199">
        <f t="shared" si="315"/>
        <v>0</v>
      </c>
      <c r="BR484" s="3199">
        <f t="shared" si="316"/>
        <v>0</v>
      </c>
      <c r="BS484" s="3199">
        <f t="shared" si="317"/>
        <v>0</v>
      </c>
      <c r="BT484" s="3271">
        <f t="shared" si="318"/>
        <v>0</v>
      </c>
    </row>
    <row r="485" spans="1:72">
      <c r="A485" s="3197"/>
      <c r="B485" s="3205"/>
      <c r="C485" s="3204"/>
      <c r="D485" s="3193"/>
      <c r="E485" s="3199">
        <f t="shared" si="319"/>
        <v>0</v>
      </c>
      <c r="F485" s="3200"/>
      <c r="G485" s="3201">
        <f t="shared" si="294"/>
        <v>0</v>
      </c>
      <c r="H485" s="3202">
        <f t="shared" si="295"/>
        <v>0</v>
      </c>
      <c r="I485" s="3207"/>
      <c r="J485" s="3218"/>
      <c r="K485" s="3207"/>
      <c r="L485" s="3218"/>
      <c r="M485" s="3218"/>
      <c r="N485" s="3218"/>
      <c r="O485" s="3218"/>
      <c r="P485" s="3218"/>
      <c r="Q485" s="3218"/>
      <c r="R485" s="3218"/>
      <c r="S485" s="3218"/>
      <c r="T485" s="3218"/>
      <c r="U485" s="3218"/>
      <c r="V485" s="3218"/>
      <c r="W485" s="3218"/>
      <c r="X485" s="3218"/>
      <c r="Y485" s="3218"/>
      <c r="Z485" s="3218"/>
      <c r="AA485" s="3218"/>
      <c r="AB485" s="3218"/>
      <c r="AC485" s="3199">
        <f t="shared" si="296"/>
        <v>0</v>
      </c>
      <c r="AD485" s="3229"/>
      <c r="AE485" s="3229"/>
      <c r="AF485" s="3230"/>
      <c r="AG485" s="3229"/>
      <c r="AH485" s="3229"/>
      <c r="AI485" s="3229"/>
      <c r="AJ485" s="3229"/>
      <c r="AK485" s="3229"/>
      <c r="AL485" s="3229"/>
      <c r="AM485" s="3229"/>
      <c r="AN485" s="3229"/>
      <c r="AO485" s="3229"/>
      <c r="AP485" s="3229"/>
      <c r="AQ485" s="3229"/>
      <c r="AR485" s="3229"/>
      <c r="AS485" s="3229"/>
      <c r="AT485" s="3249"/>
      <c r="AU485" s="3250"/>
      <c r="AV485" s="475">
        <f t="shared" si="320"/>
        <v>0</v>
      </c>
      <c r="AW485" s="475">
        <f t="shared" si="321"/>
        <v>0</v>
      </c>
      <c r="AX485" s="475">
        <f t="shared" si="322"/>
        <v>0</v>
      </c>
      <c r="AY485" s="3266">
        <f t="shared" si="297"/>
        <v>0</v>
      </c>
      <c r="AZ485" s="3199">
        <f t="shared" si="298"/>
        <v>0</v>
      </c>
      <c r="BA485" s="3199">
        <f t="shared" si="299"/>
        <v>0</v>
      </c>
      <c r="BB485" s="3199">
        <f t="shared" si="300"/>
        <v>0</v>
      </c>
      <c r="BC485" s="3199">
        <f t="shared" si="301"/>
        <v>0</v>
      </c>
      <c r="BD485" s="3199">
        <f t="shared" si="302"/>
        <v>0</v>
      </c>
      <c r="BE485" s="3199">
        <f t="shared" si="303"/>
        <v>0</v>
      </c>
      <c r="BF485" s="3199">
        <f t="shared" si="304"/>
        <v>0</v>
      </c>
      <c r="BG485" s="3199">
        <f t="shared" si="305"/>
        <v>0</v>
      </c>
      <c r="BH485" s="3199">
        <f t="shared" si="306"/>
        <v>0</v>
      </c>
      <c r="BI485" s="3199">
        <f t="shared" si="307"/>
        <v>0</v>
      </c>
      <c r="BJ485" s="3199">
        <f t="shared" si="308"/>
        <v>0</v>
      </c>
      <c r="BK485" s="3199">
        <f t="shared" si="309"/>
        <v>0</v>
      </c>
      <c r="BL485" s="3199">
        <f t="shared" si="310"/>
        <v>0</v>
      </c>
      <c r="BM485" s="3199">
        <f t="shared" si="311"/>
        <v>0</v>
      </c>
      <c r="BN485" s="3199">
        <f t="shared" si="312"/>
        <v>0</v>
      </c>
      <c r="BO485" s="3199">
        <f t="shared" si="313"/>
        <v>0</v>
      </c>
      <c r="BP485" s="3199">
        <f t="shared" si="314"/>
        <v>0</v>
      </c>
      <c r="BQ485" s="3199">
        <f t="shared" si="315"/>
        <v>0</v>
      </c>
      <c r="BR485" s="3199">
        <f t="shared" si="316"/>
        <v>0</v>
      </c>
      <c r="BS485" s="3199">
        <f t="shared" si="317"/>
        <v>0</v>
      </c>
      <c r="BT485" s="3271">
        <f t="shared" si="318"/>
        <v>0</v>
      </c>
    </row>
    <row r="486" spans="1:72">
      <c r="A486" s="3197"/>
      <c r="B486" s="3205"/>
      <c r="C486" s="3204"/>
      <c r="D486" s="3193"/>
      <c r="E486" s="3199">
        <f t="shared" si="319"/>
        <v>0</v>
      </c>
      <c r="F486" s="3200"/>
      <c r="G486" s="3201">
        <f t="shared" si="294"/>
        <v>0</v>
      </c>
      <c r="H486" s="3202">
        <f t="shared" si="295"/>
        <v>0</v>
      </c>
      <c r="I486" s="3207"/>
      <c r="J486" s="3218"/>
      <c r="K486" s="3207"/>
      <c r="L486" s="3218"/>
      <c r="M486" s="3218"/>
      <c r="N486" s="3218"/>
      <c r="O486" s="3218"/>
      <c r="P486" s="3218"/>
      <c r="Q486" s="3218"/>
      <c r="R486" s="3218"/>
      <c r="S486" s="3218"/>
      <c r="T486" s="3218"/>
      <c r="U486" s="3218"/>
      <c r="V486" s="3218"/>
      <c r="W486" s="3218"/>
      <c r="X486" s="3218"/>
      <c r="Y486" s="3218"/>
      <c r="Z486" s="3218"/>
      <c r="AA486" s="3218"/>
      <c r="AB486" s="3218"/>
      <c r="AC486" s="3199">
        <f t="shared" si="296"/>
        <v>0</v>
      </c>
      <c r="AD486" s="3229"/>
      <c r="AE486" s="3229"/>
      <c r="AF486" s="3230"/>
      <c r="AG486" s="3229"/>
      <c r="AH486" s="3229"/>
      <c r="AI486" s="3229"/>
      <c r="AJ486" s="3229"/>
      <c r="AK486" s="3229"/>
      <c r="AL486" s="3229"/>
      <c r="AM486" s="3229"/>
      <c r="AN486" s="3229"/>
      <c r="AO486" s="3229"/>
      <c r="AP486" s="3229"/>
      <c r="AQ486" s="3229"/>
      <c r="AR486" s="3229"/>
      <c r="AS486" s="3229"/>
      <c r="AT486" s="3249"/>
      <c r="AU486" s="3250"/>
      <c r="AV486" s="475">
        <f t="shared" si="320"/>
        <v>0</v>
      </c>
      <c r="AW486" s="475">
        <f t="shared" si="321"/>
        <v>0</v>
      </c>
      <c r="AX486" s="475">
        <f t="shared" si="322"/>
        <v>0</v>
      </c>
      <c r="AY486" s="3266">
        <f t="shared" si="297"/>
        <v>0</v>
      </c>
      <c r="AZ486" s="3199">
        <f t="shared" si="298"/>
        <v>0</v>
      </c>
      <c r="BA486" s="3199">
        <f t="shared" si="299"/>
        <v>0</v>
      </c>
      <c r="BB486" s="3199">
        <f t="shared" si="300"/>
        <v>0</v>
      </c>
      <c r="BC486" s="3199">
        <f t="shared" si="301"/>
        <v>0</v>
      </c>
      <c r="BD486" s="3199">
        <f t="shared" si="302"/>
        <v>0</v>
      </c>
      <c r="BE486" s="3199">
        <f t="shared" si="303"/>
        <v>0</v>
      </c>
      <c r="BF486" s="3199">
        <f t="shared" si="304"/>
        <v>0</v>
      </c>
      <c r="BG486" s="3199">
        <f t="shared" si="305"/>
        <v>0</v>
      </c>
      <c r="BH486" s="3199">
        <f t="shared" si="306"/>
        <v>0</v>
      </c>
      <c r="BI486" s="3199">
        <f t="shared" si="307"/>
        <v>0</v>
      </c>
      <c r="BJ486" s="3199">
        <f t="shared" si="308"/>
        <v>0</v>
      </c>
      <c r="BK486" s="3199">
        <f t="shared" si="309"/>
        <v>0</v>
      </c>
      <c r="BL486" s="3199">
        <f t="shared" si="310"/>
        <v>0</v>
      </c>
      <c r="BM486" s="3199">
        <f t="shared" si="311"/>
        <v>0</v>
      </c>
      <c r="BN486" s="3199">
        <f t="shared" si="312"/>
        <v>0</v>
      </c>
      <c r="BO486" s="3199">
        <f t="shared" si="313"/>
        <v>0</v>
      </c>
      <c r="BP486" s="3199">
        <f t="shared" si="314"/>
        <v>0</v>
      </c>
      <c r="BQ486" s="3199">
        <f t="shared" si="315"/>
        <v>0</v>
      </c>
      <c r="BR486" s="3199">
        <f t="shared" si="316"/>
        <v>0</v>
      </c>
      <c r="BS486" s="3199">
        <f t="shared" si="317"/>
        <v>0</v>
      </c>
      <c r="BT486" s="3271">
        <f t="shared" si="318"/>
        <v>0</v>
      </c>
    </row>
    <row r="487" spans="1:72">
      <c r="A487" s="3197"/>
      <c r="B487" s="3205"/>
      <c r="C487" s="3204"/>
      <c r="D487" s="3193"/>
      <c r="E487" s="3199">
        <f t="shared" si="319"/>
        <v>0</v>
      </c>
      <c r="F487" s="3200"/>
      <c r="G487" s="3201">
        <f t="shared" si="294"/>
        <v>0</v>
      </c>
      <c r="H487" s="3202">
        <f t="shared" si="295"/>
        <v>0</v>
      </c>
      <c r="I487" s="3207"/>
      <c r="J487" s="3218"/>
      <c r="K487" s="3207"/>
      <c r="L487" s="3218"/>
      <c r="M487" s="3218"/>
      <c r="N487" s="3218"/>
      <c r="O487" s="3218"/>
      <c r="P487" s="3218"/>
      <c r="Q487" s="3218"/>
      <c r="R487" s="3218"/>
      <c r="S487" s="3218"/>
      <c r="T487" s="3218"/>
      <c r="U487" s="3218"/>
      <c r="V487" s="3218"/>
      <c r="W487" s="3218"/>
      <c r="X487" s="3218"/>
      <c r="Y487" s="3218"/>
      <c r="Z487" s="3218"/>
      <c r="AA487" s="3218"/>
      <c r="AB487" s="3218"/>
      <c r="AC487" s="3199">
        <f t="shared" si="296"/>
        <v>0</v>
      </c>
      <c r="AD487" s="3229"/>
      <c r="AE487" s="3229"/>
      <c r="AF487" s="3230"/>
      <c r="AG487" s="3229"/>
      <c r="AH487" s="3229"/>
      <c r="AI487" s="3229"/>
      <c r="AJ487" s="3229"/>
      <c r="AK487" s="3229"/>
      <c r="AL487" s="3229"/>
      <c r="AM487" s="3229"/>
      <c r="AN487" s="3229"/>
      <c r="AO487" s="3229"/>
      <c r="AP487" s="3229"/>
      <c r="AQ487" s="3229"/>
      <c r="AR487" s="3229"/>
      <c r="AS487" s="3229"/>
      <c r="AT487" s="3249"/>
      <c r="AU487" s="3250"/>
      <c r="AV487" s="475">
        <f t="shared" si="320"/>
        <v>0</v>
      </c>
      <c r="AW487" s="475">
        <f t="shared" si="321"/>
        <v>0</v>
      </c>
      <c r="AX487" s="475">
        <f t="shared" si="322"/>
        <v>0</v>
      </c>
      <c r="AY487" s="3266">
        <f t="shared" si="297"/>
        <v>0</v>
      </c>
      <c r="AZ487" s="3199">
        <f t="shared" si="298"/>
        <v>0</v>
      </c>
      <c r="BA487" s="3199">
        <f t="shared" si="299"/>
        <v>0</v>
      </c>
      <c r="BB487" s="3199">
        <f t="shared" si="300"/>
        <v>0</v>
      </c>
      <c r="BC487" s="3199">
        <f t="shared" si="301"/>
        <v>0</v>
      </c>
      <c r="BD487" s="3199">
        <f t="shared" si="302"/>
        <v>0</v>
      </c>
      <c r="BE487" s="3199">
        <f t="shared" si="303"/>
        <v>0</v>
      </c>
      <c r="BF487" s="3199">
        <f t="shared" si="304"/>
        <v>0</v>
      </c>
      <c r="BG487" s="3199">
        <f t="shared" si="305"/>
        <v>0</v>
      </c>
      <c r="BH487" s="3199">
        <f t="shared" si="306"/>
        <v>0</v>
      </c>
      <c r="BI487" s="3199">
        <f t="shared" si="307"/>
        <v>0</v>
      </c>
      <c r="BJ487" s="3199">
        <f t="shared" si="308"/>
        <v>0</v>
      </c>
      <c r="BK487" s="3199">
        <f t="shared" si="309"/>
        <v>0</v>
      </c>
      <c r="BL487" s="3199">
        <f t="shared" si="310"/>
        <v>0</v>
      </c>
      <c r="BM487" s="3199">
        <f t="shared" si="311"/>
        <v>0</v>
      </c>
      <c r="BN487" s="3199">
        <f t="shared" si="312"/>
        <v>0</v>
      </c>
      <c r="BO487" s="3199">
        <f t="shared" si="313"/>
        <v>0</v>
      </c>
      <c r="BP487" s="3199">
        <f t="shared" si="314"/>
        <v>0</v>
      </c>
      <c r="BQ487" s="3199">
        <f t="shared" si="315"/>
        <v>0</v>
      </c>
      <c r="BR487" s="3199">
        <f t="shared" si="316"/>
        <v>0</v>
      </c>
      <c r="BS487" s="3199">
        <f t="shared" si="317"/>
        <v>0</v>
      </c>
      <c r="BT487" s="3271">
        <f t="shared" si="318"/>
        <v>0</v>
      </c>
    </row>
    <row r="488" spans="1:72">
      <c r="A488" s="3197"/>
      <c r="B488" s="3205"/>
      <c r="C488" s="3204"/>
      <c r="D488" s="3193"/>
      <c r="E488" s="3199">
        <f t="shared" si="319"/>
        <v>0</v>
      </c>
      <c r="F488" s="3200"/>
      <c r="G488" s="3201">
        <f t="shared" si="294"/>
        <v>0</v>
      </c>
      <c r="H488" s="3202">
        <f t="shared" si="295"/>
        <v>0</v>
      </c>
      <c r="I488" s="3207"/>
      <c r="J488" s="3218"/>
      <c r="K488" s="3207"/>
      <c r="L488" s="3218"/>
      <c r="M488" s="3218"/>
      <c r="N488" s="3218"/>
      <c r="O488" s="3218"/>
      <c r="P488" s="3218"/>
      <c r="Q488" s="3218"/>
      <c r="R488" s="3218"/>
      <c r="S488" s="3218"/>
      <c r="T488" s="3218"/>
      <c r="U488" s="3218"/>
      <c r="V488" s="3218"/>
      <c r="W488" s="3218"/>
      <c r="X488" s="3218"/>
      <c r="Y488" s="3218"/>
      <c r="Z488" s="3218"/>
      <c r="AA488" s="3218"/>
      <c r="AB488" s="3218"/>
      <c r="AC488" s="3199">
        <f t="shared" si="296"/>
        <v>0</v>
      </c>
      <c r="AD488" s="3229"/>
      <c r="AE488" s="3229"/>
      <c r="AF488" s="3207"/>
      <c r="AG488" s="3229"/>
      <c r="AH488" s="3229"/>
      <c r="AI488" s="3229"/>
      <c r="AJ488" s="3229"/>
      <c r="AK488" s="3229"/>
      <c r="AL488" s="3229"/>
      <c r="AM488" s="3229"/>
      <c r="AN488" s="3229"/>
      <c r="AO488" s="3229"/>
      <c r="AP488" s="3229"/>
      <c r="AQ488" s="3229"/>
      <c r="AR488" s="3229"/>
      <c r="AS488" s="3229"/>
      <c r="AT488" s="3249"/>
      <c r="AU488" s="3250"/>
      <c r="AV488" s="475">
        <f t="shared" si="320"/>
        <v>0</v>
      </c>
      <c r="AW488" s="475">
        <f t="shared" si="321"/>
        <v>0</v>
      </c>
      <c r="AX488" s="475">
        <f t="shared" si="322"/>
        <v>0</v>
      </c>
      <c r="AY488" s="3266">
        <f t="shared" si="297"/>
        <v>0</v>
      </c>
      <c r="AZ488" s="3199">
        <f t="shared" si="298"/>
        <v>0</v>
      </c>
      <c r="BA488" s="3199">
        <f t="shared" si="299"/>
        <v>0</v>
      </c>
      <c r="BB488" s="3199">
        <f t="shared" si="300"/>
        <v>0</v>
      </c>
      <c r="BC488" s="3199">
        <f t="shared" si="301"/>
        <v>0</v>
      </c>
      <c r="BD488" s="3199">
        <f t="shared" si="302"/>
        <v>0</v>
      </c>
      <c r="BE488" s="3199">
        <f t="shared" si="303"/>
        <v>0</v>
      </c>
      <c r="BF488" s="3199">
        <f t="shared" si="304"/>
        <v>0</v>
      </c>
      <c r="BG488" s="3199">
        <f t="shared" si="305"/>
        <v>0</v>
      </c>
      <c r="BH488" s="3199">
        <f t="shared" si="306"/>
        <v>0</v>
      </c>
      <c r="BI488" s="3199">
        <f t="shared" si="307"/>
        <v>0</v>
      </c>
      <c r="BJ488" s="3199">
        <f t="shared" si="308"/>
        <v>0</v>
      </c>
      <c r="BK488" s="3199">
        <f t="shared" si="309"/>
        <v>0</v>
      </c>
      <c r="BL488" s="3199">
        <f t="shared" si="310"/>
        <v>0</v>
      </c>
      <c r="BM488" s="3199">
        <f t="shared" si="311"/>
        <v>0</v>
      </c>
      <c r="BN488" s="3199">
        <f t="shared" si="312"/>
        <v>0</v>
      </c>
      <c r="BO488" s="3199">
        <f t="shared" si="313"/>
        <v>0</v>
      </c>
      <c r="BP488" s="3199">
        <f t="shared" si="314"/>
        <v>0</v>
      </c>
      <c r="BQ488" s="3199">
        <f t="shared" si="315"/>
        <v>0</v>
      </c>
      <c r="BR488" s="3199">
        <f t="shared" si="316"/>
        <v>0</v>
      </c>
      <c r="BS488" s="3199">
        <f t="shared" si="317"/>
        <v>0</v>
      </c>
      <c r="BT488" s="3271">
        <f t="shared" si="318"/>
        <v>0</v>
      </c>
    </row>
    <row r="489" spans="1:72">
      <c r="A489" s="3197"/>
      <c r="B489" s="3206"/>
      <c r="C489" s="3207"/>
      <c r="D489" s="3193"/>
      <c r="E489" s="3199">
        <f t="shared" si="319"/>
        <v>0</v>
      </c>
      <c r="F489" s="3200"/>
      <c r="G489" s="3201">
        <f t="shared" si="294"/>
        <v>0</v>
      </c>
      <c r="H489" s="3202">
        <f t="shared" si="295"/>
        <v>0</v>
      </c>
      <c r="I489" s="3207"/>
      <c r="J489" s="3218"/>
      <c r="K489" s="3207"/>
      <c r="L489" s="3218"/>
      <c r="M489" s="3218"/>
      <c r="N489" s="3218"/>
      <c r="O489" s="3218"/>
      <c r="P489" s="3218"/>
      <c r="Q489" s="3218"/>
      <c r="R489" s="3218"/>
      <c r="S489" s="3218"/>
      <c r="T489" s="3218"/>
      <c r="U489" s="3218"/>
      <c r="V489" s="3218"/>
      <c r="W489" s="3218"/>
      <c r="X489" s="3218"/>
      <c r="Y489" s="3218"/>
      <c r="Z489" s="3218"/>
      <c r="AA489" s="3218"/>
      <c r="AB489" s="3218"/>
      <c r="AC489" s="3199">
        <f t="shared" si="296"/>
        <v>0</v>
      </c>
      <c r="AD489" s="3229"/>
      <c r="AE489" s="3229"/>
      <c r="AF489" s="3207"/>
      <c r="AG489" s="3229"/>
      <c r="AH489" s="3229"/>
      <c r="AI489" s="3229"/>
      <c r="AJ489" s="3229"/>
      <c r="AK489" s="3229"/>
      <c r="AL489" s="3229"/>
      <c r="AM489" s="3229"/>
      <c r="AN489" s="3229"/>
      <c r="AO489" s="3229"/>
      <c r="AP489" s="3229"/>
      <c r="AQ489" s="3229"/>
      <c r="AR489" s="3229"/>
      <c r="AS489" s="3229"/>
      <c r="AT489" s="3249"/>
      <c r="AU489" s="3250"/>
      <c r="AV489" s="475">
        <f t="shared" si="320"/>
        <v>0</v>
      </c>
      <c r="AW489" s="475">
        <f t="shared" si="321"/>
        <v>0</v>
      </c>
      <c r="AX489" s="475">
        <f t="shared" si="322"/>
        <v>0</v>
      </c>
      <c r="AY489" s="3266">
        <f t="shared" si="297"/>
        <v>0</v>
      </c>
      <c r="AZ489" s="3199">
        <f t="shared" si="298"/>
        <v>0</v>
      </c>
      <c r="BA489" s="3199">
        <f t="shared" si="299"/>
        <v>0</v>
      </c>
      <c r="BB489" s="3199">
        <f t="shared" si="300"/>
        <v>0</v>
      </c>
      <c r="BC489" s="3199">
        <f t="shared" si="301"/>
        <v>0</v>
      </c>
      <c r="BD489" s="3199">
        <f t="shared" si="302"/>
        <v>0</v>
      </c>
      <c r="BE489" s="3199">
        <f t="shared" si="303"/>
        <v>0</v>
      </c>
      <c r="BF489" s="3199">
        <f t="shared" si="304"/>
        <v>0</v>
      </c>
      <c r="BG489" s="3199">
        <f t="shared" si="305"/>
        <v>0</v>
      </c>
      <c r="BH489" s="3199">
        <f t="shared" si="306"/>
        <v>0</v>
      </c>
      <c r="BI489" s="3199">
        <f t="shared" si="307"/>
        <v>0</v>
      </c>
      <c r="BJ489" s="3199">
        <f t="shared" si="308"/>
        <v>0</v>
      </c>
      <c r="BK489" s="3199">
        <f t="shared" si="309"/>
        <v>0</v>
      </c>
      <c r="BL489" s="3199">
        <f t="shared" si="310"/>
        <v>0</v>
      </c>
      <c r="BM489" s="3199">
        <f t="shared" si="311"/>
        <v>0</v>
      </c>
      <c r="BN489" s="3199">
        <f t="shared" si="312"/>
        <v>0</v>
      </c>
      <c r="BO489" s="3199">
        <f t="shared" si="313"/>
        <v>0</v>
      </c>
      <c r="BP489" s="3199">
        <f t="shared" si="314"/>
        <v>0</v>
      </c>
      <c r="BQ489" s="3199">
        <f t="shared" si="315"/>
        <v>0</v>
      </c>
      <c r="BR489" s="3199">
        <f t="shared" si="316"/>
        <v>0</v>
      </c>
      <c r="BS489" s="3199">
        <f t="shared" si="317"/>
        <v>0</v>
      </c>
      <c r="BT489" s="3271">
        <f t="shared" si="318"/>
        <v>0</v>
      </c>
    </row>
    <row r="490" spans="1:72">
      <c r="A490" s="3197"/>
      <c r="B490" s="3205"/>
      <c r="C490" s="3204"/>
      <c r="D490" s="3193"/>
      <c r="E490" s="3199">
        <f t="shared" si="319"/>
        <v>0</v>
      </c>
      <c r="F490" s="3200"/>
      <c r="G490" s="3201">
        <f t="shared" si="294"/>
        <v>0</v>
      </c>
      <c r="H490" s="3202">
        <f t="shared" si="295"/>
        <v>0</v>
      </c>
      <c r="I490" s="3207"/>
      <c r="J490" s="3218"/>
      <c r="K490" s="3207"/>
      <c r="L490" s="3218"/>
      <c r="M490" s="3218"/>
      <c r="N490" s="3218"/>
      <c r="O490" s="3218"/>
      <c r="P490" s="3218"/>
      <c r="Q490" s="3218"/>
      <c r="R490" s="3218"/>
      <c r="S490" s="3218"/>
      <c r="T490" s="3218"/>
      <c r="U490" s="3218"/>
      <c r="V490" s="3218"/>
      <c r="W490" s="3218"/>
      <c r="X490" s="3218"/>
      <c r="Y490" s="3218"/>
      <c r="Z490" s="3218"/>
      <c r="AA490" s="3218"/>
      <c r="AB490" s="3218"/>
      <c r="AC490" s="3199">
        <f t="shared" si="296"/>
        <v>0</v>
      </c>
      <c r="AD490" s="3229"/>
      <c r="AE490" s="3229"/>
      <c r="AF490" s="3207"/>
      <c r="AG490" s="3229"/>
      <c r="AH490" s="3229"/>
      <c r="AI490" s="3229"/>
      <c r="AJ490" s="3229"/>
      <c r="AK490" s="3229"/>
      <c r="AL490" s="3229"/>
      <c r="AM490" s="3229"/>
      <c r="AN490" s="3229"/>
      <c r="AO490" s="3229"/>
      <c r="AP490" s="3229"/>
      <c r="AQ490" s="3229"/>
      <c r="AR490" s="3229"/>
      <c r="AS490" s="3229"/>
      <c r="AT490" s="3249"/>
      <c r="AU490" s="3250"/>
      <c r="AV490" s="475">
        <f t="shared" si="320"/>
        <v>0</v>
      </c>
      <c r="AW490" s="475">
        <f t="shared" si="321"/>
        <v>0</v>
      </c>
      <c r="AX490" s="475">
        <f t="shared" si="322"/>
        <v>0</v>
      </c>
      <c r="AY490" s="3266">
        <f t="shared" si="297"/>
        <v>0</v>
      </c>
      <c r="AZ490" s="3199">
        <f t="shared" si="298"/>
        <v>0</v>
      </c>
      <c r="BA490" s="3199">
        <f t="shared" si="299"/>
        <v>0</v>
      </c>
      <c r="BB490" s="3199">
        <f t="shared" si="300"/>
        <v>0</v>
      </c>
      <c r="BC490" s="3199">
        <f t="shared" si="301"/>
        <v>0</v>
      </c>
      <c r="BD490" s="3199">
        <f t="shared" si="302"/>
        <v>0</v>
      </c>
      <c r="BE490" s="3199">
        <f t="shared" si="303"/>
        <v>0</v>
      </c>
      <c r="BF490" s="3199">
        <f t="shared" si="304"/>
        <v>0</v>
      </c>
      <c r="BG490" s="3199">
        <f t="shared" si="305"/>
        <v>0</v>
      </c>
      <c r="BH490" s="3199">
        <f t="shared" si="306"/>
        <v>0</v>
      </c>
      <c r="BI490" s="3199">
        <f t="shared" si="307"/>
        <v>0</v>
      </c>
      <c r="BJ490" s="3199">
        <f t="shared" si="308"/>
        <v>0</v>
      </c>
      <c r="BK490" s="3199">
        <f t="shared" si="309"/>
        <v>0</v>
      </c>
      <c r="BL490" s="3199">
        <f t="shared" si="310"/>
        <v>0</v>
      </c>
      <c r="BM490" s="3199">
        <f t="shared" si="311"/>
        <v>0</v>
      </c>
      <c r="BN490" s="3199">
        <f t="shared" si="312"/>
        <v>0</v>
      </c>
      <c r="BO490" s="3199">
        <f t="shared" si="313"/>
        <v>0</v>
      </c>
      <c r="BP490" s="3199">
        <f t="shared" si="314"/>
        <v>0</v>
      </c>
      <c r="BQ490" s="3199">
        <f t="shared" si="315"/>
        <v>0</v>
      </c>
      <c r="BR490" s="3199">
        <f t="shared" si="316"/>
        <v>0</v>
      </c>
      <c r="BS490" s="3199">
        <f t="shared" si="317"/>
        <v>0</v>
      </c>
      <c r="BT490" s="3271">
        <f t="shared" si="318"/>
        <v>0</v>
      </c>
    </row>
    <row r="491" spans="1:72">
      <c r="A491" s="3197"/>
      <c r="B491" s="3205"/>
      <c r="C491" s="3204"/>
      <c r="D491" s="3193"/>
      <c r="E491" s="3199">
        <f t="shared" si="319"/>
        <v>0</v>
      </c>
      <c r="F491" s="3200"/>
      <c r="G491" s="3201">
        <f t="shared" si="294"/>
        <v>0</v>
      </c>
      <c r="H491" s="3202">
        <f t="shared" si="295"/>
        <v>0</v>
      </c>
      <c r="I491" s="3207"/>
      <c r="J491" s="3218"/>
      <c r="K491" s="3207"/>
      <c r="L491" s="3218"/>
      <c r="M491" s="3218"/>
      <c r="N491" s="3218"/>
      <c r="O491" s="3218"/>
      <c r="P491" s="3218"/>
      <c r="Q491" s="3218"/>
      <c r="R491" s="3218"/>
      <c r="S491" s="3218"/>
      <c r="T491" s="3218"/>
      <c r="U491" s="3218"/>
      <c r="V491" s="3218"/>
      <c r="W491" s="3218"/>
      <c r="X491" s="3218"/>
      <c r="Y491" s="3218"/>
      <c r="Z491" s="3218"/>
      <c r="AA491" s="3218"/>
      <c r="AB491" s="3218"/>
      <c r="AC491" s="3199">
        <f t="shared" si="296"/>
        <v>0</v>
      </c>
      <c r="AD491" s="3229"/>
      <c r="AE491" s="3229"/>
      <c r="AF491" s="3207"/>
      <c r="AG491" s="3229"/>
      <c r="AH491" s="3229"/>
      <c r="AI491" s="3229"/>
      <c r="AJ491" s="3229"/>
      <c r="AK491" s="3229"/>
      <c r="AL491" s="3229"/>
      <c r="AM491" s="3229"/>
      <c r="AN491" s="3229"/>
      <c r="AO491" s="3229"/>
      <c r="AP491" s="3229"/>
      <c r="AQ491" s="3229"/>
      <c r="AR491" s="3229"/>
      <c r="AS491" s="3229"/>
      <c r="AT491" s="3249"/>
      <c r="AU491" s="3250"/>
      <c r="AV491" s="475">
        <f t="shared" si="320"/>
        <v>0</v>
      </c>
      <c r="AW491" s="475">
        <f t="shared" si="321"/>
        <v>0</v>
      </c>
      <c r="AX491" s="475">
        <f t="shared" si="322"/>
        <v>0</v>
      </c>
      <c r="AY491" s="3266">
        <f t="shared" si="297"/>
        <v>0</v>
      </c>
      <c r="AZ491" s="3199">
        <f t="shared" si="298"/>
        <v>0</v>
      </c>
      <c r="BA491" s="3199">
        <f t="shared" si="299"/>
        <v>0</v>
      </c>
      <c r="BB491" s="3199">
        <f t="shared" si="300"/>
        <v>0</v>
      </c>
      <c r="BC491" s="3199">
        <f t="shared" si="301"/>
        <v>0</v>
      </c>
      <c r="BD491" s="3199">
        <f t="shared" si="302"/>
        <v>0</v>
      </c>
      <c r="BE491" s="3199">
        <f t="shared" si="303"/>
        <v>0</v>
      </c>
      <c r="BF491" s="3199">
        <f t="shared" si="304"/>
        <v>0</v>
      </c>
      <c r="BG491" s="3199">
        <f t="shared" si="305"/>
        <v>0</v>
      </c>
      <c r="BH491" s="3199">
        <f t="shared" si="306"/>
        <v>0</v>
      </c>
      <c r="BI491" s="3199">
        <f t="shared" si="307"/>
        <v>0</v>
      </c>
      <c r="BJ491" s="3199">
        <f t="shared" si="308"/>
        <v>0</v>
      </c>
      <c r="BK491" s="3199">
        <f t="shared" si="309"/>
        <v>0</v>
      </c>
      <c r="BL491" s="3199">
        <f t="shared" si="310"/>
        <v>0</v>
      </c>
      <c r="BM491" s="3199">
        <f t="shared" si="311"/>
        <v>0</v>
      </c>
      <c r="BN491" s="3199">
        <f t="shared" si="312"/>
        <v>0</v>
      </c>
      <c r="BO491" s="3199">
        <f t="shared" si="313"/>
        <v>0</v>
      </c>
      <c r="BP491" s="3199">
        <f t="shared" si="314"/>
        <v>0</v>
      </c>
      <c r="BQ491" s="3199">
        <f t="shared" si="315"/>
        <v>0</v>
      </c>
      <c r="BR491" s="3199">
        <f t="shared" si="316"/>
        <v>0</v>
      </c>
      <c r="BS491" s="3199">
        <f t="shared" si="317"/>
        <v>0</v>
      </c>
      <c r="BT491" s="3271">
        <f t="shared" si="318"/>
        <v>0</v>
      </c>
    </row>
    <row r="492" spans="1:72">
      <c r="A492" s="3197"/>
      <c r="B492" s="3205"/>
      <c r="C492" s="3204"/>
      <c r="D492" s="3193"/>
      <c r="E492" s="3199">
        <f t="shared" si="319"/>
        <v>0</v>
      </c>
      <c r="F492" s="3200"/>
      <c r="G492" s="3201">
        <f t="shared" si="294"/>
        <v>0</v>
      </c>
      <c r="H492" s="3202">
        <f t="shared" si="295"/>
        <v>0</v>
      </c>
      <c r="I492" s="3207"/>
      <c r="J492" s="3218"/>
      <c r="K492" s="3207"/>
      <c r="L492" s="3218"/>
      <c r="M492" s="3218"/>
      <c r="N492" s="3218"/>
      <c r="O492" s="3218"/>
      <c r="P492" s="3218"/>
      <c r="Q492" s="3218"/>
      <c r="R492" s="3218"/>
      <c r="S492" s="3218"/>
      <c r="T492" s="3218"/>
      <c r="U492" s="3218"/>
      <c r="V492" s="3218"/>
      <c r="W492" s="3218"/>
      <c r="X492" s="3218"/>
      <c r="Y492" s="3218"/>
      <c r="Z492" s="3218"/>
      <c r="AA492" s="3218"/>
      <c r="AB492" s="3218"/>
      <c r="AC492" s="3199">
        <f t="shared" si="296"/>
        <v>0</v>
      </c>
      <c r="AD492" s="3229"/>
      <c r="AE492" s="3229"/>
      <c r="AF492" s="3207"/>
      <c r="AG492" s="3229"/>
      <c r="AH492" s="3229"/>
      <c r="AI492" s="3229"/>
      <c r="AJ492" s="3229"/>
      <c r="AK492" s="3229"/>
      <c r="AL492" s="3229"/>
      <c r="AM492" s="3229"/>
      <c r="AN492" s="3229"/>
      <c r="AO492" s="3229"/>
      <c r="AP492" s="3229"/>
      <c r="AQ492" s="3229"/>
      <c r="AR492" s="3229"/>
      <c r="AS492" s="3229"/>
      <c r="AT492" s="3249"/>
      <c r="AU492" s="3250"/>
      <c r="AV492" s="475">
        <f t="shared" si="320"/>
        <v>0</v>
      </c>
      <c r="AW492" s="475">
        <f t="shared" si="321"/>
        <v>0</v>
      </c>
      <c r="AX492" s="475">
        <f t="shared" si="322"/>
        <v>0</v>
      </c>
      <c r="AY492" s="3266">
        <f t="shared" si="297"/>
        <v>0</v>
      </c>
      <c r="AZ492" s="3199">
        <f t="shared" si="298"/>
        <v>0</v>
      </c>
      <c r="BA492" s="3199">
        <f t="shared" si="299"/>
        <v>0</v>
      </c>
      <c r="BB492" s="3199">
        <f t="shared" si="300"/>
        <v>0</v>
      </c>
      <c r="BC492" s="3199">
        <f t="shared" si="301"/>
        <v>0</v>
      </c>
      <c r="BD492" s="3199">
        <f t="shared" si="302"/>
        <v>0</v>
      </c>
      <c r="BE492" s="3199">
        <f t="shared" si="303"/>
        <v>0</v>
      </c>
      <c r="BF492" s="3199">
        <f t="shared" si="304"/>
        <v>0</v>
      </c>
      <c r="BG492" s="3199">
        <f t="shared" si="305"/>
        <v>0</v>
      </c>
      <c r="BH492" s="3199">
        <f t="shared" si="306"/>
        <v>0</v>
      </c>
      <c r="BI492" s="3199">
        <f t="shared" si="307"/>
        <v>0</v>
      </c>
      <c r="BJ492" s="3199">
        <f t="shared" si="308"/>
        <v>0</v>
      </c>
      <c r="BK492" s="3199">
        <f t="shared" si="309"/>
        <v>0</v>
      </c>
      <c r="BL492" s="3199">
        <f t="shared" si="310"/>
        <v>0</v>
      </c>
      <c r="BM492" s="3199">
        <f t="shared" si="311"/>
        <v>0</v>
      </c>
      <c r="BN492" s="3199">
        <f t="shared" si="312"/>
        <v>0</v>
      </c>
      <c r="BO492" s="3199">
        <f t="shared" si="313"/>
        <v>0</v>
      </c>
      <c r="BP492" s="3199">
        <f t="shared" si="314"/>
        <v>0</v>
      </c>
      <c r="BQ492" s="3199">
        <f t="shared" si="315"/>
        <v>0</v>
      </c>
      <c r="BR492" s="3199">
        <f t="shared" si="316"/>
        <v>0</v>
      </c>
      <c r="BS492" s="3199">
        <f t="shared" si="317"/>
        <v>0</v>
      </c>
      <c r="BT492" s="3271">
        <f t="shared" si="318"/>
        <v>0</v>
      </c>
    </row>
    <row r="493" spans="1:72">
      <c r="A493" s="3197"/>
      <c r="B493" s="3205"/>
      <c r="C493" s="3204"/>
      <c r="D493" s="3193"/>
      <c r="E493" s="3199">
        <f t="shared" si="319"/>
        <v>0</v>
      </c>
      <c r="F493" s="3200"/>
      <c r="G493" s="3201">
        <f t="shared" si="294"/>
        <v>0</v>
      </c>
      <c r="H493" s="3202">
        <f t="shared" si="295"/>
        <v>0</v>
      </c>
      <c r="I493" s="3207"/>
      <c r="J493" s="3218"/>
      <c r="K493" s="3207"/>
      <c r="L493" s="3218"/>
      <c r="M493" s="3218"/>
      <c r="N493" s="3218"/>
      <c r="O493" s="3218"/>
      <c r="P493" s="3218"/>
      <c r="Q493" s="3218"/>
      <c r="R493" s="3218"/>
      <c r="S493" s="3218"/>
      <c r="T493" s="3218"/>
      <c r="U493" s="3218"/>
      <c r="V493" s="3218"/>
      <c r="W493" s="3218"/>
      <c r="X493" s="3218"/>
      <c r="Y493" s="3218"/>
      <c r="Z493" s="3218"/>
      <c r="AA493" s="3218"/>
      <c r="AB493" s="3218"/>
      <c r="AC493" s="3199">
        <f t="shared" si="296"/>
        <v>0</v>
      </c>
      <c r="AD493" s="3229"/>
      <c r="AE493" s="3229"/>
      <c r="AF493" s="3207"/>
      <c r="AG493" s="3229"/>
      <c r="AH493" s="3229"/>
      <c r="AI493" s="3229"/>
      <c r="AJ493" s="3229"/>
      <c r="AK493" s="3229"/>
      <c r="AL493" s="3229"/>
      <c r="AM493" s="3229"/>
      <c r="AN493" s="3229"/>
      <c r="AO493" s="3229"/>
      <c r="AP493" s="3229"/>
      <c r="AQ493" s="3229"/>
      <c r="AR493" s="3229"/>
      <c r="AS493" s="3229"/>
      <c r="AT493" s="3249"/>
      <c r="AU493" s="3250"/>
      <c r="AV493" s="475">
        <f t="shared" si="320"/>
        <v>0</v>
      </c>
      <c r="AW493" s="475">
        <f t="shared" si="321"/>
        <v>0</v>
      </c>
      <c r="AX493" s="475">
        <f t="shared" si="322"/>
        <v>0</v>
      </c>
      <c r="AY493" s="3266">
        <f t="shared" si="297"/>
        <v>0</v>
      </c>
      <c r="AZ493" s="3199">
        <f t="shared" si="298"/>
        <v>0</v>
      </c>
      <c r="BA493" s="3199">
        <f t="shared" si="299"/>
        <v>0</v>
      </c>
      <c r="BB493" s="3199">
        <f t="shared" si="300"/>
        <v>0</v>
      </c>
      <c r="BC493" s="3199">
        <f t="shared" si="301"/>
        <v>0</v>
      </c>
      <c r="BD493" s="3199">
        <f t="shared" si="302"/>
        <v>0</v>
      </c>
      <c r="BE493" s="3199">
        <f t="shared" si="303"/>
        <v>0</v>
      </c>
      <c r="BF493" s="3199">
        <f t="shared" si="304"/>
        <v>0</v>
      </c>
      <c r="BG493" s="3199">
        <f t="shared" si="305"/>
        <v>0</v>
      </c>
      <c r="BH493" s="3199">
        <f t="shared" si="306"/>
        <v>0</v>
      </c>
      <c r="BI493" s="3199">
        <f t="shared" si="307"/>
        <v>0</v>
      </c>
      <c r="BJ493" s="3199">
        <f t="shared" si="308"/>
        <v>0</v>
      </c>
      <c r="BK493" s="3199">
        <f t="shared" si="309"/>
        <v>0</v>
      </c>
      <c r="BL493" s="3199">
        <f t="shared" si="310"/>
        <v>0</v>
      </c>
      <c r="BM493" s="3199">
        <f t="shared" si="311"/>
        <v>0</v>
      </c>
      <c r="BN493" s="3199">
        <f t="shared" si="312"/>
        <v>0</v>
      </c>
      <c r="BO493" s="3199">
        <f t="shared" si="313"/>
        <v>0</v>
      </c>
      <c r="BP493" s="3199">
        <f t="shared" si="314"/>
        <v>0</v>
      </c>
      <c r="BQ493" s="3199">
        <f t="shared" si="315"/>
        <v>0</v>
      </c>
      <c r="BR493" s="3199">
        <f t="shared" si="316"/>
        <v>0</v>
      </c>
      <c r="BS493" s="3199">
        <f t="shared" si="317"/>
        <v>0</v>
      </c>
      <c r="BT493" s="3271">
        <f t="shared" si="318"/>
        <v>0</v>
      </c>
    </row>
    <row r="494" spans="1:72">
      <c r="A494" s="3197"/>
      <c r="B494" s="3205"/>
      <c r="C494" s="3204"/>
      <c r="D494" s="3193"/>
      <c r="E494" s="3199">
        <f t="shared" si="319"/>
        <v>0</v>
      </c>
      <c r="F494" s="3200"/>
      <c r="G494" s="3201">
        <f t="shared" si="294"/>
        <v>0</v>
      </c>
      <c r="H494" s="3202">
        <f t="shared" si="295"/>
        <v>0</v>
      </c>
      <c r="I494" s="3207"/>
      <c r="J494" s="3218"/>
      <c r="K494" s="3207"/>
      <c r="L494" s="3218"/>
      <c r="M494" s="3218"/>
      <c r="N494" s="3218"/>
      <c r="O494" s="3218"/>
      <c r="P494" s="3218"/>
      <c r="Q494" s="3218"/>
      <c r="R494" s="3218"/>
      <c r="S494" s="3218"/>
      <c r="T494" s="3218"/>
      <c r="U494" s="3218"/>
      <c r="V494" s="3218"/>
      <c r="W494" s="3218"/>
      <c r="X494" s="3218"/>
      <c r="Y494" s="3218"/>
      <c r="Z494" s="3218"/>
      <c r="AA494" s="3218"/>
      <c r="AB494" s="3218"/>
      <c r="AC494" s="3199">
        <f t="shared" si="296"/>
        <v>0</v>
      </c>
      <c r="AD494" s="3229"/>
      <c r="AE494" s="3229"/>
      <c r="AF494" s="3207"/>
      <c r="AG494" s="3229"/>
      <c r="AH494" s="3229"/>
      <c r="AI494" s="3229"/>
      <c r="AJ494" s="3229"/>
      <c r="AK494" s="3229"/>
      <c r="AL494" s="3229"/>
      <c r="AM494" s="3229"/>
      <c r="AN494" s="3229"/>
      <c r="AO494" s="3229"/>
      <c r="AP494" s="3229"/>
      <c r="AQ494" s="3229"/>
      <c r="AR494" s="3229"/>
      <c r="AS494" s="3229"/>
      <c r="AT494" s="3249"/>
      <c r="AU494" s="3250"/>
      <c r="AV494" s="475">
        <f t="shared" si="320"/>
        <v>0</v>
      </c>
      <c r="AW494" s="475">
        <f t="shared" si="321"/>
        <v>0</v>
      </c>
      <c r="AX494" s="475">
        <f t="shared" si="322"/>
        <v>0</v>
      </c>
      <c r="AY494" s="3266">
        <f t="shared" si="297"/>
        <v>0</v>
      </c>
      <c r="AZ494" s="3199">
        <f t="shared" si="298"/>
        <v>0</v>
      </c>
      <c r="BA494" s="3199">
        <f t="shared" si="299"/>
        <v>0</v>
      </c>
      <c r="BB494" s="3199">
        <f t="shared" si="300"/>
        <v>0</v>
      </c>
      <c r="BC494" s="3199">
        <f t="shared" si="301"/>
        <v>0</v>
      </c>
      <c r="BD494" s="3199">
        <f t="shared" si="302"/>
        <v>0</v>
      </c>
      <c r="BE494" s="3199">
        <f t="shared" si="303"/>
        <v>0</v>
      </c>
      <c r="BF494" s="3199">
        <f t="shared" si="304"/>
        <v>0</v>
      </c>
      <c r="BG494" s="3199">
        <f t="shared" si="305"/>
        <v>0</v>
      </c>
      <c r="BH494" s="3199">
        <f t="shared" si="306"/>
        <v>0</v>
      </c>
      <c r="BI494" s="3199">
        <f t="shared" si="307"/>
        <v>0</v>
      </c>
      <c r="BJ494" s="3199">
        <f t="shared" si="308"/>
        <v>0</v>
      </c>
      <c r="BK494" s="3199">
        <f t="shared" si="309"/>
        <v>0</v>
      </c>
      <c r="BL494" s="3199">
        <f t="shared" si="310"/>
        <v>0</v>
      </c>
      <c r="BM494" s="3199">
        <f t="shared" si="311"/>
        <v>0</v>
      </c>
      <c r="BN494" s="3199">
        <f t="shared" si="312"/>
        <v>0</v>
      </c>
      <c r="BO494" s="3199">
        <f t="shared" si="313"/>
        <v>0</v>
      </c>
      <c r="BP494" s="3199">
        <f t="shared" si="314"/>
        <v>0</v>
      </c>
      <c r="BQ494" s="3199">
        <f t="shared" si="315"/>
        <v>0</v>
      </c>
      <c r="BR494" s="3199">
        <f t="shared" si="316"/>
        <v>0</v>
      </c>
      <c r="BS494" s="3199">
        <f t="shared" si="317"/>
        <v>0</v>
      </c>
      <c r="BT494" s="3271">
        <f t="shared" si="318"/>
        <v>0</v>
      </c>
    </row>
    <row r="495" spans="1:72">
      <c r="A495" s="3197"/>
      <c r="B495" s="3205"/>
      <c r="C495" s="3204"/>
      <c r="D495" s="3193"/>
      <c r="E495" s="3199">
        <f t="shared" si="319"/>
        <v>0</v>
      </c>
      <c r="F495" s="3200"/>
      <c r="G495" s="3201">
        <f t="shared" si="294"/>
        <v>0</v>
      </c>
      <c r="H495" s="3202">
        <f t="shared" si="295"/>
        <v>0</v>
      </c>
      <c r="I495" s="3207"/>
      <c r="J495" s="3218"/>
      <c r="K495" s="3207"/>
      <c r="L495" s="3218"/>
      <c r="M495" s="3218"/>
      <c r="N495" s="3218"/>
      <c r="O495" s="3218"/>
      <c r="P495" s="3218"/>
      <c r="Q495" s="3218"/>
      <c r="R495" s="3218"/>
      <c r="S495" s="3218"/>
      <c r="T495" s="3218"/>
      <c r="U495" s="3218"/>
      <c r="V495" s="3218"/>
      <c r="W495" s="3218"/>
      <c r="X495" s="3218"/>
      <c r="Y495" s="3218"/>
      <c r="Z495" s="3218"/>
      <c r="AA495" s="3218"/>
      <c r="AB495" s="3218"/>
      <c r="AC495" s="3199">
        <f t="shared" si="296"/>
        <v>0</v>
      </c>
      <c r="AD495" s="3229"/>
      <c r="AE495" s="3229"/>
      <c r="AF495" s="3207"/>
      <c r="AG495" s="3229"/>
      <c r="AH495" s="3229"/>
      <c r="AI495" s="3229"/>
      <c r="AJ495" s="3229"/>
      <c r="AK495" s="3229"/>
      <c r="AL495" s="3229"/>
      <c r="AM495" s="3229"/>
      <c r="AN495" s="3229"/>
      <c r="AO495" s="3229"/>
      <c r="AP495" s="3229"/>
      <c r="AQ495" s="3229"/>
      <c r="AR495" s="3229"/>
      <c r="AS495" s="3229"/>
      <c r="AT495" s="3249"/>
      <c r="AU495" s="3250"/>
      <c r="AV495" s="475">
        <f t="shared" si="320"/>
        <v>0</v>
      </c>
      <c r="AW495" s="475">
        <f t="shared" si="321"/>
        <v>0</v>
      </c>
      <c r="AX495" s="475">
        <f t="shared" si="322"/>
        <v>0</v>
      </c>
      <c r="AY495" s="3266">
        <f t="shared" si="297"/>
        <v>0</v>
      </c>
      <c r="AZ495" s="3199">
        <f t="shared" si="298"/>
        <v>0</v>
      </c>
      <c r="BA495" s="3199">
        <f t="shared" si="299"/>
        <v>0</v>
      </c>
      <c r="BB495" s="3199">
        <f t="shared" si="300"/>
        <v>0</v>
      </c>
      <c r="BC495" s="3199">
        <f t="shared" si="301"/>
        <v>0</v>
      </c>
      <c r="BD495" s="3199">
        <f t="shared" si="302"/>
        <v>0</v>
      </c>
      <c r="BE495" s="3199">
        <f t="shared" si="303"/>
        <v>0</v>
      </c>
      <c r="BF495" s="3199">
        <f t="shared" si="304"/>
        <v>0</v>
      </c>
      <c r="BG495" s="3199">
        <f t="shared" si="305"/>
        <v>0</v>
      </c>
      <c r="BH495" s="3199">
        <f t="shared" si="306"/>
        <v>0</v>
      </c>
      <c r="BI495" s="3199">
        <f t="shared" si="307"/>
        <v>0</v>
      </c>
      <c r="BJ495" s="3199">
        <f t="shared" si="308"/>
        <v>0</v>
      </c>
      <c r="BK495" s="3199">
        <f t="shared" si="309"/>
        <v>0</v>
      </c>
      <c r="BL495" s="3199">
        <f t="shared" si="310"/>
        <v>0</v>
      </c>
      <c r="BM495" s="3199">
        <f t="shared" si="311"/>
        <v>0</v>
      </c>
      <c r="BN495" s="3199">
        <f t="shared" si="312"/>
        <v>0</v>
      </c>
      <c r="BO495" s="3199">
        <f t="shared" si="313"/>
        <v>0</v>
      </c>
      <c r="BP495" s="3199">
        <f t="shared" si="314"/>
        <v>0</v>
      </c>
      <c r="BQ495" s="3199">
        <f t="shared" si="315"/>
        <v>0</v>
      </c>
      <c r="BR495" s="3199">
        <f t="shared" si="316"/>
        <v>0</v>
      </c>
      <c r="BS495" s="3199">
        <f t="shared" si="317"/>
        <v>0</v>
      </c>
      <c r="BT495" s="3271">
        <f t="shared" si="318"/>
        <v>0</v>
      </c>
    </row>
    <row r="496" spans="1:72">
      <c r="A496" s="3197"/>
      <c r="B496" s="3205"/>
      <c r="C496" s="3204"/>
      <c r="D496" s="3193"/>
      <c r="E496" s="3199">
        <f t="shared" si="319"/>
        <v>0</v>
      </c>
      <c r="F496" s="3200"/>
      <c r="G496" s="3201">
        <f t="shared" si="294"/>
        <v>0</v>
      </c>
      <c r="H496" s="3202">
        <f t="shared" si="295"/>
        <v>0</v>
      </c>
      <c r="I496" s="3207"/>
      <c r="J496" s="3218"/>
      <c r="K496" s="3207"/>
      <c r="L496" s="3218"/>
      <c r="M496" s="3218"/>
      <c r="N496" s="3218"/>
      <c r="O496" s="3218"/>
      <c r="P496" s="3218"/>
      <c r="Q496" s="3218"/>
      <c r="R496" s="3218"/>
      <c r="S496" s="3218"/>
      <c r="T496" s="3218"/>
      <c r="U496" s="3218"/>
      <c r="V496" s="3218"/>
      <c r="W496" s="3218"/>
      <c r="X496" s="3218"/>
      <c r="Y496" s="3218"/>
      <c r="Z496" s="3218"/>
      <c r="AA496" s="3218"/>
      <c r="AB496" s="3218"/>
      <c r="AC496" s="3199">
        <f t="shared" si="296"/>
        <v>0</v>
      </c>
      <c r="AD496" s="3229"/>
      <c r="AE496" s="3229"/>
      <c r="AF496" s="3207"/>
      <c r="AG496" s="3229"/>
      <c r="AH496" s="3229"/>
      <c r="AI496" s="3229"/>
      <c r="AJ496" s="3229"/>
      <c r="AK496" s="3229"/>
      <c r="AL496" s="3229"/>
      <c r="AM496" s="3229"/>
      <c r="AN496" s="3229"/>
      <c r="AO496" s="3229"/>
      <c r="AP496" s="3229"/>
      <c r="AQ496" s="3229"/>
      <c r="AR496" s="3229"/>
      <c r="AS496" s="3229"/>
      <c r="AT496" s="3249"/>
      <c r="AU496" s="3250"/>
      <c r="AV496" s="475">
        <f t="shared" si="320"/>
        <v>0</v>
      </c>
      <c r="AW496" s="475">
        <f t="shared" si="321"/>
        <v>0</v>
      </c>
      <c r="AX496" s="475">
        <f t="shared" si="322"/>
        <v>0</v>
      </c>
      <c r="AY496" s="3266">
        <f t="shared" si="297"/>
        <v>0</v>
      </c>
      <c r="AZ496" s="3199">
        <f t="shared" si="298"/>
        <v>0</v>
      </c>
      <c r="BA496" s="3199">
        <f t="shared" si="299"/>
        <v>0</v>
      </c>
      <c r="BB496" s="3199">
        <f t="shared" si="300"/>
        <v>0</v>
      </c>
      <c r="BC496" s="3199">
        <f t="shared" si="301"/>
        <v>0</v>
      </c>
      <c r="BD496" s="3199">
        <f t="shared" si="302"/>
        <v>0</v>
      </c>
      <c r="BE496" s="3199">
        <f t="shared" si="303"/>
        <v>0</v>
      </c>
      <c r="BF496" s="3199">
        <f t="shared" si="304"/>
        <v>0</v>
      </c>
      <c r="BG496" s="3199">
        <f t="shared" si="305"/>
        <v>0</v>
      </c>
      <c r="BH496" s="3199">
        <f t="shared" si="306"/>
        <v>0</v>
      </c>
      <c r="BI496" s="3199">
        <f t="shared" si="307"/>
        <v>0</v>
      </c>
      <c r="BJ496" s="3199">
        <f t="shared" si="308"/>
        <v>0</v>
      </c>
      <c r="BK496" s="3199">
        <f t="shared" si="309"/>
        <v>0</v>
      </c>
      <c r="BL496" s="3199">
        <f t="shared" si="310"/>
        <v>0</v>
      </c>
      <c r="BM496" s="3199">
        <f t="shared" si="311"/>
        <v>0</v>
      </c>
      <c r="BN496" s="3199">
        <f t="shared" si="312"/>
        <v>0</v>
      </c>
      <c r="BO496" s="3199">
        <f t="shared" si="313"/>
        <v>0</v>
      </c>
      <c r="BP496" s="3199">
        <f t="shared" si="314"/>
        <v>0</v>
      </c>
      <c r="BQ496" s="3199">
        <f t="shared" si="315"/>
        <v>0</v>
      </c>
      <c r="BR496" s="3199">
        <f t="shared" si="316"/>
        <v>0</v>
      </c>
      <c r="BS496" s="3199">
        <f t="shared" si="317"/>
        <v>0</v>
      </c>
      <c r="BT496" s="3271">
        <f t="shared" si="318"/>
        <v>0</v>
      </c>
    </row>
    <row r="497" spans="1:72">
      <c r="A497" s="3197"/>
      <c r="B497" s="3205"/>
      <c r="C497" s="3204"/>
      <c r="D497" s="3193"/>
      <c r="E497" s="3199">
        <f t="shared" si="319"/>
        <v>0</v>
      </c>
      <c r="F497" s="3200"/>
      <c r="G497" s="3201">
        <f t="shared" si="294"/>
        <v>0</v>
      </c>
      <c r="H497" s="3202">
        <f t="shared" si="295"/>
        <v>0</v>
      </c>
      <c r="I497" s="3207"/>
      <c r="J497" s="3218"/>
      <c r="K497" s="3207"/>
      <c r="L497" s="3218"/>
      <c r="M497" s="3218"/>
      <c r="N497" s="3218"/>
      <c r="O497" s="3218"/>
      <c r="P497" s="3218"/>
      <c r="Q497" s="3218"/>
      <c r="R497" s="3218"/>
      <c r="S497" s="3218"/>
      <c r="T497" s="3218"/>
      <c r="U497" s="3218"/>
      <c r="V497" s="3218"/>
      <c r="W497" s="3218"/>
      <c r="X497" s="3218"/>
      <c r="Y497" s="3218"/>
      <c r="Z497" s="3218"/>
      <c r="AA497" s="3218"/>
      <c r="AB497" s="3218"/>
      <c r="AC497" s="3199">
        <f t="shared" si="296"/>
        <v>0</v>
      </c>
      <c r="AD497" s="3229"/>
      <c r="AE497" s="3229"/>
      <c r="AF497" s="3207"/>
      <c r="AG497" s="3229"/>
      <c r="AH497" s="3229"/>
      <c r="AI497" s="3229"/>
      <c r="AJ497" s="3229"/>
      <c r="AK497" s="3229"/>
      <c r="AL497" s="3229"/>
      <c r="AM497" s="3229"/>
      <c r="AN497" s="3229"/>
      <c r="AO497" s="3229"/>
      <c r="AP497" s="3229"/>
      <c r="AQ497" s="3229"/>
      <c r="AR497" s="3229"/>
      <c r="AS497" s="3229"/>
      <c r="AT497" s="3249"/>
      <c r="AU497" s="3250"/>
      <c r="AV497" s="475">
        <f t="shared" si="320"/>
        <v>0</v>
      </c>
      <c r="AW497" s="475">
        <f t="shared" si="321"/>
        <v>0</v>
      </c>
      <c r="AX497" s="475">
        <f t="shared" si="322"/>
        <v>0</v>
      </c>
      <c r="AY497" s="3266">
        <f t="shared" si="297"/>
        <v>0</v>
      </c>
      <c r="AZ497" s="3199">
        <f t="shared" si="298"/>
        <v>0</v>
      </c>
      <c r="BA497" s="3199">
        <f t="shared" si="299"/>
        <v>0</v>
      </c>
      <c r="BB497" s="3199">
        <f t="shared" si="300"/>
        <v>0</v>
      </c>
      <c r="BC497" s="3199">
        <f t="shared" si="301"/>
        <v>0</v>
      </c>
      <c r="BD497" s="3199">
        <f t="shared" si="302"/>
        <v>0</v>
      </c>
      <c r="BE497" s="3199">
        <f t="shared" si="303"/>
        <v>0</v>
      </c>
      <c r="BF497" s="3199">
        <f t="shared" si="304"/>
        <v>0</v>
      </c>
      <c r="BG497" s="3199">
        <f t="shared" si="305"/>
        <v>0</v>
      </c>
      <c r="BH497" s="3199">
        <f t="shared" si="306"/>
        <v>0</v>
      </c>
      <c r="BI497" s="3199">
        <f t="shared" si="307"/>
        <v>0</v>
      </c>
      <c r="BJ497" s="3199">
        <f t="shared" si="308"/>
        <v>0</v>
      </c>
      <c r="BK497" s="3199">
        <f t="shared" si="309"/>
        <v>0</v>
      </c>
      <c r="BL497" s="3199">
        <f t="shared" si="310"/>
        <v>0</v>
      </c>
      <c r="BM497" s="3199">
        <f t="shared" si="311"/>
        <v>0</v>
      </c>
      <c r="BN497" s="3199">
        <f t="shared" si="312"/>
        <v>0</v>
      </c>
      <c r="BO497" s="3199">
        <f t="shared" si="313"/>
        <v>0</v>
      </c>
      <c r="BP497" s="3199">
        <f t="shared" si="314"/>
        <v>0</v>
      </c>
      <c r="BQ497" s="3199">
        <f t="shared" si="315"/>
        <v>0</v>
      </c>
      <c r="BR497" s="3199">
        <f t="shared" si="316"/>
        <v>0</v>
      </c>
      <c r="BS497" s="3199">
        <f t="shared" si="317"/>
        <v>0</v>
      </c>
      <c r="BT497" s="3271">
        <f t="shared" si="318"/>
        <v>0</v>
      </c>
    </row>
    <row r="498" spans="1:72">
      <c r="A498" s="3197"/>
      <c r="B498" s="3205"/>
      <c r="C498" s="3204"/>
      <c r="D498" s="3193"/>
      <c r="E498" s="3199">
        <f t="shared" si="319"/>
        <v>0</v>
      </c>
      <c r="F498" s="3200"/>
      <c r="G498" s="3201">
        <f t="shared" si="294"/>
        <v>0</v>
      </c>
      <c r="H498" s="3202">
        <f t="shared" si="295"/>
        <v>0</v>
      </c>
      <c r="I498" s="3207"/>
      <c r="J498" s="3218"/>
      <c r="K498" s="3207"/>
      <c r="L498" s="3218"/>
      <c r="M498" s="3218"/>
      <c r="N498" s="3218"/>
      <c r="O498" s="3218"/>
      <c r="P498" s="3218"/>
      <c r="Q498" s="3218"/>
      <c r="R498" s="3218"/>
      <c r="S498" s="3218"/>
      <c r="T498" s="3218"/>
      <c r="U498" s="3218"/>
      <c r="V498" s="3218"/>
      <c r="W498" s="3218"/>
      <c r="X498" s="3218"/>
      <c r="Y498" s="3218"/>
      <c r="Z498" s="3218"/>
      <c r="AA498" s="3218"/>
      <c r="AB498" s="3218"/>
      <c r="AC498" s="3199">
        <f t="shared" si="296"/>
        <v>0</v>
      </c>
      <c r="AD498" s="3229"/>
      <c r="AE498" s="3229"/>
      <c r="AF498" s="3207"/>
      <c r="AG498" s="3229"/>
      <c r="AH498" s="3229"/>
      <c r="AI498" s="3229"/>
      <c r="AJ498" s="3229"/>
      <c r="AK498" s="3229"/>
      <c r="AL498" s="3229"/>
      <c r="AM498" s="3229"/>
      <c r="AN498" s="3229"/>
      <c r="AO498" s="3229"/>
      <c r="AP498" s="3229"/>
      <c r="AQ498" s="3229"/>
      <c r="AR498" s="3229"/>
      <c r="AS498" s="3229"/>
      <c r="AT498" s="3249"/>
      <c r="AU498" s="3250"/>
      <c r="AV498" s="475">
        <f t="shared" si="320"/>
        <v>0</v>
      </c>
      <c r="AW498" s="475">
        <f t="shared" si="321"/>
        <v>0</v>
      </c>
      <c r="AX498" s="475">
        <f t="shared" si="322"/>
        <v>0</v>
      </c>
      <c r="AY498" s="3266">
        <f t="shared" si="297"/>
        <v>0</v>
      </c>
      <c r="AZ498" s="3199">
        <f t="shared" si="298"/>
        <v>0</v>
      </c>
      <c r="BA498" s="3199">
        <f t="shared" si="299"/>
        <v>0</v>
      </c>
      <c r="BB498" s="3199">
        <f t="shared" si="300"/>
        <v>0</v>
      </c>
      <c r="BC498" s="3199">
        <f t="shared" si="301"/>
        <v>0</v>
      </c>
      <c r="BD498" s="3199">
        <f t="shared" si="302"/>
        <v>0</v>
      </c>
      <c r="BE498" s="3199">
        <f t="shared" si="303"/>
        <v>0</v>
      </c>
      <c r="BF498" s="3199">
        <f t="shared" si="304"/>
        <v>0</v>
      </c>
      <c r="BG498" s="3199">
        <f t="shared" si="305"/>
        <v>0</v>
      </c>
      <c r="BH498" s="3199">
        <f t="shared" si="306"/>
        <v>0</v>
      </c>
      <c r="BI498" s="3199">
        <f t="shared" si="307"/>
        <v>0</v>
      </c>
      <c r="BJ498" s="3199">
        <f t="shared" si="308"/>
        <v>0</v>
      </c>
      <c r="BK498" s="3199">
        <f t="shared" si="309"/>
        <v>0</v>
      </c>
      <c r="BL498" s="3199">
        <f t="shared" si="310"/>
        <v>0</v>
      </c>
      <c r="BM498" s="3199">
        <f t="shared" si="311"/>
        <v>0</v>
      </c>
      <c r="BN498" s="3199">
        <f t="shared" si="312"/>
        <v>0</v>
      </c>
      <c r="BO498" s="3199">
        <f t="shared" si="313"/>
        <v>0</v>
      </c>
      <c r="BP498" s="3199">
        <f t="shared" si="314"/>
        <v>0</v>
      </c>
      <c r="BQ498" s="3199">
        <f t="shared" si="315"/>
        <v>0</v>
      </c>
      <c r="BR498" s="3199">
        <f t="shared" si="316"/>
        <v>0</v>
      </c>
      <c r="BS498" s="3199">
        <f t="shared" si="317"/>
        <v>0</v>
      </c>
      <c r="BT498" s="3271">
        <f t="shared" si="318"/>
        <v>0</v>
      </c>
    </row>
    <row r="499" spans="1:72">
      <c r="A499" s="3197"/>
      <c r="B499" s="3205"/>
      <c r="C499" s="3204"/>
      <c r="D499" s="3193"/>
      <c r="E499" s="3199">
        <f t="shared" si="319"/>
        <v>0</v>
      </c>
      <c r="F499" s="3200"/>
      <c r="G499" s="3201">
        <f t="shared" si="294"/>
        <v>0</v>
      </c>
      <c r="H499" s="3202">
        <f t="shared" si="295"/>
        <v>0</v>
      </c>
      <c r="I499" s="3207"/>
      <c r="J499" s="3218"/>
      <c r="K499" s="3207"/>
      <c r="L499" s="3218"/>
      <c r="M499" s="3218"/>
      <c r="N499" s="3218"/>
      <c r="O499" s="3218"/>
      <c r="P499" s="3218"/>
      <c r="Q499" s="3218"/>
      <c r="R499" s="3218"/>
      <c r="S499" s="3218"/>
      <c r="T499" s="3218"/>
      <c r="U499" s="3218"/>
      <c r="V499" s="3218"/>
      <c r="W499" s="3218"/>
      <c r="X499" s="3218"/>
      <c r="Y499" s="3218"/>
      <c r="Z499" s="3218"/>
      <c r="AA499" s="3218"/>
      <c r="AB499" s="3218"/>
      <c r="AC499" s="3199">
        <f t="shared" si="296"/>
        <v>0</v>
      </c>
      <c r="AD499" s="3229"/>
      <c r="AE499" s="3229"/>
      <c r="AF499" s="3207"/>
      <c r="AG499" s="3229"/>
      <c r="AH499" s="3229"/>
      <c r="AI499" s="3229"/>
      <c r="AJ499" s="3229"/>
      <c r="AK499" s="3229"/>
      <c r="AL499" s="3229"/>
      <c r="AM499" s="3229"/>
      <c r="AN499" s="3229"/>
      <c r="AO499" s="3229"/>
      <c r="AP499" s="3229"/>
      <c r="AQ499" s="3229"/>
      <c r="AR499" s="3229"/>
      <c r="AS499" s="3229"/>
      <c r="AT499" s="3249"/>
      <c r="AU499" s="3250"/>
      <c r="AV499" s="475">
        <f t="shared" si="320"/>
        <v>0</v>
      </c>
      <c r="AW499" s="475">
        <f t="shared" si="321"/>
        <v>0</v>
      </c>
      <c r="AX499" s="475">
        <f t="shared" si="322"/>
        <v>0</v>
      </c>
      <c r="AY499" s="3266">
        <f t="shared" si="297"/>
        <v>0</v>
      </c>
      <c r="AZ499" s="3199">
        <f t="shared" si="298"/>
        <v>0</v>
      </c>
      <c r="BA499" s="3199">
        <f t="shared" si="299"/>
        <v>0</v>
      </c>
      <c r="BB499" s="3199">
        <f t="shared" si="300"/>
        <v>0</v>
      </c>
      <c r="BC499" s="3199">
        <f t="shared" si="301"/>
        <v>0</v>
      </c>
      <c r="BD499" s="3199">
        <f t="shared" si="302"/>
        <v>0</v>
      </c>
      <c r="BE499" s="3199">
        <f t="shared" si="303"/>
        <v>0</v>
      </c>
      <c r="BF499" s="3199">
        <f t="shared" si="304"/>
        <v>0</v>
      </c>
      <c r="BG499" s="3199">
        <f t="shared" si="305"/>
        <v>0</v>
      </c>
      <c r="BH499" s="3199">
        <f t="shared" si="306"/>
        <v>0</v>
      </c>
      <c r="BI499" s="3199">
        <f t="shared" si="307"/>
        <v>0</v>
      </c>
      <c r="BJ499" s="3199">
        <f t="shared" si="308"/>
        <v>0</v>
      </c>
      <c r="BK499" s="3199">
        <f t="shared" si="309"/>
        <v>0</v>
      </c>
      <c r="BL499" s="3199">
        <f t="shared" si="310"/>
        <v>0</v>
      </c>
      <c r="BM499" s="3199">
        <f t="shared" si="311"/>
        <v>0</v>
      </c>
      <c r="BN499" s="3199">
        <f t="shared" si="312"/>
        <v>0</v>
      </c>
      <c r="BO499" s="3199">
        <f t="shared" si="313"/>
        <v>0</v>
      </c>
      <c r="BP499" s="3199">
        <f t="shared" si="314"/>
        <v>0</v>
      </c>
      <c r="BQ499" s="3199">
        <f t="shared" si="315"/>
        <v>0</v>
      </c>
      <c r="BR499" s="3199">
        <f t="shared" si="316"/>
        <v>0</v>
      </c>
      <c r="BS499" s="3199">
        <f t="shared" si="317"/>
        <v>0</v>
      </c>
      <c r="BT499" s="3271">
        <f t="shared" si="318"/>
        <v>0</v>
      </c>
    </row>
    <row r="500" spans="1:72">
      <c r="A500" s="3197"/>
      <c r="B500" s="3205"/>
      <c r="C500" s="3204"/>
      <c r="D500" s="3193"/>
      <c r="E500" s="3199">
        <f t="shared" si="319"/>
        <v>0</v>
      </c>
      <c r="F500" s="3200"/>
      <c r="G500" s="3201">
        <f t="shared" si="294"/>
        <v>0</v>
      </c>
      <c r="H500" s="3202">
        <f t="shared" si="295"/>
        <v>0</v>
      </c>
      <c r="I500" s="3207"/>
      <c r="J500" s="3218"/>
      <c r="K500" s="3207"/>
      <c r="L500" s="3218"/>
      <c r="M500" s="3218"/>
      <c r="N500" s="3218"/>
      <c r="O500" s="3218"/>
      <c r="P500" s="3218"/>
      <c r="Q500" s="3218"/>
      <c r="R500" s="3218"/>
      <c r="S500" s="3218"/>
      <c r="T500" s="3218"/>
      <c r="U500" s="3218"/>
      <c r="V500" s="3218"/>
      <c r="W500" s="3218"/>
      <c r="X500" s="3218"/>
      <c r="Y500" s="3218"/>
      <c r="Z500" s="3218"/>
      <c r="AA500" s="3218"/>
      <c r="AB500" s="3218"/>
      <c r="AC500" s="3199">
        <f t="shared" si="296"/>
        <v>0</v>
      </c>
      <c r="AD500" s="3229"/>
      <c r="AE500" s="3229"/>
      <c r="AF500" s="3207"/>
      <c r="AG500" s="3229"/>
      <c r="AH500" s="3229"/>
      <c r="AI500" s="3229"/>
      <c r="AJ500" s="3229"/>
      <c r="AK500" s="3229"/>
      <c r="AL500" s="3229"/>
      <c r="AM500" s="3229"/>
      <c r="AN500" s="3229"/>
      <c r="AO500" s="3229"/>
      <c r="AP500" s="3229"/>
      <c r="AQ500" s="3229"/>
      <c r="AR500" s="3229"/>
      <c r="AS500" s="3229"/>
      <c r="AT500" s="3249"/>
      <c r="AU500" s="3250"/>
      <c r="AV500" s="475">
        <f t="shared" si="320"/>
        <v>0</v>
      </c>
      <c r="AW500" s="475">
        <f t="shared" si="321"/>
        <v>0</v>
      </c>
      <c r="AX500" s="475">
        <f t="shared" si="322"/>
        <v>0</v>
      </c>
      <c r="AY500" s="3266">
        <f t="shared" si="297"/>
        <v>0</v>
      </c>
      <c r="AZ500" s="3199">
        <f t="shared" si="298"/>
        <v>0</v>
      </c>
      <c r="BA500" s="3199">
        <f t="shared" si="299"/>
        <v>0</v>
      </c>
      <c r="BB500" s="3199">
        <f t="shared" si="300"/>
        <v>0</v>
      </c>
      <c r="BC500" s="3199">
        <f t="shared" si="301"/>
        <v>0</v>
      </c>
      <c r="BD500" s="3199">
        <f t="shared" si="302"/>
        <v>0</v>
      </c>
      <c r="BE500" s="3199">
        <f t="shared" si="303"/>
        <v>0</v>
      </c>
      <c r="BF500" s="3199">
        <f t="shared" si="304"/>
        <v>0</v>
      </c>
      <c r="BG500" s="3199">
        <f t="shared" si="305"/>
        <v>0</v>
      </c>
      <c r="BH500" s="3199">
        <f t="shared" si="306"/>
        <v>0</v>
      </c>
      <c r="BI500" s="3199">
        <f t="shared" si="307"/>
        <v>0</v>
      </c>
      <c r="BJ500" s="3199">
        <f t="shared" si="308"/>
        <v>0</v>
      </c>
      <c r="BK500" s="3199">
        <f t="shared" si="309"/>
        <v>0</v>
      </c>
      <c r="BL500" s="3199">
        <f t="shared" si="310"/>
        <v>0</v>
      </c>
      <c r="BM500" s="3199">
        <f t="shared" si="311"/>
        <v>0</v>
      </c>
      <c r="BN500" s="3199">
        <f t="shared" si="312"/>
        <v>0</v>
      </c>
      <c r="BO500" s="3199">
        <f t="shared" si="313"/>
        <v>0</v>
      </c>
      <c r="BP500" s="3199">
        <f t="shared" si="314"/>
        <v>0</v>
      </c>
      <c r="BQ500" s="3199">
        <f t="shared" si="315"/>
        <v>0</v>
      </c>
      <c r="BR500" s="3199">
        <f t="shared" si="316"/>
        <v>0</v>
      </c>
      <c r="BS500" s="3199">
        <f t="shared" si="317"/>
        <v>0</v>
      </c>
      <c r="BT500" s="3271">
        <f t="shared" si="318"/>
        <v>0</v>
      </c>
    </row>
    <row r="501" spans="1:72">
      <c r="A501" s="3197"/>
      <c r="B501" s="3205"/>
      <c r="C501" s="3204"/>
      <c r="D501" s="3193"/>
      <c r="E501" s="3199">
        <f t="shared" si="319"/>
        <v>0</v>
      </c>
      <c r="F501" s="3200"/>
      <c r="G501" s="3201">
        <f t="shared" si="294"/>
        <v>0</v>
      </c>
      <c r="H501" s="3202">
        <f t="shared" si="295"/>
        <v>0</v>
      </c>
      <c r="I501" s="3207"/>
      <c r="J501" s="3218"/>
      <c r="K501" s="3207"/>
      <c r="L501" s="3218"/>
      <c r="M501" s="3218"/>
      <c r="N501" s="3218"/>
      <c r="O501" s="3218"/>
      <c r="P501" s="3218"/>
      <c r="Q501" s="3218"/>
      <c r="R501" s="3218"/>
      <c r="S501" s="3218"/>
      <c r="T501" s="3218"/>
      <c r="U501" s="3218"/>
      <c r="V501" s="3218"/>
      <c r="W501" s="3218"/>
      <c r="X501" s="3218"/>
      <c r="Y501" s="3218"/>
      <c r="Z501" s="3218"/>
      <c r="AA501" s="3218"/>
      <c r="AB501" s="3218"/>
      <c r="AC501" s="3199">
        <f t="shared" si="296"/>
        <v>0</v>
      </c>
      <c r="AD501" s="3229"/>
      <c r="AE501" s="3229"/>
      <c r="AF501" s="3207"/>
      <c r="AG501" s="3229"/>
      <c r="AH501" s="3229"/>
      <c r="AI501" s="3229"/>
      <c r="AJ501" s="3229"/>
      <c r="AK501" s="3229"/>
      <c r="AL501" s="3229"/>
      <c r="AM501" s="3229"/>
      <c r="AN501" s="3229"/>
      <c r="AO501" s="3229"/>
      <c r="AP501" s="3229"/>
      <c r="AQ501" s="3229"/>
      <c r="AR501" s="3229"/>
      <c r="AS501" s="3229"/>
      <c r="AT501" s="3249"/>
      <c r="AU501" s="3250"/>
      <c r="AV501" s="475">
        <f t="shared" si="320"/>
        <v>0</v>
      </c>
      <c r="AW501" s="475">
        <f t="shared" si="321"/>
        <v>0</v>
      </c>
      <c r="AX501" s="475">
        <f t="shared" si="322"/>
        <v>0</v>
      </c>
      <c r="AY501" s="3266">
        <f t="shared" si="297"/>
        <v>0</v>
      </c>
      <c r="AZ501" s="3199">
        <f t="shared" si="298"/>
        <v>0</v>
      </c>
      <c r="BA501" s="3199">
        <f t="shared" si="299"/>
        <v>0</v>
      </c>
      <c r="BB501" s="3199">
        <f t="shared" si="300"/>
        <v>0</v>
      </c>
      <c r="BC501" s="3199">
        <f t="shared" si="301"/>
        <v>0</v>
      </c>
      <c r="BD501" s="3199">
        <f t="shared" si="302"/>
        <v>0</v>
      </c>
      <c r="BE501" s="3199">
        <f t="shared" si="303"/>
        <v>0</v>
      </c>
      <c r="BF501" s="3199">
        <f t="shared" si="304"/>
        <v>0</v>
      </c>
      <c r="BG501" s="3199">
        <f t="shared" si="305"/>
        <v>0</v>
      </c>
      <c r="BH501" s="3199">
        <f t="shared" si="306"/>
        <v>0</v>
      </c>
      <c r="BI501" s="3199">
        <f t="shared" si="307"/>
        <v>0</v>
      </c>
      <c r="BJ501" s="3199">
        <f t="shared" si="308"/>
        <v>0</v>
      </c>
      <c r="BK501" s="3199">
        <f t="shared" si="309"/>
        <v>0</v>
      </c>
      <c r="BL501" s="3199">
        <f t="shared" si="310"/>
        <v>0</v>
      </c>
      <c r="BM501" s="3199">
        <f t="shared" si="311"/>
        <v>0</v>
      </c>
      <c r="BN501" s="3199">
        <f t="shared" si="312"/>
        <v>0</v>
      </c>
      <c r="BO501" s="3199">
        <f t="shared" si="313"/>
        <v>0</v>
      </c>
      <c r="BP501" s="3199">
        <f t="shared" si="314"/>
        <v>0</v>
      </c>
      <c r="BQ501" s="3199">
        <f t="shared" si="315"/>
        <v>0</v>
      </c>
      <c r="BR501" s="3199">
        <f t="shared" si="316"/>
        <v>0</v>
      </c>
      <c r="BS501" s="3199">
        <f t="shared" si="317"/>
        <v>0</v>
      </c>
      <c r="BT501" s="3271">
        <f t="shared" si="318"/>
        <v>0</v>
      </c>
    </row>
    <row r="502" spans="1:72">
      <c r="A502" s="3197"/>
      <c r="B502" s="3205"/>
      <c r="C502" s="3204"/>
      <c r="D502" s="3193"/>
      <c r="E502" s="3199">
        <f t="shared" si="319"/>
        <v>0</v>
      </c>
      <c r="F502" s="3200"/>
      <c r="G502" s="3201">
        <f t="shared" si="294"/>
        <v>0</v>
      </c>
      <c r="H502" s="3202">
        <f t="shared" si="295"/>
        <v>0</v>
      </c>
      <c r="I502" s="3207"/>
      <c r="J502" s="3218"/>
      <c r="K502" s="3207"/>
      <c r="L502" s="3218"/>
      <c r="M502" s="3218"/>
      <c r="N502" s="3218"/>
      <c r="O502" s="3218"/>
      <c r="P502" s="3218"/>
      <c r="Q502" s="3218"/>
      <c r="R502" s="3218"/>
      <c r="S502" s="3218"/>
      <c r="T502" s="3218"/>
      <c r="U502" s="3218"/>
      <c r="V502" s="3218"/>
      <c r="W502" s="3218"/>
      <c r="X502" s="3218"/>
      <c r="Y502" s="3218"/>
      <c r="Z502" s="3218"/>
      <c r="AA502" s="3218"/>
      <c r="AB502" s="3218"/>
      <c r="AC502" s="3199">
        <f t="shared" si="296"/>
        <v>0</v>
      </c>
      <c r="AD502" s="3229"/>
      <c r="AE502" s="3229"/>
      <c r="AF502" s="3207"/>
      <c r="AG502" s="3229"/>
      <c r="AH502" s="3229"/>
      <c r="AI502" s="3229"/>
      <c r="AJ502" s="3229"/>
      <c r="AK502" s="3229"/>
      <c r="AL502" s="3229"/>
      <c r="AM502" s="3229"/>
      <c r="AN502" s="3229"/>
      <c r="AO502" s="3229"/>
      <c r="AP502" s="3229"/>
      <c r="AQ502" s="3229"/>
      <c r="AR502" s="3229"/>
      <c r="AS502" s="3229"/>
      <c r="AT502" s="3249"/>
      <c r="AU502" s="3250"/>
      <c r="AV502" s="475">
        <f t="shared" si="320"/>
        <v>0</v>
      </c>
      <c r="AW502" s="475">
        <f t="shared" si="321"/>
        <v>0</v>
      </c>
      <c r="AX502" s="475">
        <f t="shared" si="322"/>
        <v>0</v>
      </c>
      <c r="AY502" s="3266">
        <f t="shared" si="297"/>
        <v>0</v>
      </c>
      <c r="AZ502" s="3199">
        <f t="shared" si="298"/>
        <v>0</v>
      </c>
      <c r="BA502" s="3199">
        <f t="shared" si="299"/>
        <v>0</v>
      </c>
      <c r="BB502" s="3199">
        <f t="shared" si="300"/>
        <v>0</v>
      </c>
      <c r="BC502" s="3199">
        <f t="shared" si="301"/>
        <v>0</v>
      </c>
      <c r="BD502" s="3199">
        <f t="shared" si="302"/>
        <v>0</v>
      </c>
      <c r="BE502" s="3199">
        <f t="shared" si="303"/>
        <v>0</v>
      </c>
      <c r="BF502" s="3199">
        <f t="shared" si="304"/>
        <v>0</v>
      </c>
      <c r="BG502" s="3199">
        <f t="shared" si="305"/>
        <v>0</v>
      </c>
      <c r="BH502" s="3199">
        <f t="shared" si="306"/>
        <v>0</v>
      </c>
      <c r="BI502" s="3199">
        <f t="shared" si="307"/>
        <v>0</v>
      </c>
      <c r="BJ502" s="3199">
        <f t="shared" si="308"/>
        <v>0</v>
      </c>
      <c r="BK502" s="3199">
        <f t="shared" si="309"/>
        <v>0</v>
      </c>
      <c r="BL502" s="3199">
        <f t="shared" si="310"/>
        <v>0</v>
      </c>
      <c r="BM502" s="3199">
        <f t="shared" si="311"/>
        <v>0</v>
      </c>
      <c r="BN502" s="3199">
        <f t="shared" si="312"/>
        <v>0</v>
      </c>
      <c r="BO502" s="3199">
        <f t="shared" si="313"/>
        <v>0</v>
      </c>
      <c r="BP502" s="3199">
        <f t="shared" si="314"/>
        <v>0</v>
      </c>
      <c r="BQ502" s="3199">
        <f t="shared" si="315"/>
        <v>0</v>
      </c>
      <c r="BR502" s="3199">
        <f t="shared" si="316"/>
        <v>0</v>
      </c>
      <c r="BS502" s="3199">
        <f t="shared" si="317"/>
        <v>0</v>
      </c>
      <c r="BT502" s="3271">
        <f t="shared" si="318"/>
        <v>0</v>
      </c>
    </row>
    <row r="503" spans="1:72">
      <c r="A503" s="3197"/>
      <c r="B503" s="3205"/>
      <c r="C503" s="3204"/>
      <c r="D503" s="3193"/>
      <c r="E503" s="3199">
        <f t="shared" si="319"/>
        <v>0</v>
      </c>
      <c r="F503" s="3200"/>
      <c r="G503" s="3201">
        <f t="shared" si="294"/>
        <v>0</v>
      </c>
      <c r="H503" s="3202">
        <f t="shared" si="295"/>
        <v>0</v>
      </c>
      <c r="I503" s="3207"/>
      <c r="J503" s="3218"/>
      <c r="K503" s="3207"/>
      <c r="L503" s="3218"/>
      <c r="M503" s="3218"/>
      <c r="N503" s="3218"/>
      <c r="O503" s="3218"/>
      <c r="P503" s="3218"/>
      <c r="Q503" s="3218"/>
      <c r="R503" s="3218"/>
      <c r="S503" s="3218"/>
      <c r="T503" s="3218"/>
      <c r="U503" s="3218"/>
      <c r="V503" s="3218"/>
      <c r="W503" s="3218"/>
      <c r="X503" s="3218"/>
      <c r="Y503" s="3218"/>
      <c r="Z503" s="3218"/>
      <c r="AA503" s="3218"/>
      <c r="AB503" s="3218"/>
      <c r="AC503" s="3199">
        <f t="shared" si="296"/>
        <v>0</v>
      </c>
      <c r="AD503" s="3229"/>
      <c r="AE503" s="3229"/>
      <c r="AF503" s="3207"/>
      <c r="AG503" s="3229"/>
      <c r="AH503" s="3229"/>
      <c r="AI503" s="3229"/>
      <c r="AJ503" s="3229"/>
      <c r="AK503" s="3229"/>
      <c r="AL503" s="3229"/>
      <c r="AM503" s="3229"/>
      <c r="AN503" s="3229"/>
      <c r="AO503" s="3229"/>
      <c r="AP503" s="3229"/>
      <c r="AQ503" s="3229"/>
      <c r="AR503" s="3229"/>
      <c r="AS503" s="3229"/>
      <c r="AT503" s="3249"/>
      <c r="AU503" s="3250"/>
      <c r="AV503" s="475">
        <f t="shared" si="320"/>
        <v>0</v>
      </c>
      <c r="AW503" s="475">
        <f t="shared" si="321"/>
        <v>0</v>
      </c>
      <c r="AX503" s="475">
        <f t="shared" si="322"/>
        <v>0</v>
      </c>
      <c r="AY503" s="3266">
        <f t="shared" si="297"/>
        <v>0</v>
      </c>
      <c r="AZ503" s="3199">
        <f t="shared" si="298"/>
        <v>0</v>
      </c>
      <c r="BA503" s="3199">
        <f t="shared" si="299"/>
        <v>0</v>
      </c>
      <c r="BB503" s="3199">
        <f t="shared" si="300"/>
        <v>0</v>
      </c>
      <c r="BC503" s="3199">
        <f t="shared" si="301"/>
        <v>0</v>
      </c>
      <c r="BD503" s="3199">
        <f t="shared" si="302"/>
        <v>0</v>
      </c>
      <c r="BE503" s="3199">
        <f t="shared" si="303"/>
        <v>0</v>
      </c>
      <c r="BF503" s="3199">
        <f t="shared" si="304"/>
        <v>0</v>
      </c>
      <c r="BG503" s="3199">
        <f t="shared" si="305"/>
        <v>0</v>
      </c>
      <c r="BH503" s="3199">
        <f t="shared" si="306"/>
        <v>0</v>
      </c>
      <c r="BI503" s="3199">
        <f t="shared" si="307"/>
        <v>0</v>
      </c>
      <c r="BJ503" s="3199">
        <f t="shared" si="308"/>
        <v>0</v>
      </c>
      <c r="BK503" s="3199">
        <f t="shared" si="309"/>
        <v>0</v>
      </c>
      <c r="BL503" s="3199">
        <f t="shared" si="310"/>
        <v>0</v>
      </c>
      <c r="BM503" s="3199">
        <f t="shared" si="311"/>
        <v>0</v>
      </c>
      <c r="BN503" s="3199">
        <f t="shared" si="312"/>
        <v>0</v>
      </c>
      <c r="BO503" s="3199">
        <f t="shared" si="313"/>
        <v>0</v>
      </c>
      <c r="BP503" s="3199">
        <f t="shared" si="314"/>
        <v>0</v>
      </c>
      <c r="BQ503" s="3199">
        <f t="shared" si="315"/>
        <v>0</v>
      </c>
      <c r="BR503" s="3199">
        <f t="shared" si="316"/>
        <v>0</v>
      </c>
      <c r="BS503" s="3199">
        <f t="shared" si="317"/>
        <v>0</v>
      </c>
      <c r="BT503" s="3271">
        <f t="shared" si="318"/>
        <v>0</v>
      </c>
    </row>
    <row r="504" spans="1:72">
      <c r="A504" s="3197"/>
      <c r="B504" s="3205"/>
      <c r="C504" s="3204"/>
      <c r="D504" s="3193"/>
      <c r="E504" s="3199">
        <f t="shared" si="319"/>
        <v>0</v>
      </c>
      <c r="F504" s="3200"/>
      <c r="G504" s="3201">
        <f t="shared" si="294"/>
        <v>0</v>
      </c>
      <c r="H504" s="3202">
        <f t="shared" si="295"/>
        <v>0</v>
      </c>
      <c r="I504" s="3207"/>
      <c r="J504" s="3218"/>
      <c r="K504" s="3207"/>
      <c r="L504" s="3218"/>
      <c r="M504" s="3218"/>
      <c r="N504" s="3218"/>
      <c r="O504" s="3218"/>
      <c r="P504" s="3218"/>
      <c r="Q504" s="3218"/>
      <c r="R504" s="3218"/>
      <c r="S504" s="3218"/>
      <c r="T504" s="3218"/>
      <c r="U504" s="3218"/>
      <c r="V504" s="3218"/>
      <c r="W504" s="3218"/>
      <c r="X504" s="3218"/>
      <c r="Y504" s="3218"/>
      <c r="Z504" s="3218"/>
      <c r="AA504" s="3218"/>
      <c r="AB504" s="3218"/>
      <c r="AC504" s="3199">
        <f t="shared" si="296"/>
        <v>0</v>
      </c>
      <c r="AD504" s="3229"/>
      <c r="AE504" s="3229"/>
      <c r="AF504" s="3207"/>
      <c r="AG504" s="3229"/>
      <c r="AH504" s="3229"/>
      <c r="AI504" s="3229"/>
      <c r="AJ504" s="3229"/>
      <c r="AK504" s="3229"/>
      <c r="AL504" s="3229"/>
      <c r="AM504" s="3229"/>
      <c r="AN504" s="3229"/>
      <c r="AO504" s="3229"/>
      <c r="AP504" s="3229"/>
      <c r="AQ504" s="3229"/>
      <c r="AR504" s="3229"/>
      <c r="AS504" s="3229"/>
      <c r="AT504" s="3249"/>
      <c r="AU504" s="3250"/>
      <c r="AV504" s="475">
        <f t="shared" si="320"/>
        <v>0</v>
      </c>
      <c r="AW504" s="475">
        <f t="shared" si="321"/>
        <v>0</v>
      </c>
      <c r="AX504" s="475">
        <f t="shared" si="322"/>
        <v>0</v>
      </c>
      <c r="AY504" s="3266">
        <f t="shared" si="297"/>
        <v>0</v>
      </c>
      <c r="AZ504" s="3199">
        <f t="shared" si="298"/>
        <v>0</v>
      </c>
      <c r="BA504" s="3199">
        <f t="shared" si="299"/>
        <v>0</v>
      </c>
      <c r="BB504" s="3199">
        <f t="shared" si="300"/>
        <v>0</v>
      </c>
      <c r="BC504" s="3199">
        <f t="shared" si="301"/>
        <v>0</v>
      </c>
      <c r="BD504" s="3199">
        <f t="shared" si="302"/>
        <v>0</v>
      </c>
      <c r="BE504" s="3199">
        <f t="shared" si="303"/>
        <v>0</v>
      </c>
      <c r="BF504" s="3199">
        <f t="shared" si="304"/>
        <v>0</v>
      </c>
      <c r="BG504" s="3199">
        <f t="shared" si="305"/>
        <v>0</v>
      </c>
      <c r="BH504" s="3199">
        <f t="shared" si="306"/>
        <v>0</v>
      </c>
      <c r="BI504" s="3199">
        <f t="shared" si="307"/>
        <v>0</v>
      </c>
      <c r="BJ504" s="3199">
        <f t="shared" si="308"/>
        <v>0</v>
      </c>
      <c r="BK504" s="3199">
        <f t="shared" si="309"/>
        <v>0</v>
      </c>
      <c r="BL504" s="3199">
        <f t="shared" si="310"/>
        <v>0</v>
      </c>
      <c r="BM504" s="3199">
        <f t="shared" si="311"/>
        <v>0</v>
      </c>
      <c r="BN504" s="3199">
        <f t="shared" si="312"/>
        <v>0</v>
      </c>
      <c r="BO504" s="3199">
        <f t="shared" si="313"/>
        <v>0</v>
      </c>
      <c r="BP504" s="3199">
        <f t="shared" si="314"/>
        <v>0</v>
      </c>
      <c r="BQ504" s="3199">
        <f t="shared" si="315"/>
        <v>0</v>
      </c>
      <c r="BR504" s="3199">
        <f t="shared" si="316"/>
        <v>0</v>
      </c>
      <c r="BS504" s="3199">
        <f t="shared" si="317"/>
        <v>0</v>
      </c>
      <c r="BT504" s="3271">
        <f t="shared" si="318"/>
        <v>0</v>
      </c>
    </row>
    <row r="505" spans="1:72">
      <c r="A505" s="3197"/>
      <c r="B505" s="3205"/>
      <c r="C505" s="3204"/>
      <c r="D505" s="3193"/>
      <c r="E505" s="3199">
        <f t="shared" ref="E505:E536" si="323">IF($C$3="是",ROUND($A$3*G505/$B$3,2),ROUND($A$3*(G505-AT505)/$B$3,2))</f>
        <v>0</v>
      </c>
      <c r="F505" s="3200"/>
      <c r="G505" s="3201">
        <f t="shared" si="294"/>
        <v>0</v>
      </c>
      <c r="H505" s="3202">
        <f t="shared" si="295"/>
        <v>0</v>
      </c>
      <c r="I505" s="3207"/>
      <c r="J505" s="3218"/>
      <c r="K505" s="3207"/>
      <c r="L505" s="3218"/>
      <c r="M505" s="3218"/>
      <c r="N505" s="3218"/>
      <c r="O505" s="3218"/>
      <c r="P505" s="3218"/>
      <c r="Q505" s="3218"/>
      <c r="R505" s="3218"/>
      <c r="S505" s="3218"/>
      <c r="T505" s="3218"/>
      <c r="U505" s="3218"/>
      <c r="V505" s="3218"/>
      <c r="W505" s="3218"/>
      <c r="X505" s="3218"/>
      <c r="Y505" s="3218"/>
      <c r="Z505" s="3218"/>
      <c r="AA505" s="3218"/>
      <c r="AB505" s="3218"/>
      <c r="AC505" s="3199">
        <f t="shared" si="296"/>
        <v>0</v>
      </c>
      <c r="AD505" s="3229"/>
      <c r="AE505" s="3229"/>
      <c r="AF505" s="3207"/>
      <c r="AG505" s="3229"/>
      <c r="AH505" s="3229"/>
      <c r="AI505" s="3229"/>
      <c r="AJ505" s="3229"/>
      <c r="AK505" s="3229"/>
      <c r="AL505" s="3229"/>
      <c r="AM505" s="3229"/>
      <c r="AN505" s="3229"/>
      <c r="AO505" s="3229"/>
      <c r="AP505" s="3229"/>
      <c r="AQ505" s="3229"/>
      <c r="AR505" s="3229"/>
      <c r="AS505" s="3229"/>
      <c r="AT505" s="3249"/>
      <c r="AU505" s="3250"/>
      <c r="AV505" s="475">
        <f t="shared" si="320"/>
        <v>0</v>
      </c>
      <c r="AW505" s="475">
        <f t="shared" si="321"/>
        <v>0</v>
      </c>
      <c r="AX505" s="475">
        <f t="shared" si="322"/>
        <v>0</v>
      </c>
      <c r="AY505" s="3266">
        <f t="shared" si="297"/>
        <v>0</v>
      </c>
      <c r="AZ505" s="3199">
        <f t="shared" si="298"/>
        <v>0</v>
      </c>
      <c r="BA505" s="3199">
        <f t="shared" si="299"/>
        <v>0</v>
      </c>
      <c r="BB505" s="3199">
        <f t="shared" si="300"/>
        <v>0</v>
      </c>
      <c r="BC505" s="3199">
        <f t="shared" si="301"/>
        <v>0</v>
      </c>
      <c r="BD505" s="3199">
        <f t="shared" si="302"/>
        <v>0</v>
      </c>
      <c r="BE505" s="3199">
        <f t="shared" si="303"/>
        <v>0</v>
      </c>
      <c r="BF505" s="3199">
        <f t="shared" si="304"/>
        <v>0</v>
      </c>
      <c r="BG505" s="3199">
        <f t="shared" si="305"/>
        <v>0</v>
      </c>
      <c r="BH505" s="3199">
        <f t="shared" si="306"/>
        <v>0</v>
      </c>
      <c r="BI505" s="3199">
        <f t="shared" si="307"/>
        <v>0</v>
      </c>
      <c r="BJ505" s="3199">
        <f t="shared" si="308"/>
        <v>0</v>
      </c>
      <c r="BK505" s="3199">
        <f t="shared" si="309"/>
        <v>0</v>
      </c>
      <c r="BL505" s="3199">
        <f t="shared" si="310"/>
        <v>0</v>
      </c>
      <c r="BM505" s="3199">
        <f t="shared" si="311"/>
        <v>0</v>
      </c>
      <c r="BN505" s="3199">
        <f t="shared" si="312"/>
        <v>0</v>
      </c>
      <c r="BO505" s="3199">
        <f t="shared" si="313"/>
        <v>0</v>
      </c>
      <c r="BP505" s="3199">
        <f t="shared" si="314"/>
        <v>0</v>
      </c>
      <c r="BQ505" s="3199">
        <f t="shared" si="315"/>
        <v>0</v>
      </c>
      <c r="BR505" s="3199">
        <f t="shared" si="316"/>
        <v>0</v>
      </c>
      <c r="BS505" s="3199">
        <f t="shared" si="317"/>
        <v>0</v>
      </c>
      <c r="BT505" s="3271">
        <f t="shared" si="318"/>
        <v>0</v>
      </c>
    </row>
    <row r="506" spans="1:72">
      <c r="A506" s="3197"/>
      <c r="B506" s="3205"/>
      <c r="C506" s="3204"/>
      <c r="D506" s="3193"/>
      <c r="E506" s="3199">
        <f t="shared" si="323"/>
        <v>0</v>
      </c>
      <c r="F506" s="3200"/>
      <c r="G506" s="3201">
        <f t="shared" si="294"/>
        <v>0</v>
      </c>
      <c r="H506" s="3202">
        <f t="shared" si="295"/>
        <v>0</v>
      </c>
      <c r="I506" s="3207"/>
      <c r="J506" s="3218"/>
      <c r="K506" s="3207"/>
      <c r="L506" s="3218"/>
      <c r="M506" s="3218"/>
      <c r="N506" s="3218"/>
      <c r="O506" s="3218"/>
      <c r="P506" s="3218"/>
      <c r="Q506" s="3218"/>
      <c r="R506" s="3218"/>
      <c r="S506" s="3218"/>
      <c r="T506" s="3218"/>
      <c r="U506" s="3218"/>
      <c r="V506" s="3218"/>
      <c r="W506" s="3218"/>
      <c r="X506" s="3218"/>
      <c r="Y506" s="3218"/>
      <c r="Z506" s="3218"/>
      <c r="AA506" s="3218"/>
      <c r="AB506" s="3218"/>
      <c r="AC506" s="3199">
        <f t="shared" si="296"/>
        <v>0</v>
      </c>
      <c r="AD506" s="3229"/>
      <c r="AE506" s="3229"/>
      <c r="AF506" s="3207"/>
      <c r="AG506" s="3229"/>
      <c r="AH506" s="3229"/>
      <c r="AI506" s="3229"/>
      <c r="AJ506" s="3229"/>
      <c r="AK506" s="3229"/>
      <c r="AL506" s="3229"/>
      <c r="AM506" s="3229"/>
      <c r="AN506" s="3229"/>
      <c r="AO506" s="3229"/>
      <c r="AP506" s="3229"/>
      <c r="AQ506" s="3229"/>
      <c r="AR506" s="3229"/>
      <c r="AS506" s="3229"/>
      <c r="AT506" s="3249"/>
      <c r="AU506" s="3250"/>
      <c r="AV506" s="475">
        <f t="shared" ref="AV506:AV537" si="324">A506</f>
        <v>0</v>
      </c>
      <c r="AW506" s="475">
        <f t="shared" ref="AW506:AW537" si="325">B506</f>
        <v>0</v>
      </c>
      <c r="AX506" s="475">
        <f t="shared" ref="AX506:AX537" si="326">C506</f>
        <v>0</v>
      </c>
      <c r="AY506" s="3266">
        <f t="shared" si="297"/>
        <v>0</v>
      </c>
      <c r="AZ506" s="3199">
        <f t="shared" si="298"/>
        <v>0</v>
      </c>
      <c r="BA506" s="3199">
        <f t="shared" si="299"/>
        <v>0</v>
      </c>
      <c r="BB506" s="3199">
        <f t="shared" si="300"/>
        <v>0</v>
      </c>
      <c r="BC506" s="3199">
        <f t="shared" si="301"/>
        <v>0</v>
      </c>
      <c r="BD506" s="3199">
        <f t="shared" si="302"/>
        <v>0</v>
      </c>
      <c r="BE506" s="3199">
        <f t="shared" si="303"/>
        <v>0</v>
      </c>
      <c r="BF506" s="3199">
        <f t="shared" si="304"/>
        <v>0</v>
      </c>
      <c r="BG506" s="3199">
        <f t="shared" si="305"/>
        <v>0</v>
      </c>
      <c r="BH506" s="3199">
        <f t="shared" si="306"/>
        <v>0</v>
      </c>
      <c r="BI506" s="3199">
        <f t="shared" si="307"/>
        <v>0</v>
      </c>
      <c r="BJ506" s="3199">
        <f t="shared" si="308"/>
        <v>0</v>
      </c>
      <c r="BK506" s="3199">
        <f t="shared" si="309"/>
        <v>0</v>
      </c>
      <c r="BL506" s="3199">
        <f t="shared" si="310"/>
        <v>0</v>
      </c>
      <c r="BM506" s="3199">
        <f t="shared" si="311"/>
        <v>0</v>
      </c>
      <c r="BN506" s="3199">
        <f t="shared" si="312"/>
        <v>0</v>
      </c>
      <c r="BO506" s="3199">
        <f t="shared" si="313"/>
        <v>0</v>
      </c>
      <c r="BP506" s="3199">
        <f t="shared" si="314"/>
        <v>0</v>
      </c>
      <c r="BQ506" s="3199">
        <f t="shared" si="315"/>
        <v>0</v>
      </c>
      <c r="BR506" s="3199">
        <f t="shared" si="316"/>
        <v>0</v>
      </c>
      <c r="BS506" s="3199">
        <f t="shared" si="317"/>
        <v>0</v>
      </c>
      <c r="BT506" s="3271">
        <f t="shared" si="318"/>
        <v>0</v>
      </c>
    </row>
    <row r="507" spans="1:72">
      <c r="A507" s="3197"/>
      <c r="B507" s="3205"/>
      <c r="C507" s="3204"/>
      <c r="D507" s="3193"/>
      <c r="E507" s="3199">
        <f t="shared" si="323"/>
        <v>0</v>
      </c>
      <c r="F507" s="3200"/>
      <c r="G507" s="3201">
        <f t="shared" si="294"/>
        <v>0</v>
      </c>
      <c r="H507" s="3202">
        <f t="shared" si="295"/>
        <v>0</v>
      </c>
      <c r="I507" s="3207"/>
      <c r="J507" s="3218"/>
      <c r="K507" s="3207"/>
      <c r="L507" s="3218"/>
      <c r="M507" s="3218"/>
      <c r="N507" s="3218"/>
      <c r="O507" s="3218"/>
      <c r="P507" s="3218"/>
      <c r="Q507" s="3218"/>
      <c r="R507" s="3218"/>
      <c r="S507" s="3218"/>
      <c r="T507" s="3218"/>
      <c r="U507" s="3218"/>
      <c r="V507" s="3218"/>
      <c r="W507" s="3218"/>
      <c r="X507" s="3218"/>
      <c r="Y507" s="3218"/>
      <c r="Z507" s="3218"/>
      <c r="AA507" s="3218"/>
      <c r="AB507" s="3218"/>
      <c r="AC507" s="3199">
        <f t="shared" si="296"/>
        <v>0</v>
      </c>
      <c r="AD507" s="3229"/>
      <c r="AE507" s="3229"/>
      <c r="AF507" s="3204"/>
      <c r="AG507" s="3229"/>
      <c r="AH507" s="3229"/>
      <c r="AI507" s="3229"/>
      <c r="AJ507" s="3229"/>
      <c r="AK507" s="3229"/>
      <c r="AL507" s="3229"/>
      <c r="AM507" s="3229"/>
      <c r="AN507" s="3229"/>
      <c r="AO507" s="3229"/>
      <c r="AP507" s="3229"/>
      <c r="AQ507" s="3229"/>
      <c r="AR507" s="3229"/>
      <c r="AS507" s="3229"/>
      <c r="AT507" s="3249"/>
      <c r="AU507" s="3250"/>
      <c r="AV507" s="475">
        <f t="shared" si="324"/>
        <v>0</v>
      </c>
      <c r="AW507" s="475">
        <f t="shared" si="325"/>
        <v>0</v>
      </c>
      <c r="AX507" s="475">
        <f t="shared" si="326"/>
        <v>0</v>
      </c>
      <c r="AY507" s="3266">
        <f t="shared" si="297"/>
        <v>0</v>
      </c>
      <c r="AZ507" s="3199">
        <f t="shared" si="298"/>
        <v>0</v>
      </c>
      <c r="BA507" s="3199">
        <f t="shared" si="299"/>
        <v>0</v>
      </c>
      <c r="BB507" s="3199">
        <f t="shared" si="300"/>
        <v>0</v>
      </c>
      <c r="BC507" s="3199">
        <f t="shared" si="301"/>
        <v>0</v>
      </c>
      <c r="BD507" s="3199">
        <f t="shared" si="302"/>
        <v>0</v>
      </c>
      <c r="BE507" s="3199">
        <f t="shared" si="303"/>
        <v>0</v>
      </c>
      <c r="BF507" s="3199">
        <f t="shared" si="304"/>
        <v>0</v>
      </c>
      <c r="BG507" s="3199">
        <f t="shared" si="305"/>
        <v>0</v>
      </c>
      <c r="BH507" s="3199">
        <f t="shared" si="306"/>
        <v>0</v>
      </c>
      <c r="BI507" s="3199">
        <f t="shared" si="307"/>
        <v>0</v>
      </c>
      <c r="BJ507" s="3199">
        <f t="shared" si="308"/>
        <v>0</v>
      </c>
      <c r="BK507" s="3199">
        <f t="shared" si="309"/>
        <v>0</v>
      </c>
      <c r="BL507" s="3199">
        <f t="shared" si="310"/>
        <v>0</v>
      </c>
      <c r="BM507" s="3199">
        <f t="shared" si="311"/>
        <v>0</v>
      </c>
      <c r="BN507" s="3199">
        <f t="shared" si="312"/>
        <v>0</v>
      </c>
      <c r="BO507" s="3199">
        <f t="shared" si="313"/>
        <v>0</v>
      </c>
      <c r="BP507" s="3199">
        <f t="shared" si="314"/>
        <v>0</v>
      </c>
      <c r="BQ507" s="3199">
        <f t="shared" si="315"/>
        <v>0</v>
      </c>
      <c r="BR507" s="3199">
        <f t="shared" si="316"/>
        <v>0</v>
      </c>
      <c r="BS507" s="3199">
        <f t="shared" si="317"/>
        <v>0</v>
      </c>
      <c r="BT507" s="3271">
        <f t="shared" si="318"/>
        <v>0</v>
      </c>
    </row>
    <row r="508" spans="1:72">
      <c r="A508" s="3197"/>
      <c r="B508" s="3205"/>
      <c r="C508" s="3204"/>
      <c r="D508" s="3193"/>
      <c r="E508" s="3199">
        <f t="shared" si="323"/>
        <v>0</v>
      </c>
      <c r="F508" s="3200"/>
      <c r="G508" s="3201">
        <f t="shared" si="294"/>
        <v>0</v>
      </c>
      <c r="H508" s="3202">
        <f t="shared" si="295"/>
        <v>0</v>
      </c>
      <c r="I508" s="3204"/>
      <c r="J508" s="3218"/>
      <c r="K508" s="3204"/>
      <c r="L508" s="3218"/>
      <c r="M508" s="3218"/>
      <c r="N508" s="3218"/>
      <c r="O508" s="3218"/>
      <c r="P508" s="3218"/>
      <c r="Q508" s="3218"/>
      <c r="R508" s="3218"/>
      <c r="S508" s="3218"/>
      <c r="T508" s="3218"/>
      <c r="U508" s="3218"/>
      <c r="V508" s="3218"/>
      <c r="W508" s="3218"/>
      <c r="X508" s="3218"/>
      <c r="Y508" s="3218"/>
      <c r="Z508" s="3218"/>
      <c r="AA508" s="3218"/>
      <c r="AB508" s="3218"/>
      <c r="AC508" s="3199">
        <f t="shared" si="296"/>
        <v>0</v>
      </c>
      <c r="AD508" s="3229"/>
      <c r="AE508" s="3229"/>
      <c r="AF508" s="3204"/>
      <c r="AG508" s="3229"/>
      <c r="AH508" s="3229"/>
      <c r="AI508" s="3229"/>
      <c r="AJ508" s="3229"/>
      <c r="AK508" s="3229"/>
      <c r="AL508" s="3229"/>
      <c r="AM508" s="3229"/>
      <c r="AN508" s="3229"/>
      <c r="AO508" s="3229"/>
      <c r="AP508" s="3229"/>
      <c r="AQ508" s="3229"/>
      <c r="AR508" s="3229"/>
      <c r="AS508" s="3229"/>
      <c r="AT508" s="3249"/>
      <c r="AU508" s="3250"/>
      <c r="AV508" s="475">
        <f t="shared" si="324"/>
        <v>0</v>
      </c>
      <c r="AW508" s="475">
        <f t="shared" si="325"/>
        <v>0</v>
      </c>
      <c r="AX508" s="475">
        <f t="shared" si="326"/>
        <v>0</v>
      </c>
      <c r="AY508" s="3266">
        <f t="shared" si="297"/>
        <v>0</v>
      </c>
      <c r="AZ508" s="3199">
        <f t="shared" si="298"/>
        <v>0</v>
      </c>
      <c r="BA508" s="3199">
        <f t="shared" si="299"/>
        <v>0</v>
      </c>
      <c r="BB508" s="3199">
        <f t="shared" si="300"/>
        <v>0</v>
      </c>
      <c r="BC508" s="3199">
        <f t="shared" si="301"/>
        <v>0</v>
      </c>
      <c r="BD508" s="3199">
        <f t="shared" si="302"/>
        <v>0</v>
      </c>
      <c r="BE508" s="3199">
        <f t="shared" si="303"/>
        <v>0</v>
      </c>
      <c r="BF508" s="3199">
        <f t="shared" si="304"/>
        <v>0</v>
      </c>
      <c r="BG508" s="3199">
        <f t="shared" si="305"/>
        <v>0</v>
      </c>
      <c r="BH508" s="3199">
        <f t="shared" si="306"/>
        <v>0</v>
      </c>
      <c r="BI508" s="3199">
        <f t="shared" si="307"/>
        <v>0</v>
      </c>
      <c r="BJ508" s="3199">
        <f t="shared" si="308"/>
        <v>0</v>
      </c>
      <c r="BK508" s="3199">
        <f t="shared" si="309"/>
        <v>0</v>
      </c>
      <c r="BL508" s="3199">
        <f t="shared" si="310"/>
        <v>0</v>
      </c>
      <c r="BM508" s="3199">
        <f t="shared" si="311"/>
        <v>0</v>
      </c>
      <c r="BN508" s="3199">
        <f t="shared" si="312"/>
        <v>0</v>
      </c>
      <c r="BO508" s="3199">
        <f t="shared" si="313"/>
        <v>0</v>
      </c>
      <c r="BP508" s="3199">
        <f t="shared" si="314"/>
        <v>0</v>
      </c>
      <c r="BQ508" s="3199">
        <f t="shared" si="315"/>
        <v>0</v>
      </c>
      <c r="BR508" s="3199">
        <f t="shared" si="316"/>
        <v>0</v>
      </c>
      <c r="BS508" s="3199">
        <f t="shared" si="317"/>
        <v>0</v>
      </c>
      <c r="BT508" s="3271">
        <f t="shared" si="318"/>
        <v>0</v>
      </c>
    </row>
    <row r="509" spans="1:72">
      <c r="A509" s="3197"/>
      <c r="B509" s="3205"/>
      <c r="C509" s="3204"/>
      <c r="D509" s="3193"/>
      <c r="E509" s="3199">
        <f t="shared" si="323"/>
        <v>0</v>
      </c>
      <c r="F509" s="3200"/>
      <c r="G509" s="3201">
        <f t="shared" si="294"/>
        <v>0</v>
      </c>
      <c r="H509" s="3202">
        <f t="shared" si="295"/>
        <v>0</v>
      </c>
      <c r="I509" s="3204"/>
      <c r="J509" s="3218"/>
      <c r="K509" s="3204"/>
      <c r="L509" s="3218"/>
      <c r="M509" s="3218"/>
      <c r="N509" s="3218"/>
      <c r="O509" s="3218"/>
      <c r="P509" s="3218"/>
      <c r="Q509" s="3218"/>
      <c r="R509" s="3218"/>
      <c r="S509" s="3218"/>
      <c r="T509" s="3218"/>
      <c r="U509" s="3218"/>
      <c r="V509" s="3218"/>
      <c r="W509" s="3218"/>
      <c r="X509" s="3218"/>
      <c r="Y509" s="3218"/>
      <c r="Z509" s="3218"/>
      <c r="AA509" s="3218"/>
      <c r="AB509" s="3218"/>
      <c r="AC509" s="3199">
        <f t="shared" si="296"/>
        <v>0</v>
      </c>
      <c r="AD509" s="3229"/>
      <c r="AE509" s="3229"/>
      <c r="AF509" s="3204"/>
      <c r="AG509" s="3229"/>
      <c r="AH509" s="3229"/>
      <c r="AI509" s="3229"/>
      <c r="AJ509" s="3229"/>
      <c r="AK509" s="3229"/>
      <c r="AL509" s="3229"/>
      <c r="AM509" s="3229"/>
      <c r="AN509" s="3229"/>
      <c r="AO509" s="3229"/>
      <c r="AP509" s="3229"/>
      <c r="AQ509" s="3229"/>
      <c r="AR509" s="3229"/>
      <c r="AS509" s="3229"/>
      <c r="AT509" s="3249"/>
      <c r="AU509" s="3250"/>
      <c r="AV509" s="475">
        <f t="shared" si="324"/>
        <v>0</v>
      </c>
      <c r="AW509" s="475">
        <f t="shared" si="325"/>
        <v>0</v>
      </c>
      <c r="AX509" s="475">
        <f t="shared" si="326"/>
        <v>0</v>
      </c>
      <c r="AY509" s="3266">
        <f t="shared" si="297"/>
        <v>0</v>
      </c>
      <c r="AZ509" s="3199">
        <f t="shared" si="298"/>
        <v>0</v>
      </c>
      <c r="BA509" s="3199">
        <f t="shared" si="299"/>
        <v>0</v>
      </c>
      <c r="BB509" s="3199">
        <f t="shared" si="300"/>
        <v>0</v>
      </c>
      <c r="BC509" s="3199">
        <f t="shared" si="301"/>
        <v>0</v>
      </c>
      <c r="BD509" s="3199">
        <f t="shared" si="302"/>
        <v>0</v>
      </c>
      <c r="BE509" s="3199">
        <f t="shared" si="303"/>
        <v>0</v>
      </c>
      <c r="BF509" s="3199">
        <f t="shared" si="304"/>
        <v>0</v>
      </c>
      <c r="BG509" s="3199">
        <f t="shared" si="305"/>
        <v>0</v>
      </c>
      <c r="BH509" s="3199">
        <f t="shared" si="306"/>
        <v>0</v>
      </c>
      <c r="BI509" s="3199">
        <f t="shared" si="307"/>
        <v>0</v>
      </c>
      <c r="BJ509" s="3199">
        <f t="shared" si="308"/>
        <v>0</v>
      </c>
      <c r="BK509" s="3199">
        <f t="shared" si="309"/>
        <v>0</v>
      </c>
      <c r="BL509" s="3199">
        <f t="shared" si="310"/>
        <v>0</v>
      </c>
      <c r="BM509" s="3199">
        <f t="shared" si="311"/>
        <v>0</v>
      </c>
      <c r="BN509" s="3199">
        <f t="shared" si="312"/>
        <v>0</v>
      </c>
      <c r="BO509" s="3199">
        <f t="shared" si="313"/>
        <v>0</v>
      </c>
      <c r="BP509" s="3199">
        <f t="shared" si="314"/>
        <v>0</v>
      </c>
      <c r="BQ509" s="3199">
        <f t="shared" si="315"/>
        <v>0</v>
      </c>
      <c r="BR509" s="3199">
        <f t="shared" si="316"/>
        <v>0</v>
      </c>
      <c r="BS509" s="3199">
        <f t="shared" si="317"/>
        <v>0</v>
      </c>
      <c r="BT509" s="3271">
        <f t="shared" si="318"/>
        <v>0</v>
      </c>
    </row>
    <row r="510" spans="1:72">
      <c r="A510" s="3197"/>
      <c r="B510" s="3205"/>
      <c r="C510" s="3204"/>
      <c r="D510" s="3193"/>
      <c r="E510" s="3199">
        <f t="shared" si="323"/>
        <v>0</v>
      </c>
      <c r="F510" s="3200"/>
      <c r="G510" s="3201">
        <f t="shared" ref="G510:G537" si="327">H510+AC510+AT510</f>
        <v>0</v>
      </c>
      <c r="H510" s="3202">
        <f t="shared" ref="H510:H537" si="328">SUMIF(I$12:AB$12,"总值",I510:AB510)</f>
        <v>0</v>
      </c>
      <c r="I510" s="3204"/>
      <c r="J510" s="3218"/>
      <c r="K510" s="3204"/>
      <c r="L510" s="3218"/>
      <c r="M510" s="3218"/>
      <c r="N510" s="3218"/>
      <c r="O510" s="3218"/>
      <c r="P510" s="3218"/>
      <c r="Q510" s="3218"/>
      <c r="R510" s="3218"/>
      <c r="S510" s="3218"/>
      <c r="T510" s="3218"/>
      <c r="U510" s="3218"/>
      <c r="V510" s="3218"/>
      <c r="W510" s="3218"/>
      <c r="X510" s="3218"/>
      <c r="Y510" s="3218"/>
      <c r="Z510" s="3218"/>
      <c r="AA510" s="3218"/>
      <c r="AB510" s="3218"/>
      <c r="AC510" s="3199">
        <f t="shared" ref="AC510:AC537" si="329">SUMIF(AD$12:AS$12,"总值",AD510:AS510)</f>
        <v>0</v>
      </c>
      <c r="AD510" s="3229"/>
      <c r="AE510" s="3229"/>
      <c r="AF510" s="3204"/>
      <c r="AG510" s="3229"/>
      <c r="AH510" s="3229"/>
      <c r="AI510" s="3229"/>
      <c r="AJ510" s="3229"/>
      <c r="AK510" s="3229"/>
      <c r="AL510" s="3229"/>
      <c r="AM510" s="3229"/>
      <c r="AN510" s="3229"/>
      <c r="AO510" s="3229"/>
      <c r="AP510" s="3229"/>
      <c r="AQ510" s="3229"/>
      <c r="AR510" s="3229"/>
      <c r="AS510" s="3229"/>
      <c r="AT510" s="3249"/>
      <c r="AU510" s="3250"/>
      <c r="AV510" s="475">
        <f t="shared" si="324"/>
        <v>0</v>
      </c>
      <c r="AW510" s="475">
        <f t="shared" si="325"/>
        <v>0</v>
      </c>
      <c r="AX510" s="475">
        <f t="shared" si="326"/>
        <v>0</v>
      </c>
      <c r="AY510" s="3266">
        <f t="shared" ref="AY510:AY537" si="330">ROUND($AY$6*AZ510/$AZ$5,2)</f>
        <v>0</v>
      </c>
      <c r="AZ510" s="3199">
        <f t="shared" ref="AZ510:AZ537" si="331">BA510+BL510</f>
        <v>0</v>
      </c>
      <c r="BA510" s="3199">
        <f t="shared" ref="BA510:BA537" si="332">SUM(BB510:BK510)</f>
        <v>0</v>
      </c>
      <c r="BB510" s="3199">
        <f t="shared" ref="BB510:BB537" si="333">IF($D510="是",I510-J510,0)</f>
        <v>0</v>
      </c>
      <c r="BC510" s="3199">
        <f t="shared" ref="BC510:BC537" si="334">IF($D510="是",K510-L510,0)</f>
        <v>0</v>
      </c>
      <c r="BD510" s="3199">
        <f t="shared" ref="BD510:BD537" si="335">IF($D510="是",M510-N510,0)</f>
        <v>0</v>
      </c>
      <c r="BE510" s="3199">
        <f t="shared" ref="BE510:BE537" si="336">IF($D510="是",O510-P510,0)</f>
        <v>0</v>
      </c>
      <c r="BF510" s="3199">
        <f t="shared" ref="BF510:BF537" si="337">IF($D510="是",Q510-R510,0)</f>
        <v>0</v>
      </c>
      <c r="BG510" s="3199">
        <f t="shared" ref="BG510:BG537" si="338">IF($D510="是",S510-T510,0)</f>
        <v>0</v>
      </c>
      <c r="BH510" s="3199">
        <f t="shared" ref="BH510:BH537" si="339">IF($D510="是",U510-V510,0)</f>
        <v>0</v>
      </c>
      <c r="BI510" s="3199">
        <f t="shared" ref="BI510:BI537" si="340">IF($D510="是",W510-X510,0)</f>
        <v>0</v>
      </c>
      <c r="BJ510" s="3199">
        <f t="shared" ref="BJ510:BJ537" si="341">IF($D510="是",Y510-Z510,0)</f>
        <v>0</v>
      </c>
      <c r="BK510" s="3199">
        <f t="shared" ref="BK510:BK537" si="342">IF($D510="是",AA510-AB510,0)</f>
        <v>0</v>
      </c>
      <c r="BL510" s="3199">
        <f t="shared" ref="BL510:BL537" si="343">SUM(BM510:BT510)</f>
        <v>0</v>
      </c>
      <c r="BM510" s="3199">
        <f t="shared" ref="BM510:BM537" si="344">IF($D510="是",AD510-AE510,0)</f>
        <v>0</v>
      </c>
      <c r="BN510" s="3199">
        <f t="shared" ref="BN510:BN537" si="345">IF($D510="是",AF510-AG510,0)</f>
        <v>0</v>
      </c>
      <c r="BO510" s="3199">
        <f t="shared" ref="BO510:BO537" si="346">IF($D510="是",AH510-AI510,0)</f>
        <v>0</v>
      </c>
      <c r="BP510" s="3199">
        <f t="shared" ref="BP510:BP537" si="347">IF($D510="是",AJ510-AK510,0)</f>
        <v>0</v>
      </c>
      <c r="BQ510" s="3199">
        <f t="shared" ref="BQ510:BQ537" si="348">IF($D510="是",AL510-AM510,0)</f>
        <v>0</v>
      </c>
      <c r="BR510" s="3199">
        <f t="shared" ref="BR510:BR537" si="349">IF($D510="是",AN510-AO510,0)</f>
        <v>0</v>
      </c>
      <c r="BS510" s="3199">
        <f t="shared" ref="BS510:BS537" si="350">IF($D510="是",AP510-AQ510,0)</f>
        <v>0</v>
      </c>
      <c r="BT510" s="3271">
        <f t="shared" ref="BT510:BT537" si="351">IF($D510="是",AR510-AS510,0)</f>
        <v>0</v>
      </c>
    </row>
    <row r="511" spans="1:72">
      <c r="A511" s="3197"/>
      <c r="B511" s="3205"/>
      <c r="C511" s="3204"/>
      <c r="D511" s="3193"/>
      <c r="E511" s="3199">
        <f t="shared" si="323"/>
        <v>0</v>
      </c>
      <c r="F511" s="3200"/>
      <c r="G511" s="3201">
        <f t="shared" si="327"/>
        <v>0</v>
      </c>
      <c r="H511" s="3202">
        <f t="shared" si="328"/>
        <v>0</v>
      </c>
      <c r="I511" s="3204"/>
      <c r="J511" s="3218"/>
      <c r="K511" s="3204"/>
      <c r="L511" s="3218"/>
      <c r="M511" s="3218"/>
      <c r="N511" s="3218"/>
      <c r="O511" s="3218"/>
      <c r="P511" s="3218"/>
      <c r="Q511" s="3218"/>
      <c r="R511" s="3218"/>
      <c r="S511" s="3218"/>
      <c r="T511" s="3218"/>
      <c r="U511" s="3218"/>
      <c r="V511" s="3218"/>
      <c r="W511" s="3218"/>
      <c r="X511" s="3218"/>
      <c r="Y511" s="3218"/>
      <c r="Z511" s="3218"/>
      <c r="AA511" s="3218"/>
      <c r="AB511" s="3218"/>
      <c r="AC511" s="3199">
        <f t="shared" si="329"/>
        <v>0</v>
      </c>
      <c r="AD511" s="3229"/>
      <c r="AE511" s="3229"/>
      <c r="AF511" s="3204"/>
      <c r="AG511" s="3229"/>
      <c r="AH511" s="3229"/>
      <c r="AI511" s="3229"/>
      <c r="AJ511" s="3229"/>
      <c r="AK511" s="3229"/>
      <c r="AL511" s="3229"/>
      <c r="AM511" s="3229"/>
      <c r="AN511" s="3229"/>
      <c r="AO511" s="3229"/>
      <c r="AP511" s="3229"/>
      <c r="AQ511" s="3229"/>
      <c r="AR511" s="3229"/>
      <c r="AS511" s="3229"/>
      <c r="AT511" s="3249"/>
      <c r="AU511" s="3250"/>
      <c r="AV511" s="475">
        <f t="shared" si="324"/>
        <v>0</v>
      </c>
      <c r="AW511" s="475">
        <f t="shared" si="325"/>
        <v>0</v>
      </c>
      <c r="AX511" s="475">
        <f t="shared" si="326"/>
        <v>0</v>
      </c>
      <c r="AY511" s="3266">
        <f t="shared" si="330"/>
        <v>0</v>
      </c>
      <c r="AZ511" s="3199">
        <f t="shared" si="331"/>
        <v>0</v>
      </c>
      <c r="BA511" s="3199">
        <f t="shared" si="332"/>
        <v>0</v>
      </c>
      <c r="BB511" s="3199">
        <f t="shared" si="333"/>
        <v>0</v>
      </c>
      <c r="BC511" s="3199">
        <f t="shared" si="334"/>
        <v>0</v>
      </c>
      <c r="BD511" s="3199">
        <f t="shared" si="335"/>
        <v>0</v>
      </c>
      <c r="BE511" s="3199">
        <f t="shared" si="336"/>
        <v>0</v>
      </c>
      <c r="BF511" s="3199">
        <f t="shared" si="337"/>
        <v>0</v>
      </c>
      <c r="BG511" s="3199">
        <f t="shared" si="338"/>
        <v>0</v>
      </c>
      <c r="BH511" s="3199">
        <f t="shared" si="339"/>
        <v>0</v>
      </c>
      <c r="BI511" s="3199">
        <f t="shared" si="340"/>
        <v>0</v>
      </c>
      <c r="BJ511" s="3199">
        <f t="shared" si="341"/>
        <v>0</v>
      </c>
      <c r="BK511" s="3199">
        <f t="shared" si="342"/>
        <v>0</v>
      </c>
      <c r="BL511" s="3199">
        <f t="shared" si="343"/>
        <v>0</v>
      </c>
      <c r="BM511" s="3199">
        <f t="shared" si="344"/>
        <v>0</v>
      </c>
      <c r="BN511" s="3199">
        <f t="shared" si="345"/>
        <v>0</v>
      </c>
      <c r="BO511" s="3199">
        <f t="shared" si="346"/>
        <v>0</v>
      </c>
      <c r="BP511" s="3199">
        <f t="shared" si="347"/>
        <v>0</v>
      </c>
      <c r="BQ511" s="3199">
        <f t="shared" si="348"/>
        <v>0</v>
      </c>
      <c r="BR511" s="3199">
        <f t="shared" si="349"/>
        <v>0</v>
      </c>
      <c r="BS511" s="3199">
        <f t="shared" si="350"/>
        <v>0</v>
      </c>
      <c r="BT511" s="3271">
        <f t="shared" si="351"/>
        <v>0</v>
      </c>
    </row>
    <row r="512" spans="1:72">
      <c r="A512" s="3197"/>
      <c r="B512" s="3205"/>
      <c r="C512" s="3204"/>
      <c r="D512" s="3193"/>
      <c r="E512" s="3199">
        <f t="shared" si="323"/>
        <v>0</v>
      </c>
      <c r="F512" s="3200"/>
      <c r="G512" s="3201">
        <f t="shared" si="327"/>
        <v>0</v>
      </c>
      <c r="H512" s="3202">
        <f t="shared" si="328"/>
        <v>0</v>
      </c>
      <c r="I512" s="3204"/>
      <c r="J512" s="3218"/>
      <c r="K512" s="3204"/>
      <c r="L512" s="3218"/>
      <c r="M512" s="3218"/>
      <c r="N512" s="3218"/>
      <c r="O512" s="3218"/>
      <c r="P512" s="3218"/>
      <c r="Q512" s="3218"/>
      <c r="R512" s="3218"/>
      <c r="S512" s="3218"/>
      <c r="T512" s="3218"/>
      <c r="U512" s="3218"/>
      <c r="V512" s="3218"/>
      <c r="W512" s="3218"/>
      <c r="X512" s="3218"/>
      <c r="Y512" s="3218"/>
      <c r="Z512" s="3218"/>
      <c r="AA512" s="3218"/>
      <c r="AB512" s="3218"/>
      <c r="AC512" s="3199">
        <f t="shared" si="329"/>
        <v>0</v>
      </c>
      <c r="AD512" s="3229"/>
      <c r="AE512" s="3229"/>
      <c r="AF512" s="3204"/>
      <c r="AG512" s="3229"/>
      <c r="AH512" s="3229"/>
      <c r="AI512" s="3229"/>
      <c r="AJ512" s="3229"/>
      <c r="AK512" s="3229"/>
      <c r="AL512" s="3229"/>
      <c r="AM512" s="3229"/>
      <c r="AN512" s="3229"/>
      <c r="AO512" s="3229"/>
      <c r="AP512" s="3229"/>
      <c r="AQ512" s="3229"/>
      <c r="AR512" s="3229"/>
      <c r="AS512" s="3229"/>
      <c r="AT512" s="3249"/>
      <c r="AU512" s="3250"/>
      <c r="AV512" s="475">
        <f t="shared" si="324"/>
        <v>0</v>
      </c>
      <c r="AW512" s="475">
        <f t="shared" si="325"/>
        <v>0</v>
      </c>
      <c r="AX512" s="475">
        <f t="shared" si="326"/>
        <v>0</v>
      </c>
      <c r="AY512" s="3266">
        <f t="shared" si="330"/>
        <v>0</v>
      </c>
      <c r="AZ512" s="3199">
        <f t="shared" si="331"/>
        <v>0</v>
      </c>
      <c r="BA512" s="3199">
        <f t="shared" si="332"/>
        <v>0</v>
      </c>
      <c r="BB512" s="3199">
        <f t="shared" si="333"/>
        <v>0</v>
      </c>
      <c r="BC512" s="3199">
        <f t="shared" si="334"/>
        <v>0</v>
      </c>
      <c r="BD512" s="3199">
        <f t="shared" si="335"/>
        <v>0</v>
      </c>
      <c r="BE512" s="3199">
        <f t="shared" si="336"/>
        <v>0</v>
      </c>
      <c r="BF512" s="3199">
        <f t="shared" si="337"/>
        <v>0</v>
      </c>
      <c r="BG512" s="3199">
        <f t="shared" si="338"/>
        <v>0</v>
      </c>
      <c r="BH512" s="3199">
        <f t="shared" si="339"/>
        <v>0</v>
      </c>
      <c r="BI512" s="3199">
        <f t="shared" si="340"/>
        <v>0</v>
      </c>
      <c r="BJ512" s="3199">
        <f t="shared" si="341"/>
        <v>0</v>
      </c>
      <c r="BK512" s="3199">
        <f t="shared" si="342"/>
        <v>0</v>
      </c>
      <c r="BL512" s="3199">
        <f t="shared" si="343"/>
        <v>0</v>
      </c>
      <c r="BM512" s="3199">
        <f t="shared" si="344"/>
        <v>0</v>
      </c>
      <c r="BN512" s="3199">
        <f t="shared" si="345"/>
        <v>0</v>
      </c>
      <c r="BO512" s="3199">
        <f t="shared" si="346"/>
        <v>0</v>
      </c>
      <c r="BP512" s="3199">
        <f t="shared" si="347"/>
        <v>0</v>
      </c>
      <c r="BQ512" s="3199">
        <f t="shared" si="348"/>
        <v>0</v>
      </c>
      <c r="BR512" s="3199">
        <f t="shared" si="349"/>
        <v>0</v>
      </c>
      <c r="BS512" s="3199">
        <f t="shared" si="350"/>
        <v>0</v>
      </c>
      <c r="BT512" s="3271">
        <f t="shared" si="351"/>
        <v>0</v>
      </c>
    </row>
    <row r="513" spans="1:72">
      <c r="A513" s="3197"/>
      <c r="B513" s="3205"/>
      <c r="C513" s="3204"/>
      <c r="D513" s="3193"/>
      <c r="E513" s="3199">
        <f t="shared" si="323"/>
        <v>0</v>
      </c>
      <c r="F513" s="3200"/>
      <c r="G513" s="3201">
        <f t="shared" si="327"/>
        <v>0</v>
      </c>
      <c r="H513" s="3202">
        <f t="shared" si="328"/>
        <v>0</v>
      </c>
      <c r="I513" s="3204"/>
      <c r="J513" s="3218"/>
      <c r="K513" s="3204"/>
      <c r="L513" s="3218"/>
      <c r="M513" s="3218"/>
      <c r="N513" s="3218"/>
      <c r="O513" s="3218"/>
      <c r="P513" s="3218"/>
      <c r="Q513" s="3218"/>
      <c r="R513" s="3218"/>
      <c r="S513" s="3218"/>
      <c r="T513" s="3218"/>
      <c r="U513" s="3218"/>
      <c r="V513" s="3218"/>
      <c r="W513" s="3218"/>
      <c r="X513" s="3218"/>
      <c r="Y513" s="3218"/>
      <c r="Z513" s="3218"/>
      <c r="AA513" s="3218"/>
      <c r="AB513" s="3218"/>
      <c r="AC513" s="3199">
        <f t="shared" si="329"/>
        <v>0</v>
      </c>
      <c r="AD513" s="3229"/>
      <c r="AE513" s="3229"/>
      <c r="AF513" s="3204"/>
      <c r="AG513" s="3229"/>
      <c r="AH513" s="3229"/>
      <c r="AI513" s="3229"/>
      <c r="AJ513" s="3229"/>
      <c r="AK513" s="3229"/>
      <c r="AL513" s="3229"/>
      <c r="AM513" s="3229"/>
      <c r="AN513" s="3229"/>
      <c r="AO513" s="3229"/>
      <c r="AP513" s="3229"/>
      <c r="AQ513" s="3229"/>
      <c r="AR513" s="3229"/>
      <c r="AS513" s="3229"/>
      <c r="AT513" s="3249"/>
      <c r="AU513" s="3250"/>
      <c r="AV513" s="475">
        <f t="shared" si="324"/>
        <v>0</v>
      </c>
      <c r="AW513" s="475">
        <f t="shared" si="325"/>
        <v>0</v>
      </c>
      <c r="AX513" s="475">
        <f t="shared" si="326"/>
        <v>0</v>
      </c>
      <c r="AY513" s="3266">
        <f t="shared" si="330"/>
        <v>0</v>
      </c>
      <c r="AZ513" s="3199">
        <f t="shared" si="331"/>
        <v>0</v>
      </c>
      <c r="BA513" s="3199">
        <f t="shared" si="332"/>
        <v>0</v>
      </c>
      <c r="BB513" s="3199">
        <f t="shared" si="333"/>
        <v>0</v>
      </c>
      <c r="BC513" s="3199">
        <f t="shared" si="334"/>
        <v>0</v>
      </c>
      <c r="BD513" s="3199">
        <f t="shared" si="335"/>
        <v>0</v>
      </c>
      <c r="BE513" s="3199">
        <f t="shared" si="336"/>
        <v>0</v>
      </c>
      <c r="BF513" s="3199">
        <f t="shared" si="337"/>
        <v>0</v>
      </c>
      <c r="BG513" s="3199">
        <f t="shared" si="338"/>
        <v>0</v>
      </c>
      <c r="BH513" s="3199">
        <f t="shared" si="339"/>
        <v>0</v>
      </c>
      <c r="BI513" s="3199">
        <f t="shared" si="340"/>
        <v>0</v>
      </c>
      <c r="BJ513" s="3199">
        <f t="shared" si="341"/>
        <v>0</v>
      </c>
      <c r="BK513" s="3199">
        <f t="shared" si="342"/>
        <v>0</v>
      </c>
      <c r="BL513" s="3199">
        <f t="shared" si="343"/>
        <v>0</v>
      </c>
      <c r="BM513" s="3199">
        <f t="shared" si="344"/>
        <v>0</v>
      </c>
      <c r="BN513" s="3199">
        <f t="shared" si="345"/>
        <v>0</v>
      </c>
      <c r="BO513" s="3199">
        <f t="shared" si="346"/>
        <v>0</v>
      </c>
      <c r="BP513" s="3199">
        <f t="shared" si="347"/>
        <v>0</v>
      </c>
      <c r="BQ513" s="3199">
        <f t="shared" si="348"/>
        <v>0</v>
      </c>
      <c r="BR513" s="3199">
        <f t="shared" si="349"/>
        <v>0</v>
      </c>
      <c r="BS513" s="3199">
        <f t="shared" si="350"/>
        <v>0</v>
      </c>
      <c r="BT513" s="3271">
        <f t="shared" si="351"/>
        <v>0</v>
      </c>
    </row>
    <row r="514" spans="1:72">
      <c r="A514" s="3197"/>
      <c r="B514" s="3205"/>
      <c r="C514" s="3204"/>
      <c r="D514" s="3193"/>
      <c r="E514" s="3199">
        <f t="shared" si="323"/>
        <v>0</v>
      </c>
      <c r="F514" s="3200"/>
      <c r="G514" s="3201">
        <f t="shared" si="327"/>
        <v>0</v>
      </c>
      <c r="H514" s="3202">
        <f t="shared" si="328"/>
        <v>0</v>
      </c>
      <c r="I514" s="3204"/>
      <c r="J514" s="3218"/>
      <c r="K514" s="3204"/>
      <c r="L514" s="3218"/>
      <c r="M514" s="3218"/>
      <c r="N514" s="3218"/>
      <c r="O514" s="3218"/>
      <c r="P514" s="3218"/>
      <c r="Q514" s="3218"/>
      <c r="R514" s="3218"/>
      <c r="S514" s="3218"/>
      <c r="T514" s="3218"/>
      <c r="U514" s="3218"/>
      <c r="V514" s="3218"/>
      <c r="W514" s="3218"/>
      <c r="X514" s="3218"/>
      <c r="Y514" s="3218"/>
      <c r="Z514" s="3218"/>
      <c r="AA514" s="3218"/>
      <c r="AB514" s="3218"/>
      <c r="AC514" s="3199">
        <f t="shared" si="329"/>
        <v>0</v>
      </c>
      <c r="AD514" s="3229"/>
      <c r="AE514" s="3229"/>
      <c r="AF514" s="3204"/>
      <c r="AG514" s="3229"/>
      <c r="AH514" s="3229"/>
      <c r="AI514" s="3229"/>
      <c r="AJ514" s="3229"/>
      <c r="AK514" s="3229"/>
      <c r="AL514" s="3229"/>
      <c r="AM514" s="3229"/>
      <c r="AN514" s="3229"/>
      <c r="AO514" s="3229"/>
      <c r="AP514" s="3229"/>
      <c r="AQ514" s="3229"/>
      <c r="AR514" s="3229"/>
      <c r="AS514" s="3229"/>
      <c r="AT514" s="3249"/>
      <c r="AU514" s="3250"/>
      <c r="AV514" s="475">
        <f t="shared" si="324"/>
        <v>0</v>
      </c>
      <c r="AW514" s="475">
        <f t="shared" si="325"/>
        <v>0</v>
      </c>
      <c r="AX514" s="475">
        <f t="shared" si="326"/>
        <v>0</v>
      </c>
      <c r="AY514" s="3266">
        <f t="shared" si="330"/>
        <v>0</v>
      </c>
      <c r="AZ514" s="3199">
        <f t="shared" si="331"/>
        <v>0</v>
      </c>
      <c r="BA514" s="3199">
        <f t="shared" si="332"/>
        <v>0</v>
      </c>
      <c r="BB514" s="3199">
        <f t="shared" si="333"/>
        <v>0</v>
      </c>
      <c r="BC514" s="3199">
        <f t="shared" si="334"/>
        <v>0</v>
      </c>
      <c r="BD514" s="3199">
        <f t="shared" si="335"/>
        <v>0</v>
      </c>
      <c r="BE514" s="3199">
        <f t="shared" si="336"/>
        <v>0</v>
      </c>
      <c r="BF514" s="3199">
        <f t="shared" si="337"/>
        <v>0</v>
      </c>
      <c r="BG514" s="3199">
        <f t="shared" si="338"/>
        <v>0</v>
      </c>
      <c r="BH514" s="3199">
        <f t="shared" si="339"/>
        <v>0</v>
      </c>
      <c r="BI514" s="3199">
        <f t="shared" si="340"/>
        <v>0</v>
      </c>
      <c r="BJ514" s="3199">
        <f t="shared" si="341"/>
        <v>0</v>
      </c>
      <c r="BK514" s="3199">
        <f t="shared" si="342"/>
        <v>0</v>
      </c>
      <c r="BL514" s="3199">
        <f t="shared" si="343"/>
        <v>0</v>
      </c>
      <c r="BM514" s="3199">
        <f t="shared" si="344"/>
        <v>0</v>
      </c>
      <c r="BN514" s="3199">
        <f t="shared" si="345"/>
        <v>0</v>
      </c>
      <c r="BO514" s="3199">
        <f t="shared" si="346"/>
        <v>0</v>
      </c>
      <c r="BP514" s="3199">
        <f t="shared" si="347"/>
        <v>0</v>
      </c>
      <c r="BQ514" s="3199">
        <f t="shared" si="348"/>
        <v>0</v>
      </c>
      <c r="BR514" s="3199">
        <f t="shared" si="349"/>
        <v>0</v>
      </c>
      <c r="BS514" s="3199">
        <f t="shared" si="350"/>
        <v>0</v>
      </c>
      <c r="BT514" s="3271">
        <f t="shared" si="351"/>
        <v>0</v>
      </c>
    </row>
    <row r="515" spans="1:72">
      <c r="A515" s="3197"/>
      <c r="B515" s="3206"/>
      <c r="C515" s="3207"/>
      <c r="D515" s="3193"/>
      <c r="E515" s="3199">
        <f t="shared" si="323"/>
        <v>0</v>
      </c>
      <c r="F515" s="3200"/>
      <c r="G515" s="3201">
        <f t="shared" si="327"/>
        <v>0</v>
      </c>
      <c r="H515" s="3202">
        <f t="shared" si="328"/>
        <v>0</v>
      </c>
      <c r="I515" s="3204"/>
      <c r="J515" s="3218"/>
      <c r="K515" s="3204"/>
      <c r="L515" s="3218"/>
      <c r="M515" s="3204"/>
      <c r="N515" s="3218"/>
      <c r="O515" s="3218"/>
      <c r="P515" s="3218"/>
      <c r="Q515" s="3218"/>
      <c r="R515" s="3218"/>
      <c r="S515" s="3218"/>
      <c r="T515" s="3218"/>
      <c r="U515" s="3218"/>
      <c r="V515" s="3218"/>
      <c r="W515" s="3218"/>
      <c r="X515" s="3218"/>
      <c r="Y515" s="3218"/>
      <c r="Z515" s="3218"/>
      <c r="AA515" s="3218"/>
      <c r="AB515" s="3218"/>
      <c r="AC515" s="3199">
        <f t="shared" si="329"/>
        <v>0</v>
      </c>
      <c r="AD515" s="3229"/>
      <c r="AE515" s="3229"/>
      <c r="AF515" s="3204"/>
      <c r="AG515" s="3229"/>
      <c r="AH515" s="3229"/>
      <c r="AI515" s="3229"/>
      <c r="AJ515" s="3229"/>
      <c r="AK515" s="3229"/>
      <c r="AL515" s="3229"/>
      <c r="AM515" s="3229"/>
      <c r="AN515" s="3229"/>
      <c r="AO515" s="3229"/>
      <c r="AP515" s="3229"/>
      <c r="AQ515" s="3229"/>
      <c r="AR515" s="3229"/>
      <c r="AS515" s="3229"/>
      <c r="AT515" s="3249"/>
      <c r="AU515" s="3250"/>
      <c r="AV515" s="475">
        <f t="shared" si="324"/>
        <v>0</v>
      </c>
      <c r="AW515" s="475">
        <f t="shared" si="325"/>
        <v>0</v>
      </c>
      <c r="AX515" s="475">
        <f t="shared" si="326"/>
        <v>0</v>
      </c>
      <c r="AY515" s="3266">
        <f t="shared" si="330"/>
        <v>0</v>
      </c>
      <c r="AZ515" s="3199">
        <f t="shared" si="331"/>
        <v>0</v>
      </c>
      <c r="BA515" s="3199">
        <f t="shared" si="332"/>
        <v>0</v>
      </c>
      <c r="BB515" s="3199">
        <f t="shared" si="333"/>
        <v>0</v>
      </c>
      <c r="BC515" s="3199">
        <f t="shared" si="334"/>
        <v>0</v>
      </c>
      <c r="BD515" s="3199">
        <f t="shared" si="335"/>
        <v>0</v>
      </c>
      <c r="BE515" s="3199">
        <f t="shared" si="336"/>
        <v>0</v>
      </c>
      <c r="BF515" s="3199">
        <f t="shared" si="337"/>
        <v>0</v>
      </c>
      <c r="BG515" s="3199">
        <f t="shared" si="338"/>
        <v>0</v>
      </c>
      <c r="BH515" s="3199">
        <f t="shared" si="339"/>
        <v>0</v>
      </c>
      <c r="BI515" s="3199">
        <f t="shared" si="340"/>
        <v>0</v>
      </c>
      <c r="BJ515" s="3199">
        <f t="shared" si="341"/>
        <v>0</v>
      </c>
      <c r="BK515" s="3199">
        <f t="shared" si="342"/>
        <v>0</v>
      </c>
      <c r="BL515" s="3199">
        <f t="shared" si="343"/>
        <v>0</v>
      </c>
      <c r="BM515" s="3199">
        <f t="shared" si="344"/>
        <v>0</v>
      </c>
      <c r="BN515" s="3199">
        <f t="shared" si="345"/>
        <v>0</v>
      </c>
      <c r="BO515" s="3199">
        <f t="shared" si="346"/>
        <v>0</v>
      </c>
      <c r="BP515" s="3199">
        <f t="shared" si="347"/>
        <v>0</v>
      </c>
      <c r="BQ515" s="3199">
        <f t="shared" si="348"/>
        <v>0</v>
      </c>
      <c r="BR515" s="3199">
        <f t="shared" si="349"/>
        <v>0</v>
      </c>
      <c r="BS515" s="3199">
        <f t="shared" si="350"/>
        <v>0</v>
      </c>
      <c r="BT515" s="3271">
        <f t="shared" si="351"/>
        <v>0</v>
      </c>
    </row>
    <row r="516" spans="1:72">
      <c r="A516" s="3197"/>
      <c r="B516" s="3198"/>
      <c r="C516" s="3198"/>
      <c r="D516" s="3193"/>
      <c r="E516" s="3199">
        <f t="shared" si="323"/>
        <v>0</v>
      </c>
      <c r="F516" s="3200"/>
      <c r="G516" s="3201">
        <f t="shared" si="327"/>
        <v>0</v>
      </c>
      <c r="H516" s="3202">
        <f t="shared" si="328"/>
        <v>0</v>
      </c>
      <c r="I516" s="3218"/>
      <c r="J516" s="3218"/>
      <c r="K516" s="3218"/>
      <c r="L516" s="3218"/>
      <c r="M516" s="3218"/>
      <c r="N516" s="3218"/>
      <c r="O516" s="3218"/>
      <c r="P516" s="3218"/>
      <c r="Q516" s="3218"/>
      <c r="R516" s="3218"/>
      <c r="S516" s="3218"/>
      <c r="T516" s="3218"/>
      <c r="U516" s="3218"/>
      <c r="V516" s="3218"/>
      <c r="W516" s="3218"/>
      <c r="X516" s="3218"/>
      <c r="Y516" s="3218"/>
      <c r="Z516" s="3218"/>
      <c r="AA516" s="3218"/>
      <c r="AB516" s="3218"/>
      <c r="AC516" s="3199">
        <f t="shared" si="329"/>
        <v>0</v>
      </c>
      <c r="AD516" s="3229"/>
      <c r="AE516" s="3229"/>
      <c r="AF516" s="3229"/>
      <c r="AG516" s="3229"/>
      <c r="AH516" s="3229"/>
      <c r="AI516" s="3229"/>
      <c r="AJ516" s="3229"/>
      <c r="AK516" s="3229"/>
      <c r="AL516" s="3229"/>
      <c r="AM516" s="3229"/>
      <c r="AN516" s="3229"/>
      <c r="AO516" s="3229"/>
      <c r="AP516" s="3229"/>
      <c r="AQ516" s="3229"/>
      <c r="AR516" s="3229"/>
      <c r="AS516" s="3229"/>
      <c r="AT516" s="3249"/>
      <c r="AU516" s="3250"/>
      <c r="AV516" s="475">
        <f t="shared" si="324"/>
        <v>0</v>
      </c>
      <c r="AW516" s="475">
        <f t="shared" si="325"/>
        <v>0</v>
      </c>
      <c r="AX516" s="475">
        <f t="shared" si="326"/>
        <v>0</v>
      </c>
      <c r="AY516" s="3266">
        <f t="shared" si="330"/>
        <v>0</v>
      </c>
      <c r="AZ516" s="3199">
        <f t="shared" si="331"/>
        <v>0</v>
      </c>
      <c r="BA516" s="3199">
        <f t="shared" si="332"/>
        <v>0</v>
      </c>
      <c r="BB516" s="3199">
        <f t="shared" si="333"/>
        <v>0</v>
      </c>
      <c r="BC516" s="3199">
        <f t="shared" si="334"/>
        <v>0</v>
      </c>
      <c r="BD516" s="3199">
        <f t="shared" si="335"/>
        <v>0</v>
      </c>
      <c r="BE516" s="3199">
        <f t="shared" si="336"/>
        <v>0</v>
      </c>
      <c r="BF516" s="3199">
        <f t="shared" si="337"/>
        <v>0</v>
      </c>
      <c r="BG516" s="3199">
        <f t="shared" si="338"/>
        <v>0</v>
      </c>
      <c r="BH516" s="3199">
        <f t="shared" si="339"/>
        <v>0</v>
      </c>
      <c r="BI516" s="3199">
        <f t="shared" si="340"/>
        <v>0</v>
      </c>
      <c r="BJ516" s="3199">
        <f t="shared" si="341"/>
        <v>0</v>
      </c>
      <c r="BK516" s="3199">
        <f t="shared" si="342"/>
        <v>0</v>
      </c>
      <c r="BL516" s="3199">
        <f t="shared" si="343"/>
        <v>0</v>
      </c>
      <c r="BM516" s="3199">
        <f t="shared" si="344"/>
        <v>0</v>
      </c>
      <c r="BN516" s="3199">
        <f t="shared" si="345"/>
        <v>0</v>
      </c>
      <c r="BO516" s="3199">
        <f t="shared" si="346"/>
        <v>0</v>
      </c>
      <c r="BP516" s="3199">
        <f t="shared" si="347"/>
        <v>0</v>
      </c>
      <c r="BQ516" s="3199">
        <f t="shared" si="348"/>
        <v>0</v>
      </c>
      <c r="BR516" s="3199">
        <f t="shared" si="349"/>
        <v>0</v>
      </c>
      <c r="BS516" s="3199">
        <f t="shared" si="350"/>
        <v>0</v>
      </c>
      <c r="BT516" s="3271">
        <f t="shared" si="351"/>
        <v>0</v>
      </c>
    </row>
    <row r="517" spans="1:72">
      <c r="A517" s="3197"/>
      <c r="B517" s="3198"/>
      <c r="C517" s="3198"/>
      <c r="D517" s="3193"/>
      <c r="E517" s="3199">
        <f t="shared" si="323"/>
        <v>0</v>
      </c>
      <c r="F517" s="3200"/>
      <c r="G517" s="3201">
        <f t="shared" si="327"/>
        <v>0</v>
      </c>
      <c r="H517" s="3202">
        <f t="shared" si="328"/>
        <v>0</v>
      </c>
      <c r="I517" s="3218"/>
      <c r="J517" s="3218"/>
      <c r="K517" s="3218"/>
      <c r="L517" s="3218"/>
      <c r="M517" s="3218"/>
      <c r="N517" s="3218"/>
      <c r="O517" s="3218"/>
      <c r="P517" s="3218"/>
      <c r="Q517" s="3218"/>
      <c r="R517" s="3218"/>
      <c r="S517" s="3218"/>
      <c r="T517" s="3218"/>
      <c r="U517" s="3218"/>
      <c r="V517" s="3218"/>
      <c r="W517" s="3218"/>
      <c r="X517" s="3218"/>
      <c r="Y517" s="3218"/>
      <c r="Z517" s="3218"/>
      <c r="AA517" s="3218"/>
      <c r="AB517" s="3218"/>
      <c r="AC517" s="3199">
        <f t="shared" si="329"/>
        <v>0</v>
      </c>
      <c r="AD517" s="3229"/>
      <c r="AE517" s="3229"/>
      <c r="AF517" s="3229"/>
      <c r="AG517" s="3229"/>
      <c r="AH517" s="3229"/>
      <c r="AI517" s="3229"/>
      <c r="AJ517" s="3229"/>
      <c r="AK517" s="3229"/>
      <c r="AL517" s="3229"/>
      <c r="AM517" s="3229"/>
      <c r="AN517" s="3229"/>
      <c r="AO517" s="3229"/>
      <c r="AP517" s="3229"/>
      <c r="AQ517" s="3229"/>
      <c r="AR517" s="3229"/>
      <c r="AS517" s="3229"/>
      <c r="AT517" s="3249"/>
      <c r="AU517" s="3250"/>
      <c r="AV517" s="475">
        <f t="shared" si="324"/>
        <v>0</v>
      </c>
      <c r="AW517" s="475">
        <f t="shared" si="325"/>
        <v>0</v>
      </c>
      <c r="AX517" s="475">
        <f t="shared" si="326"/>
        <v>0</v>
      </c>
      <c r="AY517" s="3266">
        <f t="shared" si="330"/>
        <v>0</v>
      </c>
      <c r="AZ517" s="3199">
        <f t="shared" si="331"/>
        <v>0</v>
      </c>
      <c r="BA517" s="3199">
        <f t="shared" si="332"/>
        <v>0</v>
      </c>
      <c r="BB517" s="3199">
        <f t="shared" si="333"/>
        <v>0</v>
      </c>
      <c r="BC517" s="3199">
        <f t="shared" si="334"/>
        <v>0</v>
      </c>
      <c r="BD517" s="3199">
        <f t="shared" si="335"/>
        <v>0</v>
      </c>
      <c r="BE517" s="3199">
        <f t="shared" si="336"/>
        <v>0</v>
      </c>
      <c r="BF517" s="3199">
        <f t="shared" si="337"/>
        <v>0</v>
      </c>
      <c r="BG517" s="3199">
        <f t="shared" si="338"/>
        <v>0</v>
      </c>
      <c r="BH517" s="3199">
        <f t="shared" si="339"/>
        <v>0</v>
      </c>
      <c r="BI517" s="3199">
        <f t="shared" si="340"/>
        <v>0</v>
      </c>
      <c r="BJ517" s="3199">
        <f t="shared" si="341"/>
        <v>0</v>
      </c>
      <c r="BK517" s="3199">
        <f t="shared" si="342"/>
        <v>0</v>
      </c>
      <c r="BL517" s="3199">
        <f t="shared" si="343"/>
        <v>0</v>
      </c>
      <c r="BM517" s="3199">
        <f t="shared" si="344"/>
        <v>0</v>
      </c>
      <c r="BN517" s="3199">
        <f t="shared" si="345"/>
        <v>0</v>
      </c>
      <c r="BO517" s="3199">
        <f t="shared" si="346"/>
        <v>0</v>
      </c>
      <c r="BP517" s="3199">
        <f t="shared" si="347"/>
        <v>0</v>
      </c>
      <c r="BQ517" s="3199">
        <f t="shared" si="348"/>
        <v>0</v>
      </c>
      <c r="BR517" s="3199">
        <f t="shared" si="349"/>
        <v>0</v>
      </c>
      <c r="BS517" s="3199">
        <f t="shared" si="350"/>
        <v>0</v>
      </c>
      <c r="BT517" s="3271">
        <f t="shared" si="351"/>
        <v>0</v>
      </c>
    </row>
    <row r="518" spans="1:72">
      <c r="A518" s="3197"/>
      <c r="B518" s="3198"/>
      <c r="C518" s="3198"/>
      <c r="D518" s="3193"/>
      <c r="E518" s="3199">
        <f t="shared" si="323"/>
        <v>0</v>
      </c>
      <c r="F518" s="3200"/>
      <c r="G518" s="3201">
        <f t="shared" si="327"/>
        <v>0</v>
      </c>
      <c r="H518" s="3202">
        <f t="shared" si="328"/>
        <v>0</v>
      </c>
      <c r="I518" s="3218"/>
      <c r="J518" s="3218"/>
      <c r="K518" s="3218"/>
      <c r="L518" s="3218"/>
      <c r="M518" s="3218"/>
      <c r="N518" s="3218"/>
      <c r="O518" s="3218"/>
      <c r="P518" s="3218"/>
      <c r="Q518" s="3218"/>
      <c r="R518" s="3218"/>
      <c r="S518" s="3218"/>
      <c r="T518" s="3218"/>
      <c r="U518" s="3218"/>
      <c r="V518" s="3218"/>
      <c r="W518" s="3218"/>
      <c r="X518" s="3218"/>
      <c r="Y518" s="3218"/>
      <c r="Z518" s="3218"/>
      <c r="AA518" s="3218"/>
      <c r="AB518" s="3218"/>
      <c r="AC518" s="3199">
        <f t="shared" si="329"/>
        <v>0</v>
      </c>
      <c r="AD518" s="3229"/>
      <c r="AE518" s="3229"/>
      <c r="AF518" s="3229"/>
      <c r="AG518" s="3229"/>
      <c r="AH518" s="3229"/>
      <c r="AI518" s="3229"/>
      <c r="AJ518" s="3229"/>
      <c r="AK518" s="3229"/>
      <c r="AL518" s="3229"/>
      <c r="AM518" s="3229"/>
      <c r="AN518" s="3229"/>
      <c r="AO518" s="3229"/>
      <c r="AP518" s="3229"/>
      <c r="AQ518" s="3229"/>
      <c r="AR518" s="3229"/>
      <c r="AS518" s="3229"/>
      <c r="AT518" s="3249"/>
      <c r="AU518" s="3250"/>
      <c r="AV518" s="475">
        <f t="shared" si="324"/>
        <v>0</v>
      </c>
      <c r="AW518" s="475">
        <f t="shared" si="325"/>
        <v>0</v>
      </c>
      <c r="AX518" s="475">
        <f t="shared" si="326"/>
        <v>0</v>
      </c>
      <c r="AY518" s="3266">
        <f t="shared" si="330"/>
        <v>0</v>
      </c>
      <c r="AZ518" s="3199">
        <f t="shared" si="331"/>
        <v>0</v>
      </c>
      <c r="BA518" s="3199">
        <f t="shared" si="332"/>
        <v>0</v>
      </c>
      <c r="BB518" s="3199">
        <f t="shared" si="333"/>
        <v>0</v>
      </c>
      <c r="BC518" s="3199">
        <f t="shared" si="334"/>
        <v>0</v>
      </c>
      <c r="BD518" s="3199">
        <f t="shared" si="335"/>
        <v>0</v>
      </c>
      <c r="BE518" s="3199">
        <f t="shared" si="336"/>
        <v>0</v>
      </c>
      <c r="BF518" s="3199">
        <f t="shared" si="337"/>
        <v>0</v>
      </c>
      <c r="BG518" s="3199">
        <f t="shared" si="338"/>
        <v>0</v>
      </c>
      <c r="BH518" s="3199">
        <f t="shared" si="339"/>
        <v>0</v>
      </c>
      <c r="BI518" s="3199">
        <f t="shared" si="340"/>
        <v>0</v>
      </c>
      <c r="BJ518" s="3199">
        <f t="shared" si="341"/>
        <v>0</v>
      </c>
      <c r="BK518" s="3199">
        <f t="shared" si="342"/>
        <v>0</v>
      </c>
      <c r="BL518" s="3199">
        <f t="shared" si="343"/>
        <v>0</v>
      </c>
      <c r="BM518" s="3199">
        <f t="shared" si="344"/>
        <v>0</v>
      </c>
      <c r="BN518" s="3199">
        <f t="shared" si="345"/>
        <v>0</v>
      </c>
      <c r="BO518" s="3199">
        <f t="shared" si="346"/>
        <v>0</v>
      </c>
      <c r="BP518" s="3199">
        <f t="shared" si="347"/>
        <v>0</v>
      </c>
      <c r="BQ518" s="3199">
        <f t="shared" si="348"/>
        <v>0</v>
      </c>
      <c r="BR518" s="3199">
        <f t="shared" si="349"/>
        <v>0</v>
      </c>
      <c r="BS518" s="3199">
        <f t="shared" si="350"/>
        <v>0</v>
      </c>
      <c r="BT518" s="3271">
        <f t="shared" si="351"/>
        <v>0</v>
      </c>
    </row>
    <row r="519" spans="1:72">
      <c r="A519" s="3197"/>
      <c r="B519" s="3198"/>
      <c r="C519" s="3198"/>
      <c r="D519" s="3193"/>
      <c r="E519" s="3199">
        <f t="shared" si="323"/>
        <v>0</v>
      </c>
      <c r="F519" s="3200"/>
      <c r="G519" s="3201">
        <f t="shared" si="327"/>
        <v>0</v>
      </c>
      <c r="H519" s="3202">
        <f t="shared" si="328"/>
        <v>0</v>
      </c>
      <c r="I519" s="3218"/>
      <c r="J519" s="3218"/>
      <c r="K519" s="3218"/>
      <c r="L519" s="3218"/>
      <c r="M519" s="3218"/>
      <c r="N519" s="3218"/>
      <c r="O519" s="3218"/>
      <c r="P519" s="3218"/>
      <c r="Q519" s="3218"/>
      <c r="R519" s="3218"/>
      <c r="S519" s="3218"/>
      <c r="T519" s="3218"/>
      <c r="U519" s="3218"/>
      <c r="V519" s="3218"/>
      <c r="W519" s="3218"/>
      <c r="X519" s="3218"/>
      <c r="Y519" s="3218"/>
      <c r="Z519" s="3218"/>
      <c r="AA519" s="3218"/>
      <c r="AB519" s="3218"/>
      <c r="AC519" s="3199">
        <f t="shared" si="329"/>
        <v>0</v>
      </c>
      <c r="AD519" s="3229"/>
      <c r="AE519" s="3229"/>
      <c r="AF519" s="3229"/>
      <c r="AG519" s="3229"/>
      <c r="AH519" s="3229"/>
      <c r="AI519" s="3229"/>
      <c r="AJ519" s="3229"/>
      <c r="AK519" s="3229"/>
      <c r="AL519" s="3229"/>
      <c r="AM519" s="3229"/>
      <c r="AN519" s="3229"/>
      <c r="AO519" s="3229"/>
      <c r="AP519" s="3229"/>
      <c r="AQ519" s="3229"/>
      <c r="AR519" s="3229"/>
      <c r="AS519" s="3229"/>
      <c r="AT519" s="3249"/>
      <c r="AU519" s="3250"/>
      <c r="AV519" s="475">
        <f t="shared" si="324"/>
        <v>0</v>
      </c>
      <c r="AW519" s="475">
        <f t="shared" si="325"/>
        <v>0</v>
      </c>
      <c r="AX519" s="475">
        <f t="shared" si="326"/>
        <v>0</v>
      </c>
      <c r="AY519" s="3266">
        <f t="shared" si="330"/>
        <v>0</v>
      </c>
      <c r="AZ519" s="3199">
        <f t="shared" si="331"/>
        <v>0</v>
      </c>
      <c r="BA519" s="3199">
        <f t="shared" si="332"/>
        <v>0</v>
      </c>
      <c r="BB519" s="3199">
        <f t="shared" si="333"/>
        <v>0</v>
      </c>
      <c r="BC519" s="3199">
        <f t="shared" si="334"/>
        <v>0</v>
      </c>
      <c r="BD519" s="3199">
        <f t="shared" si="335"/>
        <v>0</v>
      </c>
      <c r="BE519" s="3199">
        <f t="shared" si="336"/>
        <v>0</v>
      </c>
      <c r="BF519" s="3199">
        <f t="shared" si="337"/>
        <v>0</v>
      </c>
      <c r="BG519" s="3199">
        <f t="shared" si="338"/>
        <v>0</v>
      </c>
      <c r="BH519" s="3199">
        <f t="shared" si="339"/>
        <v>0</v>
      </c>
      <c r="BI519" s="3199">
        <f t="shared" si="340"/>
        <v>0</v>
      </c>
      <c r="BJ519" s="3199">
        <f t="shared" si="341"/>
        <v>0</v>
      </c>
      <c r="BK519" s="3199">
        <f t="shared" si="342"/>
        <v>0</v>
      </c>
      <c r="BL519" s="3199">
        <f t="shared" si="343"/>
        <v>0</v>
      </c>
      <c r="BM519" s="3199">
        <f t="shared" si="344"/>
        <v>0</v>
      </c>
      <c r="BN519" s="3199">
        <f t="shared" si="345"/>
        <v>0</v>
      </c>
      <c r="BO519" s="3199">
        <f t="shared" si="346"/>
        <v>0</v>
      </c>
      <c r="BP519" s="3199">
        <f t="shared" si="347"/>
        <v>0</v>
      </c>
      <c r="BQ519" s="3199">
        <f t="shared" si="348"/>
        <v>0</v>
      </c>
      <c r="BR519" s="3199">
        <f t="shared" si="349"/>
        <v>0</v>
      </c>
      <c r="BS519" s="3199">
        <f t="shared" si="350"/>
        <v>0</v>
      </c>
      <c r="BT519" s="3271">
        <f t="shared" si="351"/>
        <v>0</v>
      </c>
    </row>
    <row r="520" spans="1:72">
      <c r="A520" s="3197"/>
      <c r="B520" s="3198"/>
      <c r="C520" s="3198"/>
      <c r="D520" s="3193"/>
      <c r="E520" s="3199">
        <f t="shared" si="323"/>
        <v>0</v>
      </c>
      <c r="F520" s="3200"/>
      <c r="G520" s="3201">
        <f t="shared" si="327"/>
        <v>0</v>
      </c>
      <c r="H520" s="3202">
        <f t="shared" si="328"/>
        <v>0</v>
      </c>
      <c r="I520" s="3218"/>
      <c r="J520" s="3218"/>
      <c r="K520" s="3218"/>
      <c r="L520" s="3218"/>
      <c r="M520" s="3218"/>
      <c r="N520" s="3218"/>
      <c r="O520" s="3218"/>
      <c r="P520" s="3218"/>
      <c r="Q520" s="3218"/>
      <c r="R520" s="3218"/>
      <c r="S520" s="3218"/>
      <c r="T520" s="3218"/>
      <c r="U520" s="3218"/>
      <c r="V520" s="3218"/>
      <c r="W520" s="3218"/>
      <c r="X520" s="3218"/>
      <c r="Y520" s="3218"/>
      <c r="Z520" s="3218"/>
      <c r="AA520" s="3218"/>
      <c r="AB520" s="3218"/>
      <c r="AC520" s="3199">
        <f t="shared" si="329"/>
        <v>0</v>
      </c>
      <c r="AD520" s="3229"/>
      <c r="AE520" s="3229"/>
      <c r="AF520" s="3229"/>
      <c r="AG520" s="3229"/>
      <c r="AH520" s="3229"/>
      <c r="AI520" s="3229"/>
      <c r="AJ520" s="3229"/>
      <c r="AK520" s="3229"/>
      <c r="AL520" s="3229"/>
      <c r="AM520" s="3229"/>
      <c r="AN520" s="3229"/>
      <c r="AO520" s="3229"/>
      <c r="AP520" s="3229"/>
      <c r="AQ520" s="3229"/>
      <c r="AR520" s="3229"/>
      <c r="AS520" s="3229"/>
      <c r="AT520" s="3249"/>
      <c r="AU520" s="3250"/>
      <c r="AV520" s="475">
        <f t="shared" si="324"/>
        <v>0</v>
      </c>
      <c r="AW520" s="475">
        <f t="shared" si="325"/>
        <v>0</v>
      </c>
      <c r="AX520" s="475">
        <f t="shared" si="326"/>
        <v>0</v>
      </c>
      <c r="AY520" s="3266">
        <f t="shared" si="330"/>
        <v>0</v>
      </c>
      <c r="AZ520" s="3199">
        <f t="shared" si="331"/>
        <v>0</v>
      </c>
      <c r="BA520" s="3199">
        <f t="shared" si="332"/>
        <v>0</v>
      </c>
      <c r="BB520" s="3199">
        <f t="shared" si="333"/>
        <v>0</v>
      </c>
      <c r="BC520" s="3199">
        <f t="shared" si="334"/>
        <v>0</v>
      </c>
      <c r="BD520" s="3199">
        <f t="shared" si="335"/>
        <v>0</v>
      </c>
      <c r="BE520" s="3199">
        <f t="shared" si="336"/>
        <v>0</v>
      </c>
      <c r="BF520" s="3199">
        <f t="shared" si="337"/>
        <v>0</v>
      </c>
      <c r="BG520" s="3199">
        <f t="shared" si="338"/>
        <v>0</v>
      </c>
      <c r="BH520" s="3199">
        <f t="shared" si="339"/>
        <v>0</v>
      </c>
      <c r="BI520" s="3199">
        <f t="shared" si="340"/>
        <v>0</v>
      </c>
      <c r="BJ520" s="3199">
        <f t="shared" si="341"/>
        <v>0</v>
      </c>
      <c r="BK520" s="3199">
        <f t="shared" si="342"/>
        <v>0</v>
      </c>
      <c r="BL520" s="3199">
        <f t="shared" si="343"/>
        <v>0</v>
      </c>
      <c r="BM520" s="3199">
        <f t="shared" si="344"/>
        <v>0</v>
      </c>
      <c r="BN520" s="3199">
        <f t="shared" si="345"/>
        <v>0</v>
      </c>
      <c r="BO520" s="3199">
        <f t="shared" si="346"/>
        <v>0</v>
      </c>
      <c r="BP520" s="3199">
        <f t="shared" si="347"/>
        <v>0</v>
      </c>
      <c r="BQ520" s="3199">
        <f t="shared" si="348"/>
        <v>0</v>
      </c>
      <c r="BR520" s="3199">
        <f t="shared" si="349"/>
        <v>0</v>
      </c>
      <c r="BS520" s="3199">
        <f t="shared" si="350"/>
        <v>0</v>
      </c>
      <c r="BT520" s="3271">
        <f t="shared" si="351"/>
        <v>0</v>
      </c>
    </row>
    <row r="521" spans="1:72">
      <c r="A521" s="3197"/>
      <c r="B521" s="3198"/>
      <c r="C521" s="3198"/>
      <c r="D521" s="3193"/>
      <c r="E521" s="3199">
        <f t="shared" si="323"/>
        <v>0</v>
      </c>
      <c r="F521" s="3200"/>
      <c r="G521" s="3201">
        <f t="shared" si="327"/>
        <v>0</v>
      </c>
      <c r="H521" s="3202">
        <f t="shared" si="328"/>
        <v>0</v>
      </c>
      <c r="I521" s="3218"/>
      <c r="J521" s="3218"/>
      <c r="K521" s="3218"/>
      <c r="L521" s="3218"/>
      <c r="M521" s="3218"/>
      <c r="N521" s="3218"/>
      <c r="O521" s="3218"/>
      <c r="P521" s="3218"/>
      <c r="Q521" s="3218"/>
      <c r="R521" s="3218"/>
      <c r="S521" s="3218"/>
      <c r="T521" s="3218"/>
      <c r="U521" s="3218"/>
      <c r="V521" s="3218"/>
      <c r="W521" s="3218"/>
      <c r="X521" s="3218"/>
      <c r="Y521" s="3218"/>
      <c r="Z521" s="3218"/>
      <c r="AA521" s="3218"/>
      <c r="AB521" s="3218"/>
      <c r="AC521" s="3199">
        <f t="shared" si="329"/>
        <v>0</v>
      </c>
      <c r="AD521" s="3229"/>
      <c r="AE521" s="3229"/>
      <c r="AF521" s="3229"/>
      <c r="AG521" s="3229"/>
      <c r="AH521" s="3229"/>
      <c r="AI521" s="3229"/>
      <c r="AJ521" s="3229"/>
      <c r="AK521" s="3229"/>
      <c r="AL521" s="3229"/>
      <c r="AM521" s="3229"/>
      <c r="AN521" s="3229"/>
      <c r="AO521" s="3229"/>
      <c r="AP521" s="3229"/>
      <c r="AQ521" s="3229"/>
      <c r="AR521" s="3229"/>
      <c r="AS521" s="3229"/>
      <c r="AT521" s="3249"/>
      <c r="AU521" s="3250"/>
      <c r="AV521" s="475">
        <f t="shared" si="324"/>
        <v>0</v>
      </c>
      <c r="AW521" s="475">
        <f t="shared" si="325"/>
        <v>0</v>
      </c>
      <c r="AX521" s="475">
        <f t="shared" si="326"/>
        <v>0</v>
      </c>
      <c r="AY521" s="3266">
        <f t="shared" si="330"/>
        <v>0</v>
      </c>
      <c r="AZ521" s="3199">
        <f t="shared" si="331"/>
        <v>0</v>
      </c>
      <c r="BA521" s="3199">
        <f t="shared" si="332"/>
        <v>0</v>
      </c>
      <c r="BB521" s="3199">
        <f t="shared" si="333"/>
        <v>0</v>
      </c>
      <c r="BC521" s="3199">
        <f t="shared" si="334"/>
        <v>0</v>
      </c>
      <c r="BD521" s="3199">
        <f t="shared" si="335"/>
        <v>0</v>
      </c>
      <c r="BE521" s="3199">
        <f t="shared" si="336"/>
        <v>0</v>
      </c>
      <c r="BF521" s="3199">
        <f t="shared" si="337"/>
        <v>0</v>
      </c>
      <c r="BG521" s="3199">
        <f t="shared" si="338"/>
        <v>0</v>
      </c>
      <c r="BH521" s="3199">
        <f t="shared" si="339"/>
        <v>0</v>
      </c>
      <c r="BI521" s="3199">
        <f t="shared" si="340"/>
        <v>0</v>
      </c>
      <c r="BJ521" s="3199">
        <f t="shared" si="341"/>
        <v>0</v>
      </c>
      <c r="BK521" s="3199">
        <f t="shared" si="342"/>
        <v>0</v>
      </c>
      <c r="BL521" s="3199">
        <f t="shared" si="343"/>
        <v>0</v>
      </c>
      <c r="BM521" s="3199">
        <f t="shared" si="344"/>
        <v>0</v>
      </c>
      <c r="BN521" s="3199">
        <f t="shared" si="345"/>
        <v>0</v>
      </c>
      <c r="BO521" s="3199">
        <f t="shared" si="346"/>
        <v>0</v>
      </c>
      <c r="BP521" s="3199">
        <f t="shared" si="347"/>
        <v>0</v>
      </c>
      <c r="BQ521" s="3199">
        <f t="shared" si="348"/>
        <v>0</v>
      </c>
      <c r="BR521" s="3199">
        <f t="shared" si="349"/>
        <v>0</v>
      </c>
      <c r="BS521" s="3199">
        <f t="shared" si="350"/>
        <v>0</v>
      </c>
      <c r="BT521" s="3271">
        <f t="shared" si="351"/>
        <v>0</v>
      </c>
    </row>
    <row r="522" spans="1:72">
      <c r="A522" s="3197"/>
      <c r="B522" s="3198"/>
      <c r="C522" s="3198"/>
      <c r="D522" s="3193"/>
      <c r="E522" s="3199">
        <f t="shared" si="323"/>
        <v>0</v>
      </c>
      <c r="F522" s="3200"/>
      <c r="G522" s="3201">
        <f t="shared" si="327"/>
        <v>0</v>
      </c>
      <c r="H522" s="3202">
        <f t="shared" si="328"/>
        <v>0</v>
      </c>
      <c r="I522" s="3218"/>
      <c r="J522" s="3218"/>
      <c r="K522" s="3218"/>
      <c r="L522" s="3218"/>
      <c r="M522" s="3218"/>
      <c r="N522" s="3218"/>
      <c r="O522" s="3218"/>
      <c r="P522" s="3218"/>
      <c r="Q522" s="3218"/>
      <c r="R522" s="3218"/>
      <c r="S522" s="3218"/>
      <c r="T522" s="3218"/>
      <c r="U522" s="3218"/>
      <c r="V522" s="3218"/>
      <c r="W522" s="3218"/>
      <c r="X522" s="3218"/>
      <c r="Y522" s="3218"/>
      <c r="Z522" s="3218"/>
      <c r="AA522" s="3218"/>
      <c r="AB522" s="3218"/>
      <c r="AC522" s="3199">
        <f t="shared" si="329"/>
        <v>0</v>
      </c>
      <c r="AD522" s="3229"/>
      <c r="AE522" s="3229"/>
      <c r="AF522" s="3229"/>
      <c r="AG522" s="3229"/>
      <c r="AH522" s="3229"/>
      <c r="AI522" s="3229"/>
      <c r="AJ522" s="3229"/>
      <c r="AK522" s="3229"/>
      <c r="AL522" s="3229"/>
      <c r="AM522" s="3229"/>
      <c r="AN522" s="3229"/>
      <c r="AO522" s="3229"/>
      <c r="AP522" s="3229"/>
      <c r="AQ522" s="3229"/>
      <c r="AR522" s="3229"/>
      <c r="AS522" s="3229"/>
      <c r="AT522" s="3249"/>
      <c r="AU522" s="3250"/>
      <c r="AV522" s="475">
        <f t="shared" si="324"/>
        <v>0</v>
      </c>
      <c r="AW522" s="475">
        <f t="shared" si="325"/>
        <v>0</v>
      </c>
      <c r="AX522" s="475">
        <f t="shared" si="326"/>
        <v>0</v>
      </c>
      <c r="AY522" s="3266">
        <f t="shared" si="330"/>
        <v>0</v>
      </c>
      <c r="AZ522" s="3199">
        <f t="shared" si="331"/>
        <v>0</v>
      </c>
      <c r="BA522" s="3199">
        <f t="shared" si="332"/>
        <v>0</v>
      </c>
      <c r="BB522" s="3199">
        <f t="shared" si="333"/>
        <v>0</v>
      </c>
      <c r="BC522" s="3199">
        <f t="shared" si="334"/>
        <v>0</v>
      </c>
      <c r="BD522" s="3199">
        <f t="shared" si="335"/>
        <v>0</v>
      </c>
      <c r="BE522" s="3199">
        <f t="shared" si="336"/>
        <v>0</v>
      </c>
      <c r="BF522" s="3199">
        <f t="shared" si="337"/>
        <v>0</v>
      </c>
      <c r="BG522" s="3199">
        <f t="shared" si="338"/>
        <v>0</v>
      </c>
      <c r="BH522" s="3199">
        <f t="shared" si="339"/>
        <v>0</v>
      </c>
      <c r="BI522" s="3199">
        <f t="shared" si="340"/>
        <v>0</v>
      </c>
      <c r="BJ522" s="3199">
        <f t="shared" si="341"/>
        <v>0</v>
      </c>
      <c r="BK522" s="3199">
        <f t="shared" si="342"/>
        <v>0</v>
      </c>
      <c r="BL522" s="3199">
        <f t="shared" si="343"/>
        <v>0</v>
      </c>
      <c r="BM522" s="3199">
        <f t="shared" si="344"/>
        <v>0</v>
      </c>
      <c r="BN522" s="3199">
        <f t="shared" si="345"/>
        <v>0</v>
      </c>
      <c r="BO522" s="3199">
        <f t="shared" si="346"/>
        <v>0</v>
      </c>
      <c r="BP522" s="3199">
        <f t="shared" si="347"/>
        <v>0</v>
      </c>
      <c r="BQ522" s="3199">
        <f t="shared" si="348"/>
        <v>0</v>
      </c>
      <c r="BR522" s="3199">
        <f t="shared" si="349"/>
        <v>0</v>
      </c>
      <c r="BS522" s="3199">
        <f t="shared" si="350"/>
        <v>0</v>
      </c>
      <c r="BT522" s="3271">
        <f t="shared" si="351"/>
        <v>0</v>
      </c>
    </row>
    <row r="523" spans="1:72">
      <c r="A523" s="3197"/>
      <c r="B523" s="3198"/>
      <c r="C523" s="3198"/>
      <c r="D523" s="3193"/>
      <c r="E523" s="3199">
        <f t="shared" si="323"/>
        <v>0</v>
      </c>
      <c r="F523" s="3200"/>
      <c r="G523" s="3201">
        <f t="shared" si="327"/>
        <v>0</v>
      </c>
      <c r="H523" s="3202">
        <f t="shared" si="328"/>
        <v>0</v>
      </c>
      <c r="I523" s="3218"/>
      <c r="J523" s="3218"/>
      <c r="K523" s="3218"/>
      <c r="L523" s="3218"/>
      <c r="M523" s="3218"/>
      <c r="N523" s="3218"/>
      <c r="O523" s="3218"/>
      <c r="P523" s="3218"/>
      <c r="Q523" s="3218"/>
      <c r="R523" s="3218"/>
      <c r="S523" s="3218"/>
      <c r="T523" s="3218"/>
      <c r="U523" s="3218"/>
      <c r="V523" s="3218"/>
      <c r="W523" s="3218"/>
      <c r="X523" s="3218"/>
      <c r="Y523" s="3218"/>
      <c r="Z523" s="3218"/>
      <c r="AA523" s="3218"/>
      <c r="AB523" s="3218"/>
      <c r="AC523" s="3199">
        <f t="shared" si="329"/>
        <v>0</v>
      </c>
      <c r="AD523" s="3229"/>
      <c r="AE523" s="3229"/>
      <c r="AF523" s="3229"/>
      <c r="AG523" s="3229"/>
      <c r="AH523" s="3229"/>
      <c r="AI523" s="3229"/>
      <c r="AJ523" s="3229"/>
      <c r="AK523" s="3229"/>
      <c r="AL523" s="3229"/>
      <c r="AM523" s="3229"/>
      <c r="AN523" s="3229"/>
      <c r="AO523" s="3229"/>
      <c r="AP523" s="3229"/>
      <c r="AQ523" s="3229"/>
      <c r="AR523" s="3229"/>
      <c r="AS523" s="3229"/>
      <c r="AT523" s="3249"/>
      <c r="AU523" s="3250"/>
      <c r="AV523" s="475">
        <f t="shared" si="324"/>
        <v>0</v>
      </c>
      <c r="AW523" s="475">
        <f t="shared" si="325"/>
        <v>0</v>
      </c>
      <c r="AX523" s="475">
        <f t="shared" si="326"/>
        <v>0</v>
      </c>
      <c r="AY523" s="3266">
        <f t="shared" si="330"/>
        <v>0</v>
      </c>
      <c r="AZ523" s="3199">
        <f t="shared" si="331"/>
        <v>0</v>
      </c>
      <c r="BA523" s="3199">
        <f t="shared" si="332"/>
        <v>0</v>
      </c>
      <c r="BB523" s="3199">
        <f t="shared" si="333"/>
        <v>0</v>
      </c>
      <c r="BC523" s="3199">
        <f t="shared" si="334"/>
        <v>0</v>
      </c>
      <c r="BD523" s="3199">
        <f t="shared" si="335"/>
        <v>0</v>
      </c>
      <c r="BE523" s="3199">
        <f t="shared" si="336"/>
        <v>0</v>
      </c>
      <c r="BF523" s="3199">
        <f t="shared" si="337"/>
        <v>0</v>
      </c>
      <c r="BG523" s="3199">
        <f t="shared" si="338"/>
        <v>0</v>
      </c>
      <c r="BH523" s="3199">
        <f t="shared" si="339"/>
        <v>0</v>
      </c>
      <c r="BI523" s="3199">
        <f t="shared" si="340"/>
        <v>0</v>
      </c>
      <c r="BJ523" s="3199">
        <f t="shared" si="341"/>
        <v>0</v>
      </c>
      <c r="BK523" s="3199">
        <f t="shared" si="342"/>
        <v>0</v>
      </c>
      <c r="BL523" s="3199">
        <f t="shared" si="343"/>
        <v>0</v>
      </c>
      <c r="BM523" s="3199">
        <f t="shared" si="344"/>
        <v>0</v>
      </c>
      <c r="BN523" s="3199">
        <f t="shared" si="345"/>
        <v>0</v>
      </c>
      <c r="BO523" s="3199">
        <f t="shared" si="346"/>
        <v>0</v>
      </c>
      <c r="BP523" s="3199">
        <f t="shared" si="347"/>
        <v>0</v>
      </c>
      <c r="BQ523" s="3199">
        <f t="shared" si="348"/>
        <v>0</v>
      </c>
      <c r="BR523" s="3199">
        <f t="shared" si="349"/>
        <v>0</v>
      </c>
      <c r="BS523" s="3199">
        <f t="shared" si="350"/>
        <v>0</v>
      </c>
      <c r="BT523" s="3271">
        <f t="shared" si="351"/>
        <v>0</v>
      </c>
    </row>
    <row r="524" spans="1:72">
      <c r="A524" s="3197"/>
      <c r="B524" s="3198"/>
      <c r="C524" s="3198"/>
      <c r="D524" s="3193"/>
      <c r="E524" s="3199">
        <f t="shared" si="323"/>
        <v>0</v>
      </c>
      <c r="F524" s="3200"/>
      <c r="G524" s="3201">
        <f t="shared" si="327"/>
        <v>0</v>
      </c>
      <c r="H524" s="3202">
        <f t="shared" si="328"/>
        <v>0</v>
      </c>
      <c r="I524" s="3218"/>
      <c r="J524" s="3218"/>
      <c r="K524" s="3218"/>
      <c r="L524" s="3218"/>
      <c r="M524" s="3218"/>
      <c r="N524" s="3218"/>
      <c r="O524" s="3218"/>
      <c r="P524" s="3218"/>
      <c r="Q524" s="3218"/>
      <c r="R524" s="3218"/>
      <c r="S524" s="3218"/>
      <c r="T524" s="3218"/>
      <c r="U524" s="3218"/>
      <c r="V524" s="3218"/>
      <c r="W524" s="3218"/>
      <c r="X524" s="3218"/>
      <c r="Y524" s="3218"/>
      <c r="Z524" s="3218"/>
      <c r="AA524" s="3218"/>
      <c r="AB524" s="3218"/>
      <c r="AC524" s="3199">
        <f t="shared" si="329"/>
        <v>0</v>
      </c>
      <c r="AD524" s="3229"/>
      <c r="AE524" s="3229"/>
      <c r="AF524" s="3229"/>
      <c r="AG524" s="3229"/>
      <c r="AH524" s="3229"/>
      <c r="AI524" s="3229"/>
      <c r="AJ524" s="3229"/>
      <c r="AK524" s="3229"/>
      <c r="AL524" s="3229"/>
      <c r="AM524" s="3229"/>
      <c r="AN524" s="3229"/>
      <c r="AO524" s="3229"/>
      <c r="AP524" s="3229"/>
      <c r="AQ524" s="3229"/>
      <c r="AR524" s="3229"/>
      <c r="AS524" s="3229"/>
      <c r="AT524" s="3249"/>
      <c r="AU524" s="3250"/>
      <c r="AV524" s="475">
        <f t="shared" si="324"/>
        <v>0</v>
      </c>
      <c r="AW524" s="475">
        <f t="shared" si="325"/>
        <v>0</v>
      </c>
      <c r="AX524" s="475">
        <f t="shared" si="326"/>
        <v>0</v>
      </c>
      <c r="AY524" s="3266">
        <f t="shared" si="330"/>
        <v>0</v>
      </c>
      <c r="AZ524" s="3199">
        <f t="shared" si="331"/>
        <v>0</v>
      </c>
      <c r="BA524" s="3199">
        <f t="shared" si="332"/>
        <v>0</v>
      </c>
      <c r="BB524" s="3199">
        <f t="shared" si="333"/>
        <v>0</v>
      </c>
      <c r="BC524" s="3199">
        <f t="shared" si="334"/>
        <v>0</v>
      </c>
      <c r="BD524" s="3199">
        <f t="shared" si="335"/>
        <v>0</v>
      </c>
      <c r="BE524" s="3199">
        <f t="shared" si="336"/>
        <v>0</v>
      </c>
      <c r="BF524" s="3199">
        <f t="shared" si="337"/>
        <v>0</v>
      </c>
      <c r="BG524" s="3199">
        <f t="shared" si="338"/>
        <v>0</v>
      </c>
      <c r="BH524" s="3199">
        <f t="shared" si="339"/>
        <v>0</v>
      </c>
      <c r="BI524" s="3199">
        <f t="shared" si="340"/>
        <v>0</v>
      </c>
      <c r="BJ524" s="3199">
        <f t="shared" si="341"/>
        <v>0</v>
      </c>
      <c r="BK524" s="3199">
        <f t="shared" si="342"/>
        <v>0</v>
      </c>
      <c r="BL524" s="3199">
        <f t="shared" si="343"/>
        <v>0</v>
      </c>
      <c r="BM524" s="3199">
        <f t="shared" si="344"/>
        <v>0</v>
      </c>
      <c r="BN524" s="3199">
        <f t="shared" si="345"/>
        <v>0</v>
      </c>
      <c r="BO524" s="3199">
        <f t="shared" si="346"/>
        <v>0</v>
      </c>
      <c r="BP524" s="3199">
        <f t="shared" si="347"/>
        <v>0</v>
      </c>
      <c r="BQ524" s="3199">
        <f t="shared" si="348"/>
        <v>0</v>
      </c>
      <c r="BR524" s="3199">
        <f t="shared" si="349"/>
        <v>0</v>
      </c>
      <c r="BS524" s="3199">
        <f t="shared" si="350"/>
        <v>0</v>
      </c>
      <c r="BT524" s="3271">
        <f t="shared" si="351"/>
        <v>0</v>
      </c>
    </row>
    <row r="525" spans="1:72">
      <c r="A525" s="3197"/>
      <c r="B525" s="3198"/>
      <c r="C525" s="3198"/>
      <c r="D525" s="3193"/>
      <c r="E525" s="3199">
        <f t="shared" si="323"/>
        <v>0</v>
      </c>
      <c r="F525" s="3200"/>
      <c r="G525" s="3201">
        <f t="shared" si="327"/>
        <v>0</v>
      </c>
      <c r="H525" s="3202">
        <f t="shared" si="328"/>
        <v>0</v>
      </c>
      <c r="I525" s="3218"/>
      <c r="J525" s="3218"/>
      <c r="K525" s="3218"/>
      <c r="L525" s="3218"/>
      <c r="M525" s="3218"/>
      <c r="N525" s="3218"/>
      <c r="O525" s="3218"/>
      <c r="P525" s="3218"/>
      <c r="Q525" s="3218"/>
      <c r="R525" s="3218"/>
      <c r="S525" s="3218"/>
      <c r="T525" s="3218"/>
      <c r="U525" s="3218"/>
      <c r="V525" s="3218"/>
      <c r="W525" s="3218"/>
      <c r="X525" s="3218"/>
      <c r="Y525" s="3218"/>
      <c r="Z525" s="3218"/>
      <c r="AA525" s="3218"/>
      <c r="AB525" s="3218"/>
      <c r="AC525" s="3199">
        <f t="shared" si="329"/>
        <v>0</v>
      </c>
      <c r="AD525" s="3229"/>
      <c r="AE525" s="3229"/>
      <c r="AF525" s="3229"/>
      <c r="AG525" s="3229"/>
      <c r="AH525" s="3229"/>
      <c r="AI525" s="3229"/>
      <c r="AJ525" s="3229"/>
      <c r="AK525" s="3229"/>
      <c r="AL525" s="3229"/>
      <c r="AM525" s="3229"/>
      <c r="AN525" s="3229"/>
      <c r="AO525" s="3229"/>
      <c r="AP525" s="3229"/>
      <c r="AQ525" s="3229"/>
      <c r="AR525" s="3229"/>
      <c r="AS525" s="3229"/>
      <c r="AT525" s="3249"/>
      <c r="AU525" s="3250"/>
      <c r="AV525" s="475">
        <f t="shared" si="324"/>
        <v>0</v>
      </c>
      <c r="AW525" s="475">
        <f t="shared" si="325"/>
        <v>0</v>
      </c>
      <c r="AX525" s="475">
        <f t="shared" si="326"/>
        <v>0</v>
      </c>
      <c r="AY525" s="3266">
        <f t="shared" si="330"/>
        <v>0</v>
      </c>
      <c r="AZ525" s="3199">
        <f t="shared" si="331"/>
        <v>0</v>
      </c>
      <c r="BA525" s="3199">
        <f t="shared" si="332"/>
        <v>0</v>
      </c>
      <c r="BB525" s="3199">
        <f t="shared" si="333"/>
        <v>0</v>
      </c>
      <c r="BC525" s="3199">
        <f t="shared" si="334"/>
        <v>0</v>
      </c>
      <c r="BD525" s="3199">
        <f t="shared" si="335"/>
        <v>0</v>
      </c>
      <c r="BE525" s="3199">
        <f t="shared" si="336"/>
        <v>0</v>
      </c>
      <c r="BF525" s="3199">
        <f t="shared" si="337"/>
        <v>0</v>
      </c>
      <c r="BG525" s="3199">
        <f t="shared" si="338"/>
        <v>0</v>
      </c>
      <c r="BH525" s="3199">
        <f t="shared" si="339"/>
        <v>0</v>
      </c>
      <c r="BI525" s="3199">
        <f t="shared" si="340"/>
        <v>0</v>
      </c>
      <c r="BJ525" s="3199">
        <f t="shared" si="341"/>
        <v>0</v>
      </c>
      <c r="BK525" s="3199">
        <f t="shared" si="342"/>
        <v>0</v>
      </c>
      <c r="BL525" s="3199">
        <f t="shared" si="343"/>
        <v>0</v>
      </c>
      <c r="BM525" s="3199">
        <f t="shared" si="344"/>
        <v>0</v>
      </c>
      <c r="BN525" s="3199">
        <f t="shared" si="345"/>
        <v>0</v>
      </c>
      <c r="BO525" s="3199">
        <f t="shared" si="346"/>
        <v>0</v>
      </c>
      <c r="BP525" s="3199">
        <f t="shared" si="347"/>
        <v>0</v>
      </c>
      <c r="BQ525" s="3199">
        <f t="shared" si="348"/>
        <v>0</v>
      </c>
      <c r="BR525" s="3199">
        <f t="shared" si="349"/>
        <v>0</v>
      </c>
      <c r="BS525" s="3199">
        <f t="shared" si="350"/>
        <v>0</v>
      </c>
      <c r="BT525" s="3271">
        <f t="shared" si="351"/>
        <v>0</v>
      </c>
    </row>
    <row r="526" spans="1:72">
      <c r="A526" s="3197"/>
      <c r="B526" s="3198"/>
      <c r="C526" s="3198"/>
      <c r="D526" s="3193"/>
      <c r="E526" s="3199">
        <f t="shared" si="323"/>
        <v>0</v>
      </c>
      <c r="F526" s="3200"/>
      <c r="G526" s="3201">
        <f t="shared" si="327"/>
        <v>0</v>
      </c>
      <c r="H526" s="3202">
        <f t="shared" si="328"/>
        <v>0</v>
      </c>
      <c r="I526" s="3218"/>
      <c r="J526" s="3218"/>
      <c r="K526" s="3218"/>
      <c r="L526" s="3218"/>
      <c r="M526" s="3218"/>
      <c r="N526" s="3218"/>
      <c r="O526" s="3218"/>
      <c r="P526" s="3218"/>
      <c r="Q526" s="3218"/>
      <c r="R526" s="3218"/>
      <c r="S526" s="3218"/>
      <c r="T526" s="3218"/>
      <c r="U526" s="3218"/>
      <c r="V526" s="3218"/>
      <c r="W526" s="3218"/>
      <c r="X526" s="3218"/>
      <c r="Y526" s="3218"/>
      <c r="Z526" s="3218"/>
      <c r="AA526" s="3218"/>
      <c r="AB526" s="3218"/>
      <c r="AC526" s="3199">
        <f t="shared" si="329"/>
        <v>0</v>
      </c>
      <c r="AD526" s="3229"/>
      <c r="AE526" s="3229"/>
      <c r="AF526" s="3229"/>
      <c r="AG526" s="3229"/>
      <c r="AH526" s="3229"/>
      <c r="AI526" s="3229"/>
      <c r="AJ526" s="3229"/>
      <c r="AK526" s="3229"/>
      <c r="AL526" s="3229"/>
      <c r="AM526" s="3229"/>
      <c r="AN526" s="3229"/>
      <c r="AO526" s="3229"/>
      <c r="AP526" s="3229"/>
      <c r="AQ526" s="3229"/>
      <c r="AR526" s="3229"/>
      <c r="AS526" s="3229"/>
      <c r="AT526" s="3249"/>
      <c r="AU526" s="3250"/>
      <c r="AV526" s="475">
        <f t="shared" si="324"/>
        <v>0</v>
      </c>
      <c r="AW526" s="475">
        <f t="shared" si="325"/>
        <v>0</v>
      </c>
      <c r="AX526" s="475">
        <f t="shared" si="326"/>
        <v>0</v>
      </c>
      <c r="AY526" s="3266">
        <f t="shared" si="330"/>
        <v>0</v>
      </c>
      <c r="AZ526" s="3199">
        <f t="shared" si="331"/>
        <v>0</v>
      </c>
      <c r="BA526" s="3199">
        <f t="shared" si="332"/>
        <v>0</v>
      </c>
      <c r="BB526" s="3199">
        <f t="shared" si="333"/>
        <v>0</v>
      </c>
      <c r="BC526" s="3199">
        <f t="shared" si="334"/>
        <v>0</v>
      </c>
      <c r="BD526" s="3199">
        <f t="shared" si="335"/>
        <v>0</v>
      </c>
      <c r="BE526" s="3199">
        <f t="shared" si="336"/>
        <v>0</v>
      </c>
      <c r="BF526" s="3199">
        <f t="shared" si="337"/>
        <v>0</v>
      </c>
      <c r="BG526" s="3199">
        <f t="shared" si="338"/>
        <v>0</v>
      </c>
      <c r="BH526" s="3199">
        <f t="shared" si="339"/>
        <v>0</v>
      </c>
      <c r="BI526" s="3199">
        <f t="shared" si="340"/>
        <v>0</v>
      </c>
      <c r="BJ526" s="3199">
        <f t="shared" si="341"/>
        <v>0</v>
      </c>
      <c r="BK526" s="3199">
        <f t="shared" si="342"/>
        <v>0</v>
      </c>
      <c r="BL526" s="3199">
        <f t="shared" si="343"/>
        <v>0</v>
      </c>
      <c r="BM526" s="3199">
        <f t="shared" si="344"/>
        <v>0</v>
      </c>
      <c r="BN526" s="3199">
        <f t="shared" si="345"/>
        <v>0</v>
      </c>
      <c r="BO526" s="3199">
        <f t="shared" si="346"/>
        <v>0</v>
      </c>
      <c r="BP526" s="3199">
        <f t="shared" si="347"/>
        <v>0</v>
      </c>
      <c r="BQ526" s="3199">
        <f t="shared" si="348"/>
        <v>0</v>
      </c>
      <c r="BR526" s="3199">
        <f t="shared" si="349"/>
        <v>0</v>
      </c>
      <c r="BS526" s="3199">
        <f t="shared" si="350"/>
        <v>0</v>
      </c>
      <c r="BT526" s="3271">
        <f t="shared" si="351"/>
        <v>0</v>
      </c>
    </row>
    <row r="527" spans="1:72">
      <c r="A527" s="3197"/>
      <c r="B527" s="3198"/>
      <c r="C527" s="3198"/>
      <c r="D527" s="3193"/>
      <c r="E527" s="3199">
        <f t="shared" si="323"/>
        <v>0</v>
      </c>
      <c r="F527" s="3200"/>
      <c r="G527" s="3201">
        <f t="shared" si="327"/>
        <v>0</v>
      </c>
      <c r="H527" s="3202">
        <f t="shared" si="328"/>
        <v>0</v>
      </c>
      <c r="I527" s="3218"/>
      <c r="J527" s="3218"/>
      <c r="K527" s="3218"/>
      <c r="L527" s="3218"/>
      <c r="M527" s="3218"/>
      <c r="N527" s="3218"/>
      <c r="O527" s="3218"/>
      <c r="P527" s="3218"/>
      <c r="Q527" s="3218"/>
      <c r="R527" s="3218"/>
      <c r="S527" s="3218"/>
      <c r="T527" s="3218"/>
      <c r="U527" s="3218"/>
      <c r="V527" s="3218"/>
      <c r="W527" s="3218"/>
      <c r="X527" s="3218"/>
      <c r="Y527" s="3218"/>
      <c r="Z527" s="3218"/>
      <c r="AA527" s="3218"/>
      <c r="AB527" s="3218"/>
      <c r="AC527" s="3199">
        <f t="shared" si="329"/>
        <v>0</v>
      </c>
      <c r="AD527" s="3229"/>
      <c r="AE527" s="3229"/>
      <c r="AF527" s="3229"/>
      <c r="AG527" s="3229"/>
      <c r="AH527" s="3229"/>
      <c r="AI527" s="3229"/>
      <c r="AJ527" s="3229"/>
      <c r="AK527" s="3229"/>
      <c r="AL527" s="3229"/>
      <c r="AM527" s="3229"/>
      <c r="AN527" s="3229"/>
      <c r="AO527" s="3229"/>
      <c r="AP527" s="3229"/>
      <c r="AQ527" s="3229"/>
      <c r="AR527" s="3229"/>
      <c r="AS527" s="3229"/>
      <c r="AT527" s="3249"/>
      <c r="AU527" s="3250"/>
      <c r="AV527" s="475">
        <f t="shared" si="324"/>
        <v>0</v>
      </c>
      <c r="AW527" s="475">
        <f t="shared" si="325"/>
        <v>0</v>
      </c>
      <c r="AX527" s="475">
        <f t="shared" si="326"/>
        <v>0</v>
      </c>
      <c r="AY527" s="3266">
        <f t="shared" si="330"/>
        <v>0</v>
      </c>
      <c r="AZ527" s="3199">
        <f t="shared" si="331"/>
        <v>0</v>
      </c>
      <c r="BA527" s="3199">
        <f t="shared" si="332"/>
        <v>0</v>
      </c>
      <c r="BB527" s="3199">
        <f t="shared" si="333"/>
        <v>0</v>
      </c>
      <c r="BC527" s="3199">
        <f t="shared" si="334"/>
        <v>0</v>
      </c>
      <c r="BD527" s="3199">
        <f t="shared" si="335"/>
        <v>0</v>
      </c>
      <c r="BE527" s="3199">
        <f t="shared" si="336"/>
        <v>0</v>
      </c>
      <c r="BF527" s="3199">
        <f t="shared" si="337"/>
        <v>0</v>
      </c>
      <c r="BG527" s="3199">
        <f t="shared" si="338"/>
        <v>0</v>
      </c>
      <c r="BH527" s="3199">
        <f t="shared" si="339"/>
        <v>0</v>
      </c>
      <c r="BI527" s="3199">
        <f t="shared" si="340"/>
        <v>0</v>
      </c>
      <c r="BJ527" s="3199">
        <f t="shared" si="341"/>
        <v>0</v>
      </c>
      <c r="BK527" s="3199">
        <f t="shared" si="342"/>
        <v>0</v>
      </c>
      <c r="BL527" s="3199">
        <f t="shared" si="343"/>
        <v>0</v>
      </c>
      <c r="BM527" s="3199">
        <f t="shared" si="344"/>
        <v>0</v>
      </c>
      <c r="BN527" s="3199">
        <f t="shared" si="345"/>
        <v>0</v>
      </c>
      <c r="BO527" s="3199">
        <f t="shared" si="346"/>
        <v>0</v>
      </c>
      <c r="BP527" s="3199">
        <f t="shared" si="347"/>
        <v>0</v>
      </c>
      <c r="BQ527" s="3199">
        <f t="shared" si="348"/>
        <v>0</v>
      </c>
      <c r="BR527" s="3199">
        <f t="shared" si="349"/>
        <v>0</v>
      </c>
      <c r="BS527" s="3199">
        <f t="shared" si="350"/>
        <v>0</v>
      </c>
      <c r="BT527" s="3271">
        <f t="shared" si="351"/>
        <v>0</v>
      </c>
    </row>
    <row r="528" spans="1:72">
      <c r="A528" s="3197"/>
      <c r="B528" s="3198"/>
      <c r="C528" s="3198"/>
      <c r="D528" s="3193"/>
      <c r="E528" s="3199">
        <f t="shared" si="323"/>
        <v>0</v>
      </c>
      <c r="F528" s="3200"/>
      <c r="G528" s="3201">
        <f t="shared" si="327"/>
        <v>0</v>
      </c>
      <c r="H528" s="3202">
        <f t="shared" si="328"/>
        <v>0</v>
      </c>
      <c r="I528" s="3218"/>
      <c r="J528" s="3218"/>
      <c r="K528" s="3218"/>
      <c r="L528" s="3218"/>
      <c r="M528" s="3218"/>
      <c r="N528" s="3218"/>
      <c r="O528" s="3218"/>
      <c r="P528" s="3218"/>
      <c r="Q528" s="3218"/>
      <c r="R528" s="3218"/>
      <c r="S528" s="3218"/>
      <c r="T528" s="3218"/>
      <c r="U528" s="3218"/>
      <c r="V528" s="3218"/>
      <c r="W528" s="3218"/>
      <c r="X528" s="3218"/>
      <c r="Y528" s="3218"/>
      <c r="Z528" s="3218"/>
      <c r="AA528" s="3218"/>
      <c r="AB528" s="3218"/>
      <c r="AC528" s="3199">
        <f t="shared" si="329"/>
        <v>0</v>
      </c>
      <c r="AD528" s="3229"/>
      <c r="AE528" s="3229"/>
      <c r="AF528" s="3229"/>
      <c r="AG528" s="3229"/>
      <c r="AH528" s="3229"/>
      <c r="AI528" s="3229"/>
      <c r="AJ528" s="3229"/>
      <c r="AK528" s="3229"/>
      <c r="AL528" s="3229"/>
      <c r="AM528" s="3229"/>
      <c r="AN528" s="3229"/>
      <c r="AO528" s="3229"/>
      <c r="AP528" s="3229"/>
      <c r="AQ528" s="3229"/>
      <c r="AR528" s="3229"/>
      <c r="AS528" s="3229"/>
      <c r="AT528" s="3249"/>
      <c r="AU528" s="3250"/>
      <c r="AV528" s="475">
        <f t="shared" si="324"/>
        <v>0</v>
      </c>
      <c r="AW528" s="475">
        <f t="shared" si="325"/>
        <v>0</v>
      </c>
      <c r="AX528" s="475">
        <f t="shared" si="326"/>
        <v>0</v>
      </c>
      <c r="AY528" s="3266">
        <f t="shared" si="330"/>
        <v>0</v>
      </c>
      <c r="AZ528" s="3199">
        <f t="shared" si="331"/>
        <v>0</v>
      </c>
      <c r="BA528" s="3199">
        <f t="shared" si="332"/>
        <v>0</v>
      </c>
      <c r="BB528" s="3199">
        <f t="shared" si="333"/>
        <v>0</v>
      </c>
      <c r="BC528" s="3199">
        <f t="shared" si="334"/>
        <v>0</v>
      </c>
      <c r="BD528" s="3199">
        <f t="shared" si="335"/>
        <v>0</v>
      </c>
      <c r="BE528" s="3199">
        <f t="shared" si="336"/>
        <v>0</v>
      </c>
      <c r="BF528" s="3199">
        <f t="shared" si="337"/>
        <v>0</v>
      </c>
      <c r="BG528" s="3199">
        <f t="shared" si="338"/>
        <v>0</v>
      </c>
      <c r="BH528" s="3199">
        <f t="shared" si="339"/>
        <v>0</v>
      </c>
      <c r="BI528" s="3199">
        <f t="shared" si="340"/>
        <v>0</v>
      </c>
      <c r="BJ528" s="3199">
        <f t="shared" si="341"/>
        <v>0</v>
      </c>
      <c r="BK528" s="3199">
        <f t="shared" si="342"/>
        <v>0</v>
      </c>
      <c r="BL528" s="3199">
        <f t="shared" si="343"/>
        <v>0</v>
      </c>
      <c r="BM528" s="3199">
        <f t="shared" si="344"/>
        <v>0</v>
      </c>
      <c r="BN528" s="3199">
        <f t="shared" si="345"/>
        <v>0</v>
      </c>
      <c r="BO528" s="3199">
        <f t="shared" si="346"/>
        <v>0</v>
      </c>
      <c r="BP528" s="3199">
        <f t="shared" si="347"/>
        <v>0</v>
      </c>
      <c r="BQ528" s="3199">
        <f t="shared" si="348"/>
        <v>0</v>
      </c>
      <c r="BR528" s="3199">
        <f t="shared" si="349"/>
        <v>0</v>
      </c>
      <c r="BS528" s="3199">
        <f t="shared" si="350"/>
        <v>0</v>
      </c>
      <c r="BT528" s="3271">
        <f t="shared" si="351"/>
        <v>0</v>
      </c>
    </row>
    <row r="529" spans="1:72">
      <c r="A529" s="3197"/>
      <c r="B529" s="3198"/>
      <c r="C529" s="3198"/>
      <c r="D529" s="3193"/>
      <c r="E529" s="3199">
        <f t="shared" si="323"/>
        <v>0</v>
      </c>
      <c r="F529" s="3200"/>
      <c r="G529" s="3201">
        <f t="shared" si="327"/>
        <v>0</v>
      </c>
      <c r="H529" s="3202">
        <f t="shared" si="328"/>
        <v>0</v>
      </c>
      <c r="I529" s="3218"/>
      <c r="J529" s="3218"/>
      <c r="K529" s="3218"/>
      <c r="L529" s="3218"/>
      <c r="M529" s="3218"/>
      <c r="N529" s="3218"/>
      <c r="O529" s="3218"/>
      <c r="P529" s="3218"/>
      <c r="Q529" s="3218"/>
      <c r="R529" s="3218"/>
      <c r="S529" s="3218"/>
      <c r="T529" s="3218"/>
      <c r="U529" s="3218"/>
      <c r="V529" s="3218"/>
      <c r="W529" s="3218"/>
      <c r="X529" s="3218"/>
      <c r="Y529" s="3218"/>
      <c r="Z529" s="3218"/>
      <c r="AA529" s="3218"/>
      <c r="AB529" s="3218"/>
      <c r="AC529" s="3199">
        <f t="shared" si="329"/>
        <v>0</v>
      </c>
      <c r="AD529" s="3229"/>
      <c r="AE529" s="3229"/>
      <c r="AF529" s="3229"/>
      <c r="AG529" s="3229"/>
      <c r="AH529" s="3229"/>
      <c r="AI529" s="3229"/>
      <c r="AJ529" s="3229"/>
      <c r="AK529" s="3229"/>
      <c r="AL529" s="3229"/>
      <c r="AM529" s="3229"/>
      <c r="AN529" s="3229"/>
      <c r="AO529" s="3229"/>
      <c r="AP529" s="3229"/>
      <c r="AQ529" s="3229"/>
      <c r="AR529" s="3229"/>
      <c r="AS529" s="3229"/>
      <c r="AT529" s="3249"/>
      <c r="AU529" s="3250"/>
      <c r="AV529" s="475">
        <f t="shared" si="324"/>
        <v>0</v>
      </c>
      <c r="AW529" s="475">
        <f t="shared" si="325"/>
        <v>0</v>
      </c>
      <c r="AX529" s="475">
        <f t="shared" si="326"/>
        <v>0</v>
      </c>
      <c r="AY529" s="3266">
        <f t="shared" si="330"/>
        <v>0</v>
      </c>
      <c r="AZ529" s="3199">
        <f t="shared" si="331"/>
        <v>0</v>
      </c>
      <c r="BA529" s="3199">
        <f t="shared" si="332"/>
        <v>0</v>
      </c>
      <c r="BB529" s="3199">
        <f t="shared" si="333"/>
        <v>0</v>
      </c>
      <c r="BC529" s="3199">
        <f t="shared" si="334"/>
        <v>0</v>
      </c>
      <c r="BD529" s="3199">
        <f t="shared" si="335"/>
        <v>0</v>
      </c>
      <c r="BE529" s="3199">
        <f t="shared" si="336"/>
        <v>0</v>
      </c>
      <c r="BF529" s="3199">
        <f t="shared" si="337"/>
        <v>0</v>
      </c>
      <c r="BG529" s="3199">
        <f t="shared" si="338"/>
        <v>0</v>
      </c>
      <c r="BH529" s="3199">
        <f t="shared" si="339"/>
        <v>0</v>
      </c>
      <c r="BI529" s="3199">
        <f t="shared" si="340"/>
        <v>0</v>
      </c>
      <c r="BJ529" s="3199">
        <f t="shared" si="341"/>
        <v>0</v>
      </c>
      <c r="BK529" s="3199">
        <f t="shared" si="342"/>
        <v>0</v>
      </c>
      <c r="BL529" s="3199">
        <f t="shared" si="343"/>
        <v>0</v>
      </c>
      <c r="BM529" s="3199">
        <f t="shared" si="344"/>
        <v>0</v>
      </c>
      <c r="BN529" s="3199">
        <f t="shared" si="345"/>
        <v>0</v>
      </c>
      <c r="BO529" s="3199">
        <f t="shared" si="346"/>
        <v>0</v>
      </c>
      <c r="BP529" s="3199">
        <f t="shared" si="347"/>
        <v>0</v>
      </c>
      <c r="BQ529" s="3199">
        <f t="shared" si="348"/>
        <v>0</v>
      </c>
      <c r="BR529" s="3199">
        <f t="shared" si="349"/>
        <v>0</v>
      </c>
      <c r="BS529" s="3199">
        <f t="shared" si="350"/>
        <v>0</v>
      </c>
      <c r="BT529" s="3271">
        <f t="shared" si="351"/>
        <v>0</v>
      </c>
    </row>
    <row r="530" spans="1:72">
      <c r="A530" s="3197"/>
      <c r="B530" s="3198"/>
      <c r="C530" s="3198"/>
      <c r="D530" s="3193"/>
      <c r="E530" s="3199">
        <f t="shared" si="323"/>
        <v>0</v>
      </c>
      <c r="F530" s="3200"/>
      <c r="G530" s="3201">
        <f t="shared" si="327"/>
        <v>0</v>
      </c>
      <c r="H530" s="3202">
        <f t="shared" si="328"/>
        <v>0</v>
      </c>
      <c r="I530" s="3218"/>
      <c r="J530" s="3218"/>
      <c r="K530" s="3218"/>
      <c r="L530" s="3218"/>
      <c r="M530" s="3218"/>
      <c r="N530" s="3218"/>
      <c r="O530" s="3218"/>
      <c r="P530" s="3218"/>
      <c r="Q530" s="3218"/>
      <c r="R530" s="3218"/>
      <c r="S530" s="3218"/>
      <c r="T530" s="3218"/>
      <c r="U530" s="3218"/>
      <c r="V530" s="3218"/>
      <c r="W530" s="3218"/>
      <c r="X530" s="3218"/>
      <c r="Y530" s="3218"/>
      <c r="Z530" s="3218"/>
      <c r="AA530" s="3218"/>
      <c r="AB530" s="3218"/>
      <c r="AC530" s="3199">
        <f t="shared" si="329"/>
        <v>0</v>
      </c>
      <c r="AD530" s="3229"/>
      <c r="AE530" s="3229"/>
      <c r="AF530" s="3229"/>
      <c r="AG530" s="3229"/>
      <c r="AH530" s="3229"/>
      <c r="AI530" s="3229"/>
      <c r="AJ530" s="3229"/>
      <c r="AK530" s="3229"/>
      <c r="AL530" s="3229"/>
      <c r="AM530" s="3229"/>
      <c r="AN530" s="3229"/>
      <c r="AO530" s="3229"/>
      <c r="AP530" s="3229"/>
      <c r="AQ530" s="3229"/>
      <c r="AR530" s="3229"/>
      <c r="AS530" s="3229"/>
      <c r="AT530" s="3249"/>
      <c r="AU530" s="3250"/>
      <c r="AV530" s="475">
        <f t="shared" si="324"/>
        <v>0</v>
      </c>
      <c r="AW530" s="475">
        <f t="shared" si="325"/>
        <v>0</v>
      </c>
      <c r="AX530" s="475">
        <f t="shared" si="326"/>
        <v>0</v>
      </c>
      <c r="AY530" s="3266">
        <f t="shared" si="330"/>
        <v>0</v>
      </c>
      <c r="AZ530" s="3199">
        <f t="shared" si="331"/>
        <v>0</v>
      </c>
      <c r="BA530" s="3199">
        <f t="shared" si="332"/>
        <v>0</v>
      </c>
      <c r="BB530" s="3199">
        <f t="shared" si="333"/>
        <v>0</v>
      </c>
      <c r="BC530" s="3199">
        <f t="shared" si="334"/>
        <v>0</v>
      </c>
      <c r="BD530" s="3199">
        <f t="shared" si="335"/>
        <v>0</v>
      </c>
      <c r="BE530" s="3199">
        <f t="shared" si="336"/>
        <v>0</v>
      </c>
      <c r="BF530" s="3199">
        <f t="shared" si="337"/>
        <v>0</v>
      </c>
      <c r="BG530" s="3199">
        <f t="shared" si="338"/>
        <v>0</v>
      </c>
      <c r="BH530" s="3199">
        <f t="shared" si="339"/>
        <v>0</v>
      </c>
      <c r="BI530" s="3199">
        <f t="shared" si="340"/>
        <v>0</v>
      </c>
      <c r="BJ530" s="3199">
        <f t="shared" si="341"/>
        <v>0</v>
      </c>
      <c r="BK530" s="3199">
        <f t="shared" si="342"/>
        <v>0</v>
      </c>
      <c r="BL530" s="3199">
        <f t="shared" si="343"/>
        <v>0</v>
      </c>
      <c r="BM530" s="3199">
        <f t="shared" si="344"/>
        <v>0</v>
      </c>
      <c r="BN530" s="3199">
        <f t="shared" si="345"/>
        <v>0</v>
      </c>
      <c r="BO530" s="3199">
        <f t="shared" si="346"/>
        <v>0</v>
      </c>
      <c r="BP530" s="3199">
        <f t="shared" si="347"/>
        <v>0</v>
      </c>
      <c r="BQ530" s="3199">
        <f t="shared" si="348"/>
        <v>0</v>
      </c>
      <c r="BR530" s="3199">
        <f t="shared" si="349"/>
        <v>0</v>
      </c>
      <c r="BS530" s="3199">
        <f t="shared" si="350"/>
        <v>0</v>
      </c>
      <c r="BT530" s="3271">
        <f t="shared" si="351"/>
        <v>0</v>
      </c>
    </row>
    <row r="531" spans="1:72">
      <c r="A531" s="3197"/>
      <c r="B531" s="3198"/>
      <c r="C531" s="3198"/>
      <c r="D531" s="3193"/>
      <c r="E531" s="3199">
        <f t="shared" si="323"/>
        <v>0</v>
      </c>
      <c r="F531" s="3200"/>
      <c r="G531" s="3201">
        <f t="shared" si="327"/>
        <v>0</v>
      </c>
      <c r="H531" s="3202">
        <f t="shared" si="328"/>
        <v>0</v>
      </c>
      <c r="I531" s="3218"/>
      <c r="J531" s="3218"/>
      <c r="K531" s="3218"/>
      <c r="L531" s="3218"/>
      <c r="M531" s="3218"/>
      <c r="N531" s="3218"/>
      <c r="O531" s="3218"/>
      <c r="P531" s="3218"/>
      <c r="Q531" s="3218"/>
      <c r="R531" s="3218"/>
      <c r="S531" s="3218"/>
      <c r="T531" s="3218"/>
      <c r="U531" s="3218"/>
      <c r="V531" s="3218"/>
      <c r="W531" s="3218"/>
      <c r="X531" s="3218"/>
      <c r="Y531" s="3218"/>
      <c r="Z531" s="3218"/>
      <c r="AA531" s="3218"/>
      <c r="AB531" s="3218"/>
      <c r="AC531" s="3199">
        <f t="shared" si="329"/>
        <v>0</v>
      </c>
      <c r="AD531" s="3229"/>
      <c r="AE531" s="3229"/>
      <c r="AF531" s="3229"/>
      <c r="AG531" s="3229"/>
      <c r="AH531" s="3229"/>
      <c r="AI531" s="3229"/>
      <c r="AJ531" s="3229"/>
      <c r="AK531" s="3229"/>
      <c r="AL531" s="3229"/>
      <c r="AM531" s="3229"/>
      <c r="AN531" s="3229"/>
      <c r="AO531" s="3229"/>
      <c r="AP531" s="3229"/>
      <c r="AQ531" s="3229"/>
      <c r="AR531" s="3229"/>
      <c r="AS531" s="3229"/>
      <c r="AT531" s="3249"/>
      <c r="AU531" s="3250"/>
      <c r="AV531" s="475">
        <f t="shared" si="324"/>
        <v>0</v>
      </c>
      <c r="AW531" s="475">
        <f t="shared" si="325"/>
        <v>0</v>
      </c>
      <c r="AX531" s="475">
        <f t="shared" si="326"/>
        <v>0</v>
      </c>
      <c r="AY531" s="3266">
        <f t="shared" si="330"/>
        <v>0</v>
      </c>
      <c r="AZ531" s="3199">
        <f t="shared" si="331"/>
        <v>0</v>
      </c>
      <c r="BA531" s="3199">
        <f t="shared" si="332"/>
        <v>0</v>
      </c>
      <c r="BB531" s="3199">
        <f t="shared" si="333"/>
        <v>0</v>
      </c>
      <c r="BC531" s="3199">
        <f t="shared" si="334"/>
        <v>0</v>
      </c>
      <c r="BD531" s="3199">
        <f t="shared" si="335"/>
        <v>0</v>
      </c>
      <c r="BE531" s="3199">
        <f t="shared" si="336"/>
        <v>0</v>
      </c>
      <c r="BF531" s="3199">
        <f t="shared" si="337"/>
        <v>0</v>
      </c>
      <c r="BG531" s="3199">
        <f t="shared" si="338"/>
        <v>0</v>
      </c>
      <c r="BH531" s="3199">
        <f t="shared" si="339"/>
        <v>0</v>
      </c>
      <c r="BI531" s="3199">
        <f t="shared" si="340"/>
        <v>0</v>
      </c>
      <c r="BJ531" s="3199">
        <f t="shared" si="341"/>
        <v>0</v>
      </c>
      <c r="BK531" s="3199">
        <f t="shared" si="342"/>
        <v>0</v>
      </c>
      <c r="BL531" s="3199">
        <f t="shared" si="343"/>
        <v>0</v>
      </c>
      <c r="BM531" s="3199">
        <f t="shared" si="344"/>
        <v>0</v>
      </c>
      <c r="BN531" s="3199">
        <f t="shared" si="345"/>
        <v>0</v>
      </c>
      <c r="BO531" s="3199">
        <f t="shared" si="346"/>
        <v>0</v>
      </c>
      <c r="BP531" s="3199">
        <f t="shared" si="347"/>
        <v>0</v>
      </c>
      <c r="BQ531" s="3199">
        <f t="shared" si="348"/>
        <v>0</v>
      </c>
      <c r="BR531" s="3199">
        <f t="shared" si="349"/>
        <v>0</v>
      </c>
      <c r="BS531" s="3199">
        <f t="shared" si="350"/>
        <v>0</v>
      </c>
      <c r="BT531" s="3271">
        <f t="shared" si="351"/>
        <v>0</v>
      </c>
    </row>
    <row r="532" spans="1:72">
      <c r="A532" s="3197"/>
      <c r="B532" s="3198"/>
      <c r="C532" s="3198"/>
      <c r="D532" s="3193"/>
      <c r="E532" s="3199">
        <f t="shared" si="323"/>
        <v>0</v>
      </c>
      <c r="F532" s="3200"/>
      <c r="G532" s="3201">
        <f t="shared" si="327"/>
        <v>0</v>
      </c>
      <c r="H532" s="3202">
        <f t="shared" si="328"/>
        <v>0</v>
      </c>
      <c r="I532" s="3218"/>
      <c r="J532" s="3218"/>
      <c r="K532" s="3218"/>
      <c r="L532" s="3218"/>
      <c r="M532" s="3218"/>
      <c r="N532" s="3218"/>
      <c r="O532" s="3218"/>
      <c r="P532" s="3218"/>
      <c r="Q532" s="3218"/>
      <c r="R532" s="3218"/>
      <c r="S532" s="3218"/>
      <c r="T532" s="3218"/>
      <c r="U532" s="3218"/>
      <c r="V532" s="3218"/>
      <c r="W532" s="3218"/>
      <c r="X532" s="3218"/>
      <c r="Y532" s="3218"/>
      <c r="Z532" s="3218"/>
      <c r="AA532" s="3218"/>
      <c r="AB532" s="3218"/>
      <c r="AC532" s="3199">
        <f t="shared" si="329"/>
        <v>0</v>
      </c>
      <c r="AD532" s="3229"/>
      <c r="AE532" s="3229"/>
      <c r="AF532" s="3229"/>
      <c r="AG532" s="3229"/>
      <c r="AH532" s="3229"/>
      <c r="AI532" s="3229"/>
      <c r="AJ532" s="3229"/>
      <c r="AK532" s="3229"/>
      <c r="AL532" s="3229"/>
      <c r="AM532" s="3229"/>
      <c r="AN532" s="3229"/>
      <c r="AO532" s="3229"/>
      <c r="AP532" s="3229"/>
      <c r="AQ532" s="3229"/>
      <c r="AR532" s="3229"/>
      <c r="AS532" s="3229"/>
      <c r="AT532" s="3249"/>
      <c r="AU532" s="3250"/>
      <c r="AV532" s="475">
        <f t="shared" si="324"/>
        <v>0</v>
      </c>
      <c r="AW532" s="475">
        <f t="shared" si="325"/>
        <v>0</v>
      </c>
      <c r="AX532" s="475">
        <f t="shared" si="326"/>
        <v>0</v>
      </c>
      <c r="AY532" s="3266">
        <f t="shared" si="330"/>
        <v>0</v>
      </c>
      <c r="AZ532" s="3199">
        <f t="shared" si="331"/>
        <v>0</v>
      </c>
      <c r="BA532" s="3199">
        <f t="shared" si="332"/>
        <v>0</v>
      </c>
      <c r="BB532" s="3199">
        <f t="shared" si="333"/>
        <v>0</v>
      </c>
      <c r="BC532" s="3199">
        <f t="shared" si="334"/>
        <v>0</v>
      </c>
      <c r="BD532" s="3199">
        <f t="shared" si="335"/>
        <v>0</v>
      </c>
      <c r="BE532" s="3199">
        <f t="shared" si="336"/>
        <v>0</v>
      </c>
      <c r="BF532" s="3199">
        <f t="shared" si="337"/>
        <v>0</v>
      </c>
      <c r="BG532" s="3199">
        <f t="shared" si="338"/>
        <v>0</v>
      </c>
      <c r="BH532" s="3199">
        <f t="shared" si="339"/>
        <v>0</v>
      </c>
      <c r="BI532" s="3199">
        <f t="shared" si="340"/>
        <v>0</v>
      </c>
      <c r="BJ532" s="3199">
        <f t="shared" si="341"/>
        <v>0</v>
      </c>
      <c r="BK532" s="3199">
        <f t="shared" si="342"/>
        <v>0</v>
      </c>
      <c r="BL532" s="3199">
        <f t="shared" si="343"/>
        <v>0</v>
      </c>
      <c r="BM532" s="3199">
        <f t="shared" si="344"/>
        <v>0</v>
      </c>
      <c r="BN532" s="3199">
        <f t="shared" si="345"/>
        <v>0</v>
      </c>
      <c r="BO532" s="3199">
        <f t="shared" si="346"/>
        <v>0</v>
      </c>
      <c r="BP532" s="3199">
        <f t="shared" si="347"/>
        <v>0</v>
      </c>
      <c r="BQ532" s="3199">
        <f t="shared" si="348"/>
        <v>0</v>
      </c>
      <c r="BR532" s="3199">
        <f t="shared" si="349"/>
        <v>0</v>
      </c>
      <c r="BS532" s="3199">
        <f t="shared" si="350"/>
        <v>0</v>
      </c>
      <c r="BT532" s="3271">
        <f t="shared" si="351"/>
        <v>0</v>
      </c>
    </row>
    <row r="533" spans="1:72">
      <c r="A533" s="3197"/>
      <c r="B533" s="3198"/>
      <c r="C533" s="3198"/>
      <c r="D533" s="3193"/>
      <c r="E533" s="3199">
        <f t="shared" si="323"/>
        <v>0</v>
      </c>
      <c r="F533" s="3200"/>
      <c r="G533" s="3201">
        <f t="shared" si="327"/>
        <v>0</v>
      </c>
      <c r="H533" s="3202">
        <f t="shared" si="328"/>
        <v>0</v>
      </c>
      <c r="I533" s="3218"/>
      <c r="J533" s="3218"/>
      <c r="K533" s="3218"/>
      <c r="L533" s="3218"/>
      <c r="M533" s="3218"/>
      <c r="N533" s="3218"/>
      <c r="O533" s="3218"/>
      <c r="P533" s="3218"/>
      <c r="Q533" s="3218"/>
      <c r="R533" s="3218"/>
      <c r="S533" s="3218"/>
      <c r="T533" s="3218"/>
      <c r="U533" s="3218"/>
      <c r="V533" s="3218"/>
      <c r="W533" s="3218"/>
      <c r="X533" s="3218"/>
      <c r="Y533" s="3218"/>
      <c r="Z533" s="3218"/>
      <c r="AA533" s="3218"/>
      <c r="AB533" s="3218"/>
      <c r="AC533" s="3199">
        <f t="shared" si="329"/>
        <v>0</v>
      </c>
      <c r="AD533" s="3229"/>
      <c r="AE533" s="3229"/>
      <c r="AF533" s="3229"/>
      <c r="AG533" s="3229"/>
      <c r="AH533" s="3229"/>
      <c r="AI533" s="3229"/>
      <c r="AJ533" s="3229"/>
      <c r="AK533" s="3229"/>
      <c r="AL533" s="3229"/>
      <c r="AM533" s="3229"/>
      <c r="AN533" s="3229"/>
      <c r="AO533" s="3229"/>
      <c r="AP533" s="3229"/>
      <c r="AQ533" s="3229"/>
      <c r="AR533" s="3229"/>
      <c r="AS533" s="3229"/>
      <c r="AT533" s="3249"/>
      <c r="AU533" s="3250"/>
      <c r="AV533" s="475">
        <f t="shared" si="324"/>
        <v>0</v>
      </c>
      <c r="AW533" s="475">
        <f t="shared" si="325"/>
        <v>0</v>
      </c>
      <c r="AX533" s="475">
        <f t="shared" si="326"/>
        <v>0</v>
      </c>
      <c r="AY533" s="3266">
        <f t="shared" si="330"/>
        <v>0</v>
      </c>
      <c r="AZ533" s="3199">
        <f t="shared" si="331"/>
        <v>0</v>
      </c>
      <c r="BA533" s="3199">
        <f t="shared" si="332"/>
        <v>0</v>
      </c>
      <c r="BB533" s="3199">
        <f t="shared" si="333"/>
        <v>0</v>
      </c>
      <c r="BC533" s="3199">
        <f t="shared" si="334"/>
        <v>0</v>
      </c>
      <c r="BD533" s="3199">
        <f t="shared" si="335"/>
        <v>0</v>
      </c>
      <c r="BE533" s="3199">
        <f t="shared" si="336"/>
        <v>0</v>
      </c>
      <c r="BF533" s="3199">
        <f t="shared" si="337"/>
        <v>0</v>
      </c>
      <c r="BG533" s="3199">
        <f t="shared" si="338"/>
        <v>0</v>
      </c>
      <c r="BH533" s="3199">
        <f t="shared" si="339"/>
        <v>0</v>
      </c>
      <c r="BI533" s="3199">
        <f t="shared" si="340"/>
        <v>0</v>
      </c>
      <c r="BJ533" s="3199">
        <f t="shared" si="341"/>
        <v>0</v>
      </c>
      <c r="BK533" s="3199">
        <f t="shared" si="342"/>
        <v>0</v>
      </c>
      <c r="BL533" s="3199">
        <f t="shared" si="343"/>
        <v>0</v>
      </c>
      <c r="BM533" s="3199">
        <f t="shared" si="344"/>
        <v>0</v>
      </c>
      <c r="BN533" s="3199">
        <f t="shared" si="345"/>
        <v>0</v>
      </c>
      <c r="BO533" s="3199">
        <f t="shared" si="346"/>
        <v>0</v>
      </c>
      <c r="BP533" s="3199">
        <f t="shared" si="347"/>
        <v>0</v>
      </c>
      <c r="BQ533" s="3199">
        <f t="shared" si="348"/>
        <v>0</v>
      </c>
      <c r="BR533" s="3199">
        <f t="shared" si="349"/>
        <v>0</v>
      </c>
      <c r="BS533" s="3199">
        <f t="shared" si="350"/>
        <v>0</v>
      </c>
      <c r="BT533" s="3271">
        <f t="shared" si="351"/>
        <v>0</v>
      </c>
    </row>
    <row r="534" spans="1:72">
      <c r="A534" s="3197"/>
      <c r="B534" s="3198"/>
      <c r="C534" s="3198"/>
      <c r="D534" s="3193"/>
      <c r="E534" s="3199">
        <f t="shared" si="323"/>
        <v>0</v>
      </c>
      <c r="F534" s="3200"/>
      <c r="G534" s="3201">
        <f t="shared" si="327"/>
        <v>0</v>
      </c>
      <c r="H534" s="3202">
        <f t="shared" si="328"/>
        <v>0</v>
      </c>
      <c r="I534" s="3218"/>
      <c r="J534" s="3218"/>
      <c r="K534" s="3218"/>
      <c r="L534" s="3218"/>
      <c r="M534" s="3218"/>
      <c r="N534" s="3218"/>
      <c r="O534" s="3218"/>
      <c r="P534" s="3218"/>
      <c r="Q534" s="3218"/>
      <c r="R534" s="3218"/>
      <c r="S534" s="3218"/>
      <c r="T534" s="3218"/>
      <c r="U534" s="3218"/>
      <c r="V534" s="3218"/>
      <c r="W534" s="3218"/>
      <c r="X534" s="3218"/>
      <c r="Y534" s="3218"/>
      <c r="Z534" s="3218"/>
      <c r="AA534" s="3218"/>
      <c r="AB534" s="3218"/>
      <c r="AC534" s="3199">
        <f t="shared" si="329"/>
        <v>0</v>
      </c>
      <c r="AD534" s="3229"/>
      <c r="AE534" s="3229"/>
      <c r="AF534" s="3229"/>
      <c r="AG534" s="3229"/>
      <c r="AH534" s="3229"/>
      <c r="AI534" s="3229"/>
      <c r="AJ534" s="3229"/>
      <c r="AK534" s="3229"/>
      <c r="AL534" s="3229"/>
      <c r="AM534" s="3229"/>
      <c r="AN534" s="3229"/>
      <c r="AO534" s="3229"/>
      <c r="AP534" s="3229"/>
      <c r="AQ534" s="3229"/>
      <c r="AR534" s="3229"/>
      <c r="AS534" s="3229"/>
      <c r="AT534" s="3249"/>
      <c r="AU534" s="3250"/>
      <c r="AV534" s="475">
        <f t="shared" si="324"/>
        <v>0</v>
      </c>
      <c r="AW534" s="475">
        <f t="shared" si="325"/>
        <v>0</v>
      </c>
      <c r="AX534" s="475">
        <f t="shared" si="326"/>
        <v>0</v>
      </c>
      <c r="AY534" s="3266">
        <f t="shared" si="330"/>
        <v>0</v>
      </c>
      <c r="AZ534" s="3199">
        <f t="shared" si="331"/>
        <v>0</v>
      </c>
      <c r="BA534" s="3199">
        <f t="shared" si="332"/>
        <v>0</v>
      </c>
      <c r="BB534" s="3199">
        <f t="shared" si="333"/>
        <v>0</v>
      </c>
      <c r="BC534" s="3199">
        <f t="shared" si="334"/>
        <v>0</v>
      </c>
      <c r="BD534" s="3199">
        <f t="shared" si="335"/>
        <v>0</v>
      </c>
      <c r="BE534" s="3199">
        <f t="shared" si="336"/>
        <v>0</v>
      </c>
      <c r="BF534" s="3199">
        <f t="shared" si="337"/>
        <v>0</v>
      </c>
      <c r="BG534" s="3199">
        <f t="shared" si="338"/>
        <v>0</v>
      </c>
      <c r="BH534" s="3199">
        <f t="shared" si="339"/>
        <v>0</v>
      </c>
      <c r="BI534" s="3199">
        <f t="shared" si="340"/>
        <v>0</v>
      </c>
      <c r="BJ534" s="3199">
        <f t="shared" si="341"/>
        <v>0</v>
      </c>
      <c r="BK534" s="3199">
        <f t="shared" si="342"/>
        <v>0</v>
      </c>
      <c r="BL534" s="3199">
        <f t="shared" si="343"/>
        <v>0</v>
      </c>
      <c r="BM534" s="3199">
        <f t="shared" si="344"/>
        <v>0</v>
      </c>
      <c r="BN534" s="3199">
        <f t="shared" si="345"/>
        <v>0</v>
      </c>
      <c r="BO534" s="3199">
        <f t="shared" si="346"/>
        <v>0</v>
      </c>
      <c r="BP534" s="3199">
        <f t="shared" si="347"/>
        <v>0</v>
      </c>
      <c r="BQ534" s="3199">
        <f t="shared" si="348"/>
        <v>0</v>
      </c>
      <c r="BR534" s="3199">
        <f t="shared" si="349"/>
        <v>0</v>
      </c>
      <c r="BS534" s="3199">
        <f t="shared" si="350"/>
        <v>0</v>
      </c>
      <c r="BT534" s="3271">
        <f t="shared" si="351"/>
        <v>0</v>
      </c>
    </row>
    <row r="535" spans="1:72">
      <c r="A535" s="3197"/>
      <c r="B535" s="3198"/>
      <c r="C535" s="3198"/>
      <c r="D535" s="3193"/>
      <c r="E535" s="3199">
        <f t="shared" si="323"/>
        <v>0</v>
      </c>
      <c r="F535" s="3200"/>
      <c r="G535" s="3201">
        <f t="shared" si="327"/>
        <v>0</v>
      </c>
      <c r="H535" s="3202">
        <f t="shared" si="328"/>
        <v>0</v>
      </c>
      <c r="I535" s="3218"/>
      <c r="J535" s="3218"/>
      <c r="K535" s="3218"/>
      <c r="L535" s="3218"/>
      <c r="M535" s="3218"/>
      <c r="N535" s="3218"/>
      <c r="O535" s="3218"/>
      <c r="P535" s="3218"/>
      <c r="Q535" s="3218"/>
      <c r="R535" s="3218"/>
      <c r="S535" s="3218"/>
      <c r="T535" s="3218"/>
      <c r="U535" s="3218"/>
      <c r="V535" s="3218"/>
      <c r="W535" s="3218"/>
      <c r="X535" s="3218"/>
      <c r="Y535" s="3218"/>
      <c r="Z535" s="3218"/>
      <c r="AA535" s="3218"/>
      <c r="AB535" s="3218"/>
      <c r="AC535" s="3199">
        <f t="shared" si="329"/>
        <v>0</v>
      </c>
      <c r="AD535" s="3229"/>
      <c r="AE535" s="3229"/>
      <c r="AF535" s="3229"/>
      <c r="AG535" s="3229"/>
      <c r="AH535" s="3229"/>
      <c r="AI535" s="3229"/>
      <c r="AJ535" s="3229"/>
      <c r="AK535" s="3229"/>
      <c r="AL535" s="3229"/>
      <c r="AM535" s="3229"/>
      <c r="AN535" s="3229"/>
      <c r="AO535" s="3229"/>
      <c r="AP535" s="3229"/>
      <c r="AQ535" s="3229"/>
      <c r="AR535" s="3229"/>
      <c r="AS535" s="3229"/>
      <c r="AT535" s="3249"/>
      <c r="AU535" s="3250"/>
      <c r="AV535" s="475">
        <f t="shared" si="324"/>
        <v>0</v>
      </c>
      <c r="AW535" s="475">
        <f t="shared" si="325"/>
        <v>0</v>
      </c>
      <c r="AX535" s="475">
        <f t="shared" si="326"/>
        <v>0</v>
      </c>
      <c r="AY535" s="3266">
        <f t="shared" si="330"/>
        <v>0</v>
      </c>
      <c r="AZ535" s="3199">
        <f t="shared" si="331"/>
        <v>0</v>
      </c>
      <c r="BA535" s="3199">
        <f t="shared" si="332"/>
        <v>0</v>
      </c>
      <c r="BB535" s="3199">
        <f t="shared" si="333"/>
        <v>0</v>
      </c>
      <c r="BC535" s="3199">
        <f t="shared" si="334"/>
        <v>0</v>
      </c>
      <c r="BD535" s="3199">
        <f t="shared" si="335"/>
        <v>0</v>
      </c>
      <c r="BE535" s="3199">
        <f t="shared" si="336"/>
        <v>0</v>
      </c>
      <c r="BF535" s="3199">
        <f t="shared" si="337"/>
        <v>0</v>
      </c>
      <c r="BG535" s="3199">
        <f t="shared" si="338"/>
        <v>0</v>
      </c>
      <c r="BH535" s="3199">
        <f t="shared" si="339"/>
        <v>0</v>
      </c>
      <c r="BI535" s="3199">
        <f t="shared" si="340"/>
        <v>0</v>
      </c>
      <c r="BJ535" s="3199">
        <f t="shared" si="341"/>
        <v>0</v>
      </c>
      <c r="BK535" s="3199">
        <f t="shared" si="342"/>
        <v>0</v>
      </c>
      <c r="BL535" s="3199">
        <f t="shared" si="343"/>
        <v>0</v>
      </c>
      <c r="BM535" s="3199">
        <f t="shared" si="344"/>
        <v>0</v>
      </c>
      <c r="BN535" s="3199">
        <f t="shared" si="345"/>
        <v>0</v>
      </c>
      <c r="BO535" s="3199">
        <f t="shared" si="346"/>
        <v>0</v>
      </c>
      <c r="BP535" s="3199">
        <f t="shared" si="347"/>
        <v>0</v>
      </c>
      <c r="BQ535" s="3199">
        <f t="shared" si="348"/>
        <v>0</v>
      </c>
      <c r="BR535" s="3199">
        <f t="shared" si="349"/>
        <v>0</v>
      </c>
      <c r="BS535" s="3199">
        <f t="shared" si="350"/>
        <v>0</v>
      </c>
      <c r="BT535" s="3271">
        <f t="shared" si="351"/>
        <v>0</v>
      </c>
    </row>
    <row r="536" spans="1:72">
      <c r="A536" s="3197"/>
      <c r="B536" s="3198"/>
      <c r="C536" s="3198"/>
      <c r="D536" s="3193"/>
      <c r="E536" s="3199">
        <f t="shared" si="323"/>
        <v>0</v>
      </c>
      <c r="F536" s="3200"/>
      <c r="G536" s="3201">
        <f t="shared" si="327"/>
        <v>0</v>
      </c>
      <c r="H536" s="3202">
        <f t="shared" si="328"/>
        <v>0</v>
      </c>
      <c r="I536" s="3218"/>
      <c r="J536" s="3218"/>
      <c r="K536" s="3218"/>
      <c r="L536" s="3218"/>
      <c r="M536" s="3218"/>
      <c r="N536" s="3218"/>
      <c r="O536" s="3218"/>
      <c r="P536" s="3218"/>
      <c r="Q536" s="3218"/>
      <c r="R536" s="3218"/>
      <c r="S536" s="3218"/>
      <c r="T536" s="3218"/>
      <c r="U536" s="3218"/>
      <c r="V536" s="3218"/>
      <c r="W536" s="3218"/>
      <c r="X536" s="3218"/>
      <c r="Y536" s="3218"/>
      <c r="Z536" s="3218"/>
      <c r="AA536" s="3218"/>
      <c r="AB536" s="3218"/>
      <c r="AC536" s="3199">
        <f t="shared" si="329"/>
        <v>0</v>
      </c>
      <c r="AD536" s="3229"/>
      <c r="AE536" s="3229"/>
      <c r="AF536" s="3229"/>
      <c r="AG536" s="3229"/>
      <c r="AH536" s="3229"/>
      <c r="AI536" s="3229"/>
      <c r="AJ536" s="3229"/>
      <c r="AK536" s="3229"/>
      <c r="AL536" s="3229"/>
      <c r="AM536" s="3229"/>
      <c r="AN536" s="3229"/>
      <c r="AO536" s="3229"/>
      <c r="AP536" s="3229"/>
      <c r="AQ536" s="3229"/>
      <c r="AR536" s="3229"/>
      <c r="AS536" s="3229"/>
      <c r="AT536" s="3249"/>
      <c r="AU536" s="3250"/>
      <c r="AV536" s="475">
        <f t="shared" si="324"/>
        <v>0</v>
      </c>
      <c r="AW536" s="475">
        <f t="shared" si="325"/>
        <v>0</v>
      </c>
      <c r="AX536" s="475">
        <f t="shared" si="326"/>
        <v>0</v>
      </c>
      <c r="AY536" s="3266">
        <f t="shared" si="330"/>
        <v>0</v>
      </c>
      <c r="AZ536" s="3199">
        <f t="shared" si="331"/>
        <v>0</v>
      </c>
      <c r="BA536" s="3199">
        <f t="shared" si="332"/>
        <v>0</v>
      </c>
      <c r="BB536" s="3199">
        <f t="shared" si="333"/>
        <v>0</v>
      </c>
      <c r="BC536" s="3199">
        <f t="shared" si="334"/>
        <v>0</v>
      </c>
      <c r="BD536" s="3199">
        <f t="shared" si="335"/>
        <v>0</v>
      </c>
      <c r="BE536" s="3199">
        <f t="shared" si="336"/>
        <v>0</v>
      </c>
      <c r="BF536" s="3199">
        <f t="shared" si="337"/>
        <v>0</v>
      </c>
      <c r="BG536" s="3199">
        <f t="shared" si="338"/>
        <v>0</v>
      </c>
      <c r="BH536" s="3199">
        <f t="shared" si="339"/>
        <v>0</v>
      </c>
      <c r="BI536" s="3199">
        <f t="shared" si="340"/>
        <v>0</v>
      </c>
      <c r="BJ536" s="3199">
        <f t="shared" si="341"/>
        <v>0</v>
      </c>
      <c r="BK536" s="3199">
        <f t="shared" si="342"/>
        <v>0</v>
      </c>
      <c r="BL536" s="3199">
        <f t="shared" si="343"/>
        <v>0</v>
      </c>
      <c r="BM536" s="3199">
        <f t="shared" si="344"/>
        <v>0</v>
      </c>
      <c r="BN536" s="3199">
        <f t="shared" si="345"/>
        <v>0</v>
      </c>
      <c r="BO536" s="3199">
        <f t="shared" si="346"/>
        <v>0</v>
      </c>
      <c r="BP536" s="3199">
        <f t="shared" si="347"/>
        <v>0</v>
      </c>
      <c r="BQ536" s="3199">
        <f t="shared" si="348"/>
        <v>0</v>
      </c>
      <c r="BR536" s="3199">
        <f t="shared" si="349"/>
        <v>0</v>
      </c>
      <c r="BS536" s="3199">
        <f t="shared" si="350"/>
        <v>0</v>
      </c>
      <c r="BT536" s="3271">
        <f t="shared" si="351"/>
        <v>0</v>
      </c>
    </row>
    <row r="537" spans="1:72">
      <c r="A537" s="3197"/>
      <c r="B537" s="3198"/>
      <c r="C537" s="3198"/>
      <c r="D537" s="3193"/>
      <c r="E537" s="3199">
        <f t="shared" ref="E537:E572" si="352">IF($C$3="是",ROUND($A$3*G537/$B$3,2),ROUND($A$3*(G537-AT537)/$B$3,2))</f>
        <v>0</v>
      </c>
      <c r="F537" s="3200"/>
      <c r="G537" s="3201">
        <f t="shared" si="327"/>
        <v>0</v>
      </c>
      <c r="H537" s="3202">
        <f t="shared" si="328"/>
        <v>0</v>
      </c>
      <c r="I537" s="3218"/>
      <c r="J537" s="3218"/>
      <c r="K537" s="3218"/>
      <c r="L537" s="3218"/>
      <c r="M537" s="3218"/>
      <c r="N537" s="3218"/>
      <c r="O537" s="3218"/>
      <c r="P537" s="3218"/>
      <c r="Q537" s="3218"/>
      <c r="R537" s="3218"/>
      <c r="S537" s="3218"/>
      <c r="T537" s="3218"/>
      <c r="U537" s="3218"/>
      <c r="V537" s="3218"/>
      <c r="W537" s="3218"/>
      <c r="X537" s="3218"/>
      <c r="Y537" s="3218"/>
      <c r="Z537" s="3218"/>
      <c r="AA537" s="3218"/>
      <c r="AB537" s="3218"/>
      <c r="AC537" s="3199">
        <f t="shared" si="329"/>
        <v>0</v>
      </c>
      <c r="AD537" s="3229"/>
      <c r="AE537" s="3229"/>
      <c r="AF537" s="3229"/>
      <c r="AG537" s="3229"/>
      <c r="AH537" s="3229"/>
      <c r="AI537" s="3229"/>
      <c r="AJ537" s="3229"/>
      <c r="AK537" s="3229"/>
      <c r="AL537" s="3229"/>
      <c r="AM537" s="3229"/>
      <c r="AN537" s="3229"/>
      <c r="AO537" s="3229"/>
      <c r="AP537" s="3229"/>
      <c r="AQ537" s="3229"/>
      <c r="AR537" s="3229"/>
      <c r="AS537" s="3229"/>
      <c r="AT537" s="3249"/>
      <c r="AU537" s="3250"/>
      <c r="AV537" s="475">
        <f t="shared" si="324"/>
        <v>0</v>
      </c>
      <c r="AW537" s="475">
        <f t="shared" si="325"/>
        <v>0</v>
      </c>
      <c r="AX537" s="475">
        <f t="shared" si="326"/>
        <v>0</v>
      </c>
      <c r="AY537" s="3266">
        <f t="shared" si="330"/>
        <v>0</v>
      </c>
      <c r="AZ537" s="3199">
        <f t="shared" si="331"/>
        <v>0</v>
      </c>
      <c r="BA537" s="3199">
        <f t="shared" si="332"/>
        <v>0</v>
      </c>
      <c r="BB537" s="3199">
        <f t="shared" si="333"/>
        <v>0</v>
      </c>
      <c r="BC537" s="3199">
        <f t="shared" si="334"/>
        <v>0</v>
      </c>
      <c r="BD537" s="3199">
        <f t="shared" si="335"/>
        <v>0</v>
      </c>
      <c r="BE537" s="3199">
        <f t="shared" si="336"/>
        <v>0</v>
      </c>
      <c r="BF537" s="3199">
        <f t="shared" si="337"/>
        <v>0</v>
      </c>
      <c r="BG537" s="3199">
        <f t="shared" si="338"/>
        <v>0</v>
      </c>
      <c r="BH537" s="3199">
        <f t="shared" si="339"/>
        <v>0</v>
      </c>
      <c r="BI537" s="3199">
        <f t="shared" si="340"/>
        <v>0</v>
      </c>
      <c r="BJ537" s="3199">
        <f t="shared" si="341"/>
        <v>0</v>
      </c>
      <c r="BK537" s="3199">
        <f t="shared" si="342"/>
        <v>0</v>
      </c>
      <c r="BL537" s="3199">
        <f t="shared" si="343"/>
        <v>0</v>
      </c>
      <c r="BM537" s="3199">
        <f t="shared" si="344"/>
        <v>0</v>
      </c>
      <c r="BN537" s="3199">
        <f t="shared" si="345"/>
        <v>0</v>
      </c>
      <c r="BO537" s="3199">
        <f t="shared" si="346"/>
        <v>0</v>
      </c>
      <c r="BP537" s="3199">
        <f t="shared" si="347"/>
        <v>0</v>
      </c>
      <c r="BQ537" s="3199">
        <f t="shared" si="348"/>
        <v>0</v>
      </c>
      <c r="BR537" s="3199">
        <f t="shared" si="349"/>
        <v>0</v>
      </c>
      <c r="BS537" s="3199">
        <f t="shared" si="350"/>
        <v>0</v>
      </c>
      <c r="BT537" s="3271">
        <f t="shared" si="351"/>
        <v>0</v>
      </c>
    </row>
    <row r="538" spans="1:72">
      <c r="A538" s="3197"/>
      <c r="B538" s="3198"/>
      <c r="C538" s="3198"/>
      <c r="D538" s="3193"/>
      <c r="E538" s="3199">
        <f t="shared" si="352"/>
        <v>0</v>
      </c>
      <c r="F538" s="3200"/>
      <c r="G538" s="3201">
        <f t="shared" ref="G538:G572" si="353">H538+AC538+AT538</f>
        <v>0</v>
      </c>
      <c r="H538" s="3202">
        <f t="shared" ref="H538:H572" si="354">SUMIF(I$12:AB$12,"总值",I538:AB538)</f>
        <v>0</v>
      </c>
      <c r="I538" s="3218"/>
      <c r="J538" s="3218"/>
      <c r="K538" s="3218"/>
      <c r="L538" s="3218"/>
      <c r="M538" s="3218"/>
      <c r="N538" s="3218"/>
      <c r="O538" s="3218"/>
      <c r="P538" s="3218"/>
      <c r="Q538" s="3218"/>
      <c r="R538" s="3218"/>
      <c r="S538" s="3218"/>
      <c r="T538" s="3218"/>
      <c r="U538" s="3218"/>
      <c r="V538" s="3218"/>
      <c r="W538" s="3218"/>
      <c r="X538" s="3218"/>
      <c r="Y538" s="3218"/>
      <c r="Z538" s="3218"/>
      <c r="AA538" s="3218"/>
      <c r="AB538" s="3218"/>
      <c r="AC538" s="3199">
        <f t="shared" ref="AC538:AC572" si="355">SUMIF(AD$12:AS$12,"总值",AD538:AS538)</f>
        <v>0</v>
      </c>
      <c r="AD538" s="3229"/>
      <c r="AE538" s="3229"/>
      <c r="AF538" s="3229"/>
      <c r="AG538" s="3229"/>
      <c r="AH538" s="3229"/>
      <c r="AI538" s="3229"/>
      <c r="AJ538" s="3229"/>
      <c r="AK538" s="3229"/>
      <c r="AL538" s="3229"/>
      <c r="AM538" s="3229"/>
      <c r="AN538" s="3229"/>
      <c r="AO538" s="3229"/>
      <c r="AP538" s="3229"/>
      <c r="AQ538" s="3229"/>
      <c r="AR538" s="3229"/>
      <c r="AS538" s="3229"/>
      <c r="AT538" s="3249"/>
      <c r="AU538" s="3250"/>
      <c r="AV538" s="475">
        <f t="shared" ref="AV538:AV572" si="356">A538</f>
        <v>0</v>
      </c>
      <c r="AW538" s="475">
        <f t="shared" ref="AW538:AW572" si="357">B538</f>
        <v>0</v>
      </c>
      <c r="AX538" s="475">
        <f t="shared" ref="AX538:AX572" si="358">C538</f>
        <v>0</v>
      </c>
      <c r="AY538" s="3266">
        <f t="shared" ref="AY538:AY572" si="359">ROUND($AY$6*AZ538/$AZ$5,2)</f>
        <v>0</v>
      </c>
      <c r="AZ538" s="3199">
        <f t="shared" ref="AZ538:AZ572" si="360">BA538+BL538</f>
        <v>0</v>
      </c>
      <c r="BA538" s="3199">
        <f t="shared" ref="BA538:BA572" si="361">SUM(BB538:BK538)</f>
        <v>0</v>
      </c>
      <c r="BB538" s="3199">
        <f t="shared" ref="BB538:BB572" si="362">IF($D538="是",I538-J538,0)</f>
        <v>0</v>
      </c>
      <c r="BC538" s="3199">
        <f t="shared" ref="BC538:BC572" si="363">IF($D538="是",K538-L538,0)</f>
        <v>0</v>
      </c>
      <c r="BD538" s="3199">
        <f t="shared" ref="BD538:BD572" si="364">IF($D538="是",M538-N538,0)</f>
        <v>0</v>
      </c>
      <c r="BE538" s="3199">
        <f t="shared" ref="BE538:BE572" si="365">IF($D538="是",O538-P538,0)</f>
        <v>0</v>
      </c>
      <c r="BF538" s="3199">
        <f t="shared" ref="BF538:BF572" si="366">IF($D538="是",Q538-R538,0)</f>
        <v>0</v>
      </c>
      <c r="BG538" s="3199">
        <f t="shared" ref="BG538:BG572" si="367">IF($D538="是",S538-T538,0)</f>
        <v>0</v>
      </c>
      <c r="BH538" s="3199">
        <f t="shared" ref="BH538:BH572" si="368">IF($D538="是",U538-V538,0)</f>
        <v>0</v>
      </c>
      <c r="BI538" s="3199">
        <f t="shared" ref="BI538:BI572" si="369">IF($D538="是",W538-X538,0)</f>
        <v>0</v>
      </c>
      <c r="BJ538" s="3199">
        <f t="shared" ref="BJ538:BJ572" si="370">IF($D538="是",Y538-Z538,0)</f>
        <v>0</v>
      </c>
      <c r="BK538" s="3199">
        <f t="shared" ref="BK538:BK572" si="371">IF($D538="是",AA538-AB538,0)</f>
        <v>0</v>
      </c>
      <c r="BL538" s="3199">
        <f t="shared" ref="BL538:BL572" si="372">SUM(BM538:BT538)</f>
        <v>0</v>
      </c>
      <c r="BM538" s="3199">
        <f t="shared" ref="BM538:BM572" si="373">IF($D538="是",AD538-AE538,0)</f>
        <v>0</v>
      </c>
      <c r="BN538" s="3199">
        <f t="shared" ref="BN538:BN572" si="374">IF($D538="是",AF538-AG538,0)</f>
        <v>0</v>
      </c>
      <c r="BO538" s="3199">
        <f t="shared" ref="BO538:BO572" si="375">IF($D538="是",AH538-AI538,0)</f>
        <v>0</v>
      </c>
      <c r="BP538" s="3199">
        <f t="shared" ref="BP538:BP572" si="376">IF($D538="是",AJ538-AK538,0)</f>
        <v>0</v>
      </c>
      <c r="BQ538" s="3199">
        <f t="shared" ref="BQ538:BQ572" si="377">IF($D538="是",AL538-AM538,0)</f>
        <v>0</v>
      </c>
      <c r="BR538" s="3199">
        <f t="shared" ref="BR538:BR572" si="378">IF($D538="是",AN538-AO538,0)</f>
        <v>0</v>
      </c>
      <c r="BS538" s="3199">
        <f t="shared" ref="BS538:BS572" si="379">IF($D538="是",AP538-AQ538,0)</f>
        <v>0</v>
      </c>
      <c r="BT538" s="3271">
        <f t="shared" ref="BT538:BT572" si="380">IF($D538="是",AR538-AS538,0)</f>
        <v>0</v>
      </c>
    </row>
    <row r="539" spans="1:72">
      <c r="A539" s="3197"/>
      <c r="B539" s="3198"/>
      <c r="C539" s="3198"/>
      <c r="D539" s="3193"/>
      <c r="E539" s="3199">
        <f t="shared" si="352"/>
        <v>0</v>
      </c>
      <c r="F539" s="3200"/>
      <c r="G539" s="3201">
        <f t="shared" si="353"/>
        <v>0</v>
      </c>
      <c r="H539" s="3202">
        <f t="shared" si="354"/>
        <v>0</v>
      </c>
      <c r="I539" s="3218"/>
      <c r="J539" s="3218"/>
      <c r="K539" s="3218"/>
      <c r="L539" s="3218"/>
      <c r="M539" s="3218"/>
      <c r="N539" s="3218"/>
      <c r="O539" s="3218"/>
      <c r="P539" s="3218"/>
      <c r="Q539" s="3218"/>
      <c r="R539" s="3218"/>
      <c r="S539" s="3218"/>
      <c r="T539" s="3218"/>
      <c r="U539" s="3218"/>
      <c r="V539" s="3218"/>
      <c r="W539" s="3218"/>
      <c r="X539" s="3218"/>
      <c r="Y539" s="3218"/>
      <c r="Z539" s="3218"/>
      <c r="AA539" s="3218"/>
      <c r="AB539" s="3218"/>
      <c r="AC539" s="3199">
        <f t="shared" si="355"/>
        <v>0</v>
      </c>
      <c r="AD539" s="3229"/>
      <c r="AE539" s="3229"/>
      <c r="AF539" s="3229"/>
      <c r="AG539" s="3229"/>
      <c r="AH539" s="3229"/>
      <c r="AI539" s="3229"/>
      <c r="AJ539" s="3229"/>
      <c r="AK539" s="3229"/>
      <c r="AL539" s="3229"/>
      <c r="AM539" s="3229"/>
      <c r="AN539" s="3229"/>
      <c r="AO539" s="3229"/>
      <c r="AP539" s="3229"/>
      <c r="AQ539" s="3229"/>
      <c r="AR539" s="3229"/>
      <c r="AS539" s="3229"/>
      <c r="AT539" s="3249"/>
      <c r="AU539" s="3250"/>
      <c r="AV539" s="475">
        <f t="shared" si="356"/>
        <v>0</v>
      </c>
      <c r="AW539" s="475">
        <f t="shared" si="357"/>
        <v>0</v>
      </c>
      <c r="AX539" s="475">
        <f t="shared" si="358"/>
        <v>0</v>
      </c>
      <c r="AY539" s="3266">
        <f t="shared" si="359"/>
        <v>0</v>
      </c>
      <c r="AZ539" s="3199">
        <f t="shared" si="360"/>
        <v>0</v>
      </c>
      <c r="BA539" s="3199">
        <f t="shared" si="361"/>
        <v>0</v>
      </c>
      <c r="BB539" s="3199">
        <f t="shared" si="362"/>
        <v>0</v>
      </c>
      <c r="BC539" s="3199">
        <f t="shared" si="363"/>
        <v>0</v>
      </c>
      <c r="BD539" s="3199">
        <f t="shared" si="364"/>
        <v>0</v>
      </c>
      <c r="BE539" s="3199">
        <f t="shared" si="365"/>
        <v>0</v>
      </c>
      <c r="BF539" s="3199">
        <f t="shared" si="366"/>
        <v>0</v>
      </c>
      <c r="BG539" s="3199">
        <f t="shared" si="367"/>
        <v>0</v>
      </c>
      <c r="BH539" s="3199">
        <f t="shared" si="368"/>
        <v>0</v>
      </c>
      <c r="BI539" s="3199">
        <f t="shared" si="369"/>
        <v>0</v>
      </c>
      <c r="BJ539" s="3199">
        <f t="shared" si="370"/>
        <v>0</v>
      </c>
      <c r="BK539" s="3199">
        <f t="shared" si="371"/>
        <v>0</v>
      </c>
      <c r="BL539" s="3199">
        <f t="shared" si="372"/>
        <v>0</v>
      </c>
      <c r="BM539" s="3199">
        <f t="shared" si="373"/>
        <v>0</v>
      </c>
      <c r="BN539" s="3199">
        <f t="shared" si="374"/>
        <v>0</v>
      </c>
      <c r="BO539" s="3199">
        <f t="shared" si="375"/>
        <v>0</v>
      </c>
      <c r="BP539" s="3199">
        <f t="shared" si="376"/>
        <v>0</v>
      </c>
      <c r="BQ539" s="3199">
        <f t="shared" si="377"/>
        <v>0</v>
      </c>
      <c r="BR539" s="3199">
        <f t="shared" si="378"/>
        <v>0</v>
      </c>
      <c r="BS539" s="3199">
        <f t="shared" si="379"/>
        <v>0</v>
      </c>
      <c r="BT539" s="3271">
        <f t="shared" si="380"/>
        <v>0</v>
      </c>
    </row>
    <row r="540" spans="1:72">
      <c r="A540" s="3197"/>
      <c r="B540" s="3198"/>
      <c r="C540" s="3198"/>
      <c r="D540" s="3193"/>
      <c r="E540" s="3199">
        <f t="shared" si="352"/>
        <v>0</v>
      </c>
      <c r="F540" s="3200"/>
      <c r="G540" s="3201">
        <f t="shared" si="353"/>
        <v>0</v>
      </c>
      <c r="H540" s="3202">
        <f t="shared" si="354"/>
        <v>0</v>
      </c>
      <c r="I540" s="3218"/>
      <c r="J540" s="3218"/>
      <c r="K540" s="3218"/>
      <c r="L540" s="3218"/>
      <c r="M540" s="3218"/>
      <c r="N540" s="3218"/>
      <c r="O540" s="3218"/>
      <c r="P540" s="3218"/>
      <c r="Q540" s="3218"/>
      <c r="R540" s="3218"/>
      <c r="S540" s="3218"/>
      <c r="T540" s="3218"/>
      <c r="U540" s="3218"/>
      <c r="V540" s="3218"/>
      <c r="W540" s="3218"/>
      <c r="X540" s="3218"/>
      <c r="Y540" s="3218"/>
      <c r="Z540" s="3218"/>
      <c r="AA540" s="3218"/>
      <c r="AB540" s="3218"/>
      <c r="AC540" s="3199">
        <f t="shared" si="355"/>
        <v>0</v>
      </c>
      <c r="AD540" s="3229"/>
      <c r="AE540" s="3229"/>
      <c r="AF540" s="3229"/>
      <c r="AG540" s="3229"/>
      <c r="AH540" s="3229"/>
      <c r="AI540" s="3229"/>
      <c r="AJ540" s="3229"/>
      <c r="AK540" s="3229"/>
      <c r="AL540" s="3229"/>
      <c r="AM540" s="3229"/>
      <c r="AN540" s="3229"/>
      <c r="AO540" s="3229"/>
      <c r="AP540" s="3229"/>
      <c r="AQ540" s="3229"/>
      <c r="AR540" s="3229"/>
      <c r="AS540" s="3229"/>
      <c r="AT540" s="3249"/>
      <c r="AU540" s="3250"/>
      <c r="AV540" s="475">
        <f t="shared" si="356"/>
        <v>0</v>
      </c>
      <c r="AW540" s="475">
        <f t="shared" si="357"/>
        <v>0</v>
      </c>
      <c r="AX540" s="475">
        <f t="shared" si="358"/>
        <v>0</v>
      </c>
      <c r="AY540" s="3266">
        <f t="shared" si="359"/>
        <v>0</v>
      </c>
      <c r="AZ540" s="3199">
        <f t="shared" si="360"/>
        <v>0</v>
      </c>
      <c r="BA540" s="3199">
        <f t="shared" si="361"/>
        <v>0</v>
      </c>
      <c r="BB540" s="3199">
        <f t="shared" si="362"/>
        <v>0</v>
      </c>
      <c r="BC540" s="3199">
        <f t="shared" si="363"/>
        <v>0</v>
      </c>
      <c r="BD540" s="3199">
        <f t="shared" si="364"/>
        <v>0</v>
      </c>
      <c r="BE540" s="3199">
        <f t="shared" si="365"/>
        <v>0</v>
      </c>
      <c r="BF540" s="3199">
        <f t="shared" si="366"/>
        <v>0</v>
      </c>
      <c r="BG540" s="3199">
        <f t="shared" si="367"/>
        <v>0</v>
      </c>
      <c r="BH540" s="3199">
        <f t="shared" si="368"/>
        <v>0</v>
      </c>
      <c r="BI540" s="3199">
        <f t="shared" si="369"/>
        <v>0</v>
      </c>
      <c r="BJ540" s="3199">
        <f t="shared" si="370"/>
        <v>0</v>
      </c>
      <c r="BK540" s="3199">
        <f t="shared" si="371"/>
        <v>0</v>
      </c>
      <c r="BL540" s="3199">
        <f t="shared" si="372"/>
        <v>0</v>
      </c>
      <c r="BM540" s="3199">
        <f t="shared" si="373"/>
        <v>0</v>
      </c>
      <c r="BN540" s="3199">
        <f t="shared" si="374"/>
        <v>0</v>
      </c>
      <c r="BO540" s="3199">
        <f t="shared" si="375"/>
        <v>0</v>
      </c>
      <c r="BP540" s="3199">
        <f t="shared" si="376"/>
        <v>0</v>
      </c>
      <c r="BQ540" s="3199">
        <f t="shared" si="377"/>
        <v>0</v>
      </c>
      <c r="BR540" s="3199">
        <f t="shared" si="378"/>
        <v>0</v>
      </c>
      <c r="BS540" s="3199">
        <f t="shared" si="379"/>
        <v>0</v>
      </c>
      <c r="BT540" s="3271">
        <f t="shared" si="380"/>
        <v>0</v>
      </c>
    </row>
    <row r="541" spans="1:72">
      <c r="A541" s="3197"/>
      <c r="B541" s="3198"/>
      <c r="C541" s="3198"/>
      <c r="D541" s="3193"/>
      <c r="E541" s="3199">
        <f t="shared" si="352"/>
        <v>0</v>
      </c>
      <c r="F541" s="3200"/>
      <c r="G541" s="3201">
        <f t="shared" si="353"/>
        <v>0</v>
      </c>
      <c r="H541" s="3202">
        <f t="shared" si="354"/>
        <v>0</v>
      </c>
      <c r="I541" s="3218"/>
      <c r="J541" s="3218"/>
      <c r="K541" s="3218"/>
      <c r="L541" s="3218"/>
      <c r="M541" s="3218"/>
      <c r="N541" s="3218"/>
      <c r="O541" s="3218"/>
      <c r="P541" s="3218"/>
      <c r="Q541" s="3218"/>
      <c r="R541" s="3218"/>
      <c r="S541" s="3218"/>
      <c r="T541" s="3218"/>
      <c r="U541" s="3218"/>
      <c r="V541" s="3218"/>
      <c r="W541" s="3218"/>
      <c r="X541" s="3218"/>
      <c r="Y541" s="3218"/>
      <c r="Z541" s="3218"/>
      <c r="AA541" s="3218"/>
      <c r="AB541" s="3218"/>
      <c r="AC541" s="3199">
        <f t="shared" si="355"/>
        <v>0</v>
      </c>
      <c r="AD541" s="3229"/>
      <c r="AE541" s="3229"/>
      <c r="AF541" s="3229"/>
      <c r="AG541" s="3229"/>
      <c r="AH541" s="3229"/>
      <c r="AI541" s="3229"/>
      <c r="AJ541" s="3229"/>
      <c r="AK541" s="3229"/>
      <c r="AL541" s="3229"/>
      <c r="AM541" s="3229"/>
      <c r="AN541" s="3229"/>
      <c r="AO541" s="3229"/>
      <c r="AP541" s="3229"/>
      <c r="AQ541" s="3229"/>
      <c r="AR541" s="3229"/>
      <c r="AS541" s="3229"/>
      <c r="AT541" s="3249"/>
      <c r="AU541" s="3250"/>
      <c r="AV541" s="475">
        <f t="shared" si="356"/>
        <v>0</v>
      </c>
      <c r="AW541" s="475">
        <f t="shared" si="357"/>
        <v>0</v>
      </c>
      <c r="AX541" s="475">
        <f t="shared" si="358"/>
        <v>0</v>
      </c>
      <c r="AY541" s="3266">
        <f t="shared" si="359"/>
        <v>0</v>
      </c>
      <c r="AZ541" s="3199">
        <f t="shared" si="360"/>
        <v>0</v>
      </c>
      <c r="BA541" s="3199">
        <f t="shared" si="361"/>
        <v>0</v>
      </c>
      <c r="BB541" s="3199">
        <f t="shared" si="362"/>
        <v>0</v>
      </c>
      <c r="BC541" s="3199">
        <f t="shared" si="363"/>
        <v>0</v>
      </c>
      <c r="BD541" s="3199">
        <f t="shared" si="364"/>
        <v>0</v>
      </c>
      <c r="BE541" s="3199">
        <f t="shared" si="365"/>
        <v>0</v>
      </c>
      <c r="BF541" s="3199">
        <f t="shared" si="366"/>
        <v>0</v>
      </c>
      <c r="BG541" s="3199">
        <f t="shared" si="367"/>
        <v>0</v>
      </c>
      <c r="BH541" s="3199">
        <f t="shared" si="368"/>
        <v>0</v>
      </c>
      <c r="BI541" s="3199">
        <f t="shared" si="369"/>
        <v>0</v>
      </c>
      <c r="BJ541" s="3199">
        <f t="shared" si="370"/>
        <v>0</v>
      </c>
      <c r="BK541" s="3199">
        <f t="shared" si="371"/>
        <v>0</v>
      </c>
      <c r="BL541" s="3199">
        <f t="shared" si="372"/>
        <v>0</v>
      </c>
      <c r="BM541" s="3199">
        <f t="shared" si="373"/>
        <v>0</v>
      </c>
      <c r="BN541" s="3199">
        <f t="shared" si="374"/>
        <v>0</v>
      </c>
      <c r="BO541" s="3199">
        <f t="shared" si="375"/>
        <v>0</v>
      </c>
      <c r="BP541" s="3199">
        <f t="shared" si="376"/>
        <v>0</v>
      </c>
      <c r="BQ541" s="3199">
        <f t="shared" si="377"/>
        <v>0</v>
      </c>
      <c r="BR541" s="3199">
        <f t="shared" si="378"/>
        <v>0</v>
      </c>
      <c r="BS541" s="3199">
        <f t="shared" si="379"/>
        <v>0</v>
      </c>
      <c r="BT541" s="3271">
        <f t="shared" si="380"/>
        <v>0</v>
      </c>
    </row>
    <row r="542" spans="1:72">
      <c r="A542" s="3197"/>
      <c r="B542" s="3198"/>
      <c r="C542" s="3198"/>
      <c r="D542" s="3193"/>
      <c r="E542" s="3199">
        <f t="shared" si="352"/>
        <v>0</v>
      </c>
      <c r="F542" s="3200"/>
      <c r="G542" s="3201">
        <f t="shared" si="353"/>
        <v>0</v>
      </c>
      <c r="H542" s="3202">
        <f t="shared" si="354"/>
        <v>0</v>
      </c>
      <c r="I542" s="3218"/>
      <c r="J542" s="3218"/>
      <c r="K542" s="3218"/>
      <c r="L542" s="3218"/>
      <c r="M542" s="3218"/>
      <c r="N542" s="3218"/>
      <c r="O542" s="3218"/>
      <c r="P542" s="3218"/>
      <c r="Q542" s="3218"/>
      <c r="R542" s="3218"/>
      <c r="S542" s="3218"/>
      <c r="T542" s="3218"/>
      <c r="U542" s="3218"/>
      <c r="V542" s="3218"/>
      <c r="W542" s="3218"/>
      <c r="X542" s="3218"/>
      <c r="Y542" s="3218"/>
      <c r="Z542" s="3218"/>
      <c r="AA542" s="3218"/>
      <c r="AB542" s="3218"/>
      <c r="AC542" s="3199">
        <f t="shared" si="355"/>
        <v>0</v>
      </c>
      <c r="AD542" s="3229"/>
      <c r="AE542" s="3229"/>
      <c r="AF542" s="3229"/>
      <c r="AG542" s="3229"/>
      <c r="AH542" s="3229"/>
      <c r="AI542" s="3229"/>
      <c r="AJ542" s="3229"/>
      <c r="AK542" s="3229"/>
      <c r="AL542" s="3229"/>
      <c r="AM542" s="3229"/>
      <c r="AN542" s="3229"/>
      <c r="AO542" s="3229"/>
      <c r="AP542" s="3229"/>
      <c r="AQ542" s="3229"/>
      <c r="AR542" s="3229"/>
      <c r="AS542" s="3229"/>
      <c r="AT542" s="3249"/>
      <c r="AU542" s="3250"/>
      <c r="AV542" s="475">
        <f t="shared" si="356"/>
        <v>0</v>
      </c>
      <c r="AW542" s="475">
        <f t="shared" si="357"/>
        <v>0</v>
      </c>
      <c r="AX542" s="475">
        <f t="shared" si="358"/>
        <v>0</v>
      </c>
      <c r="AY542" s="3266">
        <f t="shared" si="359"/>
        <v>0</v>
      </c>
      <c r="AZ542" s="3199">
        <f t="shared" si="360"/>
        <v>0</v>
      </c>
      <c r="BA542" s="3199">
        <f t="shared" si="361"/>
        <v>0</v>
      </c>
      <c r="BB542" s="3199">
        <f t="shared" si="362"/>
        <v>0</v>
      </c>
      <c r="BC542" s="3199">
        <f t="shared" si="363"/>
        <v>0</v>
      </c>
      <c r="BD542" s="3199">
        <f t="shared" si="364"/>
        <v>0</v>
      </c>
      <c r="BE542" s="3199">
        <f t="shared" si="365"/>
        <v>0</v>
      </c>
      <c r="BF542" s="3199">
        <f t="shared" si="366"/>
        <v>0</v>
      </c>
      <c r="BG542" s="3199">
        <f t="shared" si="367"/>
        <v>0</v>
      </c>
      <c r="BH542" s="3199">
        <f t="shared" si="368"/>
        <v>0</v>
      </c>
      <c r="BI542" s="3199">
        <f t="shared" si="369"/>
        <v>0</v>
      </c>
      <c r="BJ542" s="3199">
        <f t="shared" si="370"/>
        <v>0</v>
      </c>
      <c r="BK542" s="3199">
        <f t="shared" si="371"/>
        <v>0</v>
      </c>
      <c r="BL542" s="3199">
        <f t="shared" si="372"/>
        <v>0</v>
      </c>
      <c r="BM542" s="3199">
        <f t="shared" si="373"/>
        <v>0</v>
      </c>
      <c r="BN542" s="3199">
        <f t="shared" si="374"/>
        <v>0</v>
      </c>
      <c r="BO542" s="3199">
        <f t="shared" si="375"/>
        <v>0</v>
      </c>
      <c r="BP542" s="3199">
        <f t="shared" si="376"/>
        <v>0</v>
      </c>
      <c r="BQ542" s="3199">
        <f t="shared" si="377"/>
        <v>0</v>
      </c>
      <c r="BR542" s="3199">
        <f t="shared" si="378"/>
        <v>0</v>
      </c>
      <c r="BS542" s="3199">
        <f t="shared" si="379"/>
        <v>0</v>
      </c>
      <c r="BT542" s="3271">
        <f t="shared" si="380"/>
        <v>0</v>
      </c>
    </row>
    <row r="543" spans="1:72">
      <c r="A543" s="3197"/>
      <c r="B543" s="3198"/>
      <c r="C543" s="3198"/>
      <c r="D543" s="3193"/>
      <c r="E543" s="3199">
        <f t="shared" si="352"/>
        <v>0</v>
      </c>
      <c r="F543" s="3200"/>
      <c r="G543" s="3201">
        <f t="shared" si="353"/>
        <v>0</v>
      </c>
      <c r="H543" s="3202">
        <f t="shared" si="354"/>
        <v>0</v>
      </c>
      <c r="I543" s="3218"/>
      <c r="J543" s="3218"/>
      <c r="K543" s="3218"/>
      <c r="L543" s="3218"/>
      <c r="M543" s="3218"/>
      <c r="N543" s="3218"/>
      <c r="O543" s="3218"/>
      <c r="P543" s="3218"/>
      <c r="Q543" s="3218"/>
      <c r="R543" s="3218"/>
      <c r="S543" s="3218"/>
      <c r="T543" s="3218"/>
      <c r="U543" s="3218"/>
      <c r="V543" s="3218"/>
      <c r="W543" s="3218"/>
      <c r="X543" s="3218"/>
      <c r="Y543" s="3218"/>
      <c r="Z543" s="3218"/>
      <c r="AA543" s="3218"/>
      <c r="AB543" s="3218"/>
      <c r="AC543" s="3199">
        <f t="shared" si="355"/>
        <v>0</v>
      </c>
      <c r="AD543" s="3229"/>
      <c r="AE543" s="3229"/>
      <c r="AF543" s="3229"/>
      <c r="AG543" s="3229"/>
      <c r="AH543" s="3229"/>
      <c r="AI543" s="3229"/>
      <c r="AJ543" s="3229"/>
      <c r="AK543" s="3229"/>
      <c r="AL543" s="3229"/>
      <c r="AM543" s="3229"/>
      <c r="AN543" s="3229"/>
      <c r="AO543" s="3229"/>
      <c r="AP543" s="3229"/>
      <c r="AQ543" s="3229"/>
      <c r="AR543" s="3229"/>
      <c r="AS543" s="3229"/>
      <c r="AT543" s="3249"/>
      <c r="AU543" s="3250"/>
      <c r="AV543" s="475">
        <f t="shared" si="356"/>
        <v>0</v>
      </c>
      <c r="AW543" s="475">
        <f t="shared" si="357"/>
        <v>0</v>
      </c>
      <c r="AX543" s="475">
        <f t="shared" si="358"/>
        <v>0</v>
      </c>
      <c r="AY543" s="3266">
        <f t="shared" si="359"/>
        <v>0</v>
      </c>
      <c r="AZ543" s="3199">
        <f t="shared" si="360"/>
        <v>0</v>
      </c>
      <c r="BA543" s="3199">
        <f t="shared" si="361"/>
        <v>0</v>
      </c>
      <c r="BB543" s="3199">
        <f t="shared" si="362"/>
        <v>0</v>
      </c>
      <c r="BC543" s="3199">
        <f t="shared" si="363"/>
        <v>0</v>
      </c>
      <c r="BD543" s="3199">
        <f t="shared" si="364"/>
        <v>0</v>
      </c>
      <c r="BE543" s="3199">
        <f t="shared" si="365"/>
        <v>0</v>
      </c>
      <c r="BF543" s="3199">
        <f t="shared" si="366"/>
        <v>0</v>
      </c>
      <c r="BG543" s="3199">
        <f t="shared" si="367"/>
        <v>0</v>
      </c>
      <c r="BH543" s="3199">
        <f t="shared" si="368"/>
        <v>0</v>
      </c>
      <c r="BI543" s="3199">
        <f t="shared" si="369"/>
        <v>0</v>
      </c>
      <c r="BJ543" s="3199">
        <f t="shared" si="370"/>
        <v>0</v>
      </c>
      <c r="BK543" s="3199">
        <f t="shared" si="371"/>
        <v>0</v>
      </c>
      <c r="BL543" s="3199">
        <f t="shared" si="372"/>
        <v>0</v>
      </c>
      <c r="BM543" s="3199">
        <f t="shared" si="373"/>
        <v>0</v>
      </c>
      <c r="BN543" s="3199">
        <f t="shared" si="374"/>
        <v>0</v>
      </c>
      <c r="BO543" s="3199">
        <f t="shared" si="375"/>
        <v>0</v>
      </c>
      <c r="BP543" s="3199">
        <f t="shared" si="376"/>
        <v>0</v>
      </c>
      <c r="BQ543" s="3199">
        <f t="shared" si="377"/>
        <v>0</v>
      </c>
      <c r="BR543" s="3199">
        <f t="shared" si="378"/>
        <v>0</v>
      </c>
      <c r="BS543" s="3199">
        <f t="shared" si="379"/>
        <v>0</v>
      </c>
      <c r="BT543" s="3271">
        <f t="shared" si="380"/>
        <v>0</v>
      </c>
    </row>
    <row r="544" spans="1:72">
      <c r="A544" s="3197"/>
      <c r="B544" s="3198"/>
      <c r="C544" s="3198"/>
      <c r="D544" s="3193"/>
      <c r="E544" s="3199">
        <f t="shared" si="352"/>
        <v>0</v>
      </c>
      <c r="F544" s="3200"/>
      <c r="G544" s="3201">
        <f t="shared" si="353"/>
        <v>0</v>
      </c>
      <c r="H544" s="3202">
        <f t="shared" si="354"/>
        <v>0</v>
      </c>
      <c r="I544" s="3218"/>
      <c r="J544" s="3218"/>
      <c r="K544" s="3218"/>
      <c r="L544" s="3218"/>
      <c r="M544" s="3218"/>
      <c r="N544" s="3218"/>
      <c r="O544" s="3218"/>
      <c r="P544" s="3218"/>
      <c r="Q544" s="3218"/>
      <c r="R544" s="3218"/>
      <c r="S544" s="3218"/>
      <c r="T544" s="3218"/>
      <c r="U544" s="3218"/>
      <c r="V544" s="3218"/>
      <c r="W544" s="3218"/>
      <c r="X544" s="3218"/>
      <c r="Y544" s="3218"/>
      <c r="Z544" s="3218"/>
      <c r="AA544" s="3218"/>
      <c r="AB544" s="3218"/>
      <c r="AC544" s="3199">
        <f t="shared" si="355"/>
        <v>0</v>
      </c>
      <c r="AD544" s="3229"/>
      <c r="AE544" s="3229"/>
      <c r="AF544" s="3229"/>
      <c r="AG544" s="3229"/>
      <c r="AH544" s="3229"/>
      <c r="AI544" s="3229"/>
      <c r="AJ544" s="3229"/>
      <c r="AK544" s="3229"/>
      <c r="AL544" s="3229"/>
      <c r="AM544" s="3229"/>
      <c r="AN544" s="3229"/>
      <c r="AO544" s="3229"/>
      <c r="AP544" s="3229"/>
      <c r="AQ544" s="3229"/>
      <c r="AR544" s="3229"/>
      <c r="AS544" s="3229"/>
      <c r="AT544" s="3249"/>
      <c r="AU544" s="3250"/>
      <c r="AV544" s="475">
        <f t="shared" si="356"/>
        <v>0</v>
      </c>
      <c r="AW544" s="475">
        <f t="shared" si="357"/>
        <v>0</v>
      </c>
      <c r="AX544" s="475">
        <f t="shared" si="358"/>
        <v>0</v>
      </c>
      <c r="AY544" s="3266">
        <f t="shared" si="359"/>
        <v>0</v>
      </c>
      <c r="AZ544" s="3199">
        <f t="shared" si="360"/>
        <v>0</v>
      </c>
      <c r="BA544" s="3199">
        <f t="shared" si="361"/>
        <v>0</v>
      </c>
      <c r="BB544" s="3199">
        <f t="shared" si="362"/>
        <v>0</v>
      </c>
      <c r="BC544" s="3199">
        <f t="shared" si="363"/>
        <v>0</v>
      </c>
      <c r="BD544" s="3199">
        <f t="shared" si="364"/>
        <v>0</v>
      </c>
      <c r="BE544" s="3199">
        <f t="shared" si="365"/>
        <v>0</v>
      </c>
      <c r="BF544" s="3199">
        <f t="shared" si="366"/>
        <v>0</v>
      </c>
      <c r="BG544" s="3199">
        <f t="shared" si="367"/>
        <v>0</v>
      </c>
      <c r="BH544" s="3199">
        <f t="shared" si="368"/>
        <v>0</v>
      </c>
      <c r="BI544" s="3199">
        <f t="shared" si="369"/>
        <v>0</v>
      </c>
      <c r="BJ544" s="3199">
        <f t="shared" si="370"/>
        <v>0</v>
      </c>
      <c r="BK544" s="3199">
        <f t="shared" si="371"/>
        <v>0</v>
      </c>
      <c r="BL544" s="3199">
        <f t="shared" si="372"/>
        <v>0</v>
      </c>
      <c r="BM544" s="3199">
        <f t="shared" si="373"/>
        <v>0</v>
      </c>
      <c r="BN544" s="3199">
        <f t="shared" si="374"/>
        <v>0</v>
      </c>
      <c r="BO544" s="3199">
        <f t="shared" si="375"/>
        <v>0</v>
      </c>
      <c r="BP544" s="3199">
        <f t="shared" si="376"/>
        <v>0</v>
      </c>
      <c r="BQ544" s="3199">
        <f t="shared" si="377"/>
        <v>0</v>
      </c>
      <c r="BR544" s="3199">
        <f t="shared" si="378"/>
        <v>0</v>
      </c>
      <c r="BS544" s="3199">
        <f t="shared" si="379"/>
        <v>0</v>
      </c>
      <c r="BT544" s="3271">
        <f t="shared" si="380"/>
        <v>0</v>
      </c>
    </row>
    <row r="545" spans="1:72">
      <c r="A545" s="3197"/>
      <c r="B545" s="3198"/>
      <c r="C545" s="3198"/>
      <c r="D545" s="3193"/>
      <c r="E545" s="3199">
        <f t="shared" si="352"/>
        <v>0</v>
      </c>
      <c r="F545" s="3200"/>
      <c r="G545" s="3201">
        <f t="shared" si="353"/>
        <v>0</v>
      </c>
      <c r="H545" s="3202">
        <f t="shared" si="354"/>
        <v>0</v>
      </c>
      <c r="I545" s="3218"/>
      <c r="J545" s="3218"/>
      <c r="K545" s="3218"/>
      <c r="L545" s="3218"/>
      <c r="M545" s="3218"/>
      <c r="N545" s="3218"/>
      <c r="O545" s="3218"/>
      <c r="P545" s="3218"/>
      <c r="Q545" s="3218"/>
      <c r="R545" s="3218"/>
      <c r="S545" s="3218"/>
      <c r="T545" s="3218"/>
      <c r="U545" s="3218"/>
      <c r="V545" s="3218"/>
      <c r="W545" s="3218"/>
      <c r="X545" s="3218"/>
      <c r="Y545" s="3218"/>
      <c r="Z545" s="3218"/>
      <c r="AA545" s="3218"/>
      <c r="AB545" s="3218"/>
      <c r="AC545" s="3199">
        <f t="shared" si="355"/>
        <v>0</v>
      </c>
      <c r="AD545" s="3229"/>
      <c r="AE545" s="3229"/>
      <c r="AF545" s="3229"/>
      <c r="AG545" s="3229"/>
      <c r="AH545" s="3229"/>
      <c r="AI545" s="3229"/>
      <c r="AJ545" s="3229"/>
      <c r="AK545" s="3229"/>
      <c r="AL545" s="3229"/>
      <c r="AM545" s="3229"/>
      <c r="AN545" s="3229"/>
      <c r="AO545" s="3229"/>
      <c r="AP545" s="3229"/>
      <c r="AQ545" s="3229"/>
      <c r="AR545" s="3229"/>
      <c r="AS545" s="3229"/>
      <c r="AT545" s="3249"/>
      <c r="AU545" s="3250"/>
      <c r="AV545" s="475">
        <f t="shared" si="356"/>
        <v>0</v>
      </c>
      <c r="AW545" s="475">
        <f t="shared" si="357"/>
        <v>0</v>
      </c>
      <c r="AX545" s="475">
        <f t="shared" si="358"/>
        <v>0</v>
      </c>
      <c r="AY545" s="3266">
        <f t="shared" si="359"/>
        <v>0</v>
      </c>
      <c r="AZ545" s="3199">
        <f t="shared" si="360"/>
        <v>0</v>
      </c>
      <c r="BA545" s="3199">
        <f t="shared" si="361"/>
        <v>0</v>
      </c>
      <c r="BB545" s="3199">
        <f t="shared" si="362"/>
        <v>0</v>
      </c>
      <c r="BC545" s="3199">
        <f t="shared" si="363"/>
        <v>0</v>
      </c>
      <c r="BD545" s="3199">
        <f t="shared" si="364"/>
        <v>0</v>
      </c>
      <c r="BE545" s="3199">
        <f t="shared" si="365"/>
        <v>0</v>
      </c>
      <c r="BF545" s="3199">
        <f t="shared" si="366"/>
        <v>0</v>
      </c>
      <c r="BG545" s="3199">
        <f t="shared" si="367"/>
        <v>0</v>
      </c>
      <c r="BH545" s="3199">
        <f t="shared" si="368"/>
        <v>0</v>
      </c>
      <c r="BI545" s="3199">
        <f t="shared" si="369"/>
        <v>0</v>
      </c>
      <c r="BJ545" s="3199">
        <f t="shared" si="370"/>
        <v>0</v>
      </c>
      <c r="BK545" s="3199">
        <f t="shared" si="371"/>
        <v>0</v>
      </c>
      <c r="BL545" s="3199">
        <f t="shared" si="372"/>
        <v>0</v>
      </c>
      <c r="BM545" s="3199">
        <f t="shared" si="373"/>
        <v>0</v>
      </c>
      <c r="BN545" s="3199">
        <f t="shared" si="374"/>
        <v>0</v>
      </c>
      <c r="BO545" s="3199">
        <f t="shared" si="375"/>
        <v>0</v>
      </c>
      <c r="BP545" s="3199">
        <f t="shared" si="376"/>
        <v>0</v>
      </c>
      <c r="BQ545" s="3199">
        <f t="shared" si="377"/>
        <v>0</v>
      </c>
      <c r="BR545" s="3199">
        <f t="shared" si="378"/>
        <v>0</v>
      </c>
      <c r="BS545" s="3199">
        <f t="shared" si="379"/>
        <v>0</v>
      </c>
      <c r="BT545" s="3271">
        <f t="shared" si="380"/>
        <v>0</v>
      </c>
    </row>
    <row r="546" spans="1:72">
      <c r="A546" s="3197"/>
      <c r="B546" s="3198"/>
      <c r="C546" s="3198"/>
      <c r="D546" s="3193"/>
      <c r="E546" s="3199">
        <f t="shared" si="352"/>
        <v>0</v>
      </c>
      <c r="F546" s="3200"/>
      <c r="G546" s="3201">
        <f t="shared" si="353"/>
        <v>0</v>
      </c>
      <c r="H546" s="3202">
        <f t="shared" si="354"/>
        <v>0</v>
      </c>
      <c r="I546" s="3218"/>
      <c r="J546" s="3218"/>
      <c r="K546" s="3218"/>
      <c r="L546" s="3218"/>
      <c r="M546" s="3218"/>
      <c r="N546" s="3218"/>
      <c r="O546" s="3218"/>
      <c r="P546" s="3218"/>
      <c r="Q546" s="3218"/>
      <c r="R546" s="3218"/>
      <c r="S546" s="3218"/>
      <c r="T546" s="3218"/>
      <c r="U546" s="3218"/>
      <c r="V546" s="3218"/>
      <c r="W546" s="3218"/>
      <c r="X546" s="3218"/>
      <c r="Y546" s="3218"/>
      <c r="Z546" s="3218"/>
      <c r="AA546" s="3218"/>
      <c r="AB546" s="3218"/>
      <c r="AC546" s="3199">
        <f t="shared" si="355"/>
        <v>0</v>
      </c>
      <c r="AD546" s="3229"/>
      <c r="AE546" s="3229"/>
      <c r="AF546" s="3229"/>
      <c r="AG546" s="3229"/>
      <c r="AH546" s="3229"/>
      <c r="AI546" s="3229"/>
      <c r="AJ546" s="3229"/>
      <c r="AK546" s="3229"/>
      <c r="AL546" s="3229"/>
      <c r="AM546" s="3229"/>
      <c r="AN546" s="3229"/>
      <c r="AO546" s="3229"/>
      <c r="AP546" s="3229"/>
      <c r="AQ546" s="3229"/>
      <c r="AR546" s="3229"/>
      <c r="AS546" s="3229"/>
      <c r="AT546" s="3249"/>
      <c r="AU546" s="3250"/>
      <c r="AV546" s="475">
        <f t="shared" si="356"/>
        <v>0</v>
      </c>
      <c r="AW546" s="475">
        <f t="shared" si="357"/>
        <v>0</v>
      </c>
      <c r="AX546" s="475">
        <f t="shared" si="358"/>
        <v>0</v>
      </c>
      <c r="AY546" s="3266">
        <f t="shared" si="359"/>
        <v>0</v>
      </c>
      <c r="AZ546" s="3199">
        <f t="shared" si="360"/>
        <v>0</v>
      </c>
      <c r="BA546" s="3199">
        <f t="shared" si="361"/>
        <v>0</v>
      </c>
      <c r="BB546" s="3199">
        <f t="shared" si="362"/>
        <v>0</v>
      </c>
      <c r="BC546" s="3199">
        <f t="shared" si="363"/>
        <v>0</v>
      </c>
      <c r="BD546" s="3199">
        <f t="shared" si="364"/>
        <v>0</v>
      </c>
      <c r="BE546" s="3199">
        <f t="shared" si="365"/>
        <v>0</v>
      </c>
      <c r="BF546" s="3199">
        <f t="shared" si="366"/>
        <v>0</v>
      </c>
      <c r="BG546" s="3199">
        <f t="shared" si="367"/>
        <v>0</v>
      </c>
      <c r="BH546" s="3199">
        <f t="shared" si="368"/>
        <v>0</v>
      </c>
      <c r="BI546" s="3199">
        <f t="shared" si="369"/>
        <v>0</v>
      </c>
      <c r="BJ546" s="3199">
        <f t="shared" si="370"/>
        <v>0</v>
      </c>
      <c r="BK546" s="3199">
        <f t="shared" si="371"/>
        <v>0</v>
      </c>
      <c r="BL546" s="3199">
        <f t="shared" si="372"/>
        <v>0</v>
      </c>
      <c r="BM546" s="3199">
        <f t="shared" si="373"/>
        <v>0</v>
      </c>
      <c r="BN546" s="3199">
        <f t="shared" si="374"/>
        <v>0</v>
      </c>
      <c r="BO546" s="3199">
        <f t="shared" si="375"/>
        <v>0</v>
      </c>
      <c r="BP546" s="3199">
        <f t="shared" si="376"/>
        <v>0</v>
      </c>
      <c r="BQ546" s="3199">
        <f t="shared" si="377"/>
        <v>0</v>
      </c>
      <c r="BR546" s="3199">
        <f t="shared" si="378"/>
        <v>0</v>
      </c>
      <c r="BS546" s="3199">
        <f t="shared" si="379"/>
        <v>0</v>
      </c>
      <c r="BT546" s="3271">
        <f t="shared" si="380"/>
        <v>0</v>
      </c>
    </row>
    <row r="547" spans="1:72">
      <c r="A547" s="3197"/>
      <c r="B547" s="3198"/>
      <c r="C547" s="3198"/>
      <c r="D547" s="3193"/>
      <c r="E547" s="3199">
        <f t="shared" si="352"/>
        <v>0</v>
      </c>
      <c r="F547" s="3200"/>
      <c r="G547" s="3201">
        <f t="shared" si="353"/>
        <v>0</v>
      </c>
      <c r="H547" s="3202">
        <f t="shared" si="354"/>
        <v>0</v>
      </c>
      <c r="I547" s="3218"/>
      <c r="J547" s="3218"/>
      <c r="K547" s="3218"/>
      <c r="L547" s="3218"/>
      <c r="M547" s="3218"/>
      <c r="N547" s="3218"/>
      <c r="O547" s="3218"/>
      <c r="P547" s="3218"/>
      <c r="Q547" s="3218"/>
      <c r="R547" s="3218"/>
      <c r="S547" s="3218"/>
      <c r="T547" s="3218"/>
      <c r="U547" s="3218"/>
      <c r="V547" s="3218"/>
      <c r="W547" s="3218"/>
      <c r="X547" s="3218"/>
      <c r="Y547" s="3218"/>
      <c r="Z547" s="3218"/>
      <c r="AA547" s="3218"/>
      <c r="AB547" s="3218"/>
      <c r="AC547" s="3199">
        <f t="shared" si="355"/>
        <v>0</v>
      </c>
      <c r="AD547" s="3229"/>
      <c r="AE547" s="3229"/>
      <c r="AF547" s="3229"/>
      <c r="AG547" s="3229"/>
      <c r="AH547" s="3229"/>
      <c r="AI547" s="3229"/>
      <c r="AJ547" s="3229"/>
      <c r="AK547" s="3229"/>
      <c r="AL547" s="3229"/>
      <c r="AM547" s="3229"/>
      <c r="AN547" s="3229"/>
      <c r="AO547" s="3229"/>
      <c r="AP547" s="3229"/>
      <c r="AQ547" s="3229"/>
      <c r="AR547" s="3229"/>
      <c r="AS547" s="3229"/>
      <c r="AT547" s="3249"/>
      <c r="AU547" s="3250"/>
      <c r="AV547" s="475">
        <f t="shared" si="356"/>
        <v>0</v>
      </c>
      <c r="AW547" s="475">
        <f t="shared" si="357"/>
        <v>0</v>
      </c>
      <c r="AX547" s="475">
        <f t="shared" si="358"/>
        <v>0</v>
      </c>
      <c r="AY547" s="3266">
        <f t="shared" si="359"/>
        <v>0</v>
      </c>
      <c r="AZ547" s="3199">
        <f t="shared" si="360"/>
        <v>0</v>
      </c>
      <c r="BA547" s="3199">
        <f t="shared" si="361"/>
        <v>0</v>
      </c>
      <c r="BB547" s="3199">
        <f t="shared" si="362"/>
        <v>0</v>
      </c>
      <c r="BC547" s="3199">
        <f t="shared" si="363"/>
        <v>0</v>
      </c>
      <c r="BD547" s="3199">
        <f t="shared" si="364"/>
        <v>0</v>
      </c>
      <c r="BE547" s="3199">
        <f t="shared" si="365"/>
        <v>0</v>
      </c>
      <c r="BF547" s="3199">
        <f t="shared" si="366"/>
        <v>0</v>
      </c>
      <c r="BG547" s="3199">
        <f t="shared" si="367"/>
        <v>0</v>
      </c>
      <c r="BH547" s="3199">
        <f t="shared" si="368"/>
        <v>0</v>
      </c>
      <c r="BI547" s="3199">
        <f t="shared" si="369"/>
        <v>0</v>
      </c>
      <c r="BJ547" s="3199">
        <f t="shared" si="370"/>
        <v>0</v>
      </c>
      <c r="BK547" s="3199">
        <f t="shared" si="371"/>
        <v>0</v>
      </c>
      <c r="BL547" s="3199">
        <f t="shared" si="372"/>
        <v>0</v>
      </c>
      <c r="BM547" s="3199">
        <f t="shared" si="373"/>
        <v>0</v>
      </c>
      <c r="BN547" s="3199">
        <f t="shared" si="374"/>
        <v>0</v>
      </c>
      <c r="BO547" s="3199">
        <f t="shared" si="375"/>
        <v>0</v>
      </c>
      <c r="BP547" s="3199">
        <f t="shared" si="376"/>
        <v>0</v>
      </c>
      <c r="BQ547" s="3199">
        <f t="shared" si="377"/>
        <v>0</v>
      </c>
      <c r="BR547" s="3199">
        <f t="shared" si="378"/>
        <v>0</v>
      </c>
      <c r="BS547" s="3199">
        <f t="shared" si="379"/>
        <v>0</v>
      </c>
      <c r="BT547" s="3271">
        <f t="shared" si="380"/>
        <v>0</v>
      </c>
    </row>
    <row r="548" spans="1:72">
      <c r="A548" s="3197"/>
      <c r="B548" s="3198"/>
      <c r="C548" s="3198"/>
      <c r="D548" s="3193"/>
      <c r="E548" s="3199">
        <f t="shared" si="352"/>
        <v>0</v>
      </c>
      <c r="F548" s="3200"/>
      <c r="G548" s="3201">
        <f t="shared" si="353"/>
        <v>0</v>
      </c>
      <c r="H548" s="3202">
        <f t="shared" si="354"/>
        <v>0</v>
      </c>
      <c r="I548" s="3218"/>
      <c r="J548" s="3218"/>
      <c r="K548" s="3218"/>
      <c r="L548" s="3218"/>
      <c r="M548" s="3218"/>
      <c r="N548" s="3218"/>
      <c r="O548" s="3218"/>
      <c r="P548" s="3218"/>
      <c r="Q548" s="3218"/>
      <c r="R548" s="3218"/>
      <c r="S548" s="3218"/>
      <c r="T548" s="3218"/>
      <c r="U548" s="3218"/>
      <c r="V548" s="3218"/>
      <c r="W548" s="3218"/>
      <c r="X548" s="3218"/>
      <c r="Y548" s="3218"/>
      <c r="Z548" s="3218"/>
      <c r="AA548" s="3218"/>
      <c r="AB548" s="3218"/>
      <c r="AC548" s="3199">
        <f t="shared" si="355"/>
        <v>0</v>
      </c>
      <c r="AD548" s="3229"/>
      <c r="AE548" s="3229"/>
      <c r="AF548" s="3229"/>
      <c r="AG548" s="3229"/>
      <c r="AH548" s="3229"/>
      <c r="AI548" s="3229"/>
      <c r="AJ548" s="3229"/>
      <c r="AK548" s="3229"/>
      <c r="AL548" s="3229"/>
      <c r="AM548" s="3229"/>
      <c r="AN548" s="3229"/>
      <c r="AO548" s="3229"/>
      <c r="AP548" s="3229"/>
      <c r="AQ548" s="3229"/>
      <c r="AR548" s="3229"/>
      <c r="AS548" s="3229"/>
      <c r="AT548" s="3249"/>
      <c r="AU548" s="3250"/>
      <c r="AV548" s="475">
        <f t="shared" si="356"/>
        <v>0</v>
      </c>
      <c r="AW548" s="475">
        <f t="shared" si="357"/>
        <v>0</v>
      </c>
      <c r="AX548" s="475">
        <f t="shared" si="358"/>
        <v>0</v>
      </c>
      <c r="AY548" s="3266">
        <f t="shared" si="359"/>
        <v>0</v>
      </c>
      <c r="AZ548" s="3199">
        <f t="shared" si="360"/>
        <v>0</v>
      </c>
      <c r="BA548" s="3199">
        <f t="shared" si="361"/>
        <v>0</v>
      </c>
      <c r="BB548" s="3199">
        <f t="shared" si="362"/>
        <v>0</v>
      </c>
      <c r="BC548" s="3199">
        <f t="shared" si="363"/>
        <v>0</v>
      </c>
      <c r="BD548" s="3199">
        <f t="shared" si="364"/>
        <v>0</v>
      </c>
      <c r="BE548" s="3199">
        <f t="shared" si="365"/>
        <v>0</v>
      </c>
      <c r="BF548" s="3199">
        <f t="shared" si="366"/>
        <v>0</v>
      </c>
      <c r="BG548" s="3199">
        <f t="shared" si="367"/>
        <v>0</v>
      </c>
      <c r="BH548" s="3199">
        <f t="shared" si="368"/>
        <v>0</v>
      </c>
      <c r="BI548" s="3199">
        <f t="shared" si="369"/>
        <v>0</v>
      </c>
      <c r="BJ548" s="3199">
        <f t="shared" si="370"/>
        <v>0</v>
      </c>
      <c r="BK548" s="3199">
        <f t="shared" si="371"/>
        <v>0</v>
      </c>
      <c r="BL548" s="3199">
        <f t="shared" si="372"/>
        <v>0</v>
      </c>
      <c r="BM548" s="3199">
        <f t="shared" si="373"/>
        <v>0</v>
      </c>
      <c r="BN548" s="3199">
        <f t="shared" si="374"/>
        <v>0</v>
      </c>
      <c r="BO548" s="3199">
        <f t="shared" si="375"/>
        <v>0</v>
      </c>
      <c r="BP548" s="3199">
        <f t="shared" si="376"/>
        <v>0</v>
      </c>
      <c r="BQ548" s="3199">
        <f t="shared" si="377"/>
        <v>0</v>
      </c>
      <c r="BR548" s="3199">
        <f t="shared" si="378"/>
        <v>0</v>
      </c>
      <c r="BS548" s="3199">
        <f t="shared" si="379"/>
        <v>0</v>
      </c>
      <c r="BT548" s="3271">
        <f t="shared" si="380"/>
        <v>0</v>
      </c>
    </row>
    <row r="549" spans="1:72">
      <c r="A549" s="3197"/>
      <c r="B549" s="3198"/>
      <c r="C549" s="3198"/>
      <c r="D549" s="3193"/>
      <c r="E549" s="3199">
        <f t="shared" si="352"/>
        <v>0</v>
      </c>
      <c r="F549" s="3200"/>
      <c r="G549" s="3201">
        <f t="shared" si="353"/>
        <v>0</v>
      </c>
      <c r="H549" s="3202">
        <f t="shared" si="354"/>
        <v>0</v>
      </c>
      <c r="I549" s="3218"/>
      <c r="J549" s="3218"/>
      <c r="K549" s="3218"/>
      <c r="L549" s="3218"/>
      <c r="M549" s="3218"/>
      <c r="N549" s="3218"/>
      <c r="O549" s="3218"/>
      <c r="P549" s="3218"/>
      <c r="Q549" s="3218"/>
      <c r="R549" s="3218"/>
      <c r="S549" s="3218"/>
      <c r="T549" s="3218"/>
      <c r="U549" s="3218"/>
      <c r="V549" s="3218"/>
      <c r="W549" s="3218"/>
      <c r="X549" s="3218"/>
      <c r="Y549" s="3218"/>
      <c r="Z549" s="3218"/>
      <c r="AA549" s="3218"/>
      <c r="AB549" s="3218"/>
      <c r="AC549" s="3199">
        <f t="shared" si="355"/>
        <v>0</v>
      </c>
      <c r="AD549" s="3229"/>
      <c r="AE549" s="3229"/>
      <c r="AF549" s="3229"/>
      <c r="AG549" s="3229"/>
      <c r="AH549" s="3229"/>
      <c r="AI549" s="3229"/>
      <c r="AJ549" s="3229"/>
      <c r="AK549" s="3229"/>
      <c r="AL549" s="3229"/>
      <c r="AM549" s="3229"/>
      <c r="AN549" s="3229"/>
      <c r="AO549" s="3229"/>
      <c r="AP549" s="3229"/>
      <c r="AQ549" s="3229"/>
      <c r="AR549" s="3229"/>
      <c r="AS549" s="3229"/>
      <c r="AT549" s="3249"/>
      <c r="AU549" s="3250"/>
      <c r="AV549" s="475">
        <f t="shared" si="356"/>
        <v>0</v>
      </c>
      <c r="AW549" s="475">
        <f t="shared" si="357"/>
        <v>0</v>
      </c>
      <c r="AX549" s="475">
        <f t="shared" si="358"/>
        <v>0</v>
      </c>
      <c r="AY549" s="3266">
        <f t="shared" si="359"/>
        <v>0</v>
      </c>
      <c r="AZ549" s="3199">
        <f t="shared" si="360"/>
        <v>0</v>
      </c>
      <c r="BA549" s="3199">
        <f t="shared" si="361"/>
        <v>0</v>
      </c>
      <c r="BB549" s="3199">
        <f t="shared" si="362"/>
        <v>0</v>
      </c>
      <c r="BC549" s="3199">
        <f t="shared" si="363"/>
        <v>0</v>
      </c>
      <c r="BD549" s="3199">
        <f t="shared" si="364"/>
        <v>0</v>
      </c>
      <c r="BE549" s="3199">
        <f t="shared" si="365"/>
        <v>0</v>
      </c>
      <c r="BF549" s="3199">
        <f t="shared" si="366"/>
        <v>0</v>
      </c>
      <c r="BG549" s="3199">
        <f t="shared" si="367"/>
        <v>0</v>
      </c>
      <c r="BH549" s="3199">
        <f t="shared" si="368"/>
        <v>0</v>
      </c>
      <c r="BI549" s="3199">
        <f t="shared" si="369"/>
        <v>0</v>
      </c>
      <c r="BJ549" s="3199">
        <f t="shared" si="370"/>
        <v>0</v>
      </c>
      <c r="BK549" s="3199">
        <f t="shared" si="371"/>
        <v>0</v>
      </c>
      <c r="BL549" s="3199">
        <f t="shared" si="372"/>
        <v>0</v>
      </c>
      <c r="BM549" s="3199">
        <f t="shared" si="373"/>
        <v>0</v>
      </c>
      <c r="BN549" s="3199">
        <f t="shared" si="374"/>
        <v>0</v>
      </c>
      <c r="BO549" s="3199">
        <f t="shared" si="375"/>
        <v>0</v>
      </c>
      <c r="BP549" s="3199">
        <f t="shared" si="376"/>
        <v>0</v>
      </c>
      <c r="BQ549" s="3199">
        <f t="shared" si="377"/>
        <v>0</v>
      </c>
      <c r="BR549" s="3199">
        <f t="shared" si="378"/>
        <v>0</v>
      </c>
      <c r="BS549" s="3199">
        <f t="shared" si="379"/>
        <v>0</v>
      </c>
      <c r="BT549" s="3271">
        <f t="shared" si="380"/>
        <v>0</v>
      </c>
    </row>
    <row r="550" spans="1:72">
      <c r="A550" s="3197"/>
      <c r="B550" s="3198"/>
      <c r="C550" s="3198"/>
      <c r="D550" s="3193"/>
      <c r="E550" s="3199">
        <f t="shared" si="352"/>
        <v>0</v>
      </c>
      <c r="F550" s="3200"/>
      <c r="G550" s="3201">
        <f t="shared" si="353"/>
        <v>0</v>
      </c>
      <c r="H550" s="3202">
        <f t="shared" si="354"/>
        <v>0</v>
      </c>
      <c r="I550" s="3218"/>
      <c r="J550" s="3218"/>
      <c r="K550" s="3218"/>
      <c r="L550" s="3218"/>
      <c r="M550" s="3218"/>
      <c r="N550" s="3218"/>
      <c r="O550" s="3218"/>
      <c r="P550" s="3218"/>
      <c r="Q550" s="3218"/>
      <c r="R550" s="3218"/>
      <c r="S550" s="3218"/>
      <c r="T550" s="3218"/>
      <c r="U550" s="3218"/>
      <c r="V550" s="3218"/>
      <c r="W550" s="3218"/>
      <c r="X550" s="3218"/>
      <c r="Y550" s="3218"/>
      <c r="Z550" s="3218"/>
      <c r="AA550" s="3218"/>
      <c r="AB550" s="3218"/>
      <c r="AC550" s="3199">
        <f t="shared" si="355"/>
        <v>0</v>
      </c>
      <c r="AD550" s="3229"/>
      <c r="AE550" s="3229"/>
      <c r="AF550" s="3229"/>
      <c r="AG550" s="3229"/>
      <c r="AH550" s="3229"/>
      <c r="AI550" s="3229"/>
      <c r="AJ550" s="3229"/>
      <c r="AK550" s="3229"/>
      <c r="AL550" s="3229"/>
      <c r="AM550" s="3229"/>
      <c r="AN550" s="3229"/>
      <c r="AO550" s="3229"/>
      <c r="AP550" s="3229"/>
      <c r="AQ550" s="3229"/>
      <c r="AR550" s="3229"/>
      <c r="AS550" s="3229"/>
      <c r="AT550" s="3249"/>
      <c r="AU550" s="3250"/>
      <c r="AV550" s="475">
        <f t="shared" si="356"/>
        <v>0</v>
      </c>
      <c r="AW550" s="475">
        <f t="shared" si="357"/>
        <v>0</v>
      </c>
      <c r="AX550" s="475">
        <f t="shared" si="358"/>
        <v>0</v>
      </c>
      <c r="AY550" s="3266">
        <f t="shared" si="359"/>
        <v>0</v>
      </c>
      <c r="AZ550" s="3199">
        <f t="shared" si="360"/>
        <v>0</v>
      </c>
      <c r="BA550" s="3199">
        <f t="shared" si="361"/>
        <v>0</v>
      </c>
      <c r="BB550" s="3199">
        <f t="shared" si="362"/>
        <v>0</v>
      </c>
      <c r="BC550" s="3199">
        <f t="shared" si="363"/>
        <v>0</v>
      </c>
      <c r="BD550" s="3199">
        <f t="shared" si="364"/>
        <v>0</v>
      </c>
      <c r="BE550" s="3199">
        <f t="shared" si="365"/>
        <v>0</v>
      </c>
      <c r="BF550" s="3199">
        <f t="shared" si="366"/>
        <v>0</v>
      </c>
      <c r="BG550" s="3199">
        <f t="shared" si="367"/>
        <v>0</v>
      </c>
      <c r="BH550" s="3199">
        <f t="shared" si="368"/>
        <v>0</v>
      </c>
      <c r="BI550" s="3199">
        <f t="shared" si="369"/>
        <v>0</v>
      </c>
      <c r="BJ550" s="3199">
        <f t="shared" si="370"/>
        <v>0</v>
      </c>
      <c r="BK550" s="3199">
        <f t="shared" si="371"/>
        <v>0</v>
      </c>
      <c r="BL550" s="3199">
        <f t="shared" si="372"/>
        <v>0</v>
      </c>
      <c r="BM550" s="3199">
        <f t="shared" si="373"/>
        <v>0</v>
      </c>
      <c r="BN550" s="3199">
        <f t="shared" si="374"/>
        <v>0</v>
      </c>
      <c r="BO550" s="3199">
        <f t="shared" si="375"/>
        <v>0</v>
      </c>
      <c r="BP550" s="3199">
        <f t="shared" si="376"/>
        <v>0</v>
      </c>
      <c r="BQ550" s="3199">
        <f t="shared" si="377"/>
        <v>0</v>
      </c>
      <c r="BR550" s="3199">
        <f t="shared" si="378"/>
        <v>0</v>
      </c>
      <c r="BS550" s="3199">
        <f t="shared" si="379"/>
        <v>0</v>
      </c>
      <c r="BT550" s="3271">
        <f t="shared" si="380"/>
        <v>0</v>
      </c>
    </row>
    <row r="551" spans="1:72">
      <c r="A551" s="3197"/>
      <c r="B551" s="3198"/>
      <c r="C551" s="3198"/>
      <c r="D551" s="3193"/>
      <c r="E551" s="3199">
        <f t="shared" si="352"/>
        <v>0</v>
      </c>
      <c r="F551" s="3200"/>
      <c r="G551" s="3201">
        <f t="shared" si="353"/>
        <v>0</v>
      </c>
      <c r="H551" s="3202">
        <f t="shared" si="354"/>
        <v>0</v>
      </c>
      <c r="I551" s="3218"/>
      <c r="J551" s="3218"/>
      <c r="K551" s="3218"/>
      <c r="L551" s="3218"/>
      <c r="M551" s="3218"/>
      <c r="N551" s="3218"/>
      <c r="O551" s="3218"/>
      <c r="P551" s="3218"/>
      <c r="Q551" s="3218"/>
      <c r="R551" s="3218"/>
      <c r="S551" s="3218"/>
      <c r="T551" s="3218"/>
      <c r="U551" s="3218"/>
      <c r="V551" s="3218"/>
      <c r="W551" s="3218"/>
      <c r="X551" s="3218"/>
      <c r="Y551" s="3218"/>
      <c r="Z551" s="3218"/>
      <c r="AA551" s="3218"/>
      <c r="AB551" s="3218"/>
      <c r="AC551" s="3199">
        <f t="shared" si="355"/>
        <v>0</v>
      </c>
      <c r="AD551" s="3229"/>
      <c r="AE551" s="3229"/>
      <c r="AF551" s="3229"/>
      <c r="AG551" s="3229"/>
      <c r="AH551" s="3229"/>
      <c r="AI551" s="3229"/>
      <c r="AJ551" s="3229"/>
      <c r="AK551" s="3229"/>
      <c r="AL551" s="3229"/>
      <c r="AM551" s="3229"/>
      <c r="AN551" s="3229"/>
      <c r="AO551" s="3229"/>
      <c r="AP551" s="3229"/>
      <c r="AQ551" s="3229"/>
      <c r="AR551" s="3229"/>
      <c r="AS551" s="3229"/>
      <c r="AT551" s="3249"/>
      <c r="AU551" s="3250"/>
      <c r="AV551" s="475">
        <f t="shared" si="356"/>
        <v>0</v>
      </c>
      <c r="AW551" s="475">
        <f t="shared" si="357"/>
        <v>0</v>
      </c>
      <c r="AX551" s="475">
        <f t="shared" si="358"/>
        <v>0</v>
      </c>
      <c r="AY551" s="3266">
        <f t="shared" si="359"/>
        <v>0</v>
      </c>
      <c r="AZ551" s="3199">
        <f t="shared" si="360"/>
        <v>0</v>
      </c>
      <c r="BA551" s="3199">
        <f t="shared" si="361"/>
        <v>0</v>
      </c>
      <c r="BB551" s="3199">
        <f t="shared" si="362"/>
        <v>0</v>
      </c>
      <c r="BC551" s="3199">
        <f t="shared" si="363"/>
        <v>0</v>
      </c>
      <c r="BD551" s="3199">
        <f t="shared" si="364"/>
        <v>0</v>
      </c>
      <c r="BE551" s="3199">
        <f t="shared" si="365"/>
        <v>0</v>
      </c>
      <c r="BF551" s="3199">
        <f t="shared" si="366"/>
        <v>0</v>
      </c>
      <c r="BG551" s="3199">
        <f t="shared" si="367"/>
        <v>0</v>
      </c>
      <c r="BH551" s="3199">
        <f t="shared" si="368"/>
        <v>0</v>
      </c>
      <c r="BI551" s="3199">
        <f t="shared" si="369"/>
        <v>0</v>
      </c>
      <c r="BJ551" s="3199">
        <f t="shared" si="370"/>
        <v>0</v>
      </c>
      <c r="BK551" s="3199">
        <f t="shared" si="371"/>
        <v>0</v>
      </c>
      <c r="BL551" s="3199">
        <f t="shared" si="372"/>
        <v>0</v>
      </c>
      <c r="BM551" s="3199">
        <f t="shared" si="373"/>
        <v>0</v>
      </c>
      <c r="BN551" s="3199">
        <f t="shared" si="374"/>
        <v>0</v>
      </c>
      <c r="BO551" s="3199">
        <f t="shared" si="375"/>
        <v>0</v>
      </c>
      <c r="BP551" s="3199">
        <f t="shared" si="376"/>
        <v>0</v>
      </c>
      <c r="BQ551" s="3199">
        <f t="shared" si="377"/>
        <v>0</v>
      </c>
      <c r="BR551" s="3199">
        <f t="shared" si="378"/>
        <v>0</v>
      </c>
      <c r="BS551" s="3199">
        <f t="shared" si="379"/>
        <v>0</v>
      </c>
      <c r="BT551" s="3271">
        <f t="shared" si="380"/>
        <v>0</v>
      </c>
    </row>
    <row r="552" spans="1:72">
      <c r="A552" s="3197"/>
      <c r="B552" s="3198"/>
      <c r="C552" s="3198"/>
      <c r="D552" s="3193"/>
      <c r="E552" s="3199">
        <f t="shared" si="352"/>
        <v>0</v>
      </c>
      <c r="F552" s="3200"/>
      <c r="G552" s="3201">
        <f t="shared" si="353"/>
        <v>0</v>
      </c>
      <c r="H552" s="3202">
        <f t="shared" si="354"/>
        <v>0</v>
      </c>
      <c r="I552" s="3218"/>
      <c r="J552" s="3218"/>
      <c r="K552" s="3218"/>
      <c r="L552" s="3218"/>
      <c r="M552" s="3218"/>
      <c r="N552" s="3218"/>
      <c r="O552" s="3218"/>
      <c r="P552" s="3218"/>
      <c r="Q552" s="3218"/>
      <c r="R552" s="3218"/>
      <c r="S552" s="3218"/>
      <c r="T552" s="3218"/>
      <c r="U552" s="3218"/>
      <c r="V552" s="3218"/>
      <c r="W552" s="3218"/>
      <c r="X552" s="3218"/>
      <c r="Y552" s="3218"/>
      <c r="Z552" s="3218"/>
      <c r="AA552" s="3218"/>
      <c r="AB552" s="3218"/>
      <c r="AC552" s="3199">
        <f t="shared" si="355"/>
        <v>0</v>
      </c>
      <c r="AD552" s="3229"/>
      <c r="AE552" s="3229"/>
      <c r="AF552" s="3229"/>
      <c r="AG552" s="3229"/>
      <c r="AH552" s="3229"/>
      <c r="AI552" s="3229"/>
      <c r="AJ552" s="3229"/>
      <c r="AK552" s="3229"/>
      <c r="AL552" s="3229"/>
      <c r="AM552" s="3229"/>
      <c r="AN552" s="3229"/>
      <c r="AO552" s="3229"/>
      <c r="AP552" s="3229"/>
      <c r="AQ552" s="3229"/>
      <c r="AR552" s="3229"/>
      <c r="AS552" s="3229"/>
      <c r="AT552" s="3249"/>
      <c r="AU552" s="3250"/>
      <c r="AV552" s="475">
        <f t="shared" si="356"/>
        <v>0</v>
      </c>
      <c r="AW552" s="475">
        <f t="shared" si="357"/>
        <v>0</v>
      </c>
      <c r="AX552" s="475">
        <f t="shared" si="358"/>
        <v>0</v>
      </c>
      <c r="AY552" s="3266">
        <f t="shared" si="359"/>
        <v>0</v>
      </c>
      <c r="AZ552" s="3199">
        <f t="shared" si="360"/>
        <v>0</v>
      </c>
      <c r="BA552" s="3199">
        <f t="shared" si="361"/>
        <v>0</v>
      </c>
      <c r="BB552" s="3199">
        <f t="shared" si="362"/>
        <v>0</v>
      </c>
      <c r="BC552" s="3199">
        <f t="shared" si="363"/>
        <v>0</v>
      </c>
      <c r="BD552" s="3199">
        <f t="shared" si="364"/>
        <v>0</v>
      </c>
      <c r="BE552" s="3199">
        <f t="shared" si="365"/>
        <v>0</v>
      </c>
      <c r="BF552" s="3199">
        <f t="shared" si="366"/>
        <v>0</v>
      </c>
      <c r="BG552" s="3199">
        <f t="shared" si="367"/>
        <v>0</v>
      </c>
      <c r="BH552" s="3199">
        <f t="shared" si="368"/>
        <v>0</v>
      </c>
      <c r="BI552" s="3199">
        <f t="shared" si="369"/>
        <v>0</v>
      </c>
      <c r="BJ552" s="3199">
        <f t="shared" si="370"/>
        <v>0</v>
      </c>
      <c r="BK552" s="3199">
        <f t="shared" si="371"/>
        <v>0</v>
      </c>
      <c r="BL552" s="3199">
        <f t="shared" si="372"/>
        <v>0</v>
      </c>
      <c r="BM552" s="3199">
        <f t="shared" si="373"/>
        <v>0</v>
      </c>
      <c r="BN552" s="3199">
        <f t="shared" si="374"/>
        <v>0</v>
      </c>
      <c r="BO552" s="3199">
        <f t="shared" si="375"/>
        <v>0</v>
      </c>
      <c r="BP552" s="3199">
        <f t="shared" si="376"/>
        <v>0</v>
      </c>
      <c r="BQ552" s="3199">
        <f t="shared" si="377"/>
        <v>0</v>
      </c>
      <c r="BR552" s="3199">
        <f t="shared" si="378"/>
        <v>0</v>
      </c>
      <c r="BS552" s="3199">
        <f t="shared" si="379"/>
        <v>0</v>
      </c>
      <c r="BT552" s="3271">
        <f t="shared" si="380"/>
        <v>0</v>
      </c>
    </row>
    <row r="553" spans="1:72">
      <c r="A553" s="3197"/>
      <c r="B553" s="3198"/>
      <c r="C553" s="3198"/>
      <c r="D553" s="3193"/>
      <c r="E553" s="3199">
        <f t="shared" si="352"/>
        <v>0</v>
      </c>
      <c r="F553" s="3200"/>
      <c r="G553" s="3201">
        <f t="shared" si="353"/>
        <v>0</v>
      </c>
      <c r="H553" s="3202">
        <f t="shared" si="354"/>
        <v>0</v>
      </c>
      <c r="I553" s="3218"/>
      <c r="J553" s="3218"/>
      <c r="K553" s="3218"/>
      <c r="L553" s="3218"/>
      <c r="M553" s="3218"/>
      <c r="N553" s="3218"/>
      <c r="O553" s="3218"/>
      <c r="P553" s="3218"/>
      <c r="Q553" s="3218"/>
      <c r="R553" s="3218"/>
      <c r="S553" s="3218"/>
      <c r="T553" s="3218"/>
      <c r="U553" s="3218"/>
      <c r="V553" s="3218"/>
      <c r="W553" s="3218"/>
      <c r="X553" s="3218"/>
      <c r="Y553" s="3218"/>
      <c r="Z553" s="3218"/>
      <c r="AA553" s="3218"/>
      <c r="AB553" s="3218"/>
      <c r="AC553" s="3199">
        <f t="shared" si="355"/>
        <v>0</v>
      </c>
      <c r="AD553" s="3229"/>
      <c r="AE553" s="3229"/>
      <c r="AF553" s="3229"/>
      <c r="AG553" s="3229"/>
      <c r="AH553" s="3229"/>
      <c r="AI553" s="3229"/>
      <c r="AJ553" s="3229"/>
      <c r="AK553" s="3229"/>
      <c r="AL553" s="3229"/>
      <c r="AM553" s="3229"/>
      <c r="AN553" s="3229"/>
      <c r="AO553" s="3229"/>
      <c r="AP553" s="3229"/>
      <c r="AQ553" s="3229"/>
      <c r="AR553" s="3229"/>
      <c r="AS553" s="3229"/>
      <c r="AT553" s="3249"/>
      <c r="AU553" s="3250"/>
      <c r="AV553" s="475">
        <f t="shared" si="356"/>
        <v>0</v>
      </c>
      <c r="AW553" s="475">
        <f t="shared" si="357"/>
        <v>0</v>
      </c>
      <c r="AX553" s="475">
        <f t="shared" si="358"/>
        <v>0</v>
      </c>
      <c r="AY553" s="3266">
        <f t="shared" si="359"/>
        <v>0</v>
      </c>
      <c r="AZ553" s="3199">
        <f t="shared" si="360"/>
        <v>0</v>
      </c>
      <c r="BA553" s="3199">
        <f t="shared" si="361"/>
        <v>0</v>
      </c>
      <c r="BB553" s="3199">
        <f t="shared" si="362"/>
        <v>0</v>
      </c>
      <c r="BC553" s="3199">
        <f t="shared" si="363"/>
        <v>0</v>
      </c>
      <c r="BD553" s="3199">
        <f t="shared" si="364"/>
        <v>0</v>
      </c>
      <c r="BE553" s="3199">
        <f t="shared" si="365"/>
        <v>0</v>
      </c>
      <c r="BF553" s="3199">
        <f t="shared" si="366"/>
        <v>0</v>
      </c>
      <c r="BG553" s="3199">
        <f t="shared" si="367"/>
        <v>0</v>
      </c>
      <c r="BH553" s="3199">
        <f t="shared" si="368"/>
        <v>0</v>
      </c>
      <c r="BI553" s="3199">
        <f t="shared" si="369"/>
        <v>0</v>
      </c>
      <c r="BJ553" s="3199">
        <f t="shared" si="370"/>
        <v>0</v>
      </c>
      <c r="BK553" s="3199">
        <f t="shared" si="371"/>
        <v>0</v>
      </c>
      <c r="BL553" s="3199">
        <f t="shared" si="372"/>
        <v>0</v>
      </c>
      <c r="BM553" s="3199">
        <f t="shared" si="373"/>
        <v>0</v>
      </c>
      <c r="BN553" s="3199">
        <f t="shared" si="374"/>
        <v>0</v>
      </c>
      <c r="BO553" s="3199">
        <f t="shared" si="375"/>
        <v>0</v>
      </c>
      <c r="BP553" s="3199">
        <f t="shared" si="376"/>
        <v>0</v>
      </c>
      <c r="BQ553" s="3199">
        <f t="shared" si="377"/>
        <v>0</v>
      </c>
      <c r="BR553" s="3199">
        <f t="shared" si="378"/>
        <v>0</v>
      </c>
      <c r="BS553" s="3199">
        <f t="shared" si="379"/>
        <v>0</v>
      </c>
      <c r="BT553" s="3271">
        <f t="shared" si="380"/>
        <v>0</v>
      </c>
    </row>
    <row r="554" spans="1:72">
      <c r="A554" s="3197"/>
      <c r="B554" s="3198"/>
      <c r="C554" s="3198"/>
      <c r="D554" s="3193"/>
      <c r="E554" s="3199">
        <f t="shared" si="352"/>
        <v>0</v>
      </c>
      <c r="F554" s="3200"/>
      <c r="G554" s="3201">
        <f t="shared" si="353"/>
        <v>0</v>
      </c>
      <c r="H554" s="3202">
        <f t="shared" si="354"/>
        <v>0</v>
      </c>
      <c r="I554" s="3218"/>
      <c r="J554" s="3218"/>
      <c r="K554" s="3218"/>
      <c r="L554" s="3218"/>
      <c r="M554" s="3218"/>
      <c r="N554" s="3218"/>
      <c r="O554" s="3218"/>
      <c r="P554" s="3218"/>
      <c r="Q554" s="3218"/>
      <c r="R554" s="3218"/>
      <c r="S554" s="3218"/>
      <c r="T554" s="3218"/>
      <c r="U554" s="3218"/>
      <c r="V554" s="3218"/>
      <c r="W554" s="3218"/>
      <c r="X554" s="3218"/>
      <c r="Y554" s="3218"/>
      <c r="Z554" s="3218"/>
      <c r="AA554" s="3218"/>
      <c r="AB554" s="3218"/>
      <c r="AC554" s="3199">
        <f t="shared" si="355"/>
        <v>0</v>
      </c>
      <c r="AD554" s="3229"/>
      <c r="AE554" s="3229"/>
      <c r="AF554" s="3229"/>
      <c r="AG554" s="3229"/>
      <c r="AH554" s="3229"/>
      <c r="AI554" s="3229"/>
      <c r="AJ554" s="3229"/>
      <c r="AK554" s="3229"/>
      <c r="AL554" s="3229"/>
      <c r="AM554" s="3229"/>
      <c r="AN554" s="3229"/>
      <c r="AO554" s="3229"/>
      <c r="AP554" s="3229"/>
      <c r="AQ554" s="3229"/>
      <c r="AR554" s="3229"/>
      <c r="AS554" s="3229"/>
      <c r="AT554" s="3249"/>
      <c r="AU554" s="3250"/>
      <c r="AV554" s="475">
        <f t="shared" si="356"/>
        <v>0</v>
      </c>
      <c r="AW554" s="475">
        <f t="shared" si="357"/>
        <v>0</v>
      </c>
      <c r="AX554" s="475">
        <f t="shared" si="358"/>
        <v>0</v>
      </c>
      <c r="AY554" s="3266">
        <f t="shared" si="359"/>
        <v>0</v>
      </c>
      <c r="AZ554" s="3199">
        <f t="shared" si="360"/>
        <v>0</v>
      </c>
      <c r="BA554" s="3199">
        <f t="shared" si="361"/>
        <v>0</v>
      </c>
      <c r="BB554" s="3199">
        <f t="shared" si="362"/>
        <v>0</v>
      </c>
      <c r="BC554" s="3199">
        <f t="shared" si="363"/>
        <v>0</v>
      </c>
      <c r="BD554" s="3199">
        <f t="shared" si="364"/>
        <v>0</v>
      </c>
      <c r="BE554" s="3199">
        <f t="shared" si="365"/>
        <v>0</v>
      </c>
      <c r="BF554" s="3199">
        <f t="shared" si="366"/>
        <v>0</v>
      </c>
      <c r="BG554" s="3199">
        <f t="shared" si="367"/>
        <v>0</v>
      </c>
      <c r="BH554" s="3199">
        <f t="shared" si="368"/>
        <v>0</v>
      </c>
      <c r="BI554" s="3199">
        <f t="shared" si="369"/>
        <v>0</v>
      </c>
      <c r="BJ554" s="3199">
        <f t="shared" si="370"/>
        <v>0</v>
      </c>
      <c r="BK554" s="3199">
        <f t="shared" si="371"/>
        <v>0</v>
      </c>
      <c r="BL554" s="3199">
        <f t="shared" si="372"/>
        <v>0</v>
      </c>
      <c r="BM554" s="3199">
        <f t="shared" si="373"/>
        <v>0</v>
      </c>
      <c r="BN554" s="3199">
        <f t="shared" si="374"/>
        <v>0</v>
      </c>
      <c r="BO554" s="3199">
        <f t="shared" si="375"/>
        <v>0</v>
      </c>
      <c r="BP554" s="3199">
        <f t="shared" si="376"/>
        <v>0</v>
      </c>
      <c r="BQ554" s="3199">
        <f t="shared" si="377"/>
        <v>0</v>
      </c>
      <c r="BR554" s="3199">
        <f t="shared" si="378"/>
        <v>0</v>
      </c>
      <c r="BS554" s="3199">
        <f t="shared" si="379"/>
        <v>0</v>
      </c>
      <c r="BT554" s="3271">
        <f t="shared" si="380"/>
        <v>0</v>
      </c>
    </row>
    <row r="555" spans="1:72">
      <c r="A555" s="3197"/>
      <c r="B555" s="3198"/>
      <c r="C555" s="3198"/>
      <c r="D555" s="3193"/>
      <c r="E555" s="3199">
        <f t="shared" si="352"/>
        <v>0</v>
      </c>
      <c r="F555" s="3200"/>
      <c r="G555" s="3201">
        <f t="shared" si="353"/>
        <v>0</v>
      </c>
      <c r="H555" s="3202">
        <f t="shared" si="354"/>
        <v>0</v>
      </c>
      <c r="I555" s="3218"/>
      <c r="J555" s="3218"/>
      <c r="K555" s="3218"/>
      <c r="L555" s="3218"/>
      <c r="M555" s="3218"/>
      <c r="N555" s="3218"/>
      <c r="O555" s="3218"/>
      <c r="P555" s="3218"/>
      <c r="Q555" s="3218"/>
      <c r="R555" s="3218"/>
      <c r="S555" s="3218"/>
      <c r="T555" s="3218"/>
      <c r="U555" s="3218"/>
      <c r="V555" s="3218"/>
      <c r="W555" s="3218"/>
      <c r="X555" s="3218"/>
      <c r="Y555" s="3218"/>
      <c r="Z555" s="3218"/>
      <c r="AA555" s="3218"/>
      <c r="AB555" s="3218"/>
      <c r="AC555" s="3199">
        <f t="shared" si="355"/>
        <v>0</v>
      </c>
      <c r="AD555" s="3229"/>
      <c r="AE555" s="3229"/>
      <c r="AF555" s="3229"/>
      <c r="AG555" s="3229"/>
      <c r="AH555" s="3229"/>
      <c r="AI555" s="3229"/>
      <c r="AJ555" s="3229"/>
      <c r="AK555" s="3229"/>
      <c r="AL555" s="3229"/>
      <c r="AM555" s="3229"/>
      <c r="AN555" s="3229"/>
      <c r="AO555" s="3229"/>
      <c r="AP555" s="3229"/>
      <c r="AQ555" s="3229"/>
      <c r="AR555" s="3229"/>
      <c r="AS555" s="3229"/>
      <c r="AT555" s="3249"/>
      <c r="AU555" s="3250"/>
      <c r="AV555" s="475">
        <f t="shared" si="356"/>
        <v>0</v>
      </c>
      <c r="AW555" s="475">
        <f t="shared" si="357"/>
        <v>0</v>
      </c>
      <c r="AX555" s="475">
        <f t="shared" si="358"/>
        <v>0</v>
      </c>
      <c r="AY555" s="3266">
        <f t="shared" si="359"/>
        <v>0</v>
      </c>
      <c r="AZ555" s="3199">
        <f t="shared" si="360"/>
        <v>0</v>
      </c>
      <c r="BA555" s="3199">
        <f t="shared" si="361"/>
        <v>0</v>
      </c>
      <c r="BB555" s="3199">
        <f t="shared" si="362"/>
        <v>0</v>
      </c>
      <c r="BC555" s="3199">
        <f t="shared" si="363"/>
        <v>0</v>
      </c>
      <c r="BD555" s="3199">
        <f t="shared" si="364"/>
        <v>0</v>
      </c>
      <c r="BE555" s="3199">
        <f t="shared" si="365"/>
        <v>0</v>
      </c>
      <c r="BF555" s="3199">
        <f t="shared" si="366"/>
        <v>0</v>
      </c>
      <c r="BG555" s="3199">
        <f t="shared" si="367"/>
        <v>0</v>
      </c>
      <c r="BH555" s="3199">
        <f t="shared" si="368"/>
        <v>0</v>
      </c>
      <c r="BI555" s="3199">
        <f t="shared" si="369"/>
        <v>0</v>
      </c>
      <c r="BJ555" s="3199">
        <f t="shared" si="370"/>
        <v>0</v>
      </c>
      <c r="BK555" s="3199">
        <f t="shared" si="371"/>
        <v>0</v>
      </c>
      <c r="BL555" s="3199">
        <f t="shared" si="372"/>
        <v>0</v>
      </c>
      <c r="BM555" s="3199">
        <f t="shared" si="373"/>
        <v>0</v>
      </c>
      <c r="BN555" s="3199">
        <f t="shared" si="374"/>
        <v>0</v>
      </c>
      <c r="BO555" s="3199">
        <f t="shared" si="375"/>
        <v>0</v>
      </c>
      <c r="BP555" s="3199">
        <f t="shared" si="376"/>
        <v>0</v>
      </c>
      <c r="BQ555" s="3199">
        <f t="shared" si="377"/>
        <v>0</v>
      </c>
      <c r="BR555" s="3199">
        <f t="shared" si="378"/>
        <v>0</v>
      </c>
      <c r="BS555" s="3199">
        <f t="shared" si="379"/>
        <v>0</v>
      </c>
      <c r="BT555" s="3271">
        <f t="shared" si="380"/>
        <v>0</v>
      </c>
    </row>
    <row r="556" spans="1:72">
      <c r="A556" s="3197"/>
      <c r="B556" s="3198"/>
      <c r="C556" s="3198"/>
      <c r="D556" s="3193"/>
      <c r="E556" s="3199">
        <f t="shared" si="352"/>
        <v>0</v>
      </c>
      <c r="F556" s="3200"/>
      <c r="G556" s="3201">
        <f t="shared" si="353"/>
        <v>0</v>
      </c>
      <c r="H556" s="3202">
        <f t="shared" si="354"/>
        <v>0</v>
      </c>
      <c r="I556" s="3218"/>
      <c r="J556" s="3218"/>
      <c r="K556" s="3218"/>
      <c r="L556" s="3218"/>
      <c r="M556" s="3218"/>
      <c r="N556" s="3218"/>
      <c r="O556" s="3218"/>
      <c r="P556" s="3218"/>
      <c r="Q556" s="3218"/>
      <c r="R556" s="3218"/>
      <c r="S556" s="3218"/>
      <c r="T556" s="3218"/>
      <c r="U556" s="3218"/>
      <c r="V556" s="3218"/>
      <c r="W556" s="3218"/>
      <c r="X556" s="3218"/>
      <c r="Y556" s="3218"/>
      <c r="Z556" s="3218"/>
      <c r="AA556" s="3218"/>
      <c r="AB556" s="3218"/>
      <c r="AC556" s="3199">
        <f t="shared" si="355"/>
        <v>0</v>
      </c>
      <c r="AD556" s="3229"/>
      <c r="AE556" s="3229"/>
      <c r="AF556" s="3229"/>
      <c r="AG556" s="3229"/>
      <c r="AH556" s="3229"/>
      <c r="AI556" s="3229"/>
      <c r="AJ556" s="3229"/>
      <c r="AK556" s="3229"/>
      <c r="AL556" s="3229"/>
      <c r="AM556" s="3229"/>
      <c r="AN556" s="3229"/>
      <c r="AO556" s="3229"/>
      <c r="AP556" s="3229"/>
      <c r="AQ556" s="3229"/>
      <c r="AR556" s="3229"/>
      <c r="AS556" s="3229"/>
      <c r="AT556" s="3249"/>
      <c r="AU556" s="3250"/>
      <c r="AV556" s="475">
        <f t="shared" si="356"/>
        <v>0</v>
      </c>
      <c r="AW556" s="475">
        <f t="shared" si="357"/>
        <v>0</v>
      </c>
      <c r="AX556" s="475">
        <f t="shared" si="358"/>
        <v>0</v>
      </c>
      <c r="AY556" s="3266">
        <f t="shared" si="359"/>
        <v>0</v>
      </c>
      <c r="AZ556" s="3199">
        <f t="shared" si="360"/>
        <v>0</v>
      </c>
      <c r="BA556" s="3199">
        <f t="shared" si="361"/>
        <v>0</v>
      </c>
      <c r="BB556" s="3199">
        <f t="shared" si="362"/>
        <v>0</v>
      </c>
      <c r="BC556" s="3199">
        <f t="shared" si="363"/>
        <v>0</v>
      </c>
      <c r="BD556" s="3199">
        <f t="shared" si="364"/>
        <v>0</v>
      </c>
      <c r="BE556" s="3199">
        <f t="shared" si="365"/>
        <v>0</v>
      </c>
      <c r="BF556" s="3199">
        <f t="shared" si="366"/>
        <v>0</v>
      </c>
      <c r="BG556" s="3199">
        <f t="shared" si="367"/>
        <v>0</v>
      </c>
      <c r="BH556" s="3199">
        <f t="shared" si="368"/>
        <v>0</v>
      </c>
      <c r="BI556" s="3199">
        <f t="shared" si="369"/>
        <v>0</v>
      </c>
      <c r="BJ556" s="3199">
        <f t="shared" si="370"/>
        <v>0</v>
      </c>
      <c r="BK556" s="3199">
        <f t="shared" si="371"/>
        <v>0</v>
      </c>
      <c r="BL556" s="3199">
        <f t="shared" si="372"/>
        <v>0</v>
      </c>
      <c r="BM556" s="3199">
        <f t="shared" si="373"/>
        <v>0</v>
      </c>
      <c r="BN556" s="3199">
        <f t="shared" si="374"/>
        <v>0</v>
      </c>
      <c r="BO556" s="3199">
        <f t="shared" si="375"/>
        <v>0</v>
      </c>
      <c r="BP556" s="3199">
        <f t="shared" si="376"/>
        <v>0</v>
      </c>
      <c r="BQ556" s="3199">
        <f t="shared" si="377"/>
        <v>0</v>
      </c>
      <c r="BR556" s="3199">
        <f t="shared" si="378"/>
        <v>0</v>
      </c>
      <c r="BS556" s="3199">
        <f t="shared" si="379"/>
        <v>0</v>
      </c>
      <c r="BT556" s="3271">
        <f t="shared" si="380"/>
        <v>0</v>
      </c>
    </row>
    <row r="557" spans="1:72">
      <c r="A557" s="3197"/>
      <c r="B557" s="3198"/>
      <c r="C557" s="3198"/>
      <c r="D557" s="3193"/>
      <c r="E557" s="3199">
        <f t="shared" si="352"/>
        <v>0</v>
      </c>
      <c r="F557" s="3200"/>
      <c r="G557" s="3201">
        <f t="shared" si="353"/>
        <v>0</v>
      </c>
      <c r="H557" s="3202">
        <f t="shared" si="354"/>
        <v>0</v>
      </c>
      <c r="I557" s="3218"/>
      <c r="J557" s="3218"/>
      <c r="K557" s="3218"/>
      <c r="L557" s="3218"/>
      <c r="M557" s="3218"/>
      <c r="N557" s="3218"/>
      <c r="O557" s="3218"/>
      <c r="P557" s="3218"/>
      <c r="Q557" s="3218"/>
      <c r="R557" s="3218"/>
      <c r="S557" s="3218"/>
      <c r="T557" s="3218"/>
      <c r="U557" s="3218"/>
      <c r="V557" s="3218"/>
      <c r="W557" s="3218"/>
      <c r="X557" s="3218"/>
      <c r="Y557" s="3218"/>
      <c r="Z557" s="3218"/>
      <c r="AA557" s="3218"/>
      <c r="AB557" s="3218"/>
      <c r="AC557" s="3199">
        <f t="shared" si="355"/>
        <v>0</v>
      </c>
      <c r="AD557" s="3229"/>
      <c r="AE557" s="3229"/>
      <c r="AF557" s="3229"/>
      <c r="AG557" s="3229"/>
      <c r="AH557" s="3229"/>
      <c r="AI557" s="3229"/>
      <c r="AJ557" s="3229"/>
      <c r="AK557" s="3229"/>
      <c r="AL557" s="3229"/>
      <c r="AM557" s="3229"/>
      <c r="AN557" s="3229"/>
      <c r="AO557" s="3229"/>
      <c r="AP557" s="3229"/>
      <c r="AQ557" s="3229"/>
      <c r="AR557" s="3229"/>
      <c r="AS557" s="3229"/>
      <c r="AT557" s="3249"/>
      <c r="AU557" s="3250"/>
      <c r="AV557" s="475">
        <f t="shared" si="356"/>
        <v>0</v>
      </c>
      <c r="AW557" s="475">
        <f t="shared" si="357"/>
        <v>0</v>
      </c>
      <c r="AX557" s="475">
        <f t="shared" si="358"/>
        <v>0</v>
      </c>
      <c r="AY557" s="3266">
        <f t="shared" si="359"/>
        <v>0</v>
      </c>
      <c r="AZ557" s="3199">
        <f t="shared" si="360"/>
        <v>0</v>
      </c>
      <c r="BA557" s="3199">
        <f t="shared" si="361"/>
        <v>0</v>
      </c>
      <c r="BB557" s="3199">
        <f t="shared" si="362"/>
        <v>0</v>
      </c>
      <c r="BC557" s="3199">
        <f t="shared" si="363"/>
        <v>0</v>
      </c>
      <c r="BD557" s="3199">
        <f t="shared" si="364"/>
        <v>0</v>
      </c>
      <c r="BE557" s="3199">
        <f t="shared" si="365"/>
        <v>0</v>
      </c>
      <c r="BF557" s="3199">
        <f t="shared" si="366"/>
        <v>0</v>
      </c>
      <c r="BG557" s="3199">
        <f t="shared" si="367"/>
        <v>0</v>
      </c>
      <c r="BH557" s="3199">
        <f t="shared" si="368"/>
        <v>0</v>
      </c>
      <c r="BI557" s="3199">
        <f t="shared" si="369"/>
        <v>0</v>
      </c>
      <c r="BJ557" s="3199">
        <f t="shared" si="370"/>
        <v>0</v>
      </c>
      <c r="BK557" s="3199">
        <f t="shared" si="371"/>
        <v>0</v>
      </c>
      <c r="BL557" s="3199">
        <f t="shared" si="372"/>
        <v>0</v>
      </c>
      <c r="BM557" s="3199">
        <f t="shared" si="373"/>
        <v>0</v>
      </c>
      <c r="BN557" s="3199">
        <f t="shared" si="374"/>
        <v>0</v>
      </c>
      <c r="BO557" s="3199">
        <f t="shared" si="375"/>
        <v>0</v>
      </c>
      <c r="BP557" s="3199">
        <f t="shared" si="376"/>
        <v>0</v>
      </c>
      <c r="BQ557" s="3199">
        <f t="shared" si="377"/>
        <v>0</v>
      </c>
      <c r="BR557" s="3199">
        <f t="shared" si="378"/>
        <v>0</v>
      </c>
      <c r="BS557" s="3199">
        <f t="shared" si="379"/>
        <v>0</v>
      </c>
      <c r="BT557" s="3271">
        <f t="shared" si="380"/>
        <v>0</v>
      </c>
    </row>
    <row r="558" spans="1:72">
      <c r="A558" s="3197"/>
      <c r="B558" s="3198"/>
      <c r="C558" s="3198"/>
      <c r="D558" s="3193"/>
      <c r="E558" s="3199">
        <f t="shared" si="352"/>
        <v>0</v>
      </c>
      <c r="F558" s="3200"/>
      <c r="G558" s="3201">
        <f t="shared" si="353"/>
        <v>0</v>
      </c>
      <c r="H558" s="3202">
        <f t="shared" si="354"/>
        <v>0</v>
      </c>
      <c r="I558" s="3218"/>
      <c r="J558" s="3218"/>
      <c r="K558" s="3218"/>
      <c r="L558" s="3218"/>
      <c r="M558" s="3218"/>
      <c r="N558" s="3218"/>
      <c r="O558" s="3218"/>
      <c r="P558" s="3218"/>
      <c r="Q558" s="3218"/>
      <c r="R558" s="3218"/>
      <c r="S558" s="3218"/>
      <c r="T558" s="3218"/>
      <c r="U558" s="3218"/>
      <c r="V558" s="3218"/>
      <c r="W558" s="3218"/>
      <c r="X558" s="3218"/>
      <c r="Y558" s="3218"/>
      <c r="Z558" s="3218"/>
      <c r="AA558" s="3218"/>
      <c r="AB558" s="3218"/>
      <c r="AC558" s="3199">
        <f t="shared" si="355"/>
        <v>0</v>
      </c>
      <c r="AD558" s="3229"/>
      <c r="AE558" s="3229"/>
      <c r="AF558" s="3229"/>
      <c r="AG558" s="3229"/>
      <c r="AH558" s="3229"/>
      <c r="AI558" s="3229"/>
      <c r="AJ558" s="3229"/>
      <c r="AK558" s="3229"/>
      <c r="AL558" s="3229"/>
      <c r="AM558" s="3229"/>
      <c r="AN558" s="3229"/>
      <c r="AO558" s="3229"/>
      <c r="AP558" s="3229"/>
      <c r="AQ558" s="3229"/>
      <c r="AR558" s="3229"/>
      <c r="AS558" s="3229"/>
      <c r="AT558" s="3249"/>
      <c r="AU558" s="3250"/>
      <c r="AV558" s="475">
        <f t="shared" si="356"/>
        <v>0</v>
      </c>
      <c r="AW558" s="475">
        <f t="shared" si="357"/>
        <v>0</v>
      </c>
      <c r="AX558" s="475">
        <f t="shared" si="358"/>
        <v>0</v>
      </c>
      <c r="AY558" s="3266">
        <f t="shared" si="359"/>
        <v>0</v>
      </c>
      <c r="AZ558" s="3199">
        <f t="shared" si="360"/>
        <v>0</v>
      </c>
      <c r="BA558" s="3199">
        <f t="shared" si="361"/>
        <v>0</v>
      </c>
      <c r="BB558" s="3199">
        <f t="shared" si="362"/>
        <v>0</v>
      </c>
      <c r="BC558" s="3199">
        <f t="shared" si="363"/>
        <v>0</v>
      </c>
      <c r="BD558" s="3199">
        <f t="shared" si="364"/>
        <v>0</v>
      </c>
      <c r="BE558" s="3199">
        <f t="shared" si="365"/>
        <v>0</v>
      </c>
      <c r="BF558" s="3199">
        <f t="shared" si="366"/>
        <v>0</v>
      </c>
      <c r="BG558" s="3199">
        <f t="shared" si="367"/>
        <v>0</v>
      </c>
      <c r="BH558" s="3199">
        <f t="shared" si="368"/>
        <v>0</v>
      </c>
      <c r="BI558" s="3199">
        <f t="shared" si="369"/>
        <v>0</v>
      </c>
      <c r="BJ558" s="3199">
        <f t="shared" si="370"/>
        <v>0</v>
      </c>
      <c r="BK558" s="3199">
        <f t="shared" si="371"/>
        <v>0</v>
      </c>
      <c r="BL558" s="3199">
        <f t="shared" si="372"/>
        <v>0</v>
      </c>
      <c r="BM558" s="3199">
        <f t="shared" si="373"/>
        <v>0</v>
      </c>
      <c r="BN558" s="3199">
        <f t="shared" si="374"/>
        <v>0</v>
      </c>
      <c r="BO558" s="3199">
        <f t="shared" si="375"/>
        <v>0</v>
      </c>
      <c r="BP558" s="3199">
        <f t="shared" si="376"/>
        <v>0</v>
      </c>
      <c r="BQ558" s="3199">
        <f t="shared" si="377"/>
        <v>0</v>
      </c>
      <c r="BR558" s="3199">
        <f t="shared" si="378"/>
        <v>0</v>
      </c>
      <c r="BS558" s="3199">
        <f t="shared" si="379"/>
        <v>0</v>
      </c>
      <c r="BT558" s="3271">
        <f t="shared" si="380"/>
        <v>0</v>
      </c>
    </row>
    <row r="559" spans="1:72">
      <c r="A559" s="3197"/>
      <c r="B559" s="3198"/>
      <c r="C559" s="3198"/>
      <c r="D559" s="3193"/>
      <c r="E559" s="3199">
        <f t="shared" si="352"/>
        <v>0</v>
      </c>
      <c r="F559" s="3200"/>
      <c r="G559" s="3201">
        <f t="shared" si="353"/>
        <v>0</v>
      </c>
      <c r="H559" s="3202">
        <f t="shared" si="354"/>
        <v>0</v>
      </c>
      <c r="I559" s="3218"/>
      <c r="J559" s="3218"/>
      <c r="K559" s="3218"/>
      <c r="L559" s="3218"/>
      <c r="M559" s="3218"/>
      <c r="N559" s="3218"/>
      <c r="O559" s="3218"/>
      <c r="P559" s="3218"/>
      <c r="Q559" s="3218"/>
      <c r="R559" s="3218"/>
      <c r="S559" s="3218"/>
      <c r="T559" s="3218"/>
      <c r="U559" s="3218"/>
      <c r="V559" s="3218"/>
      <c r="W559" s="3218"/>
      <c r="X559" s="3218"/>
      <c r="Y559" s="3218"/>
      <c r="Z559" s="3218"/>
      <c r="AA559" s="3218"/>
      <c r="AB559" s="3218"/>
      <c r="AC559" s="3199">
        <f t="shared" si="355"/>
        <v>0</v>
      </c>
      <c r="AD559" s="3229"/>
      <c r="AE559" s="3229"/>
      <c r="AF559" s="3229"/>
      <c r="AG559" s="3229"/>
      <c r="AH559" s="3229"/>
      <c r="AI559" s="3229"/>
      <c r="AJ559" s="3229"/>
      <c r="AK559" s="3229"/>
      <c r="AL559" s="3229"/>
      <c r="AM559" s="3229"/>
      <c r="AN559" s="3229"/>
      <c r="AO559" s="3229"/>
      <c r="AP559" s="3229"/>
      <c r="AQ559" s="3229"/>
      <c r="AR559" s="3229"/>
      <c r="AS559" s="3229"/>
      <c r="AT559" s="3249"/>
      <c r="AU559" s="3250"/>
      <c r="AV559" s="475">
        <f t="shared" si="356"/>
        <v>0</v>
      </c>
      <c r="AW559" s="475">
        <f t="shared" si="357"/>
        <v>0</v>
      </c>
      <c r="AX559" s="475">
        <f t="shared" si="358"/>
        <v>0</v>
      </c>
      <c r="AY559" s="3266">
        <f t="shared" si="359"/>
        <v>0</v>
      </c>
      <c r="AZ559" s="3199">
        <f t="shared" si="360"/>
        <v>0</v>
      </c>
      <c r="BA559" s="3199">
        <f t="shared" si="361"/>
        <v>0</v>
      </c>
      <c r="BB559" s="3199">
        <f t="shared" si="362"/>
        <v>0</v>
      </c>
      <c r="BC559" s="3199">
        <f t="shared" si="363"/>
        <v>0</v>
      </c>
      <c r="BD559" s="3199">
        <f t="shared" si="364"/>
        <v>0</v>
      </c>
      <c r="BE559" s="3199">
        <f t="shared" si="365"/>
        <v>0</v>
      </c>
      <c r="BF559" s="3199">
        <f t="shared" si="366"/>
        <v>0</v>
      </c>
      <c r="BG559" s="3199">
        <f t="shared" si="367"/>
        <v>0</v>
      </c>
      <c r="BH559" s="3199">
        <f t="shared" si="368"/>
        <v>0</v>
      </c>
      <c r="BI559" s="3199">
        <f t="shared" si="369"/>
        <v>0</v>
      </c>
      <c r="BJ559" s="3199">
        <f t="shared" si="370"/>
        <v>0</v>
      </c>
      <c r="BK559" s="3199">
        <f t="shared" si="371"/>
        <v>0</v>
      </c>
      <c r="BL559" s="3199">
        <f t="shared" si="372"/>
        <v>0</v>
      </c>
      <c r="BM559" s="3199">
        <f t="shared" si="373"/>
        <v>0</v>
      </c>
      <c r="BN559" s="3199">
        <f t="shared" si="374"/>
        <v>0</v>
      </c>
      <c r="BO559" s="3199">
        <f t="shared" si="375"/>
        <v>0</v>
      </c>
      <c r="BP559" s="3199">
        <f t="shared" si="376"/>
        <v>0</v>
      </c>
      <c r="BQ559" s="3199">
        <f t="shared" si="377"/>
        <v>0</v>
      </c>
      <c r="BR559" s="3199">
        <f t="shared" si="378"/>
        <v>0</v>
      </c>
      <c r="BS559" s="3199">
        <f t="shared" si="379"/>
        <v>0</v>
      </c>
      <c r="BT559" s="3271">
        <f t="shared" si="380"/>
        <v>0</v>
      </c>
    </row>
    <row r="560" spans="1:72">
      <c r="A560" s="3197"/>
      <c r="B560" s="3198"/>
      <c r="C560" s="3198"/>
      <c r="D560" s="3193"/>
      <c r="E560" s="3199">
        <f t="shared" si="352"/>
        <v>0</v>
      </c>
      <c r="F560" s="3200"/>
      <c r="G560" s="3201">
        <f t="shared" si="353"/>
        <v>0</v>
      </c>
      <c r="H560" s="3202">
        <f t="shared" si="354"/>
        <v>0</v>
      </c>
      <c r="I560" s="3218"/>
      <c r="J560" s="3218"/>
      <c r="K560" s="3218"/>
      <c r="L560" s="3218"/>
      <c r="M560" s="3218"/>
      <c r="N560" s="3218"/>
      <c r="O560" s="3218"/>
      <c r="P560" s="3218"/>
      <c r="Q560" s="3218"/>
      <c r="R560" s="3218"/>
      <c r="S560" s="3218"/>
      <c r="T560" s="3218"/>
      <c r="U560" s="3218"/>
      <c r="V560" s="3218"/>
      <c r="W560" s="3218"/>
      <c r="X560" s="3218"/>
      <c r="Y560" s="3218"/>
      <c r="Z560" s="3218"/>
      <c r="AA560" s="3218"/>
      <c r="AB560" s="3218"/>
      <c r="AC560" s="3199">
        <f t="shared" si="355"/>
        <v>0</v>
      </c>
      <c r="AD560" s="3229"/>
      <c r="AE560" s="3229"/>
      <c r="AF560" s="3229"/>
      <c r="AG560" s="3229"/>
      <c r="AH560" s="3229"/>
      <c r="AI560" s="3229"/>
      <c r="AJ560" s="3229"/>
      <c r="AK560" s="3229"/>
      <c r="AL560" s="3229"/>
      <c r="AM560" s="3229"/>
      <c r="AN560" s="3229"/>
      <c r="AO560" s="3229"/>
      <c r="AP560" s="3229"/>
      <c r="AQ560" s="3229"/>
      <c r="AR560" s="3229"/>
      <c r="AS560" s="3229"/>
      <c r="AT560" s="3249"/>
      <c r="AU560" s="3250"/>
      <c r="AV560" s="475">
        <f t="shared" si="356"/>
        <v>0</v>
      </c>
      <c r="AW560" s="475">
        <f t="shared" si="357"/>
        <v>0</v>
      </c>
      <c r="AX560" s="475">
        <f t="shared" si="358"/>
        <v>0</v>
      </c>
      <c r="AY560" s="3266">
        <f t="shared" si="359"/>
        <v>0</v>
      </c>
      <c r="AZ560" s="3199">
        <f t="shared" si="360"/>
        <v>0</v>
      </c>
      <c r="BA560" s="3199">
        <f t="shared" si="361"/>
        <v>0</v>
      </c>
      <c r="BB560" s="3199">
        <f t="shared" si="362"/>
        <v>0</v>
      </c>
      <c r="BC560" s="3199">
        <f t="shared" si="363"/>
        <v>0</v>
      </c>
      <c r="BD560" s="3199">
        <f t="shared" si="364"/>
        <v>0</v>
      </c>
      <c r="BE560" s="3199">
        <f t="shared" si="365"/>
        <v>0</v>
      </c>
      <c r="BF560" s="3199">
        <f t="shared" si="366"/>
        <v>0</v>
      </c>
      <c r="BG560" s="3199">
        <f t="shared" si="367"/>
        <v>0</v>
      </c>
      <c r="BH560" s="3199">
        <f t="shared" si="368"/>
        <v>0</v>
      </c>
      <c r="BI560" s="3199">
        <f t="shared" si="369"/>
        <v>0</v>
      </c>
      <c r="BJ560" s="3199">
        <f t="shared" si="370"/>
        <v>0</v>
      </c>
      <c r="BK560" s="3199">
        <f t="shared" si="371"/>
        <v>0</v>
      </c>
      <c r="BL560" s="3199">
        <f t="shared" si="372"/>
        <v>0</v>
      </c>
      <c r="BM560" s="3199">
        <f t="shared" si="373"/>
        <v>0</v>
      </c>
      <c r="BN560" s="3199">
        <f t="shared" si="374"/>
        <v>0</v>
      </c>
      <c r="BO560" s="3199">
        <f t="shared" si="375"/>
        <v>0</v>
      </c>
      <c r="BP560" s="3199">
        <f t="shared" si="376"/>
        <v>0</v>
      </c>
      <c r="BQ560" s="3199">
        <f t="shared" si="377"/>
        <v>0</v>
      </c>
      <c r="BR560" s="3199">
        <f t="shared" si="378"/>
        <v>0</v>
      </c>
      <c r="BS560" s="3199">
        <f t="shared" si="379"/>
        <v>0</v>
      </c>
      <c r="BT560" s="3271">
        <f t="shared" si="380"/>
        <v>0</v>
      </c>
    </row>
    <row r="561" spans="1:72">
      <c r="A561" s="3197"/>
      <c r="B561" s="3198"/>
      <c r="C561" s="3198"/>
      <c r="D561" s="3193"/>
      <c r="E561" s="3199">
        <f t="shared" si="352"/>
        <v>0</v>
      </c>
      <c r="F561" s="3200"/>
      <c r="G561" s="3201">
        <f t="shared" si="353"/>
        <v>0</v>
      </c>
      <c r="H561" s="3202">
        <f t="shared" si="354"/>
        <v>0</v>
      </c>
      <c r="I561" s="3218"/>
      <c r="J561" s="3218"/>
      <c r="K561" s="3218"/>
      <c r="L561" s="3218"/>
      <c r="M561" s="3218"/>
      <c r="N561" s="3218"/>
      <c r="O561" s="3218"/>
      <c r="P561" s="3218"/>
      <c r="Q561" s="3218"/>
      <c r="R561" s="3218"/>
      <c r="S561" s="3218"/>
      <c r="T561" s="3218"/>
      <c r="U561" s="3218"/>
      <c r="V561" s="3218"/>
      <c r="W561" s="3218"/>
      <c r="X561" s="3218"/>
      <c r="Y561" s="3218"/>
      <c r="Z561" s="3218"/>
      <c r="AA561" s="3218"/>
      <c r="AB561" s="3218"/>
      <c r="AC561" s="3199">
        <f t="shared" si="355"/>
        <v>0</v>
      </c>
      <c r="AD561" s="3229"/>
      <c r="AE561" s="3229"/>
      <c r="AF561" s="3229"/>
      <c r="AG561" s="3229"/>
      <c r="AH561" s="3229"/>
      <c r="AI561" s="3229"/>
      <c r="AJ561" s="3229"/>
      <c r="AK561" s="3229"/>
      <c r="AL561" s="3229"/>
      <c r="AM561" s="3229"/>
      <c r="AN561" s="3229"/>
      <c r="AO561" s="3229"/>
      <c r="AP561" s="3229"/>
      <c r="AQ561" s="3229"/>
      <c r="AR561" s="3229"/>
      <c r="AS561" s="3229"/>
      <c r="AT561" s="3249"/>
      <c r="AU561" s="3250"/>
      <c r="AV561" s="475">
        <f t="shared" si="356"/>
        <v>0</v>
      </c>
      <c r="AW561" s="475">
        <f t="shared" si="357"/>
        <v>0</v>
      </c>
      <c r="AX561" s="475">
        <f t="shared" si="358"/>
        <v>0</v>
      </c>
      <c r="AY561" s="3266">
        <f t="shared" si="359"/>
        <v>0</v>
      </c>
      <c r="AZ561" s="3199">
        <f t="shared" si="360"/>
        <v>0</v>
      </c>
      <c r="BA561" s="3199">
        <f t="shared" si="361"/>
        <v>0</v>
      </c>
      <c r="BB561" s="3199">
        <f t="shared" si="362"/>
        <v>0</v>
      </c>
      <c r="BC561" s="3199">
        <f t="shared" si="363"/>
        <v>0</v>
      </c>
      <c r="BD561" s="3199">
        <f t="shared" si="364"/>
        <v>0</v>
      </c>
      <c r="BE561" s="3199">
        <f t="shared" si="365"/>
        <v>0</v>
      </c>
      <c r="BF561" s="3199">
        <f t="shared" si="366"/>
        <v>0</v>
      </c>
      <c r="BG561" s="3199">
        <f t="shared" si="367"/>
        <v>0</v>
      </c>
      <c r="BH561" s="3199">
        <f t="shared" si="368"/>
        <v>0</v>
      </c>
      <c r="BI561" s="3199">
        <f t="shared" si="369"/>
        <v>0</v>
      </c>
      <c r="BJ561" s="3199">
        <f t="shared" si="370"/>
        <v>0</v>
      </c>
      <c r="BK561" s="3199">
        <f t="shared" si="371"/>
        <v>0</v>
      </c>
      <c r="BL561" s="3199">
        <f t="shared" si="372"/>
        <v>0</v>
      </c>
      <c r="BM561" s="3199">
        <f t="shared" si="373"/>
        <v>0</v>
      </c>
      <c r="BN561" s="3199">
        <f t="shared" si="374"/>
        <v>0</v>
      </c>
      <c r="BO561" s="3199">
        <f t="shared" si="375"/>
        <v>0</v>
      </c>
      <c r="BP561" s="3199">
        <f t="shared" si="376"/>
        <v>0</v>
      </c>
      <c r="BQ561" s="3199">
        <f t="shared" si="377"/>
        <v>0</v>
      </c>
      <c r="BR561" s="3199">
        <f t="shared" si="378"/>
        <v>0</v>
      </c>
      <c r="BS561" s="3199">
        <f t="shared" si="379"/>
        <v>0</v>
      </c>
      <c r="BT561" s="3271">
        <f t="shared" si="380"/>
        <v>0</v>
      </c>
    </row>
    <row r="562" spans="1:72">
      <c r="A562" s="3197"/>
      <c r="B562" s="3198"/>
      <c r="C562" s="3198"/>
      <c r="D562" s="3193"/>
      <c r="E562" s="3199">
        <f t="shared" si="352"/>
        <v>0</v>
      </c>
      <c r="F562" s="3200"/>
      <c r="G562" s="3201">
        <f t="shared" si="353"/>
        <v>0</v>
      </c>
      <c r="H562" s="3202">
        <f t="shared" si="354"/>
        <v>0</v>
      </c>
      <c r="I562" s="3218"/>
      <c r="J562" s="3218"/>
      <c r="K562" s="3218"/>
      <c r="L562" s="3218"/>
      <c r="M562" s="3218"/>
      <c r="N562" s="3218"/>
      <c r="O562" s="3218"/>
      <c r="P562" s="3218"/>
      <c r="Q562" s="3218"/>
      <c r="R562" s="3218"/>
      <c r="S562" s="3218"/>
      <c r="T562" s="3218"/>
      <c r="U562" s="3218"/>
      <c r="V562" s="3218"/>
      <c r="W562" s="3218"/>
      <c r="X562" s="3218"/>
      <c r="Y562" s="3218"/>
      <c r="Z562" s="3218"/>
      <c r="AA562" s="3218"/>
      <c r="AB562" s="3218"/>
      <c r="AC562" s="3199">
        <f t="shared" si="355"/>
        <v>0</v>
      </c>
      <c r="AD562" s="3229"/>
      <c r="AE562" s="3229"/>
      <c r="AF562" s="3229"/>
      <c r="AG562" s="3229"/>
      <c r="AH562" s="3229"/>
      <c r="AI562" s="3229"/>
      <c r="AJ562" s="3229"/>
      <c r="AK562" s="3229"/>
      <c r="AL562" s="3229"/>
      <c r="AM562" s="3229"/>
      <c r="AN562" s="3229"/>
      <c r="AO562" s="3229"/>
      <c r="AP562" s="3229"/>
      <c r="AQ562" s="3229"/>
      <c r="AR562" s="3229"/>
      <c r="AS562" s="3229"/>
      <c r="AT562" s="3249"/>
      <c r="AU562" s="3250"/>
      <c r="AV562" s="475">
        <f t="shared" si="356"/>
        <v>0</v>
      </c>
      <c r="AW562" s="475">
        <f t="shared" si="357"/>
        <v>0</v>
      </c>
      <c r="AX562" s="475">
        <f t="shared" si="358"/>
        <v>0</v>
      </c>
      <c r="AY562" s="3266">
        <f t="shared" si="359"/>
        <v>0</v>
      </c>
      <c r="AZ562" s="3199">
        <f t="shared" si="360"/>
        <v>0</v>
      </c>
      <c r="BA562" s="3199">
        <f t="shared" si="361"/>
        <v>0</v>
      </c>
      <c r="BB562" s="3199">
        <f t="shared" si="362"/>
        <v>0</v>
      </c>
      <c r="BC562" s="3199">
        <f t="shared" si="363"/>
        <v>0</v>
      </c>
      <c r="BD562" s="3199">
        <f t="shared" si="364"/>
        <v>0</v>
      </c>
      <c r="BE562" s="3199">
        <f t="shared" si="365"/>
        <v>0</v>
      </c>
      <c r="BF562" s="3199">
        <f t="shared" si="366"/>
        <v>0</v>
      </c>
      <c r="BG562" s="3199">
        <f t="shared" si="367"/>
        <v>0</v>
      </c>
      <c r="BH562" s="3199">
        <f t="shared" si="368"/>
        <v>0</v>
      </c>
      <c r="BI562" s="3199">
        <f t="shared" si="369"/>
        <v>0</v>
      </c>
      <c r="BJ562" s="3199">
        <f t="shared" si="370"/>
        <v>0</v>
      </c>
      <c r="BK562" s="3199">
        <f t="shared" si="371"/>
        <v>0</v>
      </c>
      <c r="BL562" s="3199">
        <f t="shared" si="372"/>
        <v>0</v>
      </c>
      <c r="BM562" s="3199">
        <f t="shared" si="373"/>
        <v>0</v>
      </c>
      <c r="BN562" s="3199">
        <f t="shared" si="374"/>
        <v>0</v>
      </c>
      <c r="BO562" s="3199">
        <f t="shared" si="375"/>
        <v>0</v>
      </c>
      <c r="BP562" s="3199">
        <f t="shared" si="376"/>
        <v>0</v>
      </c>
      <c r="BQ562" s="3199">
        <f t="shared" si="377"/>
        <v>0</v>
      </c>
      <c r="BR562" s="3199">
        <f t="shared" si="378"/>
        <v>0</v>
      </c>
      <c r="BS562" s="3199">
        <f t="shared" si="379"/>
        <v>0</v>
      </c>
      <c r="BT562" s="3271">
        <f t="shared" si="380"/>
        <v>0</v>
      </c>
    </row>
    <row r="563" spans="1:72">
      <c r="A563" s="3197"/>
      <c r="B563" s="3198"/>
      <c r="C563" s="3198"/>
      <c r="D563" s="3193"/>
      <c r="E563" s="3199">
        <f t="shared" si="352"/>
        <v>0</v>
      </c>
      <c r="F563" s="3200"/>
      <c r="G563" s="3201">
        <f t="shared" si="353"/>
        <v>0</v>
      </c>
      <c r="H563" s="3202">
        <f t="shared" si="354"/>
        <v>0</v>
      </c>
      <c r="I563" s="3218"/>
      <c r="J563" s="3218"/>
      <c r="K563" s="3218"/>
      <c r="L563" s="3218"/>
      <c r="M563" s="3218"/>
      <c r="N563" s="3218"/>
      <c r="O563" s="3218"/>
      <c r="P563" s="3218"/>
      <c r="Q563" s="3218"/>
      <c r="R563" s="3218"/>
      <c r="S563" s="3218"/>
      <c r="T563" s="3218"/>
      <c r="U563" s="3218"/>
      <c r="V563" s="3218"/>
      <c r="W563" s="3218"/>
      <c r="X563" s="3218"/>
      <c r="Y563" s="3218"/>
      <c r="Z563" s="3218"/>
      <c r="AA563" s="3218"/>
      <c r="AB563" s="3218"/>
      <c r="AC563" s="3199">
        <f t="shared" si="355"/>
        <v>0</v>
      </c>
      <c r="AD563" s="3229"/>
      <c r="AE563" s="3229"/>
      <c r="AF563" s="3229"/>
      <c r="AG563" s="3229"/>
      <c r="AH563" s="3229"/>
      <c r="AI563" s="3229"/>
      <c r="AJ563" s="3229"/>
      <c r="AK563" s="3229"/>
      <c r="AL563" s="3229"/>
      <c r="AM563" s="3229"/>
      <c r="AN563" s="3229"/>
      <c r="AO563" s="3229"/>
      <c r="AP563" s="3229"/>
      <c r="AQ563" s="3229"/>
      <c r="AR563" s="3229"/>
      <c r="AS563" s="3229"/>
      <c r="AT563" s="3249"/>
      <c r="AU563" s="3250"/>
      <c r="AV563" s="475">
        <f t="shared" si="356"/>
        <v>0</v>
      </c>
      <c r="AW563" s="475">
        <f t="shared" si="357"/>
        <v>0</v>
      </c>
      <c r="AX563" s="475">
        <f t="shared" si="358"/>
        <v>0</v>
      </c>
      <c r="AY563" s="3266">
        <f t="shared" si="359"/>
        <v>0</v>
      </c>
      <c r="AZ563" s="3199">
        <f t="shared" si="360"/>
        <v>0</v>
      </c>
      <c r="BA563" s="3199">
        <f t="shared" si="361"/>
        <v>0</v>
      </c>
      <c r="BB563" s="3199">
        <f t="shared" si="362"/>
        <v>0</v>
      </c>
      <c r="BC563" s="3199">
        <f t="shared" si="363"/>
        <v>0</v>
      </c>
      <c r="BD563" s="3199">
        <f t="shared" si="364"/>
        <v>0</v>
      </c>
      <c r="BE563" s="3199">
        <f t="shared" si="365"/>
        <v>0</v>
      </c>
      <c r="BF563" s="3199">
        <f t="shared" si="366"/>
        <v>0</v>
      </c>
      <c r="BG563" s="3199">
        <f t="shared" si="367"/>
        <v>0</v>
      </c>
      <c r="BH563" s="3199">
        <f t="shared" si="368"/>
        <v>0</v>
      </c>
      <c r="BI563" s="3199">
        <f t="shared" si="369"/>
        <v>0</v>
      </c>
      <c r="BJ563" s="3199">
        <f t="shared" si="370"/>
        <v>0</v>
      </c>
      <c r="BK563" s="3199">
        <f t="shared" si="371"/>
        <v>0</v>
      </c>
      <c r="BL563" s="3199">
        <f t="shared" si="372"/>
        <v>0</v>
      </c>
      <c r="BM563" s="3199">
        <f t="shared" si="373"/>
        <v>0</v>
      </c>
      <c r="BN563" s="3199">
        <f t="shared" si="374"/>
        <v>0</v>
      </c>
      <c r="BO563" s="3199">
        <f t="shared" si="375"/>
        <v>0</v>
      </c>
      <c r="BP563" s="3199">
        <f t="shared" si="376"/>
        <v>0</v>
      </c>
      <c r="BQ563" s="3199">
        <f t="shared" si="377"/>
        <v>0</v>
      </c>
      <c r="BR563" s="3199">
        <f t="shared" si="378"/>
        <v>0</v>
      </c>
      <c r="BS563" s="3199">
        <f t="shared" si="379"/>
        <v>0</v>
      </c>
      <c r="BT563" s="3271">
        <f t="shared" si="380"/>
        <v>0</v>
      </c>
    </row>
    <row r="564" spans="1:72">
      <c r="A564" s="3197"/>
      <c r="B564" s="3198"/>
      <c r="C564" s="3198"/>
      <c r="D564" s="3193"/>
      <c r="E564" s="3199">
        <f t="shared" si="352"/>
        <v>0</v>
      </c>
      <c r="F564" s="3200"/>
      <c r="G564" s="3201">
        <f t="shared" si="353"/>
        <v>0</v>
      </c>
      <c r="H564" s="3202">
        <f t="shared" si="354"/>
        <v>0</v>
      </c>
      <c r="I564" s="3218"/>
      <c r="J564" s="3218"/>
      <c r="K564" s="3218"/>
      <c r="L564" s="3218"/>
      <c r="M564" s="3218"/>
      <c r="N564" s="3218"/>
      <c r="O564" s="3218"/>
      <c r="P564" s="3218"/>
      <c r="Q564" s="3218"/>
      <c r="R564" s="3218"/>
      <c r="S564" s="3218"/>
      <c r="T564" s="3218"/>
      <c r="U564" s="3218"/>
      <c r="V564" s="3218"/>
      <c r="W564" s="3218"/>
      <c r="X564" s="3218"/>
      <c r="Y564" s="3218"/>
      <c r="Z564" s="3218"/>
      <c r="AA564" s="3218"/>
      <c r="AB564" s="3218"/>
      <c r="AC564" s="3199">
        <f t="shared" si="355"/>
        <v>0</v>
      </c>
      <c r="AD564" s="3229"/>
      <c r="AE564" s="3229"/>
      <c r="AF564" s="3229"/>
      <c r="AG564" s="3229"/>
      <c r="AH564" s="3229"/>
      <c r="AI564" s="3229"/>
      <c r="AJ564" s="3229"/>
      <c r="AK564" s="3229"/>
      <c r="AL564" s="3229"/>
      <c r="AM564" s="3229"/>
      <c r="AN564" s="3229"/>
      <c r="AO564" s="3229"/>
      <c r="AP564" s="3229"/>
      <c r="AQ564" s="3229"/>
      <c r="AR564" s="3229"/>
      <c r="AS564" s="3229"/>
      <c r="AT564" s="3249"/>
      <c r="AU564" s="3250"/>
      <c r="AV564" s="475">
        <f t="shared" si="356"/>
        <v>0</v>
      </c>
      <c r="AW564" s="475">
        <f t="shared" si="357"/>
        <v>0</v>
      </c>
      <c r="AX564" s="475">
        <f t="shared" si="358"/>
        <v>0</v>
      </c>
      <c r="AY564" s="3266">
        <f t="shared" si="359"/>
        <v>0</v>
      </c>
      <c r="AZ564" s="3199">
        <f t="shared" si="360"/>
        <v>0</v>
      </c>
      <c r="BA564" s="3199">
        <f t="shared" si="361"/>
        <v>0</v>
      </c>
      <c r="BB564" s="3199">
        <f t="shared" si="362"/>
        <v>0</v>
      </c>
      <c r="BC564" s="3199">
        <f t="shared" si="363"/>
        <v>0</v>
      </c>
      <c r="BD564" s="3199">
        <f t="shared" si="364"/>
        <v>0</v>
      </c>
      <c r="BE564" s="3199">
        <f t="shared" si="365"/>
        <v>0</v>
      </c>
      <c r="BF564" s="3199">
        <f t="shared" si="366"/>
        <v>0</v>
      </c>
      <c r="BG564" s="3199">
        <f t="shared" si="367"/>
        <v>0</v>
      </c>
      <c r="BH564" s="3199">
        <f t="shared" si="368"/>
        <v>0</v>
      </c>
      <c r="BI564" s="3199">
        <f t="shared" si="369"/>
        <v>0</v>
      </c>
      <c r="BJ564" s="3199">
        <f t="shared" si="370"/>
        <v>0</v>
      </c>
      <c r="BK564" s="3199">
        <f t="shared" si="371"/>
        <v>0</v>
      </c>
      <c r="BL564" s="3199">
        <f t="shared" si="372"/>
        <v>0</v>
      </c>
      <c r="BM564" s="3199">
        <f t="shared" si="373"/>
        <v>0</v>
      </c>
      <c r="BN564" s="3199">
        <f t="shared" si="374"/>
        <v>0</v>
      </c>
      <c r="BO564" s="3199">
        <f t="shared" si="375"/>
        <v>0</v>
      </c>
      <c r="BP564" s="3199">
        <f t="shared" si="376"/>
        <v>0</v>
      </c>
      <c r="BQ564" s="3199">
        <f t="shared" si="377"/>
        <v>0</v>
      </c>
      <c r="BR564" s="3199">
        <f t="shared" si="378"/>
        <v>0</v>
      </c>
      <c r="BS564" s="3199">
        <f t="shared" si="379"/>
        <v>0</v>
      </c>
      <c r="BT564" s="3271">
        <f t="shared" si="380"/>
        <v>0</v>
      </c>
    </row>
    <row r="565" spans="1:72">
      <c r="A565" s="3197"/>
      <c r="B565" s="3198"/>
      <c r="C565" s="3198"/>
      <c r="D565" s="3193"/>
      <c r="E565" s="3199">
        <f t="shared" si="352"/>
        <v>0</v>
      </c>
      <c r="F565" s="3200"/>
      <c r="G565" s="3201">
        <f t="shared" si="353"/>
        <v>0</v>
      </c>
      <c r="H565" s="3202">
        <f t="shared" si="354"/>
        <v>0</v>
      </c>
      <c r="I565" s="3218"/>
      <c r="J565" s="3218"/>
      <c r="K565" s="3218"/>
      <c r="L565" s="3218"/>
      <c r="M565" s="3218"/>
      <c r="N565" s="3218"/>
      <c r="O565" s="3218"/>
      <c r="P565" s="3218"/>
      <c r="Q565" s="3218"/>
      <c r="R565" s="3218"/>
      <c r="S565" s="3218"/>
      <c r="T565" s="3218"/>
      <c r="U565" s="3218"/>
      <c r="V565" s="3218"/>
      <c r="W565" s="3218"/>
      <c r="X565" s="3218"/>
      <c r="Y565" s="3218"/>
      <c r="Z565" s="3218"/>
      <c r="AA565" s="3218"/>
      <c r="AB565" s="3218"/>
      <c r="AC565" s="3199">
        <f t="shared" si="355"/>
        <v>0</v>
      </c>
      <c r="AD565" s="3229"/>
      <c r="AE565" s="3229"/>
      <c r="AF565" s="3229"/>
      <c r="AG565" s="3229"/>
      <c r="AH565" s="3229"/>
      <c r="AI565" s="3229"/>
      <c r="AJ565" s="3229"/>
      <c r="AK565" s="3229"/>
      <c r="AL565" s="3229"/>
      <c r="AM565" s="3229"/>
      <c r="AN565" s="3229"/>
      <c r="AO565" s="3229"/>
      <c r="AP565" s="3229"/>
      <c r="AQ565" s="3229"/>
      <c r="AR565" s="3229"/>
      <c r="AS565" s="3229"/>
      <c r="AT565" s="3249"/>
      <c r="AU565" s="3250"/>
      <c r="AV565" s="475">
        <f t="shared" si="356"/>
        <v>0</v>
      </c>
      <c r="AW565" s="475">
        <f t="shared" si="357"/>
        <v>0</v>
      </c>
      <c r="AX565" s="475">
        <f t="shared" si="358"/>
        <v>0</v>
      </c>
      <c r="AY565" s="3266">
        <f t="shared" si="359"/>
        <v>0</v>
      </c>
      <c r="AZ565" s="3199">
        <f t="shared" si="360"/>
        <v>0</v>
      </c>
      <c r="BA565" s="3199">
        <f t="shared" si="361"/>
        <v>0</v>
      </c>
      <c r="BB565" s="3199">
        <f t="shared" si="362"/>
        <v>0</v>
      </c>
      <c r="BC565" s="3199">
        <f t="shared" si="363"/>
        <v>0</v>
      </c>
      <c r="BD565" s="3199">
        <f t="shared" si="364"/>
        <v>0</v>
      </c>
      <c r="BE565" s="3199">
        <f t="shared" si="365"/>
        <v>0</v>
      </c>
      <c r="BF565" s="3199">
        <f t="shared" si="366"/>
        <v>0</v>
      </c>
      <c r="BG565" s="3199">
        <f t="shared" si="367"/>
        <v>0</v>
      </c>
      <c r="BH565" s="3199">
        <f t="shared" si="368"/>
        <v>0</v>
      </c>
      <c r="BI565" s="3199">
        <f t="shared" si="369"/>
        <v>0</v>
      </c>
      <c r="BJ565" s="3199">
        <f t="shared" si="370"/>
        <v>0</v>
      </c>
      <c r="BK565" s="3199">
        <f t="shared" si="371"/>
        <v>0</v>
      </c>
      <c r="BL565" s="3199">
        <f t="shared" si="372"/>
        <v>0</v>
      </c>
      <c r="BM565" s="3199">
        <f t="shared" si="373"/>
        <v>0</v>
      </c>
      <c r="BN565" s="3199">
        <f t="shared" si="374"/>
        <v>0</v>
      </c>
      <c r="BO565" s="3199">
        <f t="shared" si="375"/>
        <v>0</v>
      </c>
      <c r="BP565" s="3199">
        <f t="shared" si="376"/>
        <v>0</v>
      </c>
      <c r="BQ565" s="3199">
        <f t="shared" si="377"/>
        <v>0</v>
      </c>
      <c r="BR565" s="3199">
        <f t="shared" si="378"/>
        <v>0</v>
      </c>
      <c r="BS565" s="3199">
        <f t="shared" si="379"/>
        <v>0</v>
      </c>
      <c r="BT565" s="3271">
        <f t="shared" si="380"/>
        <v>0</v>
      </c>
    </row>
    <row r="566" spans="1:72">
      <c r="A566" s="3197"/>
      <c r="B566" s="3198"/>
      <c r="C566" s="3198"/>
      <c r="D566" s="3193"/>
      <c r="E566" s="3199">
        <f t="shared" si="352"/>
        <v>0</v>
      </c>
      <c r="F566" s="3200"/>
      <c r="G566" s="3201">
        <f t="shared" si="353"/>
        <v>0</v>
      </c>
      <c r="H566" s="3202">
        <f t="shared" si="354"/>
        <v>0</v>
      </c>
      <c r="I566" s="3218"/>
      <c r="J566" s="3218"/>
      <c r="K566" s="3218"/>
      <c r="L566" s="3218"/>
      <c r="M566" s="3218"/>
      <c r="N566" s="3218"/>
      <c r="O566" s="3218"/>
      <c r="P566" s="3218"/>
      <c r="Q566" s="3218"/>
      <c r="R566" s="3218"/>
      <c r="S566" s="3218"/>
      <c r="T566" s="3218"/>
      <c r="U566" s="3218"/>
      <c r="V566" s="3218"/>
      <c r="W566" s="3218"/>
      <c r="X566" s="3218"/>
      <c r="Y566" s="3218"/>
      <c r="Z566" s="3218"/>
      <c r="AA566" s="3218"/>
      <c r="AB566" s="3218"/>
      <c r="AC566" s="3199">
        <f t="shared" si="355"/>
        <v>0</v>
      </c>
      <c r="AD566" s="3229"/>
      <c r="AE566" s="3229"/>
      <c r="AF566" s="3229"/>
      <c r="AG566" s="3229"/>
      <c r="AH566" s="3229"/>
      <c r="AI566" s="3229"/>
      <c r="AJ566" s="3229"/>
      <c r="AK566" s="3229"/>
      <c r="AL566" s="3229"/>
      <c r="AM566" s="3229"/>
      <c r="AN566" s="3229"/>
      <c r="AO566" s="3229"/>
      <c r="AP566" s="3229"/>
      <c r="AQ566" s="3229"/>
      <c r="AR566" s="3229"/>
      <c r="AS566" s="3229"/>
      <c r="AT566" s="3249"/>
      <c r="AU566" s="3250"/>
      <c r="AV566" s="475">
        <f t="shared" si="356"/>
        <v>0</v>
      </c>
      <c r="AW566" s="475">
        <f t="shared" si="357"/>
        <v>0</v>
      </c>
      <c r="AX566" s="475">
        <f t="shared" si="358"/>
        <v>0</v>
      </c>
      <c r="AY566" s="3266">
        <f t="shared" si="359"/>
        <v>0</v>
      </c>
      <c r="AZ566" s="3199">
        <f t="shared" si="360"/>
        <v>0</v>
      </c>
      <c r="BA566" s="3199">
        <f t="shared" si="361"/>
        <v>0</v>
      </c>
      <c r="BB566" s="3199">
        <f t="shared" si="362"/>
        <v>0</v>
      </c>
      <c r="BC566" s="3199">
        <f t="shared" si="363"/>
        <v>0</v>
      </c>
      <c r="BD566" s="3199">
        <f t="shared" si="364"/>
        <v>0</v>
      </c>
      <c r="BE566" s="3199">
        <f t="shared" si="365"/>
        <v>0</v>
      </c>
      <c r="BF566" s="3199">
        <f t="shared" si="366"/>
        <v>0</v>
      </c>
      <c r="BG566" s="3199">
        <f t="shared" si="367"/>
        <v>0</v>
      </c>
      <c r="BH566" s="3199">
        <f t="shared" si="368"/>
        <v>0</v>
      </c>
      <c r="BI566" s="3199">
        <f t="shared" si="369"/>
        <v>0</v>
      </c>
      <c r="BJ566" s="3199">
        <f t="shared" si="370"/>
        <v>0</v>
      </c>
      <c r="BK566" s="3199">
        <f t="shared" si="371"/>
        <v>0</v>
      </c>
      <c r="BL566" s="3199">
        <f t="shared" si="372"/>
        <v>0</v>
      </c>
      <c r="BM566" s="3199">
        <f t="shared" si="373"/>
        <v>0</v>
      </c>
      <c r="BN566" s="3199">
        <f t="shared" si="374"/>
        <v>0</v>
      </c>
      <c r="BO566" s="3199">
        <f t="shared" si="375"/>
        <v>0</v>
      </c>
      <c r="BP566" s="3199">
        <f t="shared" si="376"/>
        <v>0</v>
      </c>
      <c r="BQ566" s="3199">
        <f t="shared" si="377"/>
        <v>0</v>
      </c>
      <c r="BR566" s="3199">
        <f t="shared" si="378"/>
        <v>0</v>
      </c>
      <c r="BS566" s="3199">
        <f t="shared" si="379"/>
        <v>0</v>
      </c>
      <c r="BT566" s="3271">
        <f t="shared" si="380"/>
        <v>0</v>
      </c>
    </row>
    <row r="567" spans="1:72">
      <c r="A567" s="3197"/>
      <c r="B567" s="3198"/>
      <c r="C567" s="3198"/>
      <c r="D567" s="3193"/>
      <c r="E567" s="3199">
        <f t="shared" si="352"/>
        <v>0</v>
      </c>
      <c r="F567" s="3200"/>
      <c r="G567" s="3201">
        <f t="shared" si="353"/>
        <v>0</v>
      </c>
      <c r="H567" s="3202">
        <f t="shared" si="354"/>
        <v>0</v>
      </c>
      <c r="I567" s="3218"/>
      <c r="J567" s="3218"/>
      <c r="K567" s="3218"/>
      <c r="L567" s="3218"/>
      <c r="M567" s="3218"/>
      <c r="N567" s="3218"/>
      <c r="O567" s="3218"/>
      <c r="P567" s="3218"/>
      <c r="Q567" s="3218"/>
      <c r="R567" s="3218"/>
      <c r="S567" s="3218"/>
      <c r="T567" s="3218"/>
      <c r="U567" s="3218"/>
      <c r="V567" s="3218"/>
      <c r="W567" s="3218"/>
      <c r="X567" s="3218"/>
      <c r="Y567" s="3218"/>
      <c r="Z567" s="3218"/>
      <c r="AA567" s="3218"/>
      <c r="AB567" s="3218"/>
      <c r="AC567" s="3199">
        <f t="shared" si="355"/>
        <v>0</v>
      </c>
      <c r="AD567" s="3229"/>
      <c r="AE567" s="3229"/>
      <c r="AF567" s="3229"/>
      <c r="AG567" s="3229"/>
      <c r="AH567" s="3229"/>
      <c r="AI567" s="3229"/>
      <c r="AJ567" s="3229"/>
      <c r="AK567" s="3229"/>
      <c r="AL567" s="3229"/>
      <c r="AM567" s="3229"/>
      <c r="AN567" s="3229"/>
      <c r="AO567" s="3229"/>
      <c r="AP567" s="3229"/>
      <c r="AQ567" s="3229"/>
      <c r="AR567" s="3229"/>
      <c r="AS567" s="3229"/>
      <c r="AT567" s="3249"/>
      <c r="AU567" s="3250"/>
      <c r="AV567" s="475">
        <f t="shared" si="356"/>
        <v>0</v>
      </c>
      <c r="AW567" s="475">
        <f t="shared" si="357"/>
        <v>0</v>
      </c>
      <c r="AX567" s="475">
        <f t="shared" si="358"/>
        <v>0</v>
      </c>
      <c r="AY567" s="3266">
        <f t="shared" si="359"/>
        <v>0</v>
      </c>
      <c r="AZ567" s="3199">
        <f t="shared" si="360"/>
        <v>0</v>
      </c>
      <c r="BA567" s="3199">
        <f t="shared" si="361"/>
        <v>0</v>
      </c>
      <c r="BB567" s="3199">
        <f t="shared" si="362"/>
        <v>0</v>
      </c>
      <c r="BC567" s="3199">
        <f t="shared" si="363"/>
        <v>0</v>
      </c>
      <c r="BD567" s="3199">
        <f t="shared" si="364"/>
        <v>0</v>
      </c>
      <c r="BE567" s="3199">
        <f t="shared" si="365"/>
        <v>0</v>
      </c>
      <c r="BF567" s="3199">
        <f t="shared" si="366"/>
        <v>0</v>
      </c>
      <c r="BG567" s="3199">
        <f t="shared" si="367"/>
        <v>0</v>
      </c>
      <c r="BH567" s="3199">
        <f t="shared" si="368"/>
        <v>0</v>
      </c>
      <c r="BI567" s="3199">
        <f t="shared" si="369"/>
        <v>0</v>
      </c>
      <c r="BJ567" s="3199">
        <f t="shared" si="370"/>
        <v>0</v>
      </c>
      <c r="BK567" s="3199">
        <f t="shared" si="371"/>
        <v>0</v>
      </c>
      <c r="BL567" s="3199">
        <f t="shared" si="372"/>
        <v>0</v>
      </c>
      <c r="BM567" s="3199">
        <f t="shared" si="373"/>
        <v>0</v>
      </c>
      <c r="BN567" s="3199">
        <f t="shared" si="374"/>
        <v>0</v>
      </c>
      <c r="BO567" s="3199">
        <f t="shared" si="375"/>
        <v>0</v>
      </c>
      <c r="BP567" s="3199">
        <f t="shared" si="376"/>
        <v>0</v>
      </c>
      <c r="BQ567" s="3199">
        <f t="shared" si="377"/>
        <v>0</v>
      </c>
      <c r="BR567" s="3199">
        <f t="shared" si="378"/>
        <v>0</v>
      </c>
      <c r="BS567" s="3199">
        <f t="shared" si="379"/>
        <v>0</v>
      </c>
      <c r="BT567" s="3271">
        <f t="shared" si="380"/>
        <v>0</v>
      </c>
    </row>
    <row r="568" spans="1:72">
      <c r="A568" s="3197"/>
      <c r="B568" s="3198"/>
      <c r="C568" s="3198"/>
      <c r="D568" s="3193"/>
      <c r="E568" s="3199">
        <f t="shared" si="352"/>
        <v>0</v>
      </c>
      <c r="F568" s="3200"/>
      <c r="G568" s="3201">
        <f t="shared" si="353"/>
        <v>0</v>
      </c>
      <c r="H568" s="3202">
        <f t="shared" si="354"/>
        <v>0</v>
      </c>
      <c r="I568" s="3218"/>
      <c r="J568" s="3218"/>
      <c r="K568" s="3218"/>
      <c r="L568" s="3218"/>
      <c r="M568" s="3218"/>
      <c r="N568" s="3218"/>
      <c r="O568" s="3218"/>
      <c r="P568" s="3218"/>
      <c r="Q568" s="3218"/>
      <c r="R568" s="3218"/>
      <c r="S568" s="3218"/>
      <c r="T568" s="3218"/>
      <c r="U568" s="3218"/>
      <c r="V568" s="3218"/>
      <c r="W568" s="3218"/>
      <c r="X568" s="3218"/>
      <c r="Y568" s="3218"/>
      <c r="Z568" s="3218"/>
      <c r="AA568" s="3218"/>
      <c r="AB568" s="3218"/>
      <c r="AC568" s="3199">
        <f t="shared" si="355"/>
        <v>0</v>
      </c>
      <c r="AD568" s="3229"/>
      <c r="AE568" s="3229"/>
      <c r="AF568" s="3229"/>
      <c r="AG568" s="3229"/>
      <c r="AH568" s="3229"/>
      <c r="AI568" s="3229"/>
      <c r="AJ568" s="3229"/>
      <c r="AK568" s="3229"/>
      <c r="AL568" s="3229"/>
      <c r="AM568" s="3229"/>
      <c r="AN568" s="3229"/>
      <c r="AO568" s="3229"/>
      <c r="AP568" s="3229"/>
      <c r="AQ568" s="3229"/>
      <c r="AR568" s="3229"/>
      <c r="AS568" s="3229"/>
      <c r="AT568" s="3249"/>
      <c r="AU568" s="3250"/>
      <c r="AV568" s="475">
        <f t="shared" si="356"/>
        <v>0</v>
      </c>
      <c r="AW568" s="475">
        <f t="shared" si="357"/>
        <v>0</v>
      </c>
      <c r="AX568" s="475">
        <f t="shared" si="358"/>
        <v>0</v>
      </c>
      <c r="AY568" s="3266">
        <f t="shared" si="359"/>
        <v>0</v>
      </c>
      <c r="AZ568" s="3199">
        <f t="shared" si="360"/>
        <v>0</v>
      </c>
      <c r="BA568" s="3199">
        <f t="shared" si="361"/>
        <v>0</v>
      </c>
      <c r="BB568" s="3199">
        <f t="shared" si="362"/>
        <v>0</v>
      </c>
      <c r="BC568" s="3199">
        <f t="shared" si="363"/>
        <v>0</v>
      </c>
      <c r="BD568" s="3199">
        <f t="shared" si="364"/>
        <v>0</v>
      </c>
      <c r="BE568" s="3199">
        <f t="shared" si="365"/>
        <v>0</v>
      </c>
      <c r="BF568" s="3199">
        <f t="shared" si="366"/>
        <v>0</v>
      </c>
      <c r="BG568" s="3199">
        <f t="shared" si="367"/>
        <v>0</v>
      </c>
      <c r="BH568" s="3199">
        <f t="shared" si="368"/>
        <v>0</v>
      </c>
      <c r="BI568" s="3199">
        <f t="shared" si="369"/>
        <v>0</v>
      </c>
      <c r="BJ568" s="3199">
        <f t="shared" si="370"/>
        <v>0</v>
      </c>
      <c r="BK568" s="3199">
        <f t="shared" si="371"/>
        <v>0</v>
      </c>
      <c r="BL568" s="3199">
        <f t="shared" si="372"/>
        <v>0</v>
      </c>
      <c r="BM568" s="3199">
        <f t="shared" si="373"/>
        <v>0</v>
      </c>
      <c r="BN568" s="3199">
        <f t="shared" si="374"/>
        <v>0</v>
      </c>
      <c r="BO568" s="3199">
        <f t="shared" si="375"/>
        <v>0</v>
      </c>
      <c r="BP568" s="3199">
        <f t="shared" si="376"/>
        <v>0</v>
      </c>
      <c r="BQ568" s="3199">
        <f t="shared" si="377"/>
        <v>0</v>
      </c>
      <c r="BR568" s="3199">
        <f t="shared" si="378"/>
        <v>0</v>
      </c>
      <c r="BS568" s="3199">
        <f t="shared" si="379"/>
        <v>0</v>
      </c>
      <c r="BT568" s="3271">
        <f t="shared" si="380"/>
        <v>0</v>
      </c>
    </row>
    <row r="569" spans="1:72">
      <c r="A569" s="3197"/>
      <c r="B569" s="3198"/>
      <c r="C569" s="3198"/>
      <c r="D569" s="3193"/>
      <c r="E569" s="3199">
        <f t="shared" si="352"/>
        <v>0</v>
      </c>
      <c r="F569" s="3200"/>
      <c r="G569" s="3201">
        <f t="shared" si="353"/>
        <v>0</v>
      </c>
      <c r="H569" s="3202">
        <f t="shared" si="354"/>
        <v>0</v>
      </c>
      <c r="I569" s="3218"/>
      <c r="J569" s="3218"/>
      <c r="K569" s="3218"/>
      <c r="L569" s="3218"/>
      <c r="M569" s="3218"/>
      <c r="N569" s="3218"/>
      <c r="O569" s="3218"/>
      <c r="P569" s="3218"/>
      <c r="Q569" s="3218"/>
      <c r="R569" s="3218"/>
      <c r="S569" s="3218"/>
      <c r="T569" s="3218"/>
      <c r="U569" s="3218"/>
      <c r="V569" s="3218"/>
      <c r="W569" s="3218"/>
      <c r="X569" s="3218"/>
      <c r="Y569" s="3218"/>
      <c r="Z569" s="3218"/>
      <c r="AA569" s="3218"/>
      <c r="AB569" s="3218"/>
      <c r="AC569" s="3199">
        <f t="shared" si="355"/>
        <v>0</v>
      </c>
      <c r="AD569" s="3229"/>
      <c r="AE569" s="3229"/>
      <c r="AF569" s="3229"/>
      <c r="AG569" s="3229"/>
      <c r="AH569" s="3229"/>
      <c r="AI569" s="3229"/>
      <c r="AJ569" s="3229"/>
      <c r="AK569" s="3229"/>
      <c r="AL569" s="3229"/>
      <c r="AM569" s="3229"/>
      <c r="AN569" s="3229"/>
      <c r="AO569" s="3229"/>
      <c r="AP569" s="3229"/>
      <c r="AQ569" s="3229"/>
      <c r="AR569" s="3229"/>
      <c r="AS569" s="3229"/>
      <c r="AT569" s="3249"/>
      <c r="AU569" s="3250"/>
      <c r="AV569" s="475">
        <f t="shared" si="356"/>
        <v>0</v>
      </c>
      <c r="AW569" s="475">
        <f t="shared" si="357"/>
        <v>0</v>
      </c>
      <c r="AX569" s="475">
        <f t="shared" si="358"/>
        <v>0</v>
      </c>
      <c r="AY569" s="3266">
        <f t="shared" si="359"/>
        <v>0</v>
      </c>
      <c r="AZ569" s="3199">
        <f t="shared" si="360"/>
        <v>0</v>
      </c>
      <c r="BA569" s="3199">
        <f t="shared" si="361"/>
        <v>0</v>
      </c>
      <c r="BB569" s="3199">
        <f t="shared" si="362"/>
        <v>0</v>
      </c>
      <c r="BC569" s="3199">
        <f t="shared" si="363"/>
        <v>0</v>
      </c>
      <c r="BD569" s="3199">
        <f t="shared" si="364"/>
        <v>0</v>
      </c>
      <c r="BE569" s="3199">
        <f t="shared" si="365"/>
        <v>0</v>
      </c>
      <c r="BF569" s="3199">
        <f t="shared" si="366"/>
        <v>0</v>
      </c>
      <c r="BG569" s="3199">
        <f t="shared" si="367"/>
        <v>0</v>
      </c>
      <c r="BH569" s="3199">
        <f t="shared" si="368"/>
        <v>0</v>
      </c>
      <c r="BI569" s="3199">
        <f t="shared" si="369"/>
        <v>0</v>
      </c>
      <c r="BJ569" s="3199">
        <f t="shared" si="370"/>
        <v>0</v>
      </c>
      <c r="BK569" s="3199">
        <f t="shared" si="371"/>
        <v>0</v>
      </c>
      <c r="BL569" s="3199">
        <f t="shared" si="372"/>
        <v>0</v>
      </c>
      <c r="BM569" s="3199">
        <f t="shared" si="373"/>
        <v>0</v>
      </c>
      <c r="BN569" s="3199">
        <f t="shared" si="374"/>
        <v>0</v>
      </c>
      <c r="BO569" s="3199">
        <f t="shared" si="375"/>
        <v>0</v>
      </c>
      <c r="BP569" s="3199">
        <f t="shared" si="376"/>
        <v>0</v>
      </c>
      <c r="BQ569" s="3199">
        <f t="shared" si="377"/>
        <v>0</v>
      </c>
      <c r="BR569" s="3199">
        <f t="shared" si="378"/>
        <v>0</v>
      </c>
      <c r="BS569" s="3199">
        <f t="shared" si="379"/>
        <v>0</v>
      </c>
      <c r="BT569" s="3271">
        <f t="shared" si="380"/>
        <v>0</v>
      </c>
    </row>
    <row r="570" spans="1:72">
      <c r="A570" s="3197"/>
      <c r="B570" s="3197"/>
      <c r="C570" s="3197"/>
      <c r="D570" s="3193"/>
      <c r="E570" s="3199">
        <f t="shared" si="352"/>
        <v>0</v>
      </c>
      <c r="F570" s="3272"/>
      <c r="G570" s="3201">
        <f t="shared" si="353"/>
        <v>0</v>
      </c>
      <c r="H570" s="3202">
        <f t="shared" si="354"/>
        <v>0</v>
      </c>
      <c r="I570" s="3273"/>
      <c r="J570" s="3273"/>
      <c r="K570" s="3218"/>
      <c r="L570" s="3218"/>
      <c r="M570" s="3218"/>
      <c r="N570" s="3218"/>
      <c r="O570" s="3218"/>
      <c r="P570" s="3218"/>
      <c r="Q570" s="3218"/>
      <c r="R570" s="3218"/>
      <c r="S570" s="3218"/>
      <c r="T570" s="3218"/>
      <c r="U570" s="3218"/>
      <c r="V570" s="3218"/>
      <c r="W570" s="3218"/>
      <c r="X570" s="3218"/>
      <c r="Y570" s="3218"/>
      <c r="Z570" s="3218"/>
      <c r="AA570" s="3218"/>
      <c r="AB570" s="3218"/>
      <c r="AC570" s="3199">
        <f t="shared" si="355"/>
        <v>0</v>
      </c>
      <c r="AD570" s="3229"/>
      <c r="AE570" s="3229"/>
      <c r="AF570" s="3229"/>
      <c r="AG570" s="3229"/>
      <c r="AH570" s="3229"/>
      <c r="AI570" s="3229"/>
      <c r="AJ570" s="3229"/>
      <c r="AK570" s="3229"/>
      <c r="AL570" s="3229"/>
      <c r="AM570" s="3229"/>
      <c r="AN570" s="3229"/>
      <c r="AO570" s="3229"/>
      <c r="AP570" s="3229"/>
      <c r="AQ570" s="3229"/>
      <c r="AR570" s="3229"/>
      <c r="AS570" s="3229"/>
      <c r="AT570" s="3229"/>
      <c r="AU570" s="3274"/>
      <c r="AV570" s="475">
        <f t="shared" si="356"/>
        <v>0</v>
      </c>
      <c r="AW570" s="475">
        <f t="shared" si="357"/>
        <v>0</v>
      </c>
      <c r="AX570" s="475">
        <f t="shared" si="358"/>
        <v>0</v>
      </c>
      <c r="AY570" s="3266">
        <f t="shared" si="359"/>
        <v>0</v>
      </c>
      <c r="AZ570" s="3199">
        <f t="shared" si="360"/>
        <v>0</v>
      </c>
      <c r="BA570" s="3199">
        <f t="shared" si="361"/>
        <v>0</v>
      </c>
      <c r="BB570" s="3199">
        <f t="shared" si="362"/>
        <v>0</v>
      </c>
      <c r="BC570" s="3199">
        <f t="shared" si="363"/>
        <v>0</v>
      </c>
      <c r="BD570" s="3199">
        <f t="shared" si="364"/>
        <v>0</v>
      </c>
      <c r="BE570" s="3199">
        <f t="shared" si="365"/>
        <v>0</v>
      </c>
      <c r="BF570" s="3199">
        <f t="shared" si="366"/>
        <v>0</v>
      </c>
      <c r="BG570" s="3199">
        <f t="shared" si="367"/>
        <v>0</v>
      </c>
      <c r="BH570" s="3199">
        <f t="shared" si="368"/>
        <v>0</v>
      </c>
      <c r="BI570" s="3199">
        <f t="shared" si="369"/>
        <v>0</v>
      </c>
      <c r="BJ570" s="3199">
        <f t="shared" si="370"/>
        <v>0</v>
      </c>
      <c r="BK570" s="3199">
        <f t="shared" si="371"/>
        <v>0</v>
      </c>
      <c r="BL570" s="3199">
        <f t="shared" si="372"/>
        <v>0</v>
      </c>
      <c r="BM570" s="3199">
        <f t="shared" si="373"/>
        <v>0</v>
      </c>
      <c r="BN570" s="3199">
        <f t="shared" si="374"/>
        <v>0</v>
      </c>
      <c r="BO570" s="3199">
        <f t="shared" si="375"/>
        <v>0</v>
      </c>
      <c r="BP570" s="3199">
        <f t="shared" si="376"/>
        <v>0</v>
      </c>
      <c r="BQ570" s="3199">
        <f t="shared" si="377"/>
        <v>0</v>
      </c>
      <c r="BR570" s="3199">
        <f t="shared" si="378"/>
        <v>0</v>
      </c>
      <c r="BS570" s="3199">
        <f t="shared" si="379"/>
        <v>0</v>
      </c>
      <c r="BT570" s="3271">
        <f t="shared" si="380"/>
        <v>0</v>
      </c>
    </row>
    <row r="571" spans="1:72">
      <c r="A571" s="3197"/>
      <c r="B571" s="3197"/>
      <c r="C571" s="3197"/>
      <c r="D571" s="3193"/>
      <c r="E571" s="3199">
        <f t="shared" si="352"/>
        <v>0</v>
      </c>
      <c r="F571" s="3272"/>
      <c r="G571" s="3201">
        <f t="shared" si="353"/>
        <v>0</v>
      </c>
      <c r="H571" s="3202">
        <f t="shared" si="354"/>
        <v>0</v>
      </c>
      <c r="I571" s="3218"/>
      <c r="J571" s="3218"/>
      <c r="K571" s="3218"/>
      <c r="L571" s="3218"/>
      <c r="M571" s="3218"/>
      <c r="N571" s="3218"/>
      <c r="O571" s="3218"/>
      <c r="P571" s="3218"/>
      <c r="Q571" s="3218"/>
      <c r="R571" s="3218"/>
      <c r="S571" s="3218"/>
      <c r="T571" s="3218"/>
      <c r="U571" s="3218"/>
      <c r="V571" s="3218"/>
      <c r="W571" s="3218"/>
      <c r="X571" s="3218"/>
      <c r="Y571" s="3218"/>
      <c r="Z571" s="3218"/>
      <c r="AA571" s="3218"/>
      <c r="AB571" s="3218"/>
      <c r="AC571" s="3199">
        <f t="shared" si="355"/>
        <v>0</v>
      </c>
      <c r="AD571" s="3229"/>
      <c r="AE571" s="3229"/>
      <c r="AF571" s="3229"/>
      <c r="AG571" s="3229"/>
      <c r="AH571" s="3229"/>
      <c r="AI571" s="3229"/>
      <c r="AJ571" s="3229"/>
      <c r="AK571" s="3229"/>
      <c r="AL571" s="3229"/>
      <c r="AM571" s="3229"/>
      <c r="AN571" s="3229"/>
      <c r="AO571" s="3229"/>
      <c r="AP571" s="3229"/>
      <c r="AQ571" s="3229"/>
      <c r="AR571" s="3229"/>
      <c r="AS571" s="3229"/>
      <c r="AT571" s="3229"/>
      <c r="AU571" s="3274"/>
      <c r="AV571" s="475">
        <f t="shared" si="356"/>
        <v>0</v>
      </c>
      <c r="AW571" s="475">
        <f t="shared" si="357"/>
        <v>0</v>
      </c>
      <c r="AX571" s="475">
        <f t="shared" si="358"/>
        <v>0</v>
      </c>
      <c r="AY571" s="3266">
        <f t="shared" si="359"/>
        <v>0</v>
      </c>
      <c r="AZ571" s="3199">
        <f t="shared" si="360"/>
        <v>0</v>
      </c>
      <c r="BA571" s="3199">
        <f t="shared" si="361"/>
        <v>0</v>
      </c>
      <c r="BB571" s="3199">
        <f t="shared" si="362"/>
        <v>0</v>
      </c>
      <c r="BC571" s="3199">
        <f t="shared" si="363"/>
        <v>0</v>
      </c>
      <c r="BD571" s="3199">
        <f t="shared" si="364"/>
        <v>0</v>
      </c>
      <c r="BE571" s="3199">
        <f t="shared" si="365"/>
        <v>0</v>
      </c>
      <c r="BF571" s="3199">
        <f t="shared" si="366"/>
        <v>0</v>
      </c>
      <c r="BG571" s="3199">
        <f t="shared" si="367"/>
        <v>0</v>
      </c>
      <c r="BH571" s="3199">
        <f t="shared" si="368"/>
        <v>0</v>
      </c>
      <c r="BI571" s="3199">
        <f t="shared" si="369"/>
        <v>0</v>
      </c>
      <c r="BJ571" s="3199">
        <f t="shared" si="370"/>
        <v>0</v>
      </c>
      <c r="BK571" s="3199">
        <f t="shared" si="371"/>
        <v>0</v>
      </c>
      <c r="BL571" s="3199">
        <f t="shared" si="372"/>
        <v>0</v>
      </c>
      <c r="BM571" s="3199">
        <f t="shared" si="373"/>
        <v>0</v>
      </c>
      <c r="BN571" s="3199">
        <f t="shared" si="374"/>
        <v>0</v>
      </c>
      <c r="BO571" s="3199">
        <f t="shared" si="375"/>
        <v>0</v>
      </c>
      <c r="BP571" s="3199">
        <f t="shared" si="376"/>
        <v>0</v>
      </c>
      <c r="BQ571" s="3199">
        <f t="shared" si="377"/>
        <v>0</v>
      </c>
      <c r="BR571" s="3199">
        <f t="shared" si="378"/>
        <v>0</v>
      </c>
      <c r="BS571" s="3199">
        <f t="shared" si="379"/>
        <v>0</v>
      </c>
      <c r="BT571" s="3271">
        <f t="shared" si="380"/>
        <v>0</v>
      </c>
    </row>
    <row r="572" spans="1:72">
      <c r="A572" s="3197"/>
      <c r="B572" s="3197"/>
      <c r="C572" s="3197"/>
      <c r="D572" s="3193"/>
      <c r="E572" s="3199">
        <f t="shared" si="352"/>
        <v>0</v>
      </c>
      <c r="F572" s="3272"/>
      <c r="G572" s="3201">
        <f t="shared" si="353"/>
        <v>0</v>
      </c>
      <c r="H572" s="3202">
        <f t="shared" si="354"/>
        <v>0</v>
      </c>
      <c r="I572" s="3218"/>
      <c r="J572" s="3218"/>
      <c r="K572" s="3218"/>
      <c r="L572" s="3218"/>
      <c r="M572" s="3218"/>
      <c r="N572" s="3218"/>
      <c r="O572" s="3218"/>
      <c r="P572" s="3218"/>
      <c r="Q572" s="3218"/>
      <c r="R572" s="3218"/>
      <c r="S572" s="3218"/>
      <c r="T572" s="3218"/>
      <c r="U572" s="3218"/>
      <c r="V572" s="3218"/>
      <c r="W572" s="3218"/>
      <c r="X572" s="3218"/>
      <c r="Y572" s="3218"/>
      <c r="Z572" s="3218"/>
      <c r="AA572" s="3218"/>
      <c r="AB572" s="3218"/>
      <c r="AC572" s="3199">
        <f t="shared" si="355"/>
        <v>0</v>
      </c>
      <c r="AD572" s="3229"/>
      <c r="AE572" s="3229"/>
      <c r="AF572" s="3229"/>
      <c r="AG572" s="3229"/>
      <c r="AH572" s="3229"/>
      <c r="AI572" s="3229"/>
      <c r="AJ572" s="3229"/>
      <c r="AK572" s="3229"/>
      <c r="AL572" s="3229"/>
      <c r="AM572" s="3229"/>
      <c r="AN572" s="3229"/>
      <c r="AO572" s="3229"/>
      <c r="AP572" s="3229"/>
      <c r="AQ572" s="3229"/>
      <c r="AR572" s="3229"/>
      <c r="AS572" s="3229"/>
      <c r="AT572" s="3229"/>
      <c r="AU572" s="3274"/>
      <c r="AV572" s="475">
        <f t="shared" si="356"/>
        <v>0</v>
      </c>
      <c r="AW572" s="475">
        <f t="shared" si="357"/>
        <v>0</v>
      </c>
      <c r="AX572" s="475">
        <f t="shared" si="358"/>
        <v>0</v>
      </c>
      <c r="AY572" s="3266">
        <f t="shared" si="359"/>
        <v>0</v>
      </c>
      <c r="AZ572" s="3199">
        <f t="shared" si="360"/>
        <v>0</v>
      </c>
      <c r="BA572" s="3199">
        <f t="shared" si="361"/>
        <v>0</v>
      </c>
      <c r="BB572" s="3199">
        <f t="shared" si="362"/>
        <v>0</v>
      </c>
      <c r="BC572" s="3199">
        <f t="shared" si="363"/>
        <v>0</v>
      </c>
      <c r="BD572" s="3199">
        <f t="shared" si="364"/>
        <v>0</v>
      </c>
      <c r="BE572" s="3199">
        <f t="shared" si="365"/>
        <v>0</v>
      </c>
      <c r="BF572" s="3199">
        <f t="shared" si="366"/>
        <v>0</v>
      </c>
      <c r="BG572" s="3199">
        <f t="shared" si="367"/>
        <v>0</v>
      </c>
      <c r="BH572" s="3199">
        <f t="shared" si="368"/>
        <v>0</v>
      </c>
      <c r="BI572" s="3199">
        <f t="shared" si="369"/>
        <v>0</v>
      </c>
      <c r="BJ572" s="3199">
        <f t="shared" si="370"/>
        <v>0</v>
      </c>
      <c r="BK572" s="3199">
        <f t="shared" si="371"/>
        <v>0</v>
      </c>
      <c r="BL572" s="3199">
        <f t="shared" si="372"/>
        <v>0</v>
      </c>
      <c r="BM572" s="3199">
        <f t="shared" si="373"/>
        <v>0</v>
      </c>
      <c r="BN572" s="3199">
        <f t="shared" si="374"/>
        <v>0</v>
      </c>
      <c r="BO572" s="3199">
        <f t="shared" si="375"/>
        <v>0</v>
      </c>
      <c r="BP572" s="3199">
        <f t="shared" si="376"/>
        <v>0</v>
      </c>
      <c r="BQ572" s="3199">
        <f t="shared" si="377"/>
        <v>0</v>
      </c>
      <c r="BR572" s="3199">
        <f t="shared" si="378"/>
        <v>0</v>
      </c>
      <c r="BS572" s="3199">
        <f t="shared" si="379"/>
        <v>0</v>
      </c>
      <c r="BT572" s="3271">
        <f t="shared" si="380"/>
        <v>0</v>
      </c>
    </row>
    <row r="573" spans="1:72" s="3166" customFormat="1">
      <c r="A573" s="3275"/>
      <c r="B573" s="3275"/>
      <c r="C573" s="3275"/>
      <c r="D573" s="3275"/>
      <c r="E573" s="3276"/>
      <c r="F573" s="3276"/>
      <c r="G573" s="3275"/>
      <c r="H573" s="3276"/>
      <c r="I573" s="3276"/>
      <c r="J573" s="3276"/>
      <c r="K573" s="3276"/>
      <c r="L573" s="3276"/>
      <c r="M573" s="3276"/>
      <c r="N573" s="3276"/>
      <c r="O573" s="3276"/>
      <c r="P573" s="3276"/>
      <c r="Q573" s="3276"/>
      <c r="R573" s="3276"/>
      <c r="S573" s="3276"/>
      <c r="T573" s="3276"/>
      <c r="U573" s="3276"/>
      <c r="V573" s="3276"/>
      <c r="W573" s="3276"/>
      <c r="X573" s="3276"/>
      <c r="Y573" s="3276"/>
      <c r="Z573" s="3276"/>
      <c r="AA573" s="3276"/>
      <c r="AB573" s="3276"/>
      <c r="AC573" s="3276"/>
      <c r="AD573" s="3276"/>
      <c r="AE573" s="3276"/>
      <c r="AF573" s="3276"/>
      <c r="AG573" s="3276"/>
      <c r="AH573" s="3276"/>
      <c r="AI573" s="3276"/>
      <c r="AJ573" s="3276"/>
      <c r="AK573" s="3276"/>
      <c r="AL573" s="3276"/>
      <c r="AM573" s="3276"/>
      <c r="AN573" s="3276"/>
      <c r="AO573" s="3276"/>
      <c r="AP573" s="3276"/>
      <c r="AQ573" s="3276"/>
      <c r="AR573" s="3276"/>
      <c r="AS573" s="3276"/>
      <c r="AT573" s="3276"/>
      <c r="AU573" s="3275"/>
      <c r="AV573" s="3275"/>
      <c r="AW573" s="3275"/>
      <c r="AX573" s="3275"/>
    </row>
    <row r="574" spans="1:72" s="3167" customFormat="1">
      <c r="C574" s="3277"/>
      <c r="D574" s="3277"/>
    </row>
    <row r="575" spans="1:72" s="3167" customFormat="1">
      <c r="C575" s="3277"/>
      <c r="D575" s="3277"/>
    </row>
    <row r="578" spans="2:2">
      <c r="B578" s="3277"/>
    </row>
  </sheetData>
  <sheetProtection password="CEE9" sheet="1" objects="1" scenarios="1" formatCells="0" formatColumns="0" formatRows="0"/>
  <phoneticPr fontId="254" type="noConversion"/>
  <dataValidations count="4">
    <dataValidation type="list" allowBlank="1" showInputMessage="1" showErrorMessage="1" sqref="C3 D13:D572">
      <formula1>估价范围判定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70" workbookViewId="0">
      <selection activeCell="F20" sqref="F20"/>
    </sheetView>
  </sheetViews>
  <sheetFormatPr defaultColWidth="9.25" defaultRowHeight="14.25"/>
  <cols>
    <col min="1" max="1" width="8.25" style="3076" customWidth="1"/>
    <col min="2" max="2" width="10.25" style="3076" customWidth="1"/>
    <col min="3" max="3" width="18.5" style="3076" customWidth="1"/>
    <col min="4" max="4" width="11.125" style="3076" customWidth="1"/>
    <col min="5" max="5" width="13.375" style="3076" customWidth="1"/>
    <col min="6" max="8" width="11.5" style="3076" customWidth="1"/>
    <col min="9" max="9" width="10.375" style="3076" customWidth="1"/>
    <col min="10" max="10" width="3.125" style="3076" customWidth="1"/>
    <col min="11" max="16" width="11.625" style="3076" customWidth="1"/>
    <col min="17" max="17" width="3.375" style="3076" customWidth="1"/>
    <col min="18" max="16384" width="9.25" style="3076"/>
  </cols>
  <sheetData>
    <row r="1" spans="1:16" ht="18.75">
      <c r="A1" s="2531" t="s">
        <v>542</v>
      </c>
      <c r="B1" s="3077"/>
      <c r="C1" s="3077"/>
      <c r="D1" s="3077"/>
      <c r="E1" s="3077"/>
      <c r="F1" s="3077"/>
      <c r="G1" s="3077"/>
      <c r="H1" s="3077"/>
      <c r="I1" s="3077"/>
      <c r="J1" s="3077"/>
      <c r="K1" s="3077"/>
      <c r="L1" s="3077"/>
      <c r="M1" s="3077"/>
      <c r="N1" s="3077"/>
      <c r="O1" s="3077"/>
      <c r="P1" s="3077"/>
    </row>
    <row r="2" spans="1:16" ht="15">
      <c r="A2" s="3720" t="s">
        <v>543</v>
      </c>
      <c r="B2" s="3720"/>
      <c r="C2" s="3720"/>
      <c r="D2" s="2380" t="s">
        <v>544</v>
      </c>
      <c r="E2" s="3078" t="s">
        <v>545</v>
      </c>
      <c r="F2" s="3079"/>
      <c r="G2" s="3080"/>
      <c r="H2" s="3081"/>
      <c r="I2" s="3138" t="s">
        <v>546</v>
      </c>
      <c r="J2" s="3079"/>
      <c r="K2" s="3079"/>
      <c r="L2" s="3079"/>
      <c r="M2" s="3079"/>
      <c r="N2" s="3079"/>
      <c r="O2" s="3079"/>
      <c r="P2" s="3079"/>
    </row>
    <row r="3" spans="1:16" ht="15">
      <c r="A3" s="3721" t="s">
        <v>547</v>
      </c>
      <c r="B3" s="3721"/>
      <c r="C3" s="3721"/>
      <c r="D3" s="3082">
        <f>'数据-基础表'!AY6</f>
        <v>200000</v>
      </c>
      <c r="E3" s="3082">
        <f>'数据-基础表'!AZ5</f>
        <v>74800</v>
      </c>
      <c r="F3" s="3079"/>
      <c r="G3" s="2480" t="s">
        <v>548</v>
      </c>
      <c r="H3" s="2476" t="s">
        <v>549</v>
      </c>
      <c r="I3" s="492">
        <f>ROUND('数据-基础表'!B3/'数据-基础表'!A3,2)</f>
        <v>0.37</v>
      </c>
      <c r="J3" s="3079"/>
      <c r="K3" s="3079"/>
      <c r="L3" s="3079"/>
      <c r="M3" s="3079"/>
      <c r="N3" s="3079"/>
      <c r="O3" s="3079"/>
      <c r="P3" s="3079"/>
    </row>
    <row r="4" spans="1:16" ht="15">
      <c r="A4" s="3722"/>
      <c r="B4" s="3723"/>
      <c r="C4" s="3724"/>
      <c r="D4" s="3083" t="s">
        <v>544</v>
      </c>
      <c r="E4" s="3084" t="s">
        <v>545</v>
      </c>
      <c r="F4" s="3079"/>
      <c r="G4" s="3085"/>
      <c r="H4" s="2476" t="s">
        <v>550</v>
      </c>
      <c r="I4" s="492">
        <f>ROUND(SUMIF('数据-基础表'!I9:AS9,"地上",'数据-基础表'!I5:AS5)/'数据-基础表'!A3,2)</f>
        <v>0.37</v>
      </c>
      <c r="J4" s="3079"/>
      <c r="K4" s="3079"/>
      <c r="L4" s="3079"/>
      <c r="M4" s="3079"/>
      <c r="N4" s="3079"/>
      <c r="O4" s="3079"/>
      <c r="P4" s="3079"/>
    </row>
    <row r="5" spans="1:16">
      <c r="A5" s="3086" t="s">
        <v>551</v>
      </c>
      <c r="B5" s="3725" t="s">
        <v>241</v>
      </c>
      <c r="C5" s="3725"/>
      <c r="D5" s="3087">
        <f>ROUND($D$3*E5/$E$3,2)</f>
        <v>0</v>
      </c>
      <c r="E5" s="3088">
        <f>SUMIF('数据-基础表'!$11:$11,"住宅",'数据-基础表'!$5:$5)</f>
        <v>0</v>
      </c>
      <c r="F5" s="3079"/>
      <c r="G5" s="2480" t="s">
        <v>552</v>
      </c>
      <c r="H5" s="2476" t="s">
        <v>549</v>
      </c>
      <c r="I5" s="492">
        <f>ROUND(E31/D31,2)</f>
        <v>0.37</v>
      </c>
      <c r="J5" s="3079"/>
      <c r="K5" s="3079"/>
      <c r="L5" s="3079"/>
      <c r="M5" s="3079"/>
      <c r="N5" s="3079"/>
      <c r="O5" s="3079"/>
      <c r="P5" s="3079"/>
    </row>
    <row r="6" spans="1:16">
      <c r="A6" s="3089"/>
      <c r="B6" s="3725" t="s">
        <v>553</v>
      </c>
      <c r="C6" s="3725"/>
      <c r="D6" s="3087">
        <f>ROUND($D$3*E6/$E$3,2)</f>
        <v>200000</v>
      </c>
      <c r="E6" s="3088">
        <f>E3-E5</f>
        <v>74800</v>
      </c>
      <c r="F6" s="3079"/>
      <c r="G6" s="3085"/>
      <c r="H6" s="2476" t="s">
        <v>550</v>
      </c>
      <c r="I6" s="492">
        <f>ROUND(F31/D31,2)</f>
        <v>0.37</v>
      </c>
      <c r="J6" s="3079"/>
      <c r="K6" s="3079"/>
      <c r="L6" s="3079"/>
      <c r="M6" s="3079"/>
      <c r="N6" s="3079"/>
      <c r="O6" s="3079"/>
      <c r="P6" s="3079"/>
    </row>
    <row r="7" spans="1:16" ht="15">
      <c r="A7" s="3726"/>
      <c r="B7" s="3727"/>
      <c r="C7" s="3728"/>
      <c r="D7" s="3083" t="s">
        <v>544</v>
      </c>
      <c r="E7" s="3090" t="s">
        <v>554</v>
      </c>
      <c r="F7" s="3079"/>
      <c r="G7" s="3091" t="s">
        <v>555</v>
      </c>
      <c r="H7" s="3092"/>
      <c r="I7" s="3139"/>
      <c r="J7" s="3079"/>
      <c r="K7" s="3079"/>
      <c r="L7" s="3079"/>
      <c r="M7" s="3079"/>
      <c r="N7" s="3079"/>
      <c r="O7" s="3079"/>
      <c r="P7" s="3079"/>
    </row>
    <row r="8" spans="1:16">
      <c r="A8" s="3086" t="s">
        <v>556</v>
      </c>
      <c r="B8" s="3093" t="s">
        <v>557</v>
      </c>
      <c r="C8" s="3087" t="s">
        <v>558</v>
      </c>
      <c r="D8" s="3087">
        <f t="shared" ref="D8:D15" si="0">ROUND($D$3*E8/$E$3,2)</f>
        <v>200000</v>
      </c>
      <c r="E8" s="3094">
        <f>SUMIF('数据-基础表'!BB10:BK10,"地上",'数据-基础表'!BB5:BK5)</f>
        <v>74800</v>
      </c>
      <c r="F8" s="3079"/>
      <c r="G8" s="3095"/>
      <c r="H8" s="3095"/>
      <c r="I8" s="3079"/>
      <c r="J8" s="3079"/>
      <c r="K8" s="3079"/>
      <c r="L8" s="3079"/>
      <c r="M8" s="3079"/>
      <c r="N8" s="3079"/>
      <c r="O8" s="3079"/>
      <c r="P8" s="3079"/>
    </row>
    <row r="9" spans="1:16">
      <c r="A9" s="3096"/>
      <c r="B9" s="3097"/>
      <c r="C9" s="3087" t="s">
        <v>559</v>
      </c>
      <c r="D9" s="3087">
        <f t="shared" si="0"/>
        <v>0</v>
      </c>
      <c r="E9" s="3098">
        <v>0</v>
      </c>
      <c r="F9" s="3079"/>
      <c r="G9" s="3095"/>
      <c r="H9" s="3095"/>
      <c r="I9" s="3079"/>
      <c r="J9" s="3079"/>
      <c r="K9" s="3079"/>
      <c r="L9" s="3079"/>
      <c r="M9" s="3079"/>
      <c r="N9" s="3079"/>
      <c r="O9" s="3079"/>
      <c r="P9" s="3079"/>
    </row>
    <row r="10" spans="1:16">
      <c r="A10" s="3096"/>
      <c r="B10" s="3097"/>
      <c r="C10" s="3087" t="s">
        <v>560</v>
      </c>
      <c r="D10" s="3087">
        <f t="shared" si="0"/>
        <v>0</v>
      </c>
      <c r="E10" s="3094">
        <f>SUMPRODUCT(('数据-基础表'!BB10:BK10="地下")*('数据-基础表'!BB11:BK11="商业")*('数据-基础表'!BB5:BK5))</f>
        <v>0</v>
      </c>
      <c r="F10" s="3079"/>
      <c r="G10" s="3095"/>
      <c r="H10" s="3095"/>
      <c r="I10" s="3079"/>
      <c r="J10" s="3079"/>
      <c r="K10" s="3079"/>
      <c r="L10" s="3079"/>
      <c r="M10" s="3079"/>
      <c r="N10" s="3079"/>
      <c r="O10" s="3079"/>
      <c r="P10" s="3079"/>
    </row>
    <row r="11" spans="1:16">
      <c r="A11" s="3096"/>
      <c r="B11" s="3097"/>
      <c r="C11" s="3099" t="s">
        <v>561</v>
      </c>
      <c r="D11" s="3087">
        <f t="shared" si="0"/>
        <v>0</v>
      </c>
      <c r="E11" s="3094">
        <f>SUMPRODUCT(('数据-基础表'!BB10:BK10="地下")*('数据-基础表'!BB11:BK11="办公")*('数据-基础表'!BB5:BK5))+'数据-基础表'!AJ5</f>
        <v>0</v>
      </c>
      <c r="F11" s="3079"/>
      <c r="G11" s="3095"/>
      <c r="H11" s="3095"/>
      <c r="I11" s="3079"/>
      <c r="J11" s="3079"/>
      <c r="K11" s="3079"/>
      <c r="L11" s="3079"/>
      <c r="M11" s="3079"/>
      <c r="N11" s="3079"/>
      <c r="O11" s="3079"/>
      <c r="P11" s="3079"/>
    </row>
    <row r="12" spans="1:16">
      <c r="A12" s="3096"/>
      <c r="B12" s="3097"/>
      <c r="C12" s="3087" t="s">
        <v>562</v>
      </c>
      <c r="D12" s="3087">
        <f t="shared" si="0"/>
        <v>0</v>
      </c>
      <c r="E12" s="3094">
        <f>SUMPRODUCT(('数据-基础表'!BB10:BK10="地下")*('数据-基础表'!BB11:BK11="仓储")*('数据-基础表'!BB5:BK5))</f>
        <v>0</v>
      </c>
      <c r="F12" s="3079"/>
      <c r="G12" s="3095"/>
      <c r="H12" s="3095"/>
      <c r="I12" s="3079"/>
      <c r="J12" s="3079"/>
      <c r="K12" s="3079"/>
      <c r="L12" s="3079"/>
      <c r="M12" s="3079"/>
      <c r="N12" s="3079"/>
      <c r="O12" s="3079"/>
      <c r="P12" s="3079"/>
    </row>
    <row r="13" spans="1:16">
      <c r="A13" s="3096"/>
      <c r="B13" s="3097"/>
      <c r="C13" s="3099" t="s">
        <v>563</v>
      </c>
      <c r="D13" s="3087">
        <f t="shared" si="0"/>
        <v>0</v>
      </c>
      <c r="E13" s="3094">
        <f>SUMPRODUCT(('数据-基础表'!BB10:BK10="地下")*('数据-基础表'!BB11:BK11="车库")*('数据-基础表'!BB5:BK5))</f>
        <v>0</v>
      </c>
      <c r="F13" s="3079"/>
      <c r="G13" s="3095"/>
      <c r="H13" s="3095"/>
      <c r="I13" s="3079"/>
      <c r="J13" s="3079"/>
      <c r="K13" s="3079"/>
      <c r="L13" s="3079"/>
      <c r="M13" s="3079"/>
      <c r="N13" s="3079"/>
      <c r="O13" s="3079"/>
      <c r="P13" s="3079"/>
    </row>
    <row r="14" spans="1:16">
      <c r="A14" s="3096"/>
      <c r="B14" s="3097"/>
      <c r="C14" s="3087" t="s">
        <v>564</v>
      </c>
      <c r="D14" s="3087">
        <f t="shared" si="0"/>
        <v>0</v>
      </c>
      <c r="E14" s="3094">
        <f>SUMPRODUCT(('数据-基础表'!BB10:BK10="地下")*('数据-基础表'!BB11:BK11="车库—商业")*('数据-基础表'!BB5:BK5))</f>
        <v>0</v>
      </c>
      <c r="F14" s="3079"/>
      <c r="G14" s="3095"/>
      <c r="H14" s="3095"/>
      <c r="I14" s="3079"/>
      <c r="J14" s="3079"/>
      <c r="K14" s="3079"/>
      <c r="L14" s="3079"/>
      <c r="M14" s="3079"/>
      <c r="N14" s="3079"/>
      <c r="O14" s="3079"/>
      <c r="P14" s="3079"/>
    </row>
    <row r="15" spans="1:16">
      <c r="A15" s="3096"/>
      <c r="B15" s="3097"/>
      <c r="C15" s="3087" t="s">
        <v>565</v>
      </c>
      <c r="D15" s="3087">
        <f t="shared" si="0"/>
        <v>0</v>
      </c>
      <c r="E15" s="3094">
        <f>SUMPRODUCT(('数据-基础表'!BB10:BK10="地下")*('数据-基础表'!BB11:BK11="车库—办公")*('数据-基础表'!BB5:BK5))</f>
        <v>0</v>
      </c>
      <c r="F15" s="3079"/>
      <c r="G15" s="3095"/>
      <c r="H15" s="3095"/>
      <c r="I15" s="3079"/>
      <c r="J15" s="3079"/>
      <c r="K15" s="3079"/>
      <c r="L15" s="3079"/>
      <c r="M15" s="3079"/>
      <c r="N15" s="3079"/>
      <c r="O15" s="3079"/>
      <c r="P15" s="3079"/>
    </row>
    <row r="16" spans="1:16" ht="15">
      <c r="A16" s="3089"/>
      <c r="B16" s="3097"/>
      <c r="C16" s="3093" t="s">
        <v>566</v>
      </c>
      <c r="D16" s="3093">
        <f>SUM(D8:D15)</f>
        <v>200000</v>
      </c>
      <c r="E16" s="3100">
        <f>SUM(E8:E15)</f>
        <v>74800</v>
      </c>
      <c r="F16" s="3079"/>
      <c r="G16" s="3095"/>
      <c r="H16" s="3101" t="s">
        <v>567</v>
      </c>
      <c r="I16" s="3140"/>
      <c r="J16" s="3077"/>
      <c r="K16" s="3729" t="s">
        <v>568</v>
      </c>
      <c r="L16" s="3730"/>
      <c r="M16" s="3730"/>
      <c r="N16" s="3730"/>
      <c r="O16" s="3730"/>
      <c r="P16" s="3731"/>
    </row>
    <row r="17" spans="1:19" ht="15">
      <c r="A17" s="3044" t="s">
        <v>569</v>
      </c>
      <c r="B17" s="3102" t="s">
        <v>222</v>
      </c>
      <c r="C17" s="3103" t="s">
        <v>466</v>
      </c>
      <c r="D17" s="3083" t="s">
        <v>544</v>
      </c>
      <c r="E17" s="3104" t="s">
        <v>545</v>
      </c>
      <c r="F17" s="3105"/>
      <c r="G17" s="3106"/>
      <c r="H17" s="3107" t="s">
        <v>570</v>
      </c>
      <c r="I17" s="3141" t="s">
        <v>571</v>
      </c>
      <c r="J17" s="3077"/>
      <c r="K17" s="3732" t="s">
        <v>572</v>
      </c>
      <c r="L17" s="3733"/>
      <c r="M17" s="3734"/>
      <c r="N17" s="3732" t="s">
        <v>573</v>
      </c>
      <c r="O17" s="3733"/>
      <c r="P17" s="3734"/>
      <c r="R17" s="3160" t="s">
        <v>574</v>
      </c>
      <c r="S17" s="2464"/>
    </row>
    <row r="18" spans="1:19" ht="15">
      <c r="A18" s="3096"/>
      <c r="B18" s="3108"/>
      <c r="C18" s="3109"/>
      <c r="D18" s="2380"/>
      <c r="E18" s="3110" t="s">
        <v>575</v>
      </c>
      <c r="F18" s="3111" t="s">
        <v>240</v>
      </c>
      <c r="G18" s="3112" t="s">
        <v>264</v>
      </c>
      <c r="H18" s="3051" t="s">
        <v>576</v>
      </c>
      <c r="I18" s="3142" t="s">
        <v>577</v>
      </c>
      <c r="J18" s="3077"/>
      <c r="K18" s="3143" t="s">
        <v>578</v>
      </c>
      <c r="L18" s="3144" t="s">
        <v>579</v>
      </c>
      <c r="M18" s="3145" t="s">
        <v>580</v>
      </c>
      <c r="N18" s="3143" t="s">
        <v>578</v>
      </c>
      <c r="O18" s="3144" t="s">
        <v>579</v>
      </c>
      <c r="P18" s="3145" t="s">
        <v>580</v>
      </c>
      <c r="R18" s="3161" t="s">
        <v>449</v>
      </c>
      <c r="S18" s="3161" t="s">
        <v>446</v>
      </c>
    </row>
    <row r="19" spans="1:19">
      <c r="A19" s="3113"/>
      <c r="B19" s="3093" t="s">
        <v>243</v>
      </c>
      <c r="C19" s="3114" t="s">
        <v>581</v>
      </c>
      <c r="D19" s="3087">
        <f t="shared" ref="D19:D26" si="1">ROUND($D$3*E19/$E$3,2)</f>
        <v>200000</v>
      </c>
      <c r="E19" s="3115">
        <f t="shared" ref="E19:E26" si="2">SUM(F19:G19)</f>
        <v>74800</v>
      </c>
      <c r="F19" s="3116">
        <f>'数据-基础表'!I13</f>
        <v>74800</v>
      </c>
      <c r="G19" s="3117"/>
      <c r="H19" s="3034">
        <f>ROUND($D$3*I19/$E$3,2)</f>
        <v>0</v>
      </c>
      <c r="I19" s="3094">
        <f>IF($I$17="自定义",P19,M19)</f>
        <v>0</v>
      </c>
      <c r="J19" s="3077"/>
      <c r="K19" s="3146">
        <f t="shared" ref="K19:K26" si="3">ROUND(E$28*E19/E$27,2)</f>
        <v>0</v>
      </c>
      <c r="L19" s="2476">
        <f t="shared" ref="L19:L26" si="4">ROUND(IF(COUNTIF(C19,"*住宅*")&gt;0,E$29*E19/E$32,0),2)</f>
        <v>0</v>
      </c>
      <c r="M19" s="3147">
        <f>K19+L19</f>
        <v>0</v>
      </c>
      <c r="N19" s="3148"/>
      <c r="O19" s="3149"/>
      <c r="P19" s="3150">
        <f>N19+O19</f>
        <v>0</v>
      </c>
      <c r="R19" s="2476">
        <f t="shared" ref="R19:S26" si="5">D19+H19</f>
        <v>200000</v>
      </c>
      <c r="S19" s="3162">
        <f t="shared" si="5"/>
        <v>74800</v>
      </c>
    </row>
    <row r="20" spans="1:19">
      <c r="A20" s="3118"/>
      <c r="B20" s="3093" t="s">
        <v>243</v>
      </c>
      <c r="C20" s="3114"/>
      <c r="D20" s="3087">
        <f t="shared" si="1"/>
        <v>0</v>
      </c>
      <c r="E20" s="3115">
        <f t="shared" si="2"/>
        <v>0</v>
      </c>
      <c r="F20" s="3116"/>
      <c r="G20" s="3117"/>
      <c r="H20" s="3034">
        <f t="shared" ref="H20:H26" si="6">ROUND($D$3*I20/$E$3,2)</f>
        <v>0</v>
      </c>
      <c r="I20" s="3094">
        <f t="shared" ref="I20:I26" si="7">IF($I$17="自定义",P20,M20)</f>
        <v>0</v>
      </c>
      <c r="J20" s="3077"/>
      <c r="K20" s="3146">
        <f t="shared" si="3"/>
        <v>0</v>
      </c>
      <c r="L20" s="2476">
        <f t="shared" si="4"/>
        <v>0</v>
      </c>
      <c r="M20" s="3147">
        <f t="shared" ref="M20:M26" si="8">K20+L20</f>
        <v>0</v>
      </c>
      <c r="N20" s="3148"/>
      <c r="O20" s="3149"/>
      <c r="P20" s="3150">
        <f t="shared" ref="P20:P26" si="9">N20+O20</f>
        <v>0</v>
      </c>
      <c r="R20" s="2476">
        <f t="shared" si="5"/>
        <v>0</v>
      </c>
      <c r="S20" s="3162">
        <f t="shared" si="5"/>
        <v>0</v>
      </c>
    </row>
    <row r="21" spans="1:19">
      <c r="A21" s="3118"/>
      <c r="B21" s="3093" t="s">
        <v>243</v>
      </c>
      <c r="C21" s="3114"/>
      <c r="D21" s="3087">
        <f t="shared" si="1"/>
        <v>0</v>
      </c>
      <c r="E21" s="3115">
        <f t="shared" si="2"/>
        <v>0</v>
      </c>
      <c r="F21" s="3116"/>
      <c r="G21" s="3117"/>
      <c r="H21" s="3034">
        <f t="shared" si="6"/>
        <v>0</v>
      </c>
      <c r="I21" s="3094">
        <f t="shared" si="7"/>
        <v>0</v>
      </c>
      <c r="J21" s="3077"/>
      <c r="K21" s="3146">
        <f t="shared" si="3"/>
        <v>0</v>
      </c>
      <c r="L21" s="2476">
        <f t="shared" si="4"/>
        <v>0</v>
      </c>
      <c r="M21" s="3147">
        <f t="shared" si="8"/>
        <v>0</v>
      </c>
      <c r="N21" s="3148"/>
      <c r="O21" s="3149"/>
      <c r="P21" s="3150">
        <f t="shared" si="9"/>
        <v>0</v>
      </c>
      <c r="R21" s="2476">
        <f t="shared" si="5"/>
        <v>0</v>
      </c>
      <c r="S21" s="3162">
        <f t="shared" si="5"/>
        <v>0</v>
      </c>
    </row>
    <row r="22" spans="1:19">
      <c r="A22" s="3118"/>
      <c r="B22" s="3093" t="s">
        <v>243</v>
      </c>
      <c r="C22" s="3119"/>
      <c r="D22" s="3087">
        <f t="shared" si="1"/>
        <v>0</v>
      </c>
      <c r="E22" s="3115">
        <f t="shared" si="2"/>
        <v>0</v>
      </c>
      <c r="F22" s="3120"/>
      <c r="G22" s="3121"/>
      <c r="H22" s="3034">
        <f t="shared" si="6"/>
        <v>0</v>
      </c>
      <c r="I22" s="3094">
        <f t="shared" si="7"/>
        <v>0</v>
      </c>
      <c r="J22" s="3077"/>
      <c r="K22" s="3146">
        <f t="shared" si="3"/>
        <v>0</v>
      </c>
      <c r="L22" s="2476">
        <f t="shared" si="4"/>
        <v>0</v>
      </c>
      <c r="M22" s="3147">
        <f t="shared" si="8"/>
        <v>0</v>
      </c>
      <c r="N22" s="3148"/>
      <c r="O22" s="3149"/>
      <c r="P22" s="3150">
        <f t="shared" si="9"/>
        <v>0</v>
      </c>
      <c r="R22" s="2476">
        <f t="shared" si="5"/>
        <v>0</v>
      </c>
      <c r="S22" s="3162">
        <f t="shared" si="5"/>
        <v>0</v>
      </c>
    </row>
    <row r="23" spans="1:19">
      <c r="A23" s="3118"/>
      <c r="B23" s="3093" t="s">
        <v>243</v>
      </c>
      <c r="C23" s="3119"/>
      <c r="D23" s="3087">
        <f t="shared" si="1"/>
        <v>0</v>
      </c>
      <c r="E23" s="3115">
        <f t="shared" si="2"/>
        <v>0</v>
      </c>
      <c r="F23" s="3120"/>
      <c r="G23" s="3121"/>
      <c r="H23" s="3034">
        <f t="shared" si="6"/>
        <v>0</v>
      </c>
      <c r="I23" s="3094">
        <f t="shared" si="7"/>
        <v>0</v>
      </c>
      <c r="J23" s="3077"/>
      <c r="K23" s="3146">
        <f t="shared" si="3"/>
        <v>0</v>
      </c>
      <c r="L23" s="2476">
        <f t="shared" si="4"/>
        <v>0</v>
      </c>
      <c r="M23" s="3147">
        <f t="shared" si="8"/>
        <v>0</v>
      </c>
      <c r="N23" s="3148"/>
      <c r="O23" s="3149"/>
      <c r="P23" s="3150">
        <f t="shared" si="9"/>
        <v>0</v>
      </c>
      <c r="R23" s="2476">
        <f t="shared" si="5"/>
        <v>0</v>
      </c>
      <c r="S23" s="3162">
        <f t="shared" si="5"/>
        <v>0</v>
      </c>
    </row>
    <row r="24" spans="1:19">
      <c r="A24" s="3118"/>
      <c r="B24" s="3093" t="s">
        <v>243</v>
      </c>
      <c r="C24" s="3119"/>
      <c r="D24" s="3087">
        <f t="shared" si="1"/>
        <v>0</v>
      </c>
      <c r="E24" s="3115">
        <f t="shared" si="2"/>
        <v>0</v>
      </c>
      <c r="F24" s="3120"/>
      <c r="G24" s="3121"/>
      <c r="H24" s="3034">
        <f t="shared" si="6"/>
        <v>0</v>
      </c>
      <c r="I24" s="3094">
        <f t="shared" si="7"/>
        <v>0</v>
      </c>
      <c r="J24" s="3077"/>
      <c r="K24" s="3146">
        <f t="shared" si="3"/>
        <v>0</v>
      </c>
      <c r="L24" s="2476">
        <f t="shared" si="4"/>
        <v>0</v>
      </c>
      <c r="M24" s="3147">
        <f t="shared" si="8"/>
        <v>0</v>
      </c>
      <c r="N24" s="3148"/>
      <c r="O24" s="3149"/>
      <c r="P24" s="3150">
        <f t="shared" si="9"/>
        <v>0</v>
      </c>
      <c r="R24" s="2476">
        <f t="shared" si="5"/>
        <v>0</v>
      </c>
      <c r="S24" s="3162">
        <f t="shared" si="5"/>
        <v>0</v>
      </c>
    </row>
    <row r="25" spans="1:19">
      <c r="A25" s="3118"/>
      <c r="B25" s="3093" t="s">
        <v>243</v>
      </c>
      <c r="C25" s="3119"/>
      <c r="D25" s="3087">
        <f t="shared" si="1"/>
        <v>0</v>
      </c>
      <c r="E25" s="3115">
        <f t="shared" si="2"/>
        <v>0</v>
      </c>
      <c r="F25" s="3120"/>
      <c r="G25" s="3121"/>
      <c r="H25" s="3086">
        <f t="shared" si="6"/>
        <v>0</v>
      </c>
      <c r="I25" s="3094">
        <f t="shared" si="7"/>
        <v>0</v>
      </c>
      <c r="J25" s="3077"/>
      <c r="K25" s="3146">
        <f t="shared" si="3"/>
        <v>0</v>
      </c>
      <c r="L25" s="2476">
        <f t="shared" si="4"/>
        <v>0</v>
      </c>
      <c r="M25" s="3147">
        <f t="shared" si="8"/>
        <v>0</v>
      </c>
      <c r="N25" s="3148"/>
      <c r="O25" s="3149"/>
      <c r="P25" s="3150">
        <f t="shared" si="9"/>
        <v>0</v>
      </c>
      <c r="R25" s="2476">
        <f t="shared" si="5"/>
        <v>0</v>
      </c>
      <c r="S25" s="3162">
        <f t="shared" si="5"/>
        <v>0</v>
      </c>
    </row>
    <row r="26" spans="1:19">
      <c r="A26" s="3118"/>
      <c r="B26" s="3093" t="s">
        <v>243</v>
      </c>
      <c r="C26" s="3122"/>
      <c r="D26" s="3087">
        <f t="shared" si="1"/>
        <v>0</v>
      </c>
      <c r="E26" s="3115">
        <f t="shared" si="2"/>
        <v>0</v>
      </c>
      <c r="F26" s="3120"/>
      <c r="G26" s="3121"/>
      <c r="H26" s="3086">
        <f t="shared" si="6"/>
        <v>0</v>
      </c>
      <c r="I26" s="3094">
        <f t="shared" si="7"/>
        <v>0</v>
      </c>
      <c r="J26" s="3077"/>
      <c r="K26" s="3151">
        <f t="shared" si="3"/>
        <v>0</v>
      </c>
      <c r="L26" s="2480">
        <f t="shared" si="4"/>
        <v>0</v>
      </c>
      <c r="M26" s="3127">
        <f t="shared" si="8"/>
        <v>0</v>
      </c>
      <c r="N26" s="3152"/>
      <c r="O26" s="3153"/>
      <c r="P26" s="3154">
        <f t="shared" si="9"/>
        <v>0</v>
      </c>
      <c r="R26" s="2476">
        <f t="shared" si="5"/>
        <v>0</v>
      </c>
      <c r="S26" s="3162">
        <f t="shared" si="5"/>
        <v>0</v>
      </c>
    </row>
    <row r="27" spans="1:19" ht="15">
      <c r="A27" s="3118"/>
      <c r="B27" s="3087"/>
      <c r="C27" s="2515" t="s">
        <v>566</v>
      </c>
      <c r="D27" s="3115">
        <f>SUM(D19:D26)</f>
        <v>200000</v>
      </c>
      <c r="E27" s="3123">
        <f>IF(SUM(E19:E26)='数据-基础表'!BA5,SUM(E19:E26),IF(F27="地上面积有误","面积有误","地下面积有误"))</f>
        <v>74800</v>
      </c>
      <c r="F27" s="3115">
        <f>IF(SUM(F19:F26)=E8,SUM(F19:F26),"地上面积有误")</f>
        <v>74800</v>
      </c>
      <c r="G27" s="3088">
        <f>SUM(G19:G26)</f>
        <v>0</v>
      </c>
      <c r="H27" s="3124">
        <f>SUM(H19:H26)</f>
        <v>0</v>
      </c>
      <c r="I27" s="3155">
        <f>SUM(I19:I26)</f>
        <v>0</v>
      </c>
      <c r="J27" s="3077"/>
      <c r="K27" s="3156">
        <f t="shared" ref="K27:P27" si="10">SUM(K19:K26)</f>
        <v>0</v>
      </c>
      <c r="L27" s="3157">
        <f t="shared" si="10"/>
        <v>0</v>
      </c>
      <c r="M27" s="3158">
        <f t="shared" si="10"/>
        <v>0</v>
      </c>
      <c r="N27" s="3156">
        <f t="shared" si="10"/>
        <v>0</v>
      </c>
      <c r="O27" s="3157">
        <f t="shared" si="10"/>
        <v>0</v>
      </c>
      <c r="P27" s="3159">
        <f t="shared" si="10"/>
        <v>0</v>
      </c>
      <c r="R27" s="3163">
        <f>IF(SUM(R19:R26)=$D$3,SUM(R19:R26),SUM(R19:R26)&amp;"误差"&amp;ROUND(SUM(R19:R26)-$D$3,2))</f>
        <v>200000</v>
      </c>
      <c r="S27" s="2476">
        <f>IF(SUM(S19:S26)=$E$3,SUM(S19:S26),SUM(S19:S26)&amp;"误差"&amp;ROUND(SUM(S19:S26)-E3,2))</f>
        <v>74800</v>
      </c>
    </row>
    <row r="28" spans="1:19">
      <c r="A28" s="3118"/>
      <c r="B28" s="3093" t="s">
        <v>255</v>
      </c>
      <c r="C28" s="3054" t="s">
        <v>582</v>
      </c>
      <c r="D28" s="3087">
        <f>ROUND($D$3*E28/$E$3,2)</f>
        <v>0</v>
      </c>
      <c r="E28" s="3115">
        <f>SUM(F28:G28)</f>
        <v>0</v>
      </c>
      <c r="F28" s="2464">
        <f>'数据-基础表'!BQ5+'数据-基础表'!BS5</f>
        <v>0</v>
      </c>
      <c r="G28" s="3125">
        <f>'数据-基础表'!BR5+'数据-基础表'!BT5</f>
        <v>0</v>
      </c>
      <c r="H28" s="3079"/>
      <c r="I28" s="3079"/>
      <c r="J28" s="3079"/>
      <c r="K28" s="3079"/>
      <c r="L28" s="3079"/>
      <c r="M28" s="3079"/>
      <c r="N28" s="3079"/>
      <c r="O28" s="3079"/>
      <c r="P28" s="3079"/>
    </row>
    <row r="29" spans="1:19">
      <c r="A29" s="3118"/>
      <c r="B29" s="3093" t="s">
        <v>255</v>
      </c>
      <c r="C29" s="3126" t="s">
        <v>583</v>
      </c>
      <c r="D29" s="3087">
        <f>ROUND($D$3*E29/$E$3,2)</f>
        <v>0</v>
      </c>
      <c r="E29" s="3115">
        <f>SUM(F29:G29)</f>
        <v>0</v>
      </c>
      <c r="F29" s="2464">
        <f>'数据-基础表'!BM5+'数据-基础表'!BO5</f>
        <v>0</v>
      </c>
      <c r="G29" s="3127">
        <f>'数据-基础表'!BN5+'数据-基础表'!BP5</f>
        <v>0</v>
      </c>
      <c r="H29" s="3079"/>
      <c r="I29" s="3079"/>
      <c r="J29" s="3079"/>
      <c r="K29" s="3079"/>
      <c r="L29" s="3079"/>
      <c r="M29" s="3079"/>
      <c r="N29" s="3079"/>
      <c r="O29" s="3079"/>
      <c r="P29" s="3079"/>
    </row>
    <row r="30" spans="1:19">
      <c r="A30" s="3118"/>
      <c r="B30" s="3087"/>
      <c r="C30" s="3128" t="s">
        <v>566</v>
      </c>
      <c r="D30" s="3115">
        <f>SUM(D28:D29)</f>
        <v>0</v>
      </c>
      <c r="E30" s="3115">
        <f>SUM(E28:E29)</f>
        <v>0</v>
      </c>
      <c r="F30" s="3115">
        <f>SUM(F28:F29)</f>
        <v>0</v>
      </c>
      <c r="G30" s="3088">
        <f>SUM(G28:G29)</f>
        <v>0</v>
      </c>
      <c r="H30" s="3079"/>
      <c r="I30" s="3079"/>
      <c r="J30" s="3079"/>
      <c r="K30" s="3079"/>
      <c r="L30" s="3079"/>
      <c r="M30" s="3079"/>
      <c r="N30" s="3079"/>
      <c r="O30" s="3079"/>
      <c r="P30" s="3079"/>
    </row>
    <row r="31" spans="1:19" ht="32.25" customHeight="1">
      <c r="A31" s="3129"/>
      <c r="B31" s="3130" t="s">
        <v>584</v>
      </c>
      <c r="C31" s="3131" t="s">
        <v>585</v>
      </c>
      <c r="D31" s="3132">
        <f>D27+D30</f>
        <v>200000</v>
      </c>
      <c r="E31" s="3132">
        <f>E27+E30</f>
        <v>74800</v>
      </c>
      <c r="F31" s="3133">
        <f>F27+F30</f>
        <v>74800</v>
      </c>
      <c r="G31" s="3134">
        <f>G27+G30</f>
        <v>0</v>
      </c>
      <c r="H31" s="3079"/>
      <c r="I31" s="3079"/>
      <c r="J31" s="3079"/>
      <c r="K31" s="3079"/>
      <c r="L31" s="3079"/>
      <c r="M31" s="3079"/>
      <c r="N31" s="3079"/>
      <c r="O31" s="3079"/>
      <c r="P31" s="3079"/>
    </row>
    <row r="32" spans="1:19">
      <c r="A32" s="3077"/>
      <c r="B32" s="3135" t="s">
        <v>586</v>
      </c>
      <c r="C32" s="3136"/>
      <c r="D32" s="3085"/>
      <c r="E32" s="3085">
        <f>SUMIF(C19:C26,"*住宅*",E19:E26)</f>
        <v>0</v>
      </c>
      <c r="F32" s="3085"/>
      <c r="G32" s="3085"/>
      <c r="H32" s="3079"/>
      <c r="I32" s="3079"/>
      <c r="J32" s="3079"/>
      <c r="K32" s="3079"/>
      <c r="L32" s="3079"/>
      <c r="M32" s="3079"/>
      <c r="N32" s="3079"/>
      <c r="O32" s="3079"/>
      <c r="P32" s="3079"/>
    </row>
    <row r="33" spans="4:4">
      <c r="D33" s="3137"/>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54" type="noConversion"/>
  <conditionalFormatting sqref="E27">
    <cfRule type="containsText" dxfId="190" priority="1" stopIfTrue="1" operator="containsText" text="面积有误">
      <formula>NOT(ISERROR(SEARCH("面积有误",E27)))</formula>
    </cfRule>
    <cfRule type="cellIs" dxfId="189" priority="3" stopIfTrue="1" operator="equal">
      <formula>"地下面积有误"</formula>
    </cfRule>
  </conditionalFormatting>
  <conditionalFormatting sqref="F27">
    <cfRule type="cellIs" dxfId="188"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85" zoomScaleNormal="85" workbookViewId="0">
      <pane xSplit="3" ySplit="5" topLeftCell="D6" activePane="bottomRight" state="frozen"/>
      <selection pane="topRight"/>
      <selection pane="bottomLeft"/>
      <selection pane="bottomRight" activeCell="L7" sqref="L7"/>
    </sheetView>
  </sheetViews>
  <sheetFormatPr defaultColWidth="13.75" defaultRowHeight="12.75"/>
  <cols>
    <col min="1" max="1" width="20.875" style="2878" customWidth="1"/>
    <col min="2" max="3" width="12" style="2879" customWidth="1"/>
    <col min="4" max="4" width="9.125" style="2880" customWidth="1"/>
    <col min="5" max="5" width="15" style="2879" customWidth="1"/>
    <col min="6" max="10" width="8.875" style="2879" customWidth="1"/>
    <col min="11" max="12" width="12.375" style="93" customWidth="1"/>
    <col min="13" max="13" width="8.625" style="2879" customWidth="1"/>
    <col min="14" max="14" width="9.75" style="2879" customWidth="1"/>
    <col min="15" max="16" width="9.625" style="2879" customWidth="1"/>
    <col min="17" max="17" width="10.875" style="2879" customWidth="1"/>
    <col min="18" max="19" width="12.5" style="2879" customWidth="1"/>
    <col min="20" max="20" width="12.125" style="2879" customWidth="1"/>
    <col min="21" max="21" width="7.5" style="2879" customWidth="1"/>
    <col min="22" max="22" width="6.375" style="2879" customWidth="1"/>
    <col min="23" max="24" width="6.75" style="2879" customWidth="1"/>
    <col min="25" max="25" width="8.125" style="2879" customWidth="1"/>
    <col min="26" max="30" width="6.75" style="2879" customWidth="1"/>
    <col min="31" max="31" width="6.5" style="2879" customWidth="1"/>
    <col min="32" max="34" width="7.25" style="2879" customWidth="1"/>
    <col min="35" max="39" width="8" style="2879" customWidth="1"/>
    <col min="40" max="41" width="13.75" style="2877"/>
    <col min="42" max="42" width="13.75" style="2877" customWidth="1"/>
    <col min="43" max="83" width="13.75" style="2877"/>
    <col min="84" max="16384" width="13.75" style="2879"/>
  </cols>
  <sheetData>
    <row r="1" spans="1:83" ht="18.75">
      <c r="A1" s="2881" t="s">
        <v>587</v>
      </c>
      <c r="B1" s="2882"/>
      <c r="C1" s="1085"/>
      <c r="D1" s="2883"/>
      <c r="E1" s="1085"/>
      <c r="F1" s="1085"/>
      <c r="G1" s="1085"/>
      <c r="H1" s="1085"/>
      <c r="I1" s="1085"/>
      <c r="J1" s="1085"/>
      <c r="K1" s="134"/>
      <c r="L1" s="134"/>
      <c r="M1" s="1085"/>
      <c r="N1" s="1085"/>
      <c r="O1" s="1085"/>
      <c r="P1" s="1085"/>
      <c r="Q1" s="1085"/>
      <c r="R1" s="1085"/>
      <c r="S1" s="1085"/>
      <c r="T1" s="1085"/>
      <c r="U1" s="1085"/>
      <c r="V1" s="1085"/>
      <c r="W1" s="1085"/>
      <c r="X1" s="1085"/>
      <c r="Y1" s="1085"/>
      <c r="Z1" s="1085"/>
      <c r="AA1" s="1085"/>
      <c r="AB1" s="1085"/>
      <c r="AC1" s="1085"/>
      <c r="AD1" s="1085"/>
      <c r="AE1" s="1085"/>
      <c r="AF1" s="1085"/>
      <c r="AG1" s="1085"/>
      <c r="AH1" s="1085"/>
      <c r="AI1" s="1085"/>
      <c r="AJ1" s="1085"/>
      <c r="AK1" s="1085"/>
      <c r="AL1" s="1085"/>
      <c r="AM1" s="1085"/>
      <c r="AN1" s="2922"/>
      <c r="AO1" s="2922"/>
      <c r="AP1" s="2922"/>
      <c r="AQ1" s="2922"/>
      <c r="AR1" s="2922"/>
      <c r="AS1" s="2922"/>
      <c r="AT1" s="2922"/>
      <c r="AU1" s="2922"/>
      <c r="AV1" s="2922"/>
      <c r="AW1" s="2922"/>
      <c r="AX1" s="2922"/>
      <c r="AY1" s="2922"/>
      <c r="AZ1" s="2922"/>
    </row>
    <row r="2" spans="1:83" s="2874" customFormat="1" ht="15">
      <c r="A2" s="2884" t="s">
        <v>588</v>
      </c>
      <c r="B2" s="2885">
        <f>项目基本情况!D3</f>
        <v>45260</v>
      </c>
      <c r="C2" s="2886"/>
      <c r="D2" s="2887"/>
      <c r="E2" s="2886"/>
      <c r="F2" s="2886"/>
      <c r="G2" s="2886"/>
      <c r="H2" s="2886"/>
      <c r="I2" s="2886"/>
      <c r="J2" s="2886"/>
      <c r="K2" s="484"/>
      <c r="L2" s="484"/>
      <c r="M2" s="2886"/>
      <c r="N2" s="2886"/>
      <c r="O2" s="2886"/>
      <c r="P2" s="2886"/>
      <c r="Q2" s="2886"/>
      <c r="R2" s="2886"/>
      <c r="S2" s="2886"/>
      <c r="T2" s="2886"/>
      <c r="U2" s="2886"/>
      <c r="V2" s="2886"/>
      <c r="W2" s="2886"/>
      <c r="X2" s="2886"/>
      <c r="Y2" s="2886"/>
      <c r="Z2" s="2886"/>
      <c r="AA2" s="2886"/>
      <c r="AB2" s="2886"/>
      <c r="AC2" s="2886"/>
      <c r="AD2" s="2886"/>
      <c r="AE2" s="2886"/>
      <c r="AF2" s="2886"/>
      <c r="AG2" s="2886"/>
      <c r="AH2" s="2886"/>
      <c r="AI2" s="2886"/>
      <c r="AJ2" s="2886"/>
      <c r="AK2" s="2886"/>
      <c r="AL2" s="2886"/>
      <c r="AM2" s="2886"/>
      <c r="AN2" s="2924"/>
      <c r="AO2" s="2924"/>
      <c r="AP2" s="2924"/>
      <c r="AQ2" s="2924"/>
      <c r="AR2" s="2924"/>
      <c r="AS2" s="2924"/>
      <c r="AT2" s="2924"/>
      <c r="AU2" s="2924"/>
      <c r="AV2" s="2924"/>
      <c r="AW2" s="2924"/>
      <c r="AX2" s="2924"/>
      <c r="AY2" s="2924"/>
      <c r="AZ2" s="2924"/>
      <c r="BA2" s="3073"/>
      <c r="BB2" s="3073"/>
      <c r="BC2" s="3073"/>
      <c r="BD2" s="3073"/>
      <c r="BE2" s="3073"/>
      <c r="BF2" s="3073"/>
      <c r="BG2" s="3073"/>
      <c r="BH2" s="3073"/>
      <c r="BI2" s="3073"/>
      <c r="BJ2" s="3073"/>
      <c r="BK2" s="3073"/>
      <c r="BL2" s="3073"/>
      <c r="BM2" s="3073"/>
      <c r="BN2" s="3073"/>
      <c r="BO2" s="3073"/>
      <c r="BP2" s="3073"/>
      <c r="BQ2" s="3073"/>
      <c r="BR2" s="3073"/>
      <c r="BS2" s="3073"/>
      <c r="BT2" s="3073"/>
      <c r="BU2" s="3073"/>
      <c r="BV2" s="3073"/>
      <c r="BW2" s="3073"/>
      <c r="BX2" s="3073"/>
      <c r="BY2" s="3073"/>
      <c r="BZ2" s="3073"/>
      <c r="CA2" s="3073"/>
      <c r="CB2" s="3073"/>
      <c r="CC2" s="3073"/>
      <c r="CD2" s="3073"/>
      <c r="CE2" s="3073"/>
    </row>
    <row r="3" spans="1:83" s="2874" customFormat="1" ht="14.25">
      <c r="A3" s="2888"/>
      <c r="B3" s="2889"/>
      <c r="C3" s="2886"/>
      <c r="D3" s="2887"/>
      <c r="E3" s="2886"/>
      <c r="F3" s="2886"/>
      <c r="G3" s="2886"/>
      <c r="H3" s="2886"/>
      <c r="I3" s="2886"/>
      <c r="J3" s="2886"/>
      <c r="K3" s="484"/>
      <c r="L3" s="484"/>
      <c r="M3" s="2886"/>
      <c r="N3" s="2886"/>
      <c r="O3" s="2886"/>
      <c r="P3" s="2886"/>
      <c r="Q3" s="2886"/>
      <c r="R3" s="2886"/>
      <c r="S3" s="2886"/>
      <c r="T3" s="2886"/>
      <c r="U3" s="2886"/>
      <c r="V3" s="2886"/>
      <c r="W3" s="2886"/>
      <c r="X3" s="2886"/>
      <c r="Y3" s="2886"/>
      <c r="Z3" s="2886"/>
      <c r="AA3" s="2886"/>
      <c r="AB3" s="2886"/>
      <c r="AC3" s="2886"/>
      <c r="AD3" s="2886"/>
      <c r="AE3" s="2886"/>
      <c r="AF3" s="2886"/>
      <c r="AG3" s="2886"/>
      <c r="AH3" s="2886"/>
      <c r="AI3" s="2886"/>
      <c r="AJ3" s="2886"/>
      <c r="AK3" s="2886"/>
      <c r="AL3" s="2886"/>
      <c r="AM3" s="2886"/>
      <c r="AN3" s="2924"/>
      <c r="AO3" s="2924"/>
      <c r="AP3" s="2924"/>
      <c r="AQ3" s="2924"/>
      <c r="AR3" s="2924"/>
      <c r="AS3" s="2924"/>
      <c r="AT3" s="2924"/>
      <c r="AU3" s="2924"/>
      <c r="AV3" s="2924"/>
      <c r="AW3" s="2924"/>
      <c r="AX3" s="2924"/>
      <c r="AY3" s="2924"/>
      <c r="AZ3" s="2924"/>
      <c r="BA3" s="3073"/>
      <c r="BB3" s="3073"/>
      <c r="BC3" s="3073"/>
      <c r="BD3" s="3073"/>
      <c r="BE3" s="3073"/>
      <c r="BF3" s="3073"/>
      <c r="BG3" s="3073"/>
      <c r="BH3" s="3073"/>
      <c r="BI3" s="3073"/>
      <c r="BJ3" s="3073"/>
      <c r="BK3" s="3073"/>
      <c r="BL3" s="3073"/>
      <c r="BM3" s="3073"/>
      <c r="BN3" s="3073"/>
      <c r="BO3" s="3073"/>
      <c r="BP3" s="3073"/>
      <c r="BQ3" s="3073"/>
      <c r="BR3" s="3073"/>
      <c r="BS3" s="3073"/>
      <c r="BT3" s="3073"/>
      <c r="BU3" s="3073"/>
      <c r="BV3" s="3073"/>
      <c r="BW3" s="3073"/>
      <c r="BX3" s="3073"/>
      <c r="BY3" s="3073"/>
      <c r="BZ3" s="3073"/>
      <c r="CA3" s="3073"/>
      <c r="CB3" s="3073"/>
      <c r="CC3" s="3073"/>
      <c r="CD3" s="3073"/>
      <c r="CE3" s="3073"/>
    </row>
    <row r="4" spans="1:83" s="2874" customFormat="1" ht="14.25">
      <c r="A4" s="2890" t="s">
        <v>589</v>
      </c>
      <c r="B4" s="2891"/>
      <c r="C4" s="2892"/>
      <c r="D4" s="2893"/>
      <c r="E4" s="2894" t="s">
        <v>590</v>
      </c>
      <c r="F4" s="2892"/>
      <c r="G4" s="2892"/>
      <c r="H4" s="2892"/>
      <c r="I4" s="2892"/>
      <c r="J4" s="2990"/>
      <c r="K4" s="2991"/>
      <c r="L4" s="2992"/>
      <c r="M4" s="2892"/>
      <c r="N4" s="2894" t="s">
        <v>591</v>
      </c>
      <c r="O4" s="2892"/>
      <c r="P4" s="2892"/>
      <c r="Q4" s="2892"/>
      <c r="R4" s="2892"/>
      <c r="S4" s="2990"/>
      <c r="T4" s="3016" t="str">
        <f>'数据-汇总表'!I17</f>
        <v>按面积比例</v>
      </c>
      <c r="U4" s="2891" t="s">
        <v>592</v>
      </c>
      <c r="V4" s="2892"/>
      <c r="W4" s="2892"/>
      <c r="X4" s="2892"/>
      <c r="Y4" s="2990"/>
      <c r="Z4" s="3043" t="s">
        <v>593</v>
      </c>
      <c r="AA4" s="3043"/>
      <c r="AB4" s="3043"/>
      <c r="AC4" s="3043"/>
      <c r="AD4" s="3043"/>
      <c r="AE4" s="3044" t="s">
        <v>594</v>
      </c>
      <c r="AF4" s="3043"/>
      <c r="AG4" s="3058"/>
      <c r="AH4" s="2891"/>
      <c r="AI4" s="2892"/>
      <c r="AJ4" s="2892"/>
      <c r="AK4" s="2892"/>
      <c r="AL4" s="2892"/>
      <c r="AM4" s="2990"/>
      <c r="AN4" s="2924"/>
      <c r="AO4" s="2924"/>
      <c r="AP4" s="2924"/>
      <c r="AQ4" s="2924"/>
      <c r="AR4" s="2924"/>
      <c r="AS4" s="2924"/>
      <c r="AT4" s="2924"/>
      <c r="AU4" s="2924"/>
      <c r="AV4" s="2924"/>
      <c r="AW4" s="2924"/>
      <c r="AX4" s="2924"/>
      <c r="AY4" s="2924"/>
      <c r="AZ4" s="2924"/>
      <c r="BA4" s="3073"/>
      <c r="BB4" s="3073"/>
      <c r="BC4" s="3073"/>
      <c r="BD4" s="3073"/>
      <c r="BE4" s="3073"/>
      <c r="BF4" s="3073"/>
      <c r="BG4" s="3073"/>
      <c r="BH4" s="3073"/>
      <c r="BI4" s="3073"/>
      <c r="BJ4" s="3073"/>
      <c r="BK4" s="3073"/>
      <c r="BL4" s="3073"/>
      <c r="BM4" s="3073"/>
      <c r="BN4" s="3073"/>
      <c r="BO4" s="3073"/>
      <c r="BP4" s="3073"/>
      <c r="BQ4" s="3073"/>
      <c r="BR4" s="3073"/>
      <c r="BS4" s="3073"/>
      <c r="BT4" s="3073"/>
      <c r="BU4" s="3073"/>
      <c r="BV4" s="3073"/>
      <c r="BW4" s="3073"/>
      <c r="BX4" s="3073"/>
      <c r="BY4" s="3073"/>
      <c r="BZ4" s="3073"/>
      <c r="CA4" s="3073"/>
      <c r="CB4" s="3073"/>
      <c r="CC4" s="3073"/>
      <c r="CD4" s="3073"/>
      <c r="CE4" s="3073"/>
    </row>
    <row r="5" spans="1:83" s="2875" customFormat="1" ht="40.5">
      <c r="A5" s="2895" t="s">
        <v>466</v>
      </c>
      <c r="B5" s="2896" t="s">
        <v>595</v>
      </c>
      <c r="C5" s="2897" t="s">
        <v>596</v>
      </c>
      <c r="D5" s="2898" t="s">
        <v>597</v>
      </c>
      <c r="E5" s="2899" t="s">
        <v>598</v>
      </c>
      <c r="F5" s="2900" t="s">
        <v>599</v>
      </c>
      <c r="G5" s="2899" t="s">
        <v>600</v>
      </c>
      <c r="H5" s="2899" t="s">
        <v>601</v>
      </c>
      <c r="I5" s="2899" t="s">
        <v>602</v>
      </c>
      <c r="J5" s="2993" t="s">
        <v>603</v>
      </c>
      <c r="K5" s="2994" t="s">
        <v>604</v>
      </c>
      <c r="L5" s="2995" t="s">
        <v>605</v>
      </c>
      <c r="M5" s="2996" t="s">
        <v>606</v>
      </c>
      <c r="N5" s="2997" t="s">
        <v>607</v>
      </c>
      <c r="O5" s="2995" t="s">
        <v>608</v>
      </c>
      <c r="P5" s="2998" t="s">
        <v>609</v>
      </c>
      <c r="Q5" s="269" t="s">
        <v>610</v>
      </c>
      <c r="R5" s="3017" t="s">
        <v>611</v>
      </c>
      <c r="S5" s="3018" t="s">
        <v>612</v>
      </c>
      <c r="T5" s="3019" t="s">
        <v>613</v>
      </c>
      <c r="U5" s="3020" t="s">
        <v>614</v>
      </c>
      <c r="V5" s="2899" t="s">
        <v>615</v>
      </c>
      <c r="W5" s="2899" t="s">
        <v>616</v>
      </c>
      <c r="X5" s="3021"/>
      <c r="Y5" s="531" t="s">
        <v>617</v>
      </c>
      <c r="Z5" s="3045" t="s">
        <v>614</v>
      </c>
      <c r="AA5" s="2899" t="s">
        <v>615</v>
      </c>
      <c r="AB5" s="2899" t="s">
        <v>616</v>
      </c>
      <c r="AC5" s="3046"/>
      <c r="AD5" s="304" t="s">
        <v>617</v>
      </c>
      <c r="AE5" s="3047" t="s">
        <v>618</v>
      </c>
      <c r="AF5" s="2899" t="s">
        <v>619</v>
      </c>
      <c r="AG5" s="531" t="s">
        <v>620</v>
      </c>
      <c r="AH5" s="3046" t="s">
        <v>621</v>
      </c>
      <c r="AI5" s="3045" t="s">
        <v>622</v>
      </c>
      <c r="AJ5" s="3045" t="s">
        <v>623</v>
      </c>
      <c r="AK5" s="2899" t="s">
        <v>624</v>
      </c>
      <c r="AL5" s="2899" t="s">
        <v>625</v>
      </c>
      <c r="AM5" s="304" t="s">
        <v>626</v>
      </c>
      <c r="AN5" s="3059" t="s">
        <v>627</v>
      </c>
      <c r="AO5" s="3071"/>
      <c r="AP5" s="3072" t="s">
        <v>628</v>
      </c>
      <c r="AQ5" s="3071"/>
      <c r="AR5" s="3071"/>
      <c r="AS5" s="3071"/>
      <c r="AT5" s="3071"/>
      <c r="AU5" s="3071"/>
      <c r="AV5" s="3071"/>
      <c r="AW5" s="3071"/>
      <c r="AX5" s="3071"/>
      <c r="AY5" s="3071"/>
      <c r="AZ5" s="3071"/>
      <c r="BA5" s="3074"/>
      <c r="BB5" s="3074"/>
      <c r="BC5" s="3074"/>
      <c r="BD5" s="3074"/>
      <c r="BE5" s="3074"/>
      <c r="BF5" s="3074"/>
      <c r="BG5" s="3074"/>
      <c r="BH5" s="3074"/>
      <c r="BI5" s="3074"/>
      <c r="BJ5" s="3074"/>
      <c r="BK5" s="3074"/>
      <c r="BL5" s="3074"/>
      <c r="BM5" s="3074"/>
      <c r="BN5" s="3074"/>
      <c r="BO5" s="3074"/>
      <c r="BP5" s="3074"/>
      <c r="BQ5" s="3074"/>
      <c r="BR5" s="3074"/>
      <c r="BS5" s="3074"/>
      <c r="BT5" s="3074"/>
      <c r="BU5" s="3074"/>
      <c r="BV5" s="3074"/>
      <c r="BW5" s="3074"/>
      <c r="BX5" s="3074"/>
      <c r="BY5" s="3074"/>
      <c r="BZ5" s="3074"/>
      <c r="CA5" s="3074"/>
      <c r="CB5" s="3074"/>
      <c r="CC5" s="3074"/>
      <c r="CD5" s="3074"/>
      <c r="CE5" s="3074"/>
    </row>
    <row r="6" spans="1:83" s="2874" customFormat="1" ht="14.25">
      <c r="A6" s="2901" t="str">
        <f>'数据-汇总表'!C19</f>
        <v>厂房</v>
      </c>
      <c r="B6" s="2902" t="str">
        <f>IF(A6=0,"","经营性")</f>
        <v>经营性</v>
      </c>
      <c r="C6" s="2903" t="s">
        <v>164</v>
      </c>
      <c r="D6" s="2904">
        <f>SUMIF(项目基本情况!C$15:I$15,C6,项目基本情况!C$18:I$18)</f>
        <v>50</v>
      </c>
      <c r="E6" s="2905">
        <f>IF(B6="","",SUMIF(项目基本情况!C$15:I$15,C6,项目基本情况!C$17:I$17))</f>
        <v>60873</v>
      </c>
      <c r="F6" s="2906">
        <f>SUMIF(项目基本情况!C$15:I$15,C6,项目基本情况!C$19:I$19)</f>
        <v>42.77</v>
      </c>
      <c r="G6" s="2907">
        <f t="shared" ref="G6:G13" si="0">IF(ISERROR(ROUND(POWER(1+H6,D6-F6)*(POWER(1+H6,F6)-1)/(POWER(1+H6,D6)-1),3)),0,ROUND(POWER(1+H6,D6-F6)*(POWER(1+H6,F6)-1)/(POWER(1+H6,D6)-1),3))</f>
        <v>0.96</v>
      </c>
      <c r="H6" s="2908">
        <v>0.05</v>
      </c>
      <c r="I6" s="2999">
        <v>0.05</v>
      </c>
      <c r="J6" s="2909">
        <v>7.0000000000000007E-2</v>
      </c>
      <c r="K6" s="3000">
        <f>SUMIF('数据-汇总表'!C$19:C$33,'数据-取费表'!A6,'数据-汇总表'!E$19:E$33)</f>
        <v>74800</v>
      </c>
      <c r="L6" s="3001">
        <v>1800</v>
      </c>
      <c r="M6" s="3002">
        <f t="shared" ref="M6:M14" si="1">ROUND(K6*L6/10000,0)</f>
        <v>13464</v>
      </c>
      <c r="N6" s="3003">
        <v>0</v>
      </c>
      <c r="O6" s="3002">
        <f>IF($N$5="成新度","——",ROUND(M6*N6,0))</f>
        <v>0</v>
      </c>
      <c r="P6" s="3004">
        <f>IF($N$5="成新度","——",M6-O6)</f>
        <v>13464</v>
      </c>
      <c r="Q6" s="3022">
        <v>0.08</v>
      </c>
      <c r="R6" s="3000">
        <f>SUMIF('数据-汇总表'!C$19:C$33,A6,'数据-汇总表'!R$19:R$33)</f>
        <v>200000</v>
      </c>
      <c r="S6" s="3023">
        <f>IF('数据-汇总表'!$I$17="按面积比例",SUMIF('数据-汇总表'!C$19:C$33,A6,'数据-汇总表'!K$19:K$33),SUMIF('数据-汇总表'!C$19:C$33,A6,'数据-汇总表'!N$19:N$33))</f>
        <v>0</v>
      </c>
      <c r="T6" s="3024" t="str">
        <f>IF($T$4="按面积比例",IF(ISERROR(ROUND($M$14*S6/S$16,0)),"0",ROUND($M$14*S6/S$16,0)),"需自行计算录入")</f>
        <v>0</v>
      </c>
      <c r="U6" s="3025">
        <v>0.7</v>
      </c>
      <c r="V6" s="3026">
        <v>0</v>
      </c>
      <c r="W6" s="3026">
        <v>0.1</v>
      </c>
      <c r="X6" s="3027"/>
      <c r="Y6" s="3048">
        <v>1</v>
      </c>
      <c r="Z6" s="3049"/>
      <c r="AA6" s="2909"/>
      <c r="AB6" s="2909"/>
      <c r="AC6" s="3031"/>
      <c r="AD6" s="3050"/>
      <c r="AE6" s="3051">
        <f ca="1">IF(AN6="",0,SUMIF(INDIRECT("'"&amp;AN6&amp;"'"&amp;"!E:E"),$AE$5,INDIRECT("'"&amp;AN6&amp;"'"&amp;"!F:F")))</f>
        <v>41.27</v>
      </c>
      <c r="AF6" s="2461"/>
      <c r="AG6" s="3060">
        <f>IF(AF6="",0,AE6-AF6)</f>
        <v>0</v>
      </c>
      <c r="AH6" s="2461"/>
      <c r="AI6" s="3061">
        <v>365</v>
      </c>
      <c r="AJ6" s="3062"/>
      <c r="AK6" s="3063">
        <v>5.0000000000000001E-3</v>
      </c>
      <c r="AL6" s="3064">
        <v>5.0000000000000001E-4</v>
      </c>
      <c r="AM6" s="3065">
        <v>5.0000000000000001E-3</v>
      </c>
      <c r="AN6" s="3066" t="s">
        <v>629</v>
      </c>
      <c r="AO6" s="2924"/>
      <c r="AP6" s="2889">
        <f>ROUND(1-1/(1+H6)^F6,3)</f>
        <v>0.876</v>
      </c>
      <c r="AQ6" s="2924"/>
      <c r="AR6" s="2924"/>
      <c r="AS6" s="2924"/>
      <c r="AT6" s="2924"/>
      <c r="AU6" s="2924"/>
      <c r="AV6" s="2924"/>
      <c r="AW6" s="2924"/>
      <c r="AX6" s="2924"/>
      <c r="AY6" s="2924"/>
      <c r="AZ6" s="2924"/>
      <c r="BA6" s="3073"/>
      <c r="BB6" s="3073"/>
      <c r="BC6" s="3073"/>
      <c r="BD6" s="3073"/>
      <c r="BE6" s="3073"/>
      <c r="BF6" s="3073"/>
      <c r="BG6" s="3073"/>
      <c r="BH6" s="3073"/>
      <c r="BI6" s="3073"/>
      <c r="BJ6" s="3073"/>
      <c r="BK6" s="3073"/>
      <c r="BL6" s="3073"/>
      <c r="BM6" s="3073"/>
      <c r="BN6" s="3073"/>
      <c r="BO6" s="3073"/>
      <c r="BP6" s="3073"/>
      <c r="BQ6" s="3073"/>
      <c r="BR6" s="3073"/>
      <c r="BS6" s="3073"/>
      <c r="BT6" s="3073"/>
      <c r="BU6" s="3073"/>
      <c r="BV6" s="3073"/>
      <c r="BW6" s="3073"/>
      <c r="BX6" s="3073"/>
      <c r="BY6" s="3073"/>
      <c r="BZ6" s="3073"/>
      <c r="CA6" s="3073"/>
      <c r="CB6" s="3073"/>
      <c r="CC6" s="3073"/>
      <c r="CD6" s="3073"/>
      <c r="CE6" s="3073"/>
    </row>
    <row r="7" spans="1:83" s="2874" customFormat="1" ht="14.25">
      <c r="A7" s="2901">
        <f>'数据-汇总表'!C20</f>
        <v>0</v>
      </c>
      <c r="B7" s="2902" t="str">
        <f t="shared" ref="B7:B13" si="2">IF(A7=0,"","经营性")</f>
        <v/>
      </c>
      <c r="C7" s="2903"/>
      <c r="D7" s="2904">
        <f>SUMIF(项目基本情况!C$15:I$15,C7,项目基本情况!C$18:I$18)</f>
        <v>0</v>
      </c>
      <c r="E7" s="2905" t="str">
        <f>IF(B7="","",SUMIF(项目基本情况!C$15:I$15,C7,项目基本情况!C$17:I$17))</f>
        <v/>
      </c>
      <c r="F7" s="2906">
        <f>SUMIF(项目基本情况!C$15:I$15,C7,项目基本情况!C$19:I$19)</f>
        <v>0</v>
      </c>
      <c r="G7" s="2907">
        <f t="shared" si="0"/>
        <v>0</v>
      </c>
      <c r="H7" s="2908"/>
      <c r="I7" s="2908"/>
      <c r="J7" s="2909"/>
      <c r="K7" s="3000">
        <f>SUMIF('数据-汇总表'!C$19:C$33,'数据-取费表'!A7,'数据-汇总表'!E$19:E$33)</f>
        <v>0</v>
      </c>
      <c r="L7" s="3005"/>
      <c r="M7" s="3002">
        <f t="shared" si="1"/>
        <v>0</v>
      </c>
      <c r="N7" s="3003"/>
      <c r="O7" s="3002">
        <f t="shared" ref="O7:O14" si="3">IF($N$5="成新度","——",ROUND(M7*N7,0))</f>
        <v>0</v>
      </c>
      <c r="P7" s="3004">
        <f t="shared" ref="P7:P14" si="4">IF($N$5="成新度","——",M7-O7)</f>
        <v>0</v>
      </c>
      <c r="Q7" s="3022"/>
      <c r="R7" s="3000">
        <f>SUMIF('数据-汇总表'!C$19:C$33,A7,'数据-汇总表'!R$19:R$33)</f>
        <v>0</v>
      </c>
      <c r="S7" s="3023">
        <f>IF('数据-汇总表'!$I$17="按面积比例",SUMIF('数据-汇总表'!C$19:C$33,A7,'数据-汇总表'!K$19:K$33),SUMIF('数据-汇总表'!C$19:C$33,A7,'数据-汇总表'!N$19:N$33))</f>
        <v>0</v>
      </c>
      <c r="T7" s="3024" t="str">
        <f t="shared" ref="T7:T13" si="5">IF($T$4="按面积比例",IF(ISERROR(ROUND($M$14*S7/S$16,0)),"0",ROUND($M$14*S7/S$16,0)),"需自行计算录入")</f>
        <v>0</v>
      </c>
      <c r="U7" s="3028"/>
      <c r="V7" s="3026"/>
      <c r="W7" s="3026"/>
      <c r="X7" s="3027"/>
      <c r="Y7" s="3048"/>
      <c r="Z7" s="3049"/>
      <c r="AA7" s="2909"/>
      <c r="AB7" s="2909"/>
      <c r="AC7" s="3031"/>
      <c r="AD7" s="3050"/>
      <c r="AE7" s="3051">
        <f t="shared" ref="AE7:AE13" ca="1" si="6">IF(AN7="",0,SUMIF(INDIRECT("'"&amp;AN7&amp;"'"&amp;"!E:E"),$AE$5,INDIRECT("'"&amp;AN7&amp;"'"&amp;"!F:F")))</f>
        <v>0</v>
      </c>
      <c r="AF7" s="2461"/>
      <c r="AG7" s="3060">
        <f t="shared" ref="AG7:AG13" si="7">IF(AF7="",0,AE7-AF7)</f>
        <v>0</v>
      </c>
      <c r="AH7" s="2461"/>
      <c r="AI7" s="3061"/>
      <c r="AJ7" s="3062"/>
      <c r="AK7" s="3063"/>
      <c r="AL7" s="3064"/>
      <c r="AM7" s="3065"/>
      <c r="AN7" s="3066"/>
      <c r="AO7" s="2924"/>
      <c r="AP7" s="2889">
        <f t="shared" ref="AP7:AP13" si="8">ROUND(1-1/(1+H7)^F7,3)</f>
        <v>0</v>
      </c>
      <c r="AQ7" s="2924"/>
      <c r="AR7" s="2924"/>
      <c r="AS7" s="2924"/>
      <c r="AT7" s="2924"/>
      <c r="AU7" s="2924"/>
      <c r="AV7" s="2924"/>
      <c r="AW7" s="2924"/>
      <c r="AX7" s="2924"/>
      <c r="AY7" s="2924"/>
      <c r="AZ7" s="2924"/>
      <c r="BA7" s="3073"/>
      <c r="BB7" s="3073"/>
      <c r="BC7" s="3073"/>
      <c r="BD7" s="3073"/>
      <c r="BE7" s="3073"/>
      <c r="BF7" s="3073"/>
      <c r="BG7" s="3073"/>
      <c r="BH7" s="3073"/>
      <c r="BI7" s="3073"/>
      <c r="BJ7" s="3073"/>
      <c r="BK7" s="3073"/>
      <c r="BL7" s="3073"/>
      <c r="BM7" s="3073"/>
      <c r="BN7" s="3073"/>
      <c r="BO7" s="3073"/>
      <c r="BP7" s="3073"/>
      <c r="BQ7" s="3073"/>
      <c r="BR7" s="3073"/>
      <c r="BS7" s="3073"/>
      <c r="BT7" s="3073"/>
      <c r="BU7" s="3073"/>
      <c r="BV7" s="3073"/>
      <c r="BW7" s="3073"/>
      <c r="BX7" s="3073"/>
      <c r="BY7" s="3073"/>
      <c r="BZ7" s="3073"/>
      <c r="CA7" s="3073"/>
      <c r="CB7" s="3073"/>
      <c r="CC7" s="3073"/>
      <c r="CD7" s="3073"/>
      <c r="CE7" s="3073"/>
    </row>
    <row r="8" spans="1:83" s="2874" customFormat="1" ht="14.25">
      <c r="A8" s="2901">
        <f>'数据-汇总表'!C21</f>
        <v>0</v>
      </c>
      <c r="B8" s="2902" t="str">
        <f t="shared" si="2"/>
        <v/>
      </c>
      <c r="C8" s="2903"/>
      <c r="D8" s="2904">
        <f>SUMIF(项目基本情况!C$15:I$15,C8,项目基本情况!C$18:I$18)</f>
        <v>0</v>
      </c>
      <c r="E8" s="2905" t="str">
        <f>IF(B8="","",SUMIF(项目基本情况!C$15:I$15,C8,项目基本情况!C$17:I$17))</f>
        <v/>
      </c>
      <c r="F8" s="2906">
        <f>SUMIF(项目基本情况!C$15:I$15,C8,项目基本情况!C$19:I$19)</f>
        <v>0</v>
      </c>
      <c r="G8" s="2907">
        <f t="shared" si="0"/>
        <v>0</v>
      </c>
      <c r="H8" s="2908"/>
      <c r="I8" s="2908"/>
      <c r="J8" s="2909"/>
      <c r="K8" s="3000">
        <f>SUMIF('数据-汇总表'!C$19:C$33,'数据-取费表'!A8,'数据-汇总表'!E$19:E$33)</f>
        <v>0</v>
      </c>
      <c r="L8" s="3005"/>
      <c r="M8" s="3002">
        <f t="shared" si="1"/>
        <v>0</v>
      </c>
      <c r="N8" s="3003"/>
      <c r="O8" s="3002">
        <f t="shared" si="3"/>
        <v>0</v>
      </c>
      <c r="P8" s="3004">
        <f t="shared" si="4"/>
        <v>0</v>
      </c>
      <c r="Q8" s="3022"/>
      <c r="R8" s="3000">
        <f>SUMIF('数据-汇总表'!C$19:C$33,A8,'数据-汇总表'!R$19:R$33)</f>
        <v>0</v>
      </c>
      <c r="S8" s="3023">
        <f>IF('数据-汇总表'!$I$17="按面积比例",SUMIF('数据-汇总表'!C$19:C$33,A8,'数据-汇总表'!K$19:K$33),SUMIF('数据-汇总表'!C$19:C$33,A8,'数据-汇总表'!N$19:N$33))</f>
        <v>0</v>
      </c>
      <c r="T8" s="3024" t="str">
        <f t="shared" si="5"/>
        <v>0</v>
      </c>
      <c r="U8" s="3028"/>
      <c r="V8" s="3026"/>
      <c r="W8" s="3026"/>
      <c r="X8" s="3027"/>
      <c r="Y8" s="3048"/>
      <c r="Z8" s="3049"/>
      <c r="AA8" s="2909"/>
      <c r="AB8" s="2909"/>
      <c r="AC8" s="3031"/>
      <c r="AD8" s="3050"/>
      <c r="AE8" s="3051">
        <f t="shared" ca="1" si="6"/>
        <v>0</v>
      </c>
      <c r="AF8" s="2461"/>
      <c r="AG8" s="3060">
        <f t="shared" si="7"/>
        <v>0</v>
      </c>
      <c r="AH8" s="2461"/>
      <c r="AI8" s="3061"/>
      <c r="AJ8" s="3062"/>
      <c r="AK8" s="3063"/>
      <c r="AL8" s="3064"/>
      <c r="AM8" s="3065"/>
      <c r="AN8" s="3066"/>
      <c r="AO8" s="2924"/>
      <c r="AP8" s="2889">
        <f t="shared" si="8"/>
        <v>0</v>
      </c>
      <c r="AQ8" s="2924"/>
      <c r="AR8" s="2924"/>
      <c r="AS8" s="2924"/>
      <c r="AT8" s="2924"/>
      <c r="AU8" s="2924"/>
      <c r="AV8" s="2924"/>
      <c r="AW8" s="2924"/>
      <c r="AX8" s="2924"/>
      <c r="AY8" s="2924"/>
      <c r="AZ8" s="2924"/>
      <c r="BA8" s="3073"/>
      <c r="BB8" s="3073"/>
      <c r="BC8" s="3073"/>
      <c r="BD8" s="3073"/>
      <c r="BE8" s="3073"/>
      <c r="BF8" s="3073"/>
      <c r="BG8" s="3073"/>
      <c r="BH8" s="3073"/>
      <c r="BI8" s="3073"/>
      <c r="BJ8" s="3073"/>
      <c r="BK8" s="3073"/>
      <c r="BL8" s="3073"/>
      <c r="BM8" s="3073"/>
      <c r="BN8" s="3073"/>
      <c r="BO8" s="3073"/>
      <c r="BP8" s="3073"/>
      <c r="BQ8" s="3073"/>
      <c r="BR8" s="3073"/>
      <c r="BS8" s="3073"/>
      <c r="BT8" s="3073"/>
      <c r="BU8" s="3073"/>
      <c r="BV8" s="3073"/>
      <c r="BW8" s="3073"/>
      <c r="BX8" s="3073"/>
      <c r="BY8" s="3073"/>
      <c r="BZ8" s="3073"/>
      <c r="CA8" s="3073"/>
      <c r="CB8" s="3073"/>
      <c r="CC8" s="3073"/>
      <c r="CD8" s="3073"/>
      <c r="CE8" s="3073"/>
    </row>
    <row r="9" spans="1:83" s="2874" customFormat="1" ht="14.25">
      <c r="A9" s="2901">
        <f>'数据-汇总表'!C22</f>
        <v>0</v>
      </c>
      <c r="B9" s="2902" t="str">
        <f t="shared" si="2"/>
        <v/>
      </c>
      <c r="C9" s="2903"/>
      <c r="D9" s="2904">
        <f>SUMIF(项目基本情况!C$15:I$15,C9,项目基本情况!C$18:I$18)</f>
        <v>0</v>
      </c>
      <c r="E9" s="2905" t="str">
        <f>IF(B9="","",SUMIF(项目基本情况!C$15:I$15,C9,项目基本情况!C$17:I$17))</f>
        <v/>
      </c>
      <c r="F9" s="2906">
        <f>SUMIF(项目基本情况!C$15:I$15,C9,项目基本情况!C$19:I$19)</f>
        <v>0</v>
      </c>
      <c r="G9" s="2907">
        <f t="shared" si="0"/>
        <v>0</v>
      </c>
      <c r="H9" s="2909"/>
      <c r="I9" s="2909"/>
      <c r="J9" s="2909"/>
      <c r="K9" s="3000">
        <f>SUMIF('数据-汇总表'!C$19:C$33,'数据-取费表'!A9,'数据-汇总表'!E$19:E$33)</f>
        <v>0</v>
      </c>
      <c r="L9" s="3005"/>
      <c r="M9" s="3002">
        <f t="shared" si="1"/>
        <v>0</v>
      </c>
      <c r="N9" s="3003"/>
      <c r="O9" s="3002">
        <f t="shared" si="3"/>
        <v>0</v>
      </c>
      <c r="P9" s="3004">
        <f t="shared" si="4"/>
        <v>0</v>
      </c>
      <c r="Q9" s="3029"/>
      <c r="R9" s="3000">
        <f>SUMIF('数据-汇总表'!C$19:C$33,A9,'数据-汇总表'!R$19:R$33)</f>
        <v>0</v>
      </c>
      <c r="S9" s="3023">
        <f>IF('数据-汇总表'!$I$17="按面积比例",SUMIF('数据-汇总表'!C$19:C$33,A9,'数据-汇总表'!K$19:K$33),SUMIF('数据-汇总表'!C$19:C$33,A9,'数据-汇总表'!N$19:N$33))</f>
        <v>0</v>
      </c>
      <c r="T9" s="3024" t="str">
        <f t="shared" si="5"/>
        <v>0</v>
      </c>
      <c r="U9" s="3028"/>
      <c r="V9" s="3026"/>
      <c r="W9" s="3026"/>
      <c r="X9" s="3027"/>
      <c r="Y9" s="3048"/>
      <c r="Z9" s="3049"/>
      <c r="AA9" s="2909"/>
      <c r="AB9" s="2909"/>
      <c r="AC9" s="3031"/>
      <c r="AD9" s="3050"/>
      <c r="AE9" s="3051">
        <f t="shared" ca="1" si="6"/>
        <v>0</v>
      </c>
      <c r="AF9" s="2461"/>
      <c r="AG9" s="3060">
        <f t="shared" si="7"/>
        <v>0</v>
      </c>
      <c r="AH9" s="2461"/>
      <c r="AI9" s="3061"/>
      <c r="AJ9" s="3062"/>
      <c r="AK9" s="3063"/>
      <c r="AL9" s="3064"/>
      <c r="AM9" s="3065"/>
      <c r="AN9" s="3066"/>
      <c r="AO9" s="2924"/>
      <c r="AP9" s="2889">
        <f t="shared" si="8"/>
        <v>0</v>
      </c>
      <c r="AQ9" s="2924"/>
      <c r="AR9" s="2924"/>
      <c r="AS9" s="2924"/>
      <c r="AT9" s="2924"/>
      <c r="AU9" s="2924"/>
      <c r="AV9" s="2924"/>
      <c r="AW9" s="2924"/>
      <c r="AX9" s="2924"/>
      <c r="AY9" s="2924"/>
      <c r="AZ9" s="2924"/>
      <c r="BA9" s="3073"/>
      <c r="BB9" s="3073"/>
      <c r="BC9" s="3073"/>
      <c r="BD9" s="3073"/>
      <c r="BE9" s="3073"/>
      <c r="BF9" s="3073"/>
      <c r="BG9" s="3073"/>
      <c r="BH9" s="3073"/>
      <c r="BI9" s="3073"/>
      <c r="BJ9" s="3073"/>
      <c r="BK9" s="3073"/>
      <c r="BL9" s="3073"/>
      <c r="BM9" s="3073"/>
      <c r="BN9" s="3073"/>
      <c r="BO9" s="3073"/>
      <c r="BP9" s="3073"/>
      <c r="BQ9" s="3073"/>
      <c r="BR9" s="3073"/>
      <c r="BS9" s="3073"/>
      <c r="BT9" s="3073"/>
      <c r="BU9" s="3073"/>
      <c r="BV9" s="3073"/>
      <c r="BW9" s="3073"/>
      <c r="BX9" s="3073"/>
      <c r="BY9" s="3073"/>
      <c r="BZ9" s="3073"/>
      <c r="CA9" s="3073"/>
      <c r="CB9" s="3073"/>
      <c r="CC9" s="3073"/>
      <c r="CD9" s="3073"/>
      <c r="CE9" s="3073"/>
    </row>
    <row r="10" spans="1:83" s="2874" customFormat="1" ht="14.25">
      <c r="A10" s="2901">
        <f>'数据-汇总表'!C23</f>
        <v>0</v>
      </c>
      <c r="B10" s="2902" t="str">
        <f t="shared" si="2"/>
        <v/>
      </c>
      <c r="C10" s="2903"/>
      <c r="D10" s="2904">
        <f>SUMIF(项目基本情况!C$15:I$15,C10,项目基本情况!C$18:I$18)</f>
        <v>0</v>
      </c>
      <c r="E10" s="2905" t="str">
        <f>IF(B10="","",SUMIF(项目基本情况!C$15:I$15,C10,项目基本情况!C$17:I$17))</f>
        <v/>
      </c>
      <c r="F10" s="2906">
        <f>SUMIF(项目基本情况!C$15:I$15,C10,项目基本情况!C$19:I$19)</f>
        <v>0</v>
      </c>
      <c r="G10" s="2907">
        <f t="shared" si="0"/>
        <v>0</v>
      </c>
      <c r="H10" s="2909"/>
      <c r="I10" s="2909"/>
      <c r="J10" s="2909"/>
      <c r="K10" s="3000">
        <f>SUMIF('数据-汇总表'!C$19:C$33,'数据-取费表'!A10,'数据-汇总表'!E$19:E$33)</f>
        <v>0</v>
      </c>
      <c r="L10" s="3005"/>
      <c r="M10" s="3002">
        <f t="shared" si="1"/>
        <v>0</v>
      </c>
      <c r="N10" s="3003"/>
      <c r="O10" s="3002">
        <f t="shared" si="3"/>
        <v>0</v>
      </c>
      <c r="P10" s="3004">
        <f t="shared" si="4"/>
        <v>0</v>
      </c>
      <c r="Q10" s="3029"/>
      <c r="R10" s="3000">
        <f>SUMIF('数据-汇总表'!C$19:C$33,A10,'数据-汇总表'!R$19:R$33)</f>
        <v>0</v>
      </c>
      <c r="S10" s="3023">
        <f>IF('数据-汇总表'!$I$17="按面积比例",SUMIF('数据-汇总表'!C$19:C$33,A10,'数据-汇总表'!K$19:K$33),SUMIF('数据-汇总表'!C$19:C$33,A10,'数据-汇总表'!N$19:N$33))</f>
        <v>0</v>
      </c>
      <c r="T10" s="3024" t="str">
        <f t="shared" si="5"/>
        <v>0</v>
      </c>
      <c r="U10" s="3028"/>
      <c r="V10" s="3026"/>
      <c r="W10" s="3026"/>
      <c r="X10" s="3027"/>
      <c r="Y10" s="3048"/>
      <c r="Z10" s="3049"/>
      <c r="AA10" s="2909"/>
      <c r="AB10" s="2909"/>
      <c r="AC10" s="3031"/>
      <c r="AD10" s="3050"/>
      <c r="AE10" s="3051">
        <f t="shared" ca="1" si="6"/>
        <v>0</v>
      </c>
      <c r="AF10" s="2461"/>
      <c r="AG10" s="3060">
        <f t="shared" si="7"/>
        <v>0</v>
      </c>
      <c r="AH10" s="2461"/>
      <c r="AI10" s="3061"/>
      <c r="AJ10" s="3062"/>
      <c r="AK10" s="3063"/>
      <c r="AL10" s="3064"/>
      <c r="AM10" s="3065"/>
      <c r="AN10" s="3066"/>
      <c r="AO10" s="2924"/>
      <c r="AP10" s="2889">
        <f t="shared" si="8"/>
        <v>0</v>
      </c>
      <c r="AQ10" s="2924"/>
      <c r="AR10" s="2924"/>
      <c r="AS10" s="2924"/>
      <c r="AT10" s="2924"/>
      <c r="AU10" s="2924"/>
      <c r="AV10" s="2924"/>
      <c r="AW10" s="2924"/>
      <c r="AX10" s="2924"/>
      <c r="AY10" s="2924"/>
      <c r="AZ10" s="2924"/>
      <c r="BA10" s="3073"/>
      <c r="BB10" s="3073"/>
      <c r="BC10" s="3073"/>
      <c r="BD10" s="3073"/>
      <c r="BE10" s="3073"/>
      <c r="BF10" s="3073"/>
      <c r="BG10" s="3073"/>
      <c r="BH10" s="3073"/>
      <c r="BI10" s="3073"/>
      <c r="BJ10" s="3073"/>
      <c r="BK10" s="3073"/>
      <c r="BL10" s="3073"/>
      <c r="BM10" s="3073"/>
      <c r="BN10" s="3073"/>
      <c r="BO10" s="3073"/>
      <c r="BP10" s="3073"/>
      <c r="BQ10" s="3073"/>
      <c r="BR10" s="3073"/>
      <c r="BS10" s="3073"/>
      <c r="BT10" s="3073"/>
      <c r="BU10" s="3073"/>
      <c r="BV10" s="3073"/>
      <c r="BW10" s="3073"/>
      <c r="BX10" s="3073"/>
      <c r="BY10" s="3073"/>
      <c r="BZ10" s="3073"/>
      <c r="CA10" s="3073"/>
      <c r="CB10" s="3073"/>
      <c r="CC10" s="3073"/>
      <c r="CD10" s="3073"/>
      <c r="CE10" s="3073"/>
    </row>
    <row r="11" spans="1:83" s="2874" customFormat="1" ht="14.25">
      <c r="A11" s="2901">
        <f>'数据-汇总表'!C24</f>
        <v>0</v>
      </c>
      <c r="B11" s="2902" t="str">
        <f t="shared" si="2"/>
        <v/>
      </c>
      <c r="C11" s="2903"/>
      <c r="D11" s="2904">
        <f>SUMIF(项目基本情况!C$15:I$15,C11,项目基本情况!C$18:I$18)</f>
        <v>0</v>
      </c>
      <c r="E11" s="2905" t="str">
        <f>IF(B11="","",SUMIF(项目基本情况!C$15:I$15,C11,项目基本情况!C$17:I$17))</f>
        <v/>
      </c>
      <c r="F11" s="2906">
        <f>SUMIF(项目基本情况!C$15:I$15,C11,项目基本情况!C$19:I$19)</f>
        <v>0</v>
      </c>
      <c r="G11" s="2907">
        <f t="shared" si="0"/>
        <v>0</v>
      </c>
      <c r="H11" s="2909"/>
      <c r="I11" s="2909"/>
      <c r="J11" s="2909"/>
      <c r="K11" s="3000">
        <f>SUMIF('数据-汇总表'!C$19:C$33,'数据-取费表'!A11,'数据-汇总表'!E$19:E$33)</f>
        <v>0</v>
      </c>
      <c r="L11" s="3005"/>
      <c r="M11" s="3002">
        <f t="shared" si="1"/>
        <v>0</v>
      </c>
      <c r="N11" s="3003"/>
      <c r="O11" s="3002">
        <f t="shared" si="3"/>
        <v>0</v>
      </c>
      <c r="P11" s="3004">
        <f t="shared" si="4"/>
        <v>0</v>
      </c>
      <c r="Q11" s="3029"/>
      <c r="R11" s="3000">
        <f>SUMIF('数据-汇总表'!C$19:C$33,A11,'数据-汇总表'!R$19:R$33)</f>
        <v>0</v>
      </c>
      <c r="S11" s="3023">
        <f>IF('数据-汇总表'!$I$17="按面积比例",SUMIF('数据-汇总表'!C$19:C$33,A11,'数据-汇总表'!K$19:K$33),SUMIF('数据-汇总表'!C$19:C$33,A11,'数据-汇总表'!N$19:N$33))</f>
        <v>0</v>
      </c>
      <c r="T11" s="3024" t="str">
        <f t="shared" si="5"/>
        <v>0</v>
      </c>
      <c r="U11" s="3030"/>
      <c r="V11" s="3026"/>
      <c r="W11" s="2909"/>
      <c r="X11" s="3031"/>
      <c r="Y11" s="3048"/>
      <c r="Z11" s="3052"/>
      <c r="AA11" s="2909"/>
      <c r="AB11" s="2909"/>
      <c r="AC11" s="3031"/>
      <c r="AD11" s="3050"/>
      <c r="AE11" s="3051">
        <f t="shared" ca="1" si="6"/>
        <v>0</v>
      </c>
      <c r="AF11" s="2461"/>
      <c r="AG11" s="3060">
        <f t="shared" si="7"/>
        <v>0</v>
      </c>
      <c r="AH11" s="2461"/>
      <c r="AI11" s="3061"/>
      <c r="AJ11" s="3062"/>
      <c r="AK11" s="3063"/>
      <c r="AL11" s="3064"/>
      <c r="AM11" s="3065"/>
      <c r="AN11" s="3066"/>
      <c r="AO11" s="2924"/>
      <c r="AP11" s="2889">
        <f t="shared" si="8"/>
        <v>0</v>
      </c>
      <c r="AQ11" s="2924"/>
      <c r="AR11" s="2924"/>
      <c r="AS11" s="2924"/>
      <c r="AT11" s="2924"/>
      <c r="AU11" s="2924"/>
      <c r="AV11" s="2924"/>
      <c r="AW11" s="2924"/>
      <c r="AX11" s="2924"/>
      <c r="AY11" s="2924"/>
      <c r="AZ11" s="2924"/>
      <c r="BA11" s="3073"/>
      <c r="BB11" s="3073"/>
      <c r="BC11" s="3073"/>
      <c r="BD11" s="3073"/>
      <c r="BE11" s="3073"/>
      <c r="BF11" s="3073"/>
      <c r="BG11" s="3073"/>
      <c r="BH11" s="3073"/>
      <c r="BI11" s="3073"/>
      <c r="BJ11" s="3073"/>
      <c r="BK11" s="3073"/>
      <c r="BL11" s="3073"/>
      <c r="BM11" s="3073"/>
      <c r="BN11" s="3073"/>
      <c r="BO11" s="3073"/>
      <c r="BP11" s="3073"/>
      <c r="BQ11" s="3073"/>
      <c r="BR11" s="3073"/>
      <c r="BS11" s="3073"/>
      <c r="BT11" s="3073"/>
      <c r="BU11" s="3073"/>
      <c r="BV11" s="3073"/>
      <c r="BW11" s="3073"/>
      <c r="BX11" s="3073"/>
      <c r="BY11" s="3073"/>
      <c r="BZ11" s="3073"/>
      <c r="CA11" s="3073"/>
      <c r="CB11" s="3073"/>
      <c r="CC11" s="3073"/>
      <c r="CD11" s="3073"/>
      <c r="CE11" s="3073"/>
    </row>
    <row r="12" spans="1:83" s="2874" customFormat="1" ht="14.25">
      <c r="A12" s="2901">
        <f>'数据-汇总表'!C25</f>
        <v>0</v>
      </c>
      <c r="B12" s="2902" t="str">
        <f t="shared" si="2"/>
        <v/>
      </c>
      <c r="C12" s="2903"/>
      <c r="D12" s="2904">
        <f>SUMIF(项目基本情况!C$15:I$15,C12,项目基本情况!C$18:I$18)</f>
        <v>0</v>
      </c>
      <c r="E12" s="2905" t="str">
        <f>IF(B12="","",SUMIF(项目基本情况!C$15:I$15,C12,项目基本情况!C$17:I$17))</f>
        <v/>
      </c>
      <c r="F12" s="2906">
        <f>SUMIF(项目基本情况!C$15:I$15,C12,项目基本情况!C$19:I$19)</f>
        <v>0</v>
      </c>
      <c r="G12" s="2907">
        <f t="shared" si="0"/>
        <v>0</v>
      </c>
      <c r="H12" s="2909"/>
      <c r="I12" s="2909"/>
      <c r="J12" s="2909"/>
      <c r="K12" s="3000">
        <f>SUMIF('数据-汇总表'!C$19:C$33,'数据-取费表'!A12,'数据-汇总表'!E$19:E$33)</f>
        <v>0</v>
      </c>
      <c r="L12" s="3005"/>
      <c r="M12" s="3002">
        <f t="shared" si="1"/>
        <v>0</v>
      </c>
      <c r="N12" s="3003"/>
      <c r="O12" s="3002">
        <f t="shared" si="3"/>
        <v>0</v>
      </c>
      <c r="P12" s="3004">
        <f t="shared" si="4"/>
        <v>0</v>
      </c>
      <c r="Q12" s="3029"/>
      <c r="R12" s="3000">
        <f>SUMIF('数据-汇总表'!C$19:C$33,A12,'数据-汇总表'!R$19:R$33)</f>
        <v>0</v>
      </c>
      <c r="S12" s="3023">
        <f>IF('数据-汇总表'!$I$17="按面积比例",SUMIF('数据-汇总表'!C$19:C$33,A12,'数据-汇总表'!K$19:K$33),SUMIF('数据-汇总表'!C$19:C$33,A12,'数据-汇总表'!N$19:N$33))</f>
        <v>0</v>
      </c>
      <c r="T12" s="3024" t="str">
        <f t="shared" si="5"/>
        <v>0</v>
      </c>
      <c r="U12" s="3030"/>
      <c r="V12" s="3026"/>
      <c r="W12" s="2909"/>
      <c r="X12" s="3031"/>
      <c r="Y12" s="3048"/>
      <c r="Z12" s="3052"/>
      <c r="AA12" s="2909"/>
      <c r="AB12" s="2909"/>
      <c r="AC12" s="3031"/>
      <c r="AD12" s="3050"/>
      <c r="AE12" s="3051">
        <f t="shared" ca="1" si="6"/>
        <v>0</v>
      </c>
      <c r="AF12" s="2461"/>
      <c r="AG12" s="3060">
        <f t="shared" si="7"/>
        <v>0</v>
      </c>
      <c r="AH12" s="2461"/>
      <c r="AI12" s="3061"/>
      <c r="AJ12" s="3062"/>
      <c r="AK12" s="3063"/>
      <c r="AL12" s="3064"/>
      <c r="AM12" s="3065"/>
      <c r="AN12" s="3066"/>
      <c r="AO12" s="2924"/>
      <c r="AP12" s="2889">
        <f t="shared" si="8"/>
        <v>0</v>
      </c>
      <c r="AQ12" s="2924"/>
      <c r="AR12" s="2924"/>
      <c r="AS12" s="2924"/>
      <c r="AT12" s="2924"/>
      <c r="AU12" s="2924"/>
      <c r="AV12" s="2924"/>
      <c r="AW12" s="2924"/>
      <c r="AX12" s="2924"/>
      <c r="AY12" s="2924"/>
      <c r="AZ12" s="2924"/>
      <c r="BA12" s="3073"/>
      <c r="BB12" s="3073"/>
      <c r="BC12" s="3073"/>
      <c r="BD12" s="3073"/>
      <c r="BE12" s="3073"/>
      <c r="BF12" s="3073"/>
      <c r="BG12" s="3073"/>
      <c r="BH12" s="3073"/>
      <c r="BI12" s="3073"/>
      <c r="BJ12" s="3073"/>
      <c r="BK12" s="3073"/>
      <c r="BL12" s="3073"/>
      <c r="BM12" s="3073"/>
      <c r="BN12" s="3073"/>
      <c r="BO12" s="3073"/>
      <c r="BP12" s="3073"/>
      <c r="BQ12" s="3073"/>
      <c r="BR12" s="3073"/>
      <c r="BS12" s="3073"/>
      <c r="BT12" s="3073"/>
      <c r="BU12" s="3073"/>
      <c r="BV12" s="3073"/>
      <c r="BW12" s="3073"/>
      <c r="BX12" s="3073"/>
      <c r="BY12" s="3073"/>
      <c r="BZ12" s="3073"/>
      <c r="CA12" s="3073"/>
      <c r="CB12" s="3073"/>
      <c r="CC12" s="3073"/>
      <c r="CD12" s="3073"/>
      <c r="CE12" s="3073"/>
    </row>
    <row r="13" spans="1:83" s="2874" customFormat="1" ht="14.25">
      <c r="A13" s="2901">
        <f>'数据-汇总表'!C26</f>
        <v>0</v>
      </c>
      <c r="B13" s="2902" t="str">
        <f t="shared" si="2"/>
        <v/>
      </c>
      <c r="C13" s="2903"/>
      <c r="D13" s="2904">
        <f>SUMIF(项目基本情况!C$15:I$15,C13,项目基本情况!C$18:I$18)</f>
        <v>0</v>
      </c>
      <c r="E13" s="2905" t="str">
        <f>IF(B13="","",SUMIF(项目基本情况!C$15:I$15,C13,项目基本情况!C$17:I$17))</f>
        <v/>
      </c>
      <c r="F13" s="2906">
        <f>SUMIF(项目基本情况!C$15:I$15,C13,项目基本情况!C$19:I$19)</f>
        <v>0</v>
      </c>
      <c r="G13" s="2907">
        <f t="shared" si="0"/>
        <v>0</v>
      </c>
      <c r="H13" s="2909"/>
      <c r="I13" s="2909"/>
      <c r="J13" s="2909"/>
      <c r="K13" s="3000">
        <f>SUMIF('数据-汇总表'!C$19:C$33,'数据-取费表'!A13,'数据-汇总表'!E$19:E$33)</f>
        <v>0</v>
      </c>
      <c r="L13" s="3006"/>
      <c r="M13" s="3002">
        <f t="shared" si="1"/>
        <v>0</v>
      </c>
      <c r="N13" s="3007"/>
      <c r="O13" s="3002">
        <f t="shared" si="3"/>
        <v>0</v>
      </c>
      <c r="P13" s="3004">
        <f t="shared" si="4"/>
        <v>0</v>
      </c>
      <c r="Q13" s="3029"/>
      <c r="R13" s="3000">
        <f>SUMIF('数据-汇总表'!C$19:C$33,A13,'数据-汇总表'!R$19:R$33)</f>
        <v>0</v>
      </c>
      <c r="S13" s="3023">
        <f>IF('数据-汇总表'!$I$17="按面积比例",SUMIF('数据-汇总表'!C$19:C$33,A13,'数据-汇总表'!K$19:K$33),SUMIF('数据-汇总表'!C$19:C$33,A13,'数据-汇总表'!N$19:N$33))</f>
        <v>0</v>
      </c>
      <c r="T13" s="3024" t="str">
        <f t="shared" si="5"/>
        <v>0</v>
      </c>
      <c r="U13" s="3028"/>
      <c r="V13" s="3026"/>
      <c r="W13" s="3026"/>
      <c r="X13" s="3027"/>
      <c r="Y13" s="3048"/>
      <c r="Z13" s="3049"/>
      <c r="AA13" s="2909"/>
      <c r="AB13" s="2909"/>
      <c r="AC13" s="3031"/>
      <c r="AD13" s="3050"/>
      <c r="AE13" s="3051">
        <f t="shared" ca="1" si="6"/>
        <v>0</v>
      </c>
      <c r="AF13" s="2461"/>
      <c r="AG13" s="3060">
        <f t="shared" si="7"/>
        <v>0</v>
      </c>
      <c r="AH13" s="2461"/>
      <c r="AI13" s="3061"/>
      <c r="AJ13" s="3062"/>
      <c r="AK13" s="3063"/>
      <c r="AL13" s="3064"/>
      <c r="AM13" s="3067"/>
      <c r="AN13" s="3066"/>
      <c r="AO13" s="2924"/>
      <c r="AP13" s="2889">
        <f t="shared" si="8"/>
        <v>0</v>
      </c>
      <c r="AQ13" s="2924"/>
      <c r="AR13" s="2924"/>
      <c r="AS13" s="2924"/>
      <c r="AT13" s="2924"/>
      <c r="AU13" s="2924"/>
      <c r="AV13" s="2924"/>
      <c r="AW13" s="2924"/>
      <c r="AX13" s="2924"/>
      <c r="AY13" s="2924"/>
      <c r="AZ13" s="2924"/>
      <c r="BA13" s="3073"/>
      <c r="BB13" s="3073"/>
      <c r="BC13" s="3073"/>
      <c r="BD13" s="3073"/>
      <c r="BE13" s="3073"/>
      <c r="BF13" s="3073"/>
      <c r="BG13" s="3073"/>
      <c r="BH13" s="3073"/>
      <c r="BI13" s="3073"/>
      <c r="BJ13" s="3073"/>
      <c r="BK13" s="3073"/>
      <c r="BL13" s="3073"/>
      <c r="BM13" s="3073"/>
      <c r="BN13" s="3073"/>
      <c r="BO13" s="3073"/>
      <c r="BP13" s="3073"/>
      <c r="BQ13" s="3073"/>
      <c r="BR13" s="3073"/>
      <c r="BS13" s="3073"/>
      <c r="BT13" s="3073"/>
      <c r="BU13" s="3073"/>
      <c r="BV13" s="3073"/>
      <c r="BW13" s="3073"/>
      <c r="BX13" s="3073"/>
      <c r="BY13" s="3073"/>
      <c r="BZ13" s="3073"/>
      <c r="CA13" s="3073"/>
      <c r="CB13" s="3073"/>
      <c r="CC13" s="3073"/>
      <c r="CD13" s="3073"/>
      <c r="CE13" s="3073"/>
    </row>
    <row r="14" spans="1:83" s="2874" customFormat="1" ht="14.25">
      <c r="A14" s="2910" t="s">
        <v>534</v>
      </c>
      <c r="B14" s="2911" t="s">
        <v>630</v>
      </c>
      <c r="C14" s="2912" t="s">
        <v>534</v>
      </c>
      <c r="D14" s="2904"/>
      <c r="E14" s="2905"/>
      <c r="F14" s="2906"/>
      <c r="G14" s="2907"/>
      <c r="H14" s="2913"/>
      <c r="I14" s="2913"/>
      <c r="J14" s="2913"/>
      <c r="K14" s="3000">
        <f>SUMIF('数据-汇总表'!C$19:C$33,'数据-取费表'!A14,'数据-汇总表'!E$19:E$33)</f>
        <v>0</v>
      </c>
      <c r="L14" s="3006"/>
      <c r="M14" s="3002">
        <f t="shared" si="1"/>
        <v>0</v>
      </c>
      <c r="N14" s="3007"/>
      <c r="O14" s="3002">
        <f t="shared" si="3"/>
        <v>0</v>
      </c>
      <c r="P14" s="3004">
        <f t="shared" si="4"/>
        <v>0</v>
      </c>
      <c r="Q14" s="3032"/>
      <c r="R14" s="3000"/>
      <c r="S14" s="3023"/>
      <c r="T14" s="3033"/>
      <c r="U14" s="3034"/>
      <c r="V14" s="3035"/>
      <c r="W14" s="3035"/>
      <c r="X14" s="3027"/>
      <c r="Y14" s="3053"/>
      <c r="Z14" s="3054"/>
      <c r="AA14" s="3055"/>
      <c r="AB14" s="3055"/>
      <c r="AC14" s="3031"/>
      <c r="AD14" s="3027"/>
      <c r="AE14" s="3051"/>
      <c r="AF14" s="492"/>
      <c r="AG14" s="3060"/>
      <c r="AH14" s="492"/>
      <c r="AI14" s="491"/>
      <c r="AJ14" s="491"/>
      <c r="AK14" s="3068"/>
      <c r="AL14" s="3069"/>
      <c r="AM14" s="3070"/>
      <c r="AN14" s="2924"/>
      <c r="AO14" s="2924"/>
      <c r="AP14" s="2924"/>
      <c r="AQ14" s="2924"/>
      <c r="AR14" s="2924"/>
      <c r="AS14" s="2924"/>
      <c r="AT14" s="2924"/>
      <c r="AU14" s="2924"/>
      <c r="AV14" s="2924"/>
      <c r="AW14" s="2924"/>
      <c r="AX14" s="2924"/>
      <c r="AY14" s="2924"/>
      <c r="AZ14" s="2924"/>
      <c r="BA14" s="3073"/>
      <c r="BB14" s="3073"/>
      <c r="BC14" s="3073"/>
      <c r="BD14" s="3073"/>
      <c r="BE14" s="3073"/>
      <c r="BF14" s="3073"/>
      <c r="BG14" s="3073"/>
      <c r="BH14" s="3073"/>
      <c r="BI14" s="3073"/>
      <c r="BJ14" s="3073"/>
      <c r="BK14" s="3073"/>
      <c r="BL14" s="3073"/>
      <c r="BM14" s="3073"/>
      <c r="BN14" s="3073"/>
      <c r="BO14" s="3073"/>
      <c r="BP14" s="3073"/>
      <c r="BQ14" s="3073"/>
      <c r="BR14" s="3073"/>
      <c r="BS14" s="3073"/>
      <c r="BT14" s="3073"/>
      <c r="BU14" s="3073"/>
      <c r="BV14" s="3073"/>
      <c r="BW14" s="3073"/>
      <c r="BX14" s="3073"/>
      <c r="BY14" s="3073"/>
      <c r="BZ14" s="3073"/>
      <c r="CA14" s="3073"/>
      <c r="CB14" s="3073"/>
      <c r="CC14" s="3073"/>
      <c r="CD14" s="3073"/>
      <c r="CE14" s="3073"/>
    </row>
    <row r="15" spans="1:83" s="2874" customFormat="1" ht="27">
      <c r="A15" s="2914" t="s">
        <v>583</v>
      </c>
      <c r="B15" s="2911" t="s">
        <v>630</v>
      </c>
      <c r="C15" s="2912" t="s">
        <v>631</v>
      </c>
      <c r="D15" s="2904"/>
      <c r="E15" s="2905"/>
      <c r="F15" s="2906"/>
      <c r="G15" s="2907"/>
      <c r="H15" s="2913"/>
      <c r="I15" s="2913"/>
      <c r="J15" s="2913"/>
      <c r="K15" s="3000">
        <f>SUMIF('数据-汇总表'!C$19:C$33,'数据-取费表'!A15,'数据-汇总表'!E$19:E$33)</f>
        <v>0</v>
      </c>
      <c r="L15" s="3008"/>
      <c r="M15" s="3002"/>
      <c r="N15" s="3009"/>
      <c r="O15" s="3002"/>
      <c r="P15" s="3004"/>
      <c r="Q15" s="3032"/>
      <c r="R15" s="3000"/>
      <c r="S15" s="3023"/>
      <c r="T15" s="3033"/>
      <c r="U15" s="3034"/>
      <c r="V15" s="3035"/>
      <c r="W15" s="3035"/>
      <c r="X15" s="3027"/>
      <c r="Y15" s="3053"/>
      <c r="Z15" s="3054"/>
      <c r="AA15" s="3055"/>
      <c r="AB15" s="3055"/>
      <c r="AC15" s="3031"/>
      <c r="AD15" s="3027"/>
      <c r="AE15" s="3051"/>
      <c r="AF15" s="492"/>
      <c r="AG15" s="3060"/>
      <c r="AH15" s="492"/>
      <c r="AI15" s="491"/>
      <c r="AJ15" s="491"/>
      <c r="AK15" s="3068"/>
      <c r="AL15" s="3069"/>
      <c r="AM15" s="3070"/>
      <c r="AN15" s="2924"/>
      <c r="AO15" s="2924"/>
      <c r="AP15" s="2924"/>
      <c r="AQ15" s="2924"/>
      <c r="AR15" s="2924"/>
      <c r="AS15" s="2924"/>
      <c r="AT15" s="2924"/>
      <c r="AU15" s="2924"/>
      <c r="AV15" s="2924"/>
      <c r="AW15" s="2924"/>
      <c r="AX15" s="2924"/>
      <c r="AY15" s="2924"/>
      <c r="AZ15" s="2924"/>
      <c r="BA15" s="3073"/>
      <c r="BB15" s="3073"/>
      <c r="BC15" s="3073"/>
      <c r="BD15" s="3073"/>
      <c r="BE15" s="3073"/>
      <c r="BF15" s="3073"/>
      <c r="BG15" s="3073"/>
      <c r="BH15" s="3073"/>
      <c r="BI15" s="3073"/>
      <c r="BJ15" s="3073"/>
      <c r="BK15" s="3073"/>
      <c r="BL15" s="3073"/>
      <c r="BM15" s="3073"/>
      <c r="BN15" s="3073"/>
      <c r="BO15" s="3073"/>
      <c r="BP15" s="3073"/>
      <c r="BQ15" s="3073"/>
      <c r="BR15" s="3073"/>
      <c r="BS15" s="3073"/>
      <c r="BT15" s="3073"/>
      <c r="BU15" s="3073"/>
      <c r="BV15" s="3073"/>
      <c r="BW15" s="3073"/>
      <c r="BX15" s="3073"/>
      <c r="BY15" s="3073"/>
      <c r="BZ15" s="3073"/>
      <c r="CA15" s="3073"/>
      <c r="CB15" s="3073"/>
      <c r="CC15" s="3073"/>
      <c r="CD15" s="3073"/>
      <c r="CE15" s="3073"/>
    </row>
    <row r="16" spans="1:83" s="2874" customFormat="1" ht="15">
      <c r="A16" s="2915" t="s">
        <v>632</v>
      </c>
      <c r="B16" s="2916"/>
      <c r="C16" s="2917"/>
      <c r="D16" s="2918"/>
      <c r="E16" s="2916"/>
      <c r="F16" s="2916"/>
      <c r="G16" s="2919">
        <f>ROUND(SUMPRODUCT(G6:G13,K6:K13)/SUMPRODUCT((G6:G13&gt;0)*(K6:K13)),3)</f>
        <v>0.96</v>
      </c>
      <c r="H16" s="2920">
        <f>ROUND(SUMPRODUCT(H6:H13,K6:K13)/SUMPRODUCT((H6:H13&gt;0)*(K6:K13)),3)</f>
        <v>0.05</v>
      </c>
      <c r="I16" s="3010"/>
      <c r="J16" s="3010"/>
      <c r="K16" s="3011">
        <f>SUM(K6:K15)</f>
        <v>74800</v>
      </c>
      <c r="L16" s="3012">
        <f>ROUND(M16*10000/SUM(K6:K14),0)</f>
        <v>1800</v>
      </c>
      <c r="M16" s="3012">
        <f>SUM(M6:M14)</f>
        <v>13464</v>
      </c>
      <c r="N16" s="3013">
        <f>ROUND(SUMPRODUCT(M6:M14,N6:N14)/M16,3)</f>
        <v>0</v>
      </c>
      <c r="O16" s="3012">
        <f>SUM(O6:O14)</f>
        <v>0</v>
      </c>
      <c r="P16" s="3012">
        <f>SUM(P6:P14)</f>
        <v>13464</v>
      </c>
      <c r="Q16" s="3036">
        <f>ROUND(SUMPRODUCT(Q6:Q13,K6:K13)/SUMPRODUCT((Q6:Q13&gt;0)*(K6:K13)),2)</f>
        <v>0.08</v>
      </c>
      <c r="R16" s="3037">
        <f>SUM(R6:R13)</f>
        <v>200000</v>
      </c>
      <c r="S16" s="3038">
        <f>SUM(S6:S13)</f>
        <v>0</v>
      </c>
      <c r="T16" s="3039">
        <f>IF(SUMIF(T6:T13,"&lt;9E307")=M14,SUMIF(T6:T13,"&lt;9E307"),"有误，请检查")</f>
        <v>0</v>
      </c>
      <c r="U16" s="3040"/>
      <c r="V16" s="3041"/>
      <c r="W16" s="3041"/>
      <c r="X16" s="3042"/>
      <c r="Y16" s="3056"/>
      <c r="Z16" s="3057"/>
      <c r="AA16" s="3041"/>
      <c r="AB16" s="3041"/>
      <c r="AC16" s="3042"/>
      <c r="AD16" s="3042"/>
      <c r="AE16" s="3040"/>
      <c r="AF16" s="3041"/>
      <c r="AG16" s="3056"/>
      <c r="AH16" s="3041"/>
      <c r="AI16" s="3057"/>
      <c r="AJ16" s="3057"/>
      <c r="AK16" s="3041"/>
      <c r="AL16" s="3041"/>
      <c r="AM16" s="3056"/>
      <c r="AN16" s="2924"/>
      <c r="AO16" s="2924"/>
      <c r="AP16" s="2889">
        <f>ROUND(SUMPRODUCT(AP6:AP13,K6:K13)/SUMPRODUCT((AP6:AP13&gt;0)*(K6:K13)),3)</f>
        <v>0.876</v>
      </c>
      <c r="AQ16" s="2924"/>
      <c r="AR16" s="2924"/>
      <c r="AS16" s="2924"/>
      <c r="AT16" s="2924"/>
      <c r="AU16" s="2924"/>
      <c r="AV16" s="2924"/>
      <c r="AW16" s="2924"/>
      <c r="AX16" s="2924"/>
      <c r="AY16" s="2924"/>
      <c r="AZ16" s="2924"/>
      <c r="BA16" s="3073"/>
      <c r="BB16" s="3073"/>
      <c r="BC16" s="3073"/>
      <c r="BD16" s="3073"/>
      <c r="BE16" s="3073"/>
      <c r="BF16" s="3073"/>
      <c r="BG16" s="3073"/>
      <c r="BH16" s="3073"/>
      <c r="BI16" s="3073"/>
      <c r="BJ16" s="3073"/>
      <c r="BK16" s="3073"/>
      <c r="BL16" s="3073"/>
      <c r="BM16" s="3073"/>
      <c r="BN16" s="3073"/>
      <c r="BO16" s="3073"/>
      <c r="BP16" s="3073"/>
      <c r="BQ16" s="3073"/>
      <c r="BR16" s="3073"/>
      <c r="BS16" s="3073"/>
      <c r="BT16" s="3073"/>
      <c r="BU16" s="3073"/>
      <c r="BV16" s="3073"/>
      <c r="BW16" s="3073"/>
      <c r="BX16" s="3073"/>
      <c r="BY16" s="3073"/>
      <c r="BZ16" s="3073"/>
      <c r="CA16" s="3073"/>
      <c r="CB16" s="3073"/>
      <c r="CC16" s="3073"/>
      <c r="CD16" s="3073"/>
      <c r="CE16" s="3073"/>
    </row>
    <row r="17" spans="1:83">
      <c r="A17" s="2921"/>
      <c r="B17" s="2922"/>
      <c r="C17" s="2922"/>
      <c r="D17" s="2923"/>
      <c r="E17" s="2923"/>
      <c r="F17" s="2922"/>
      <c r="G17" s="2922"/>
      <c r="H17" s="2922"/>
      <c r="I17" s="2922"/>
      <c r="J17" s="2922"/>
      <c r="K17" s="3014"/>
      <c r="L17" s="3014"/>
      <c r="M17" s="2922"/>
      <c r="N17" s="2922"/>
      <c r="O17" s="2922"/>
      <c r="P17" s="2922"/>
      <c r="Q17" s="2922"/>
      <c r="R17" s="2922"/>
      <c r="S17" s="2922"/>
      <c r="T17" s="2922"/>
      <c r="U17" s="2922"/>
      <c r="V17" s="2922"/>
      <c r="W17" s="2922"/>
      <c r="X17" s="2922"/>
      <c r="Y17" s="2922"/>
      <c r="Z17" s="2922"/>
      <c r="AA17" s="2922"/>
      <c r="AB17" s="2922"/>
      <c r="AC17" s="2922"/>
      <c r="AD17" s="2922"/>
      <c r="AE17" s="2922"/>
      <c r="AF17" s="2922"/>
      <c r="AG17" s="2922"/>
      <c r="AH17" s="2922"/>
      <c r="AI17" s="2922"/>
      <c r="AJ17" s="2922"/>
      <c r="AK17" s="2922"/>
      <c r="AL17" s="2922"/>
      <c r="AM17" s="2922"/>
      <c r="AN17" s="2922"/>
      <c r="AO17" s="2922"/>
      <c r="AP17" s="2922"/>
      <c r="AQ17" s="2922"/>
      <c r="AR17" s="2922"/>
      <c r="AS17" s="2922"/>
      <c r="AT17" s="2922"/>
      <c r="AU17" s="2922"/>
      <c r="AV17" s="2922"/>
      <c r="AW17" s="2922"/>
      <c r="AX17" s="2922"/>
      <c r="AY17" s="2922"/>
      <c r="AZ17" s="2922"/>
    </row>
    <row r="18" spans="1:83" ht="14.25">
      <c r="A18" s="2890" t="s">
        <v>633</v>
      </c>
      <c r="B18" s="2924"/>
      <c r="C18" s="2924"/>
      <c r="D18" s="2925"/>
      <c r="E18" s="2924"/>
      <c r="F18" s="2924"/>
      <c r="G18" s="2924"/>
      <c r="H18" s="2924"/>
      <c r="I18" s="2924"/>
      <c r="J18" s="2924"/>
      <c r="K18" s="3014"/>
      <c r="L18" s="3014"/>
      <c r="M18" s="2922"/>
      <c r="N18" s="2922"/>
      <c r="O18" s="2922"/>
      <c r="P18" s="2922"/>
      <c r="Q18" s="2922"/>
      <c r="R18" s="2922"/>
      <c r="S18" s="2922"/>
      <c r="T18" s="2922"/>
      <c r="U18" s="2922"/>
      <c r="V18" s="2922"/>
      <c r="W18" s="2922"/>
      <c r="X18" s="2922"/>
      <c r="Y18" s="2922"/>
      <c r="Z18" s="2922"/>
      <c r="AA18" s="2922"/>
      <c r="AB18" s="2922"/>
      <c r="AC18" s="2922"/>
      <c r="AD18" s="2922"/>
      <c r="AE18" s="2922"/>
      <c r="AF18" s="2922"/>
      <c r="AG18" s="2922"/>
      <c r="AH18" s="2922"/>
      <c r="AI18" s="2922"/>
      <c r="AJ18" s="2922"/>
      <c r="AK18" s="2922"/>
      <c r="AL18" s="2922"/>
      <c r="AM18" s="2922"/>
      <c r="AN18" s="2922"/>
      <c r="AO18" s="2922"/>
      <c r="AP18" s="2922"/>
      <c r="AQ18" s="2922"/>
      <c r="AR18" s="2922"/>
      <c r="AS18" s="2922"/>
      <c r="AT18" s="2922"/>
      <c r="AU18" s="2922"/>
      <c r="AV18" s="2922"/>
      <c r="AW18" s="2922"/>
      <c r="AX18" s="2922"/>
      <c r="AY18" s="2922"/>
      <c r="AZ18" s="2922"/>
    </row>
    <row r="19" spans="1:83" ht="14.25">
      <c r="A19" s="2926" t="s">
        <v>634</v>
      </c>
      <c r="B19" s="2927">
        <v>0</v>
      </c>
      <c r="C19" s="2928" t="s">
        <v>635</v>
      </c>
      <c r="D19" s="2925"/>
      <c r="E19" s="2924"/>
      <c r="F19" s="2924"/>
      <c r="G19" s="2924"/>
      <c r="H19" s="2924"/>
      <c r="I19" s="2924"/>
      <c r="J19" s="2924"/>
      <c r="K19" s="3014"/>
      <c r="L19" s="3014"/>
      <c r="M19" s="2922"/>
      <c r="N19" s="2922"/>
      <c r="O19" s="2922"/>
      <c r="P19" s="2922"/>
      <c r="Q19" s="2922"/>
      <c r="R19" s="2922"/>
      <c r="S19" s="2922"/>
      <c r="T19" s="2922"/>
      <c r="U19" s="2922"/>
      <c r="V19" s="2922"/>
      <c r="W19" s="2922"/>
      <c r="X19" s="2922"/>
      <c r="Y19" s="2922"/>
      <c r="Z19" s="2922"/>
      <c r="AA19" s="2922"/>
      <c r="AB19" s="2922"/>
      <c r="AC19" s="2922"/>
      <c r="AD19" s="2922"/>
      <c r="AE19" s="2922"/>
      <c r="AF19" s="2922"/>
      <c r="AG19" s="2922"/>
      <c r="AH19" s="2922"/>
      <c r="AI19" s="2922"/>
      <c r="AJ19" s="2922"/>
      <c r="AK19" s="2922"/>
      <c r="AL19" s="2922"/>
      <c r="AM19" s="2922"/>
      <c r="AN19" s="2922"/>
      <c r="AO19" s="2922"/>
      <c r="AP19" s="2922"/>
      <c r="AQ19" s="2922"/>
      <c r="AR19" s="2922"/>
      <c r="AS19" s="2922"/>
      <c r="AT19" s="2922"/>
      <c r="AU19" s="2922"/>
      <c r="AV19" s="2922"/>
      <c r="AW19" s="2922"/>
      <c r="AX19" s="2922"/>
      <c r="AY19" s="2922"/>
      <c r="AZ19" s="2922"/>
    </row>
    <row r="20" spans="1:83" ht="14.25">
      <c r="A20" s="2929" t="s">
        <v>636</v>
      </c>
      <c r="B20" s="2930">
        <v>1.5</v>
      </c>
      <c r="C20" s="2928" t="s">
        <v>637</v>
      </c>
      <c r="D20" s="2925"/>
      <c r="E20" s="2924"/>
      <c r="F20" s="2924"/>
      <c r="G20" s="2924"/>
      <c r="H20" s="2924"/>
      <c r="I20" s="2924"/>
      <c r="J20" s="2924"/>
      <c r="K20" s="3014"/>
      <c r="L20" s="3014"/>
      <c r="M20" s="2922"/>
      <c r="N20" s="2922"/>
      <c r="O20" s="2922"/>
      <c r="P20" s="2922"/>
      <c r="Q20" s="2922"/>
      <c r="R20" s="2922"/>
      <c r="S20" s="2922"/>
      <c r="T20" s="2922"/>
      <c r="U20" s="2922"/>
      <c r="V20" s="2922"/>
      <c r="W20" s="2922"/>
      <c r="X20" s="2922"/>
      <c r="Y20" s="2922"/>
      <c r="Z20" s="2922"/>
      <c r="AA20" s="2922"/>
      <c r="AB20" s="2922"/>
      <c r="AC20" s="2922"/>
      <c r="AD20" s="2922"/>
      <c r="AE20" s="2922"/>
      <c r="AF20" s="2922"/>
      <c r="AG20" s="2922"/>
      <c r="AH20" s="2922"/>
      <c r="AI20" s="2922"/>
      <c r="AJ20" s="2922"/>
      <c r="AK20" s="2922"/>
      <c r="AL20" s="2922"/>
      <c r="AM20" s="2922"/>
      <c r="AN20" s="2922"/>
      <c r="AO20" s="2922"/>
      <c r="AP20" s="2922"/>
      <c r="AQ20" s="2922"/>
      <c r="AR20" s="2922"/>
      <c r="AS20" s="2922"/>
      <c r="AT20" s="2922"/>
      <c r="AU20" s="2922"/>
      <c r="AV20" s="2922"/>
      <c r="AW20" s="2922"/>
      <c r="AX20" s="2922"/>
      <c r="AY20" s="2922"/>
      <c r="AZ20" s="2922"/>
    </row>
    <row r="21" spans="1:83" ht="14.25">
      <c r="A21" s="2931" t="s">
        <v>638</v>
      </c>
      <c r="B21" s="2930">
        <v>0</v>
      </c>
      <c r="C21" s="2924"/>
      <c r="D21" s="2925"/>
      <c r="E21" s="2924"/>
      <c r="F21" s="2924"/>
      <c r="G21" s="2924"/>
      <c r="H21" s="2924"/>
      <c r="I21" s="2924"/>
      <c r="J21" s="2924"/>
      <c r="K21" s="3014"/>
      <c r="L21" s="3014"/>
      <c r="M21" s="2922"/>
      <c r="N21" s="2922"/>
      <c r="O21" s="2922"/>
      <c r="P21" s="2922"/>
      <c r="Q21" s="2922"/>
      <c r="R21" s="2922"/>
      <c r="S21" s="2922"/>
      <c r="T21" s="2922"/>
      <c r="U21" s="2922"/>
      <c r="V21" s="2922"/>
      <c r="W21" s="2922"/>
      <c r="X21" s="2922"/>
      <c r="Y21" s="2922"/>
      <c r="Z21" s="2922"/>
      <c r="AA21" s="2922"/>
      <c r="AB21" s="2922"/>
      <c r="AC21" s="2922"/>
      <c r="AD21" s="2922"/>
      <c r="AE21" s="2922"/>
      <c r="AF21" s="2922"/>
      <c r="AG21" s="2922"/>
      <c r="AH21" s="2922"/>
      <c r="AI21" s="2922"/>
      <c r="AJ21" s="2922"/>
      <c r="AK21" s="2922"/>
      <c r="AL21" s="2922"/>
      <c r="AM21" s="2922"/>
      <c r="AN21" s="2922"/>
      <c r="AO21" s="2922"/>
      <c r="AP21" s="2922"/>
      <c r="AQ21" s="2922"/>
      <c r="AR21" s="2922"/>
      <c r="AS21" s="2922"/>
      <c r="AT21" s="2922"/>
      <c r="AU21" s="2922"/>
      <c r="AV21" s="2922"/>
      <c r="AW21" s="2922"/>
      <c r="AX21" s="2922"/>
      <c r="AY21" s="2922"/>
      <c r="AZ21" s="2922"/>
    </row>
    <row r="22" spans="1:83" ht="14.25">
      <c r="A22" s="2929" t="s">
        <v>639</v>
      </c>
      <c r="B22" s="2932">
        <f>B19+B20</f>
        <v>1.5</v>
      </c>
      <c r="C22" s="2924"/>
      <c r="D22" s="2925"/>
      <c r="E22" s="2924"/>
      <c r="F22" s="2924"/>
      <c r="G22" s="2924"/>
      <c r="H22" s="2924"/>
      <c r="I22" s="2924"/>
      <c r="J22" s="2924"/>
      <c r="K22" s="3014"/>
      <c r="L22" s="3014"/>
      <c r="M22" s="2922"/>
      <c r="N22" s="2922"/>
      <c r="O22" s="2922"/>
      <c r="P22" s="2922"/>
      <c r="Q22" s="2922"/>
      <c r="R22" s="2922"/>
      <c r="S22" s="2922"/>
      <c r="T22" s="2922"/>
      <c r="U22" s="2922"/>
      <c r="V22" s="2922"/>
      <c r="W22" s="2922"/>
      <c r="X22" s="2922"/>
      <c r="Y22" s="2922"/>
      <c r="Z22" s="2922"/>
      <c r="AA22" s="2922"/>
      <c r="AB22" s="2922"/>
      <c r="AC22" s="2922"/>
      <c r="AD22" s="2922"/>
      <c r="AE22" s="2922"/>
      <c r="AF22" s="2922"/>
      <c r="AG22" s="2922"/>
      <c r="AH22" s="2922"/>
      <c r="AI22" s="2922"/>
      <c r="AJ22" s="2922"/>
      <c r="AK22" s="2922"/>
      <c r="AL22" s="2922"/>
      <c r="AM22" s="2922"/>
      <c r="AN22" s="2922"/>
      <c r="AO22" s="2922"/>
      <c r="AP22" s="2922"/>
      <c r="AQ22" s="2922"/>
      <c r="AR22" s="2922"/>
      <c r="AS22" s="2922"/>
      <c r="AT22" s="2922"/>
      <c r="AU22" s="2922"/>
      <c r="AV22" s="2922"/>
      <c r="AW22" s="2922"/>
      <c r="AX22" s="2922"/>
      <c r="AY22" s="2922"/>
      <c r="AZ22" s="2922"/>
    </row>
    <row r="23" spans="1:83" ht="14.25">
      <c r="A23" s="2931" t="s">
        <v>640</v>
      </c>
      <c r="B23" s="2932">
        <f>B19+B21</f>
        <v>0</v>
      </c>
      <c r="C23" s="2924"/>
      <c r="D23" s="2925"/>
      <c r="E23" s="2924"/>
      <c r="F23" s="2924"/>
      <c r="G23" s="2924"/>
      <c r="H23" s="2924"/>
      <c r="I23" s="2924"/>
      <c r="J23" s="2924"/>
      <c r="K23" s="3014"/>
      <c r="L23" s="3014"/>
      <c r="M23" s="2922"/>
      <c r="N23" s="2922"/>
      <c r="O23" s="2922"/>
      <c r="P23" s="2922"/>
      <c r="Q23" s="2922"/>
      <c r="R23" s="2922"/>
      <c r="S23" s="2922"/>
      <c r="T23" s="2922"/>
      <c r="U23" s="2922"/>
      <c r="V23" s="2922"/>
      <c r="W23" s="2922"/>
      <c r="X23" s="2922"/>
      <c r="Y23" s="2922"/>
      <c r="Z23" s="2922"/>
      <c r="AA23" s="2922"/>
      <c r="AB23" s="2922"/>
      <c r="AC23" s="2922"/>
      <c r="AD23" s="2922"/>
      <c r="AE23" s="2922"/>
      <c r="AF23" s="2922"/>
      <c r="AG23" s="2922"/>
      <c r="AH23" s="2922"/>
      <c r="AI23" s="2922"/>
      <c r="AJ23" s="2922"/>
      <c r="AK23" s="2922"/>
      <c r="AL23" s="2922"/>
      <c r="AM23" s="2922"/>
      <c r="AN23" s="2922"/>
      <c r="AO23" s="2922"/>
      <c r="AP23" s="2922"/>
      <c r="AQ23" s="2922"/>
      <c r="AR23" s="2922"/>
      <c r="AS23" s="2922"/>
      <c r="AT23" s="2922"/>
      <c r="AU23" s="2922"/>
      <c r="AV23" s="2922"/>
      <c r="AW23" s="2922"/>
      <c r="AX23" s="2922"/>
      <c r="AY23" s="2922"/>
      <c r="AZ23" s="2922"/>
    </row>
    <row r="24" spans="1:83" ht="14.25">
      <c r="A24" s="2933" t="s">
        <v>641</v>
      </c>
      <c r="B24" s="2934">
        <f>B20-B21</f>
        <v>1.5</v>
      </c>
      <c r="C24" s="2924"/>
      <c r="D24" s="2925"/>
      <c r="E24" s="2924"/>
      <c r="F24" s="2924"/>
      <c r="G24" s="2924"/>
      <c r="H24" s="2924"/>
      <c r="I24" s="2924"/>
      <c r="J24" s="2924"/>
      <c r="K24" s="3014"/>
      <c r="L24" s="3014"/>
      <c r="M24" s="2922"/>
      <c r="N24" s="2922"/>
      <c r="O24" s="2922"/>
      <c r="P24" s="2922"/>
      <c r="Q24" s="2922"/>
      <c r="R24" s="2922"/>
      <c r="S24" s="2922"/>
      <c r="T24" s="2922"/>
      <c r="U24" s="2922"/>
      <c r="V24" s="2922"/>
      <c r="W24" s="2922"/>
      <c r="X24" s="2922"/>
      <c r="Y24" s="2922"/>
      <c r="Z24" s="2922"/>
      <c r="AA24" s="2922"/>
      <c r="AB24" s="2922"/>
      <c r="AC24" s="2922"/>
      <c r="AD24" s="2922"/>
      <c r="AE24" s="2922"/>
      <c r="AF24" s="2922"/>
      <c r="AG24" s="2922"/>
      <c r="AH24" s="2922"/>
      <c r="AI24" s="2922"/>
      <c r="AJ24" s="2922"/>
      <c r="AK24" s="2922"/>
      <c r="AL24" s="2922"/>
      <c r="AM24" s="2922"/>
      <c r="AN24" s="2922"/>
      <c r="AO24" s="2922"/>
      <c r="AP24" s="2922"/>
      <c r="AQ24" s="2922"/>
      <c r="AR24" s="2922"/>
      <c r="AS24" s="2922"/>
      <c r="AT24" s="2922"/>
      <c r="AU24" s="2922"/>
      <c r="AV24" s="2922"/>
      <c r="AW24" s="2922"/>
      <c r="AX24" s="2922"/>
      <c r="AY24" s="2922"/>
      <c r="AZ24" s="2922"/>
    </row>
    <row r="25" spans="1:83" ht="14.25">
      <c r="A25" s="2888"/>
      <c r="B25" s="2889"/>
      <c r="C25" s="2924"/>
      <c r="D25" s="2925"/>
      <c r="E25" s="2924"/>
      <c r="F25" s="2924"/>
      <c r="G25" s="2924"/>
      <c r="H25" s="2924"/>
      <c r="I25" s="2924"/>
      <c r="J25" s="2924"/>
      <c r="K25" s="3014"/>
      <c r="L25" s="3014"/>
      <c r="M25" s="2922"/>
      <c r="N25" s="2922"/>
      <c r="O25" s="2922"/>
      <c r="P25" s="2922"/>
      <c r="Q25" s="2922"/>
      <c r="R25" s="2922"/>
      <c r="S25" s="2922"/>
      <c r="T25" s="2922"/>
      <c r="U25" s="2922"/>
      <c r="V25" s="2922"/>
      <c r="W25" s="2922"/>
      <c r="X25" s="2922"/>
      <c r="Y25" s="2922"/>
      <c r="Z25" s="2922"/>
      <c r="AA25" s="2922"/>
      <c r="AB25" s="2922"/>
      <c r="AC25" s="2922"/>
      <c r="AD25" s="2922"/>
      <c r="AE25" s="2922"/>
      <c r="AF25" s="2922"/>
      <c r="AG25" s="2922"/>
      <c r="AH25" s="2922"/>
      <c r="AI25" s="2922"/>
      <c r="AJ25" s="2922"/>
      <c r="AK25" s="2922"/>
      <c r="AL25" s="2922"/>
      <c r="AM25" s="2922"/>
      <c r="AN25" s="2922"/>
      <c r="AO25" s="2922"/>
      <c r="AP25" s="2922"/>
      <c r="AQ25" s="2922"/>
      <c r="AR25" s="2922"/>
      <c r="AS25" s="2922"/>
      <c r="AT25" s="2922"/>
      <c r="AU25" s="2922"/>
      <c r="AV25" s="2922"/>
      <c r="AW25" s="2922"/>
      <c r="AX25" s="2922"/>
      <c r="AY25" s="2922"/>
      <c r="AZ25" s="2922"/>
    </row>
    <row r="26" spans="1:83" ht="14.25">
      <c r="A26" s="2884" t="s">
        <v>642</v>
      </c>
      <c r="B26" s="2935" t="s">
        <v>643</v>
      </c>
      <c r="C26" s="2936" t="s">
        <v>644</v>
      </c>
      <c r="D26" s="2925"/>
      <c r="E26" s="2924"/>
      <c r="F26" s="2924"/>
      <c r="G26" s="2924"/>
      <c r="H26" s="2924"/>
      <c r="I26" s="2924"/>
      <c r="J26" s="2924"/>
      <c r="K26" s="3014"/>
      <c r="L26" s="3014"/>
      <c r="M26" s="2922"/>
      <c r="N26" s="2922"/>
      <c r="O26" s="2922"/>
      <c r="P26" s="2922"/>
      <c r="Q26" s="2922"/>
      <c r="R26" s="2922"/>
      <c r="S26" s="2922"/>
      <c r="T26" s="2922"/>
      <c r="U26" s="2922"/>
      <c r="V26" s="2922"/>
      <c r="W26" s="2922"/>
      <c r="X26" s="2922"/>
      <c r="Y26" s="2922"/>
      <c r="Z26" s="2922"/>
      <c r="AA26" s="2922"/>
      <c r="AB26" s="2922"/>
      <c r="AC26" s="2922"/>
      <c r="AD26" s="2922"/>
      <c r="AE26" s="2922"/>
      <c r="AF26" s="2922"/>
      <c r="AG26" s="2922"/>
      <c r="AH26" s="2922"/>
      <c r="AI26" s="2922"/>
      <c r="AJ26" s="2922"/>
      <c r="AK26" s="2922"/>
      <c r="AL26" s="2922"/>
      <c r="AM26" s="2922"/>
      <c r="AN26" s="2922"/>
      <c r="AO26" s="2922"/>
      <c r="AP26" s="2922"/>
      <c r="AQ26" s="2922"/>
      <c r="AR26" s="2922"/>
      <c r="AS26" s="2922"/>
      <c r="AT26" s="2922"/>
      <c r="AU26" s="2922"/>
      <c r="AV26" s="2922"/>
      <c r="AW26" s="2922"/>
      <c r="AX26" s="2922"/>
      <c r="AY26" s="2922"/>
      <c r="AZ26" s="2922"/>
    </row>
    <row r="27" spans="1:83" s="2876" customFormat="1" ht="27.75">
      <c r="A27" s="2937" t="s">
        <v>645</v>
      </c>
      <c r="B27" s="2938"/>
      <c r="C27" s="2939" t="s">
        <v>646</v>
      </c>
      <c r="D27" s="2940"/>
      <c r="E27" s="2941"/>
      <c r="F27" s="2941"/>
      <c r="G27" s="2924"/>
      <c r="H27" s="2924"/>
      <c r="I27" s="2924"/>
      <c r="J27" s="2924"/>
      <c r="K27" s="3014"/>
      <c r="L27" s="3014"/>
      <c r="M27" s="2922"/>
      <c r="N27" s="2922"/>
      <c r="O27" s="2922"/>
      <c r="P27" s="2922"/>
      <c r="Q27" s="2922"/>
      <c r="R27" s="2922"/>
      <c r="S27" s="2922"/>
      <c r="T27" s="2922"/>
      <c r="U27" s="2922"/>
      <c r="V27" s="2922"/>
      <c r="W27" s="2922"/>
      <c r="X27" s="2922"/>
      <c r="Y27" s="2922"/>
      <c r="Z27" s="2922"/>
      <c r="AA27" s="2922"/>
      <c r="AB27" s="2922"/>
      <c r="AC27" s="2922"/>
      <c r="AD27" s="2922"/>
      <c r="AE27" s="2922"/>
      <c r="AF27" s="2922"/>
      <c r="AG27" s="2922"/>
      <c r="AH27" s="2922"/>
      <c r="AI27" s="2922"/>
      <c r="AJ27" s="2922"/>
      <c r="AK27" s="2922"/>
      <c r="AL27" s="2922"/>
      <c r="AM27" s="2922"/>
      <c r="AN27" s="2922"/>
      <c r="AO27" s="2922"/>
      <c r="AP27" s="2922"/>
      <c r="AQ27" s="2922"/>
      <c r="AR27" s="2922"/>
      <c r="AS27" s="2922"/>
      <c r="AT27" s="2922"/>
      <c r="AU27" s="2922"/>
      <c r="AV27" s="2922"/>
      <c r="AW27" s="2922"/>
      <c r="AX27" s="2922"/>
      <c r="AY27" s="2922"/>
      <c r="AZ27" s="2922"/>
      <c r="BA27" s="3075"/>
      <c r="BB27" s="3075"/>
      <c r="BC27" s="3075"/>
      <c r="BD27" s="3075"/>
      <c r="BE27" s="3075"/>
      <c r="BF27" s="3075"/>
      <c r="BG27" s="3075"/>
      <c r="BH27" s="3075"/>
      <c r="BI27" s="3075"/>
      <c r="BJ27" s="3075"/>
      <c r="BK27" s="3075"/>
      <c r="BL27" s="3075"/>
      <c r="BM27" s="3075"/>
      <c r="BN27" s="3075"/>
      <c r="BO27" s="3075"/>
      <c r="BP27" s="3075"/>
      <c r="BQ27" s="3075"/>
      <c r="BR27" s="3075"/>
      <c r="BS27" s="3075"/>
      <c r="BT27" s="3075"/>
      <c r="BU27" s="3075"/>
      <c r="BV27" s="3075"/>
      <c r="BW27" s="3075"/>
      <c r="BX27" s="3075"/>
      <c r="BY27" s="3075"/>
      <c r="BZ27" s="3075"/>
      <c r="CA27" s="3075"/>
      <c r="CB27" s="3075"/>
      <c r="CC27" s="3075"/>
      <c r="CD27" s="3075"/>
      <c r="CE27" s="3075"/>
    </row>
    <row r="28" spans="1:83" s="2876" customFormat="1" ht="27.75">
      <c r="A28" s="2942" t="s">
        <v>647</v>
      </c>
      <c r="B28" s="2943">
        <v>118</v>
      </c>
      <c r="C28" s="2944"/>
      <c r="D28" s="2940"/>
      <c r="E28" s="2941"/>
      <c r="F28" s="2941"/>
      <c r="G28" s="2924"/>
      <c r="H28" s="2924"/>
      <c r="I28" s="2924"/>
      <c r="J28" s="2924"/>
      <c r="K28" s="3014"/>
      <c r="L28" s="3014"/>
      <c r="M28" s="2922"/>
      <c r="N28" s="2922"/>
      <c r="O28" s="2922"/>
      <c r="P28" s="2922"/>
      <c r="Q28" s="2922"/>
      <c r="R28" s="2922"/>
      <c r="S28" s="2922"/>
      <c r="T28" s="2922"/>
      <c r="U28" s="2922"/>
      <c r="V28" s="2922"/>
      <c r="W28" s="2922"/>
      <c r="X28" s="2922"/>
      <c r="Y28" s="2922"/>
      <c r="Z28" s="2922"/>
      <c r="AA28" s="2922"/>
      <c r="AB28" s="2922"/>
      <c r="AC28" s="2922"/>
      <c r="AD28" s="2922"/>
      <c r="AE28" s="2922"/>
      <c r="AF28" s="2922"/>
      <c r="AG28" s="2922"/>
      <c r="AH28" s="2922"/>
      <c r="AI28" s="2922"/>
      <c r="AJ28" s="2922"/>
      <c r="AK28" s="2922"/>
      <c r="AL28" s="2922"/>
      <c r="AM28" s="2922"/>
      <c r="AN28" s="2922"/>
      <c r="AO28" s="2922"/>
      <c r="AP28" s="2922"/>
      <c r="AQ28" s="2922"/>
      <c r="AR28" s="2922"/>
      <c r="AS28" s="2922"/>
      <c r="AT28" s="2922"/>
      <c r="AU28" s="2922"/>
      <c r="AV28" s="2922"/>
      <c r="AW28" s="2922"/>
      <c r="AX28" s="2922"/>
      <c r="AY28" s="2922"/>
      <c r="AZ28" s="2922"/>
      <c r="BA28" s="3075"/>
      <c r="BB28" s="3075"/>
      <c r="BC28" s="3075"/>
      <c r="BD28" s="3075"/>
      <c r="BE28" s="3075"/>
      <c r="BF28" s="3075"/>
      <c r="BG28" s="3075"/>
      <c r="BH28" s="3075"/>
      <c r="BI28" s="3075"/>
      <c r="BJ28" s="3075"/>
      <c r="BK28" s="3075"/>
      <c r="BL28" s="3075"/>
      <c r="BM28" s="3075"/>
      <c r="BN28" s="3075"/>
      <c r="BO28" s="3075"/>
      <c r="BP28" s="3075"/>
      <c r="BQ28" s="3075"/>
      <c r="BR28" s="3075"/>
      <c r="BS28" s="3075"/>
      <c r="BT28" s="3075"/>
      <c r="BU28" s="3075"/>
      <c r="BV28" s="3075"/>
      <c r="BW28" s="3075"/>
      <c r="BX28" s="3075"/>
      <c r="BY28" s="3075"/>
      <c r="BZ28" s="3075"/>
      <c r="CA28" s="3075"/>
      <c r="CB28" s="3075"/>
      <c r="CC28" s="3075"/>
      <c r="CD28" s="3075"/>
      <c r="CE28" s="3075"/>
    </row>
    <row r="29" spans="1:83" s="2876" customFormat="1" ht="27.75">
      <c r="A29" s="2945" t="s">
        <v>648</v>
      </c>
      <c r="B29" s="2946">
        <v>0</v>
      </c>
      <c r="C29" s="2947" t="s">
        <v>649</v>
      </c>
      <c r="D29" s="2940"/>
      <c r="E29" s="2941"/>
      <c r="F29" s="2941"/>
      <c r="G29" s="2924"/>
      <c r="H29" s="2924"/>
      <c r="I29" s="2924"/>
      <c r="J29" s="2924"/>
      <c r="K29" s="3014"/>
      <c r="L29" s="3014"/>
      <c r="M29" s="2922"/>
      <c r="N29" s="2922"/>
      <c r="O29" s="2922"/>
      <c r="P29" s="2922"/>
      <c r="Q29" s="2922"/>
      <c r="R29" s="2922"/>
      <c r="S29" s="2922"/>
      <c r="T29" s="2922"/>
      <c r="U29" s="2922"/>
      <c r="V29" s="2922"/>
      <c r="W29" s="2922"/>
      <c r="X29" s="2922"/>
      <c r="Y29" s="2922"/>
      <c r="Z29" s="2922"/>
      <c r="AA29" s="2922"/>
      <c r="AB29" s="2922"/>
      <c r="AC29" s="2922"/>
      <c r="AD29" s="2922"/>
      <c r="AE29" s="2922"/>
      <c r="AF29" s="2922"/>
      <c r="AG29" s="2922"/>
      <c r="AH29" s="2922"/>
      <c r="AI29" s="2922"/>
      <c r="AJ29" s="2922"/>
      <c r="AK29" s="2922"/>
      <c r="AL29" s="2922"/>
      <c r="AM29" s="2922"/>
      <c r="AN29" s="2922"/>
      <c r="AO29" s="2922"/>
      <c r="AP29" s="2922"/>
      <c r="AQ29" s="2922"/>
      <c r="AR29" s="2922"/>
      <c r="AS29" s="2922"/>
      <c r="AT29" s="2922"/>
      <c r="AU29" s="2922"/>
      <c r="AV29" s="2922"/>
      <c r="AW29" s="2922"/>
      <c r="AX29" s="2922"/>
      <c r="AY29" s="2922"/>
      <c r="AZ29" s="2922"/>
      <c r="BA29" s="3075"/>
      <c r="BB29" s="3075"/>
      <c r="BC29" s="3075"/>
      <c r="BD29" s="3075"/>
      <c r="BE29" s="3075"/>
      <c r="BF29" s="3075"/>
      <c r="BG29" s="3075"/>
      <c r="BH29" s="3075"/>
      <c r="BI29" s="3075"/>
      <c r="BJ29" s="3075"/>
      <c r="BK29" s="3075"/>
      <c r="BL29" s="3075"/>
      <c r="BM29" s="3075"/>
      <c r="BN29" s="3075"/>
      <c r="BO29" s="3075"/>
      <c r="BP29" s="3075"/>
      <c r="BQ29" s="3075"/>
      <c r="BR29" s="3075"/>
      <c r="BS29" s="3075"/>
      <c r="BT29" s="3075"/>
      <c r="BU29" s="3075"/>
      <c r="BV29" s="3075"/>
      <c r="BW29" s="3075"/>
      <c r="BX29" s="3075"/>
      <c r="BY29" s="3075"/>
      <c r="BZ29" s="3075"/>
      <c r="CA29" s="3075"/>
      <c r="CB29" s="3075"/>
      <c r="CC29" s="3075"/>
      <c r="CD29" s="3075"/>
      <c r="CE29" s="3075"/>
    </row>
    <row r="30" spans="1:83" s="2876" customFormat="1" ht="27">
      <c r="A30" s="2948" t="s">
        <v>650</v>
      </c>
      <c r="B30" s="2949">
        <v>200</v>
      </c>
      <c r="C30" s="2944"/>
      <c r="D30" s="2940"/>
      <c r="E30" s="2941"/>
      <c r="F30" s="2941"/>
      <c r="G30" s="2924"/>
      <c r="H30" s="2924"/>
      <c r="I30" s="2924"/>
      <c r="J30" s="2924"/>
      <c r="K30" s="3014"/>
      <c r="L30" s="3014"/>
      <c r="M30" s="2922"/>
      <c r="N30" s="2922"/>
      <c r="O30" s="2922"/>
      <c r="P30" s="2922"/>
      <c r="Q30" s="2922"/>
      <c r="R30" s="2922"/>
      <c r="S30" s="2922"/>
      <c r="T30" s="2922"/>
      <c r="U30" s="2922"/>
      <c r="V30" s="2922"/>
      <c r="W30" s="2922"/>
      <c r="X30" s="2922"/>
      <c r="Y30" s="2922"/>
      <c r="Z30" s="2922"/>
      <c r="AA30" s="2922"/>
      <c r="AB30" s="2922"/>
      <c r="AC30" s="2922"/>
      <c r="AD30" s="2922"/>
      <c r="AE30" s="2922"/>
      <c r="AF30" s="2922"/>
      <c r="AG30" s="2922"/>
      <c r="AH30" s="2922"/>
      <c r="AI30" s="2922"/>
      <c r="AJ30" s="2922"/>
      <c r="AK30" s="2922"/>
      <c r="AL30" s="2922"/>
      <c r="AM30" s="2922"/>
      <c r="AN30" s="2922"/>
      <c r="AO30" s="2922"/>
      <c r="AP30" s="2922"/>
      <c r="AQ30" s="2922"/>
      <c r="AR30" s="2922"/>
      <c r="AS30" s="2922"/>
      <c r="AT30" s="2922"/>
      <c r="AU30" s="2922"/>
      <c r="AV30" s="2922"/>
      <c r="AW30" s="2922"/>
      <c r="AX30" s="2922"/>
      <c r="AY30" s="2922"/>
      <c r="AZ30" s="2922"/>
      <c r="BA30" s="3075"/>
      <c r="BB30" s="3075"/>
      <c r="BC30" s="3075"/>
      <c r="BD30" s="3075"/>
      <c r="BE30" s="3075"/>
      <c r="BF30" s="3075"/>
      <c r="BG30" s="3075"/>
      <c r="BH30" s="3075"/>
      <c r="BI30" s="3075"/>
      <c r="BJ30" s="3075"/>
      <c r="BK30" s="3075"/>
      <c r="BL30" s="3075"/>
      <c r="BM30" s="3075"/>
      <c r="BN30" s="3075"/>
      <c r="BO30" s="3075"/>
      <c r="BP30" s="3075"/>
      <c r="BQ30" s="3075"/>
      <c r="BR30" s="3075"/>
      <c r="BS30" s="3075"/>
      <c r="BT30" s="3075"/>
      <c r="BU30" s="3075"/>
      <c r="BV30" s="3075"/>
      <c r="BW30" s="3075"/>
      <c r="BX30" s="3075"/>
      <c r="BY30" s="3075"/>
      <c r="BZ30" s="3075"/>
      <c r="CA30" s="3075"/>
      <c r="CB30" s="3075"/>
      <c r="CC30" s="3075"/>
      <c r="CD30" s="3075"/>
      <c r="CE30" s="3075"/>
    </row>
    <row r="31" spans="1:83" s="2876" customFormat="1" ht="27">
      <c r="A31" s="2942" t="s">
        <v>651</v>
      </c>
      <c r="B31" s="2950">
        <f>B30-B32</f>
        <v>200</v>
      </c>
      <c r="C31" s="2951"/>
      <c r="D31" s="2940"/>
      <c r="E31" s="2941"/>
      <c r="F31" s="2941"/>
      <c r="G31" s="2924"/>
      <c r="H31" s="2924"/>
      <c r="I31" s="2924"/>
      <c r="J31" s="2924"/>
      <c r="K31" s="3014"/>
      <c r="L31" s="3014"/>
      <c r="M31" s="2922"/>
      <c r="N31" s="2922"/>
      <c r="O31" s="2922"/>
      <c r="P31" s="2922"/>
      <c r="Q31" s="2922"/>
      <c r="R31" s="2922"/>
      <c r="S31" s="2922"/>
      <c r="T31" s="2922"/>
      <c r="U31" s="2922"/>
      <c r="V31" s="2922"/>
      <c r="W31" s="2922"/>
      <c r="X31" s="2922"/>
      <c r="Y31" s="2922"/>
      <c r="Z31" s="2922"/>
      <c r="AA31" s="2922"/>
      <c r="AB31" s="2922"/>
      <c r="AC31" s="2922"/>
      <c r="AD31" s="2922"/>
      <c r="AE31" s="2922"/>
      <c r="AF31" s="2922"/>
      <c r="AG31" s="2922"/>
      <c r="AH31" s="2922"/>
      <c r="AI31" s="2922"/>
      <c r="AJ31" s="2922"/>
      <c r="AK31" s="2922"/>
      <c r="AL31" s="2922"/>
      <c r="AM31" s="2922"/>
      <c r="AN31" s="2922"/>
      <c r="AO31" s="2922"/>
      <c r="AP31" s="2922"/>
      <c r="AQ31" s="2922"/>
      <c r="AR31" s="2922"/>
      <c r="AS31" s="2922"/>
      <c r="AT31" s="2922"/>
      <c r="AU31" s="2922"/>
      <c r="AV31" s="2922"/>
      <c r="AW31" s="2922"/>
      <c r="AX31" s="2922"/>
      <c r="AY31" s="2922"/>
      <c r="AZ31" s="2922"/>
      <c r="BA31" s="3075"/>
      <c r="BB31" s="3075"/>
      <c r="BC31" s="3075"/>
      <c r="BD31" s="3075"/>
      <c r="BE31" s="3075"/>
      <c r="BF31" s="3075"/>
      <c r="BG31" s="3075"/>
      <c r="BH31" s="3075"/>
      <c r="BI31" s="3075"/>
      <c r="BJ31" s="3075"/>
      <c r="BK31" s="3075"/>
      <c r="BL31" s="3075"/>
      <c r="BM31" s="3075"/>
      <c r="BN31" s="3075"/>
      <c r="BO31" s="3075"/>
      <c r="BP31" s="3075"/>
      <c r="BQ31" s="3075"/>
      <c r="BR31" s="3075"/>
      <c r="BS31" s="3075"/>
      <c r="BT31" s="3075"/>
      <c r="BU31" s="3075"/>
      <c r="BV31" s="3075"/>
      <c r="BW31" s="3075"/>
      <c r="BX31" s="3075"/>
      <c r="BY31" s="3075"/>
      <c r="BZ31" s="3075"/>
      <c r="CA31" s="3075"/>
      <c r="CB31" s="3075"/>
      <c r="CC31" s="3075"/>
      <c r="CD31" s="3075"/>
      <c r="CE31" s="3075"/>
    </row>
    <row r="32" spans="1:83" s="2876" customFormat="1" ht="27">
      <c r="A32" s="2952" t="s">
        <v>652</v>
      </c>
      <c r="B32" s="2953">
        <v>0</v>
      </c>
      <c r="C32" s="2944"/>
      <c r="D32" s="2925"/>
      <c r="E32" s="2924"/>
      <c r="F32" s="2924"/>
      <c r="G32" s="2924"/>
      <c r="H32" s="2924"/>
      <c r="I32" s="2924"/>
      <c r="J32" s="2924"/>
      <c r="K32" s="3014"/>
      <c r="L32" s="3014"/>
      <c r="M32" s="2922"/>
      <c r="N32" s="2922"/>
      <c r="O32" s="2922"/>
      <c r="P32" s="2922"/>
      <c r="Q32" s="2922"/>
      <c r="R32" s="2922"/>
      <c r="S32" s="2922"/>
      <c r="T32" s="2922"/>
      <c r="U32" s="2922"/>
      <c r="V32" s="2922"/>
      <c r="W32" s="2922"/>
      <c r="X32" s="2922"/>
      <c r="Y32" s="2922"/>
      <c r="Z32" s="2922"/>
      <c r="AA32" s="2922"/>
      <c r="AB32" s="2922"/>
      <c r="AC32" s="2922"/>
      <c r="AD32" s="2922"/>
      <c r="AE32" s="2922"/>
      <c r="AF32" s="2922"/>
      <c r="AG32" s="2922"/>
      <c r="AH32" s="2922"/>
      <c r="AI32" s="2922"/>
      <c r="AJ32" s="2922"/>
      <c r="AK32" s="2922"/>
      <c r="AL32" s="2922"/>
      <c r="AM32" s="2922"/>
      <c r="AN32" s="2922"/>
      <c r="AO32" s="2922"/>
      <c r="AP32" s="2922"/>
      <c r="AQ32" s="2922"/>
      <c r="AR32" s="2922"/>
      <c r="AS32" s="2922"/>
      <c r="AT32" s="2922"/>
      <c r="AU32" s="2922"/>
      <c r="AV32" s="2922"/>
      <c r="AW32" s="2922"/>
      <c r="AX32" s="2922"/>
      <c r="AY32" s="2922"/>
      <c r="AZ32" s="2922"/>
      <c r="BA32" s="3075"/>
      <c r="BB32" s="3075"/>
      <c r="BC32" s="3075"/>
      <c r="BD32" s="3075"/>
      <c r="BE32" s="3075"/>
      <c r="BF32" s="3075"/>
      <c r="BG32" s="3075"/>
      <c r="BH32" s="3075"/>
      <c r="BI32" s="3075"/>
      <c r="BJ32" s="3075"/>
      <c r="BK32" s="3075"/>
      <c r="BL32" s="3075"/>
      <c r="BM32" s="3075"/>
      <c r="BN32" s="3075"/>
      <c r="BO32" s="3075"/>
      <c r="BP32" s="3075"/>
      <c r="BQ32" s="3075"/>
      <c r="BR32" s="3075"/>
      <c r="BS32" s="3075"/>
      <c r="BT32" s="3075"/>
      <c r="BU32" s="3075"/>
      <c r="BV32" s="3075"/>
      <c r="BW32" s="3075"/>
      <c r="BX32" s="3075"/>
      <c r="BY32" s="3075"/>
      <c r="BZ32" s="3075"/>
      <c r="CA32" s="3075"/>
      <c r="CB32" s="3075"/>
      <c r="CC32" s="3075"/>
      <c r="CD32" s="3075"/>
      <c r="CE32" s="3075"/>
    </row>
    <row r="33" spans="1:83" s="2876" customFormat="1" ht="14.25">
      <c r="A33" s="2937" t="s">
        <v>653</v>
      </c>
      <c r="B33" s="2954">
        <v>0.05</v>
      </c>
      <c r="C33" s="2955" t="s">
        <v>654</v>
      </c>
      <c r="D33" s="2940"/>
      <c r="E33" s="2941"/>
      <c r="F33" s="2941"/>
      <c r="G33" s="2924"/>
      <c r="H33" s="2924"/>
      <c r="I33" s="2924"/>
      <c r="J33" s="2924"/>
      <c r="K33" s="3014"/>
      <c r="L33" s="3014"/>
      <c r="M33" s="2922"/>
      <c r="N33" s="2922"/>
      <c r="O33" s="2922"/>
      <c r="P33" s="2922"/>
      <c r="Q33" s="2922"/>
      <c r="R33" s="2922"/>
      <c r="S33" s="2922"/>
      <c r="T33" s="2922"/>
      <c r="U33" s="2922"/>
      <c r="V33" s="2922"/>
      <c r="W33" s="2922"/>
      <c r="X33" s="2922"/>
      <c r="Y33" s="2922"/>
      <c r="Z33" s="2922"/>
      <c r="AA33" s="2922"/>
      <c r="AB33" s="2922"/>
      <c r="AC33" s="2922"/>
      <c r="AD33" s="2922"/>
      <c r="AE33" s="2922"/>
      <c r="AF33" s="2922"/>
      <c r="AG33" s="2922"/>
      <c r="AH33" s="2922"/>
      <c r="AI33" s="2922"/>
      <c r="AJ33" s="2922"/>
      <c r="AK33" s="2922"/>
      <c r="AL33" s="2922"/>
      <c r="AM33" s="2922"/>
      <c r="AN33" s="2922"/>
      <c r="AO33" s="2922"/>
      <c r="AP33" s="2922"/>
      <c r="AQ33" s="2922"/>
      <c r="AR33" s="2922"/>
      <c r="AS33" s="2922"/>
      <c r="AT33" s="2922"/>
      <c r="AU33" s="2922"/>
      <c r="AV33" s="2922"/>
      <c r="AW33" s="2922"/>
      <c r="AX33" s="2922"/>
      <c r="AY33" s="2922"/>
      <c r="AZ33" s="2922"/>
      <c r="BA33" s="3075"/>
      <c r="BB33" s="3075"/>
      <c r="BC33" s="3075"/>
      <c r="BD33" s="3075"/>
      <c r="BE33" s="3075"/>
      <c r="BF33" s="3075"/>
      <c r="BG33" s="3075"/>
      <c r="BH33" s="3075"/>
      <c r="BI33" s="3075"/>
      <c r="BJ33" s="3075"/>
      <c r="BK33" s="3075"/>
      <c r="BL33" s="3075"/>
      <c r="BM33" s="3075"/>
      <c r="BN33" s="3075"/>
      <c r="BO33" s="3075"/>
      <c r="BP33" s="3075"/>
      <c r="BQ33" s="3075"/>
      <c r="BR33" s="3075"/>
      <c r="BS33" s="3075"/>
      <c r="BT33" s="3075"/>
      <c r="BU33" s="3075"/>
      <c r="BV33" s="3075"/>
      <c r="BW33" s="3075"/>
      <c r="BX33" s="3075"/>
      <c r="BY33" s="3075"/>
      <c r="BZ33" s="3075"/>
      <c r="CA33" s="3075"/>
      <c r="CB33" s="3075"/>
      <c r="CC33" s="3075"/>
      <c r="CD33" s="3075"/>
      <c r="CE33" s="3075"/>
    </row>
    <row r="34" spans="1:83" ht="14.25">
      <c r="A34" s="2942" t="s">
        <v>655</v>
      </c>
      <c r="B34" s="2956">
        <v>0</v>
      </c>
      <c r="C34" s="2955" t="s">
        <v>656</v>
      </c>
      <c r="D34" s="2957" t="s">
        <v>657</v>
      </c>
      <c r="E34" s="2922"/>
      <c r="F34" s="2924"/>
      <c r="G34" s="2924"/>
      <c r="H34" s="2924"/>
      <c r="I34" s="2924"/>
      <c r="J34" s="2924"/>
      <c r="K34" s="3014"/>
      <c r="L34" s="3014"/>
      <c r="M34" s="2922"/>
      <c r="N34" s="2922"/>
      <c r="O34" s="2922"/>
      <c r="P34" s="2922"/>
      <c r="Q34" s="2922"/>
      <c r="R34" s="2922"/>
      <c r="S34" s="2922"/>
      <c r="T34" s="2922"/>
      <c r="U34" s="2922"/>
      <c r="V34" s="2922"/>
      <c r="W34" s="2922"/>
      <c r="X34" s="2922"/>
      <c r="Y34" s="2922"/>
      <c r="Z34" s="2922"/>
      <c r="AA34" s="2922"/>
      <c r="AB34" s="2922"/>
      <c r="AC34" s="2922"/>
      <c r="AD34" s="2922"/>
      <c r="AE34" s="2922"/>
      <c r="AF34" s="2922"/>
      <c r="AG34" s="2922"/>
      <c r="AH34" s="2922"/>
      <c r="AI34" s="2922"/>
      <c r="AJ34" s="2922"/>
      <c r="AK34" s="2922"/>
      <c r="AL34" s="2922"/>
      <c r="AM34" s="2922"/>
      <c r="AN34" s="2922"/>
      <c r="AO34" s="2922"/>
      <c r="AP34" s="2922"/>
      <c r="AQ34" s="2922"/>
      <c r="AR34" s="2922"/>
      <c r="AS34" s="2922"/>
      <c r="AT34" s="2922"/>
      <c r="AU34" s="2922"/>
      <c r="AV34" s="2922"/>
      <c r="AW34" s="2922"/>
      <c r="AX34" s="2922"/>
      <c r="AY34" s="2922"/>
      <c r="AZ34" s="2922"/>
    </row>
    <row r="35" spans="1:83" ht="14.25">
      <c r="A35" s="2942" t="s">
        <v>658</v>
      </c>
      <c r="B35" s="2943">
        <v>200</v>
      </c>
      <c r="C35" s="2955" t="s">
        <v>659</v>
      </c>
      <c r="D35" s="2925"/>
      <c r="E35" s="2924"/>
      <c r="F35" s="2924"/>
      <c r="G35" s="2924"/>
      <c r="H35" s="2924"/>
      <c r="I35" s="2924"/>
      <c r="J35" s="2924"/>
      <c r="K35" s="3014"/>
      <c r="L35" s="3014"/>
      <c r="M35" s="2922"/>
      <c r="N35" s="2922"/>
      <c r="O35" s="2922"/>
      <c r="P35" s="2922"/>
      <c r="Q35" s="2922"/>
      <c r="R35" s="2922"/>
      <c r="S35" s="2922"/>
      <c r="T35" s="2922"/>
      <c r="U35" s="2922"/>
      <c r="V35" s="2922"/>
      <c r="W35" s="2922"/>
      <c r="X35" s="2922"/>
      <c r="Y35" s="2922"/>
      <c r="Z35" s="2922"/>
      <c r="AA35" s="2922"/>
      <c r="AB35" s="2922"/>
      <c r="AC35" s="2922"/>
      <c r="AD35" s="2922"/>
      <c r="AE35" s="2922"/>
      <c r="AF35" s="2922"/>
      <c r="AG35" s="2922"/>
      <c r="AH35" s="2922"/>
      <c r="AI35" s="2922"/>
      <c r="AJ35" s="2922"/>
      <c r="AK35" s="2922"/>
      <c r="AL35" s="2922"/>
      <c r="AM35" s="2922"/>
      <c r="AN35" s="2922"/>
      <c r="AO35" s="2922"/>
      <c r="AP35" s="2922"/>
      <c r="AQ35" s="2922"/>
      <c r="AR35" s="2922"/>
      <c r="AS35" s="2922"/>
      <c r="AT35" s="2922"/>
      <c r="AU35" s="2922"/>
      <c r="AV35" s="2922"/>
      <c r="AW35" s="2922"/>
      <c r="AX35" s="2922"/>
      <c r="AY35" s="2922"/>
      <c r="AZ35" s="2922"/>
    </row>
    <row r="36" spans="1:83" ht="14.25">
      <c r="A36" s="2945" t="s">
        <v>660</v>
      </c>
      <c r="B36" s="2958">
        <v>0.02</v>
      </c>
      <c r="C36" s="2955" t="s">
        <v>661</v>
      </c>
      <c r="D36" s="2923"/>
      <c r="E36" s="2922"/>
      <c r="F36" s="2924"/>
      <c r="G36" s="2924"/>
      <c r="H36" s="2924"/>
      <c r="I36" s="2924"/>
      <c r="J36" s="2924"/>
      <c r="K36" s="3014"/>
      <c r="L36" s="3014"/>
      <c r="M36" s="2922"/>
      <c r="N36" s="2922"/>
      <c r="O36" s="2922"/>
      <c r="P36" s="2922"/>
      <c r="Q36" s="2922"/>
      <c r="R36" s="2922"/>
      <c r="S36" s="2922"/>
      <c r="T36" s="2922"/>
      <c r="U36" s="2922"/>
      <c r="V36" s="2922"/>
      <c r="W36" s="2922"/>
      <c r="X36" s="2922"/>
      <c r="Y36" s="2922"/>
      <c r="Z36" s="2922"/>
      <c r="AA36" s="2922"/>
      <c r="AB36" s="2922"/>
      <c r="AC36" s="2922"/>
      <c r="AD36" s="2922"/>
      <c r="AE36" s="2922"/>
      <c r="AF36" s="2922"/>
      <c r="AG36" s="2922"/>
      <c r="AH36" s="2922"/>
      <c r="AI36" s="2922"/>
      <c r="AJ36" s="2922"/>
      <c r="AK36" s="2922"/>
      <c r="AL36" s="2922"/>
      <c r="AM36" s="2922"/>
      <c r="AN36" s="2922"/>
      <c r="AO36" s="2922"/>
      <c r="AP36" s="2922"/>
      <c r="AQ36" s="2922"/>
      <c r="AR36" s="2922"/>
      <c r="AS36" s="2922"/>
      <c r="AT36" s="2922"/>
      <c r="AU36" s="2922"/>
      <c r="AV36" s="2922"/>
      <c r="AW36" s="2922"/>
      <c r="AX36" s="2922"/>
      <c r="AY36" s="2922"/>
      <c r="AZ36" s="2922"/>
    </row>
    <row r="37" spans="1:83" ht="14.25">
      <c r="A37" s="2948" t="s">
        <v>662</v>
      </c>
      <c r="B37" s="2959">
        <v>0.02</v>
      </c>
      <c r="C37" s="2955" t="s">
        <v>663</v>
      </c>
      <c r="D37" s="2925"/>
      <c r="E37" s="2924"/>
      <c r="F37" s="2924"/>
      <c r="G37" s="2924"/>
      <c r="H37" s="2924"/>
      <c r="I37" s="2924"/>
      <c r="J37" s="2924"/>
      <c r="K37" s="3014"/>
      <c r="L37" s="3014"/>
      <c r="M37" s="2922"/>
      <c r="N37" s="2922"/>
      <c r="O37" s="2922"/>
      <c r="P37" s="2922"/>
      <c r="Q37" s="2922"/>
      <c r="R37" s="2922"/>
      <c r="S37" s="2922"/>
      <c r="T37" s="2922"/>
      <c r="U37" s="2922"/>
      <c r="V37" s="2922"/>
      <c r="W37" s="2922"/>
      <c r="X37" s="2922"/>
      <c r="Y37" s="2922"/>
      <c r="Z37" s="2922"/>
      <c r="AA37" s="2922"/>
      <c r="AB37" s="2922"/>
      <c r="AC37" s="2922"/>
      <c r="AD37" s="2922"/>
      <c r="AE37" s="2922"/>
      <c r="AF37" s="2922"/>
      <c r="AG37" s="2922"/>
      <c r="AH37" s="2922"/>
      <c r="AI37" s="2922"/>
      <c r="AJ37" s="2922"/>
      <c r="AK37" s="2922"/>
      <c r="AL37" s="2922"/>
      <c r="AM37" s="2922"/>
      <c r="AN37" s="2922"/>
      <c r="AO37" s="2922"/>
      <c r="AP37" s="2922"/>
      <c r="AQ37" s="2922"/>
      <c r="AR37" s="2922"/>
      <c r="AS37" s="2922"/>
      <c r="AT37" s="2922"/>
      <c r="AU37" s="2922"/>
      <c r="AV37" s="2922"/>
      <c r="AW37" s="2922"/>
      <c r="AX37" s="2922"/>
      <c r="AY37" s="2922"/>
      <c r="AZ37" s="2922"/>
    </row>
    <row r="38" spans="1:83" ht="14.25">
      <c r="A38" s="2942" t="s">
        <v>664</v>
      </c>
      <c r="B38" s="2956">
        <v>0.02</v>
      </c>
      <c r="C38" s="2955" t="s">
        <v>663</v>
      </c>
      <c r="D38" s="2925"/>
      <c r="E38" s="2924"/>
      <c r="F38" s="2924"/>
      <c r="G38" s="2924"/>
      <c r="H38" s="2924"/>
      <c r="I38" s="2924"/>
      <c r="J38" s="2924"/>
      <c r="K38" s="3014"/>
      <c r="L38" s="3014"/>
      <c r="M38" s="2922"/>
      <c r="N38" s="2922"/>
      <c r="O38" s="2922"/>
      <c r="P38" s="2922"/>
      <c r="Q38" s="2922"/>
      <c r="R38" s="2922"/>
      <c r="S38" s="2922"/>
      <c r="T38" s="2922"/>
      <c r="U38" s="2922"/>
      <c r="V38" s="2922"/>
      <c r="W38" s="2922"/>
      <c r="X38" s="2922"/>
      <c r="Y38" s="2922"/>
      <c r="Z38" s="2922"/>
      <c r="AA38" s="2922"/>
      <c r="AB38" s="2922"/>
      <c r="AC38" s="2922"/>
      <c r="AD38" s="2922"/>
      <c r="AE38" s="2922"/>
      <c r="AF38" s="2922"/>
      <c r="AG38" s="2922"/>
      <c r="AH38" s="2922"/>
      <c r="AI38" s="2922"/>
      <c r="AJ38" s="2922"/>
      <c r="AK38" s="2922"/>
      <c r="AL38" s="2922"/>
      <c r="AM38" s="2922"/>
      <c r="AN38" s="2922"/>
      <c r="AO38" s="2922"/>
      <c r="AP38" s="2922"/>
      <c r="AQ38" s="2922"/>
      <c r="AR38" s="2922"/>
      <c r="AS38" s="2922"/>
      <c r="AT38" s="2922"/>
      <c r="AU38" s="2922"/>
      <c r="AV38" s="2922"/>
      <c r="AW38" s="2922"/>
      <c r="AX38" s="2922"/>
      <c r="AY38" s="2922"/>
      <c r="AZ38" s="2922"/>
    </row>
    <row r="39" spans="1:83" ht="14.25">
      <c r="A39" s="2960" t="s">
        <v>665</v>
      </c>
      <c r="B39" s="1112">
        <f ca="1">存贷款利率!C4</f>
        <v>1.4999999999999999E-2</v>
      </c>
      <c r="C39" s="2961"/>
      <c r="D39" s="2925"/>
      <c r="E39" s="2924"/>
      <c r="F39" s="2924"/>
      <c r="G39" s="2924"/>
      <c r="H39" s="2924"/>
      <c r="I39" s="2924"/>
      <c r="J39" s="2924"/>
      <c r="K39" s="3014"/>
      <c r="L39" s="3014"/>
      <c r="M39" s="2922"/>
      <c r="N39" s="2922"/>
      <c r="O39" s="2922"/>
      <c r="P39" s="2922"/>
      <c r="Q39" s="2922"/>
      <c r="R39" s="2922"/>
      <c r="S39" s="2922"/>
      <c r="T39" s="2922"/>
      <c r="U39" s="2922"/>
      <c r="V39" s="2922"/>
      <c r="W39" s="2922"/>
      <c r="X39" s="2922"/>
      <c r="Y39" s="2922"/>
      <c r="Z39" s="2922"/>
      <c r="AA39" s="2922"/>
      <c r="AB39" s="2922"/>
      <c r="AC39" s="2922"/>
      <c r="AD39" s="2922"/>
      <c r="AE39" s="2922"/>
      <c r="AF39" s="2922"/>
      <c r="AG39" s="2922"/>
      <c r="AH39" s="2922"/>
      <c r="AI39" s="2922"/>
      <c r="AJ39" s="2922"/>
      <c r="AK39" s="2922"/>
      <c r="AL39" s="2922"/>
      <c r="AM39" s="2922"/>
      <c r="AN39" s="2922"/>
      <c r="AO39" s="2922"/>
      <c r="AP39" s="2922"/>
      <c r="AQ39" s="2922"/>
      <c r="AR39" s="2922"/>
      <c r="AS39" s="2922"/>
      <c r="AT39" s="2922"/>
      <c r="AU39" s="2922"/>
      <c r="AV39" s="2922"/>
      <c r="AW39" s="2922"/>
      <c r="AX39" s="2922"/>
      <c r="AY39" s="2922"/>
      <c r="AZ39" s="2922"/>
    </row>
    <row r="40" spans="1:83" ht="14.25">
      <c r="A40" s="2962" t="s">
        <v>666</v>
      </c>
      <c r="B40" s="2963">
        <f ca="1">IF(A40="利息：取LPR",存贷款利率!E2,存贷款利率!E2+C40)</f>
        <v>3.4500000000000003E-2</v>
      </c>
      <c r="C40" s="2964">
        <v>5.0000000000000001E-3</v>
      </c>
      <c r="D40" s="2925"/>
      <c r="E40" s="2924"/>
      <c r="F40" s="2924"/>
      <c r="G40" s="2924"/>
      <c r="H40" s="2924"/>
      <c r="I40" s="2924"/>
      <c r="J40" s="2924"/>
      <c r="K40" s="3014"/>
      <c r="L40" s="3014"/>
      <c r="M40" s="2922"/>
      <c r="N40" s="2922"/>
      <c r="O40" s="2922"/>
      <c r="P40" s="2922"/>
      <c r="Q40" s="2922"/>
      <c r="R40" s="2922"/>
      <c r="S40" s="2922"/>
      <c r="T40" s="2922"/>
      <c r="U40" s="2922"/>
      <c r="V40" s="2922"/>
      <c r="W40" s="2922"/>
      <c r="X40" s="2922"/>
      <c r="Y40" s="2922"/>
      <c r="Z40" s="2922"/>
      <c r="AA40" s="2922"/>
      <c r="AB40" s="2922"/>
      <c r="AC40" s="2922"/>
      <c r="AD40" s="2922"/>
      <c r="AE40" s="2922"/>
      <c r="AF40" s="2922"/>
      <c r="AG40" s="2922"/>
      <c r="AH40" s="2922"/>
      <c r="AI40" s="2922"/>
      <c r="AJ40" s="2922"/>
      <c r="AK40" s="2922"/>
      <c r="AL40" s="2922"/>
      <c r="AM40" s="2922"/>
      <c r="AN40" s="2922"/>
      <c r="AO40" s="2922"/>
      <c r="AP40" s="2922"/>
      <c r="AQ40" s="2922"/>
      <c r="AR40" s="2922"/>
      <c r="AS40" s="2922"/>
      <c r="AT40" s="2922"/>
      <c r="AU40" s="2922"/>
      <c r="AV40" s="2922"/>
      <c r="AW40" s="2922"/>
      <c r="AX40" s="2922"/>
      <c r="AY40" s="2922"/>
      <c r="AZ40" s="2922"/>
    </row>
    <row r="41" spans="1:83" ht="14.25">
      <c r="A41" s="2937" t="s">
        <v>667</v>
      </c>
      <c r="B41" s="2965">
        <f>B42+B43</f>
        <v>5.5E-2</v>
      </c>
      <c r="C41" s="2951"/>
      <c r="D41" s="2925"/>
      <c r="E41" s="2924"/>
      <c r="F41" s="2924"/>
      <c r="G41" s="2924"/>
      <c r="H41" s="2924"/>
      <c r="I41" s="2924"/>
      <c r="J41" s="2924"/>
      <c r="K41" s="3014"/>
      <c r="L41" s="3014"/>
      <c r="M41" s="2922"/>
      <c r="N41" s="2922"/>
      <c r="O41" s="2922"/>
      <c r="P41" s="2922"/>
      <c r="Q41" s="2922"/>
      <c r="R41" s="2922"/>
      <c r="S41" s="2922"/>
      <c r="T41" s="2922"/>
      <c r="U41" s="2922"/>
      <c r="V41" s="2922"/>
      <c r="W41" s="2922"/>
      <c r="X41" s="2922"/>
      <c r="Y41" s="2922"/>
      <c r="Z41" s="2922"/>
      <c r="AA41" s="2922"/>
      <c r="AB41" s="2922"/>
      <c r="AC41" s="2922"/>
      <c r="AD41" s="2922"/>
      <c r="AE41" s="2922"/>
      <c r="AF41" s="2922"/>
      <c r="AG41" s="2922"/>
      <c r="AH41" s="2922"/>
      <c r="AI41" s="2922"/>
      <c r="AJ41" s="2922"/>
      <c r="AK41" s="2922"/>
      <c r="AL41" s="2922"/>
      <c r="AM41" s="2922"/>
      <c r="AN41" s="2922"/>
      <c r="AO41" s="2922"/>
      <c r="AP41" s="2922"/>
      <c r="AQ41" s="2922"/>
      <c r="AR41" s="2922"/>
      <c r="AS41" s="2922"/>
      <c r="AT41" s="2922"/>
      <c r="AU41" s="2922"/>
      <c r="AV41" s="2922"/>
      <c r="AW41" s="2922"/>
      <c r="AX41" s="2922"/>
      <c r="AY41" s="2922"/>
      <c r="AZ41" s="2922"/>
    </row>
    <row r="42" spans="1:83" ht="14.25">
      <c r="A42" s="2966" t="s">
        <v>668</v>
      </c>
      <c r="B42" s="2967">
        <v>0.05</v>
      </c>
      <c r="C42" s="2968">
        <f>IF(B2&lt;DATE(2016,5,1),0,B42)</f>
        <v>0.05</v>
      </c>
      <c r="D42" s="2925"/>
      <c r="E42" s="2924"/>
      <c r="F42" s="2924"/>
      <c r="G42" s="2924"/>
      <c r="H42" s="2924"/>
      <c r="I42" s="2924"/>
      <c r="J42" s="2924"/>
      <c r="K42" s="3014"/>
      <c r="L42" s="3014"/>
      <c r="M42" s="2922"/>
      <c r="N42" s="2922"/>
      <c r="O42" s="2922"/>
      <c r="P42" s="2922"/>
      <c r="Q42" s="2922"/>
      <c r="R42" s="2922"/>
      <c r="S42" s="2922"/>
      <c r="T42" s="2922"/>
      <c r="U42" s="2922"/>
      <c r="V42" s="2922"/>
      <c r="W42" s="2922"/>
      <c r="X42" s="2922"/>
      <c r="Y42" s="2922"/>
      <c r="Z42" s="2922"/>
      <c r="AA42" s="2922"/>
      <c r="AB42" s="2922"/>
      <c r="AC42" s="2922"/>
      <c r="AD42" s="2922"/>
      <c r="AE42" s="2922"/>
      <c r="AF42" s="2922"/>
      <c r="AG42" s="2922"/>
      <c r="AH42" s="2922"/>
      <c r="AI42" s="2922"/>
      <c r="AJ42" s="2922"/>
      <c r="AK42" s="2922"/>
      <c r="AL42" s="2922"/>
      <c r="AM42" s="2922"/>
      <c r="AN42" s="2922"/>
      <c r="AO42" s="2922"/>
      <c r="AP42" s="2922"/>
      <c r="AQ42" s="2922"/>
      <c r="AR42" s="2922"/>
      <c r="AS42" s="2922"/>
      <c r="AT42" s="2922"/>
      <c r="AU42" s="2922"/>
      <c r="AV42" s="2922"/>
      <c r="AW42" s="2922"/>
      <c r="AX42" s="2922"/>
      <c r="AY42" s="2922"/>
      <c r="AZ42" s="2922"/>
    </row>
    <row r="43" spans="1:83" ht="14.25">
      <c r="A43" s="2966" t="s">
        <v>669</v>
      </c>
      <c r="B43" s="2969">
        <f>B42*(B44+B45+B46)+B47</f>
        <v>5.0000000000000001E-3</v>
      </c>
      <c r="C43" s="2951"/>
      <c r="D43" s="2925"/>
      <c r="E43" s="2924"/>
      <c r="F43" s="2924"/>
      <c r="G43" s="2924"/>
      <c r="H43" s="2924"/>
      <c r="I43" s="2924"/>
      <c r="J43" s="2924"/>
      <c r="K43" s="3014"/>
      <c r="L43" s="3014"/>
      <c r="M43" s="2922"/>
      <c r="N43" s="2922"/>
      <c r="O43" s="2922"/>
      <c r="P43" s="2922"/>
      <c r="Q43" s="2922"/>
      <c r="R43" s="2922"/>
      <c r="S43" s="2922"/>
      <c r="T43" s="2922"/>
      <c r="U43" s="2922"/>
      <c r="V43" s="2922"/>
      <c r="W43" s="2922"/>
      <c r="X43" s="2922"/>
      <c r="Y43" s="2922"/>
      <c r="Z43" s="2922"/>
      <c r="AA43" s="2922"/>
      <c r="AB43" s="2922"/>
      <c r="AC43" s="2922"/>
      <c r="AD43" s="2922"/>
      <c r="AE43" s="2922"/>
      <c r="AF43" s="2922"/>
      <c r="AG43" s="2922"/>
      <c r="AH43" s="2922"/>
      <c r="AI43" s="2922"/>
      <c r="AJ43" s="2922"/>
      <c r="AK43" s="2922"/>
      <c r="AL43" s="2922"/>
      <c r="AM43" s="2922"/>
      <c r="AN43" s="2922"/>
      <c r="AO43" s="2922"/>
      <c r="AP43" s="2922"/>
      <c r="AQ43" s="2922"/>
      <c r="AR43" s="2922"/>
      <c r="AS43" s="2922"/>
      <c r="AT43" s="2922"/>
      <c r="AU43" s="2922"/>
      <c r="AV43" s="2922"/>
      <c r="AW43" s="2922"/>
      <c r="AX43" s="2922"/>
      <c r="AY43" s="2922"/>
      <c r="AZ43" s="2922"/>
    </row>
    <row r="44" spans="1:83" ht="14.25">
      <c r="A44" s="2970" t="s">
        <v>670</v>
      </c>
      <c r="B44" s="2971">
        <v>0.05</v>
      </c>
      <c r="C44" s="2955" t="s">
        <v>671</v>
      </c>
      <c r="D44" s="2925"/>
      <c r="E44" s="2924"/>
      <c r="F44" s="2924"/>
      <c r="G44" s="2924"/>
      <c r="H44" s="2924"/>
      <c r="I44" s="2924"/>
      <c r="J44" s="2924"/>
      <c r="K44" s="3014"/>
      <c r="L44" s="3014"/>
      <c r="M44" s="2922"/>
      <c r="N44" s="2922"/>
      <c r="O44" s="2922"/>
      <c r="P44" s="2922"/>
      <c r="Q44" s="2922"/>
      <c r="R44" s="2922"/>
      <c r="S44" s="2922"/>
      <c r="T44" s="2922"/>
      <c r="U44" s="2922"/>
      <c r="V44" s="2922"/>
      <c r="W44" s="2922"/>
      <c r="X44" s="2922"/>
      <c r="Y44" s="2922"/>
      <c r="Z44" s="2922"/>
      <c r="AA44" s="2922"/>
      <c r="AB44" s="2922"/>
      <c r="AC44" s="2922"/>
      <c r="AD44" s="2922"/>
      <c r="AE44" s="2922"/>
      <c r="AF44" s="2922"/>
      <c r="AG44" s="2922"/>
      <c r="AH44" s="2922"/>
      <c r="AI44" s="2922"/>
      <c r="AJ44" s="2922"/>
      <c r="AK44" s="2922"/>
      <c r="AL44" s="2922"/>
      <c r="AM44" s="2922"/>
      <c r="AN44" s="2922"/>
      <c r="AO44" s="2922"/>
      <c r="AP44" s="2922"/>
      <c r="AQ44" s="2922"/>
      <c r="AR44" s="2922"/>
      <c r="AS44" s="2922"/>
      <c r="AT44" s="2922"/>
      <c r="AU44" s="2922"/>
      <c r="AV44" s="2922"/>
      <c r="AW44" s="2922"/>
      <c r="AX44" s="2922"/>
      <c r="AY44" s="2922"/>
      <c r="AZ44" s="2922"/>
    </row>
    <row r="45" spans="1:83" ht="14.25">
      <c r="A45" s="2970" t="s">
        <v>672</v>
      </c>
      <c r="B45" s="2967">
        <v>0.03</v>
      </c>
      <c r="C45" s="2972" t="s">
        <v>673</v>
      </c>
      <c r="D45" s="2925"/>
      <c r="E45" s="2924"/>
      <c r="F45" s="2924"/>
      <c r="G45" s="2924"/>
      <c r="H45" s="2924"/>
      <c r="I45" s="2924"/>
      <c r="J45" s="2924"/>
      <c r="K45" s="3014"/>
      <c r="L45" s="3014"/>
      <c r="M45" s="2922"/>
      <c r="N45" s="2922"/>
      <c r="O45" s="2922"/>
      <c r="P45" s="2922"/>
      <c r="Q45" s="2922"/>
      <c r="R45" s="2922"/>
      <c r="S45" s="2922"/>
      <c r="T45" s="2922"/>
      <c r="U45" s="2922"/>
      <c r="V45" s="2922"/>
      <c r="W45" s="2922"/>
      <c r="X45" s="2922"/>
      <c r="Y45" s="2922"/>
      <c r="Z45" s="2922"/>
      <c r="AA45" s="2922"/>
      <c r="AB45" s="2922"/>
      <c r="AC45" s="2922"/>
      <c r="AD45" s="2922"/>
      <c r="AE45" s="2922"/>
      <c r="AF45" s="2922"/>
      <c r="AG45" s="2922"/>
      <c r="AH45" s="2922"/>
      <c r="AI45" s="2922"/>
      <c r="AJ45" s="2922"/>
      <c r="AK45" s="2922"/>
      <c r="AL45" s="2922"/>
      <c r="AM45" s="2922"/>
      <c r="AN45" s="2922"/>
      <c r="AO45" s="2922"/>
      <c r="AP45" s="2922"/>
      <c r="AQ45" s="2922"/>
      <c r="AR45" s="2922"/>
      <c r="AS45" s="2922"/>
      <c r="AT45" s="2922"/>
      <c r="AU45" s="2922"/>
      <c r="AV45" s="2922"/>
      <c r="AW45" s="2922"/>
      <c r="AX45" s="2922"/>
      <c r="AY45" s="2922"/>
      <c r="AZ45" s="2922"/>
    </row>
    <row r="46" spans="1:83" ht="14.25">
      <c r="A46" s="2970" t="s">
        <v>674</v>
      </c>
      <c r="B46" s="2967">
        <v>0.02</v>
      </c>
      <c r="C46" s="2972" t="s">
        <v>675</v>
      </c>
      <c r="D46" s="2925"/>
      <c r="E46" s="2924"/>
      <c r="F46" s="2924"/>
      <c r="G46" s="2924"/>
      <c r="H46" s="2924"/>
      <c r="I46" s="2924"/>
      <c r="J46" s="2924"/>
      <c r="K46" s="3014"/>
      <c r="L46" s="3014"/>
      <c r="M46" s="2922"/>
      <c r="N46" s="2922"/>
      <c r="O46" s="2922"/>
      <c r="P46" s="2922"/>
      <c r="Q46" s="2922"/>
      <c r="R46" s="2922"/>
      <c r="S46" s="2922"/>
      <c r="T46" s="2922"/>
      <c r="U46" s="2922"/>
      <c r="V46" s="2922"/>
      <c r="W46" s="2922"/>
      <c r="X46" s="2922"/>
      <c r="Y46" s="2922"/>
      <c r="Z46" s="2922"/>
      <c r="AA46" s="2922"/>
      <c r="AB46" s="2922"/>
      <c r="AC46" s="2922"/>
      <c r="AD46" s="2922"/>
      <c r="AE46" s="2922"/>
      <c r="AF46" s="2922"/>
      <c r="AG46" s="2922"/>
      <c r="AH46" s="2922"/>
      <c r="AI46" s="2922"/>
      <c r="AJ46" s="2922"/>
      <c r="AK46" s="2922"/>
      <c r="AL46" s="2922"/>
      <c r="AM46" s="2922"/>
      <c r="AN46" s="2922"/>
      <c r="AO46" s="2922"/>
      <c r="AP46" s="2922"/>
      <c r="AQ46" s="2922"/>
      <c r="AR46" s="2922"/>
      <c r="AS46" s="2922"/>
      <c r="AT46" s="2922"/>
      <c r="AU46" s="2922"/>
      <c r="AV46" s="2922"/>
      <c r="AW46" s="2922"/>
      <c r="AX46" s="2922"/>
      <c r="AY46" s="2922"/>
      <c r="AZ46" s="2922"/>
    </row>
    <row r="47" spans="1:83" ht="14.25">
      <c r="A47" s="2973" t="s">
        <v>676</v>
      </c>
      <c r="B47" s="2974"/>
      <c r="C47" s="2939" t="s">
        <v>677</v>
      </c>
      <c r="D47" s="2925"/>
      <c r="E47" s="2924"/>
      <c r="F47" s="2924"/>
      <c r="G47" s="2924"/>
      <c r="H47" s="2924"/>
      <c r="I47" s="2924"/>
      <c r="J47" s="2924"/>
      <c r="K47" s="3014"/>
      <c r="L47" s="3014"/>
      <c r="M47" s="2922"/>
      <c r="N47" s="2922"/>
      <c r="O47" s="2922"/>
      <c r="P47" s="2922"/>
      <c r="Q47" s="2922"/>
      <c r="R47" s="2922"/>
      <c r="S47" s="2922"/>
      <c r="T47" s="2922"/>
      <c r="U47" s="2922"/>
      <c r="V47" s="2922"/>
      <c r="W47" s="2922"/>
      <c r="X47" s="2922"/>
      <c r="Y47" s="2922"/>
      <c r="Z47" s="2922"/>
      <c r="AA47" s="2922"/>
      <c r="AB47" s="2922"/>
      <c r="AC47" s="2922"/>
      <c r="AD47" s="2922"/>
      <c r="AE47" s="2922"/>
      <c r="AF47" s="2922"/>
      <c r="AG47" s="2922"/>
      <c r="AH47" s="2922"/>
      <c r="AI47" s="2922"/>
      <c r="AJ47" s="2922"/>
      <c r="AK47" s="2922"/>
      <c r="AL47" s="2922"/>
      <c r="AM47" s="2922"/>
      <c r="AN47" s="2922"/>
      <c r="AO47" s="2922"/>
      <c r="AP47" s="2922"/>
      <c r="AQ47" s="2922"/>
      <c r="AR47" s="2922"/>
      <c r="AS47" s="2922"/>
      <c r="AT47" s="2922"/>
      <c r="AU47" s="2922"/>
      <c r="AV47" s="2922"/>
      <c r="AW47" s="2922"/>
      <c r="AX47" s="2922"/>
      <c r="AY47" s="2922"/>
      <c r="AZ47" s="2922"/>
    </row>
    <row r="48" spans="1:83" ht="14.25">
      <c r="A48" s="2975" t="s">
        <v>678</v>
      </c>
      <c r="B48" s="2976">
        <v>0.03</v>
      </c>
      <c r="C48" s="2972" t="s">
        <v>673</v>
      </c>
      <c r="D48" s="2925"/>
      <c r="E48" s="2924"/>
      <c r="F48" s="2924"/>
      <c r="G48" s="2924"/>
      <c r="H48" s="2924"/>
      <c r="I48" s="2924"/>
      <c r="J48" s="2924"/>
      <c r="K48" s="3014"/>
      <c r="L48" s="3014"/>
      <c r="M48" s="2922"/>
      <c r="N48" s="2922"/>
      <c r="O48" s="2922"/>
      <c r="P48" s="2922"/>
      <c r="Q48" s="2922"/>
      <c r="R48" s="2922"/>
      <c r="S48" s="2922"/>
      <c r="T48" s="2922"/>
      <c r="U48" s="2922"/>
      <c r="V48" s="2922"/>
      <c r="W48" s="2922"/>
      <c r="X48" s="2922"/>
      <c r="Y48" s="2922"/>
      <c r="Z48" s="2922"/>
      <c r="AA48" s="2922"/>
      <c r="AB48" s="2922"/>
      <c r="AC48" s="2922"/>
      <c r="AD48" s="2922"/>
      <c r="AE48" s="2922"/>
      <c r="AF48" s="2922"/>
      <c r="AG48" s="2922"/>
      <c r="AH48" s="2922"/>
      <c r="AI48" s="2922"/>
      <c r="AJ48" s="2922"/>
      <c r="AK48" s="2922"/>
      <c r="AL48" s="2922"/>
      <c r="AM48" s="2922"/>
      <c r="AN48" s="2922"/>
      <c r="AO48" s="2922"/>
      <c r="AP48" s="2922"/>
      <c r="AQ48" s="2922"/>
      <c r="AR48" s="2922"/>
      <c r="AS48" s="2922"/>
      <c r="AT48" s="2922"/>
      <c r="AU48" s="2922"/>
      <c r="AV48" s="2922"/>
      <c r="AW48" s="2922"/>
      <c r="AX48" s="2922"/>
      <c r="AY48" s="2922"/>
      <c r="AZ48" s="2922"/>
    </row>
    <row r="49" spans="1:52" ht="14.25">
      <c r="A49" s="2952" t="s">
        <v>679</v>
      </c>
      <c r="B49" s="2967">
        <v>5.0000000000000001E-4</v>
      </c>
      <c r="C49" s="2972" t="s">
        <v>680</v>
      </c>
      <c r="D49" s="2925"/>
      <c r="E49" s="2924"/>
      <c r="F49" s="2924"/>
      <c r="G49" s="2924"/>
      <c r="H49" s="2924"/>
      <c r="I49" s="2924"/>
      <c r="J49" s="2924"/>
      <c r="K49" s="3014"/>
      <c r="L49" s="3014"/>
      <c r="M49" s="2922"/>
      <c r="N49" s="2922"/>
      <c r="O49" s="2922"/>
      <c r="P49" s="2922"/>
      <c r="Q49" s="2922"/>
      <c r="R49" s="2922"/>
      <c r="S49" s="2922"/>
      <c r="T49" s="2922"/>
      <c r="U49" s="2922"/>
      <c r="V49" s="2922"/>
      <c r="W49" s="2922"/>
      <c r="X49" s="2922"/>
      <c r="Y49" s="2922"/>
      <c r="Z49" s="2922"/>
      <c r="AA49" s="2922"/>
      <c r="AB49" s="2922"/>
      <c r="AC49" s="2922"/>
      <c r="AD49" s="2922"/>
      <c r="AE49" s="2922"/>
      <c r="AF49" s="2922"/>
      <c r="AG49" s="2922"/>
      <c r="AH49" s="2922"/>
      <c r="AI49" s="2922"/>
      <c r="AJ49" s="2922"/>
      <c r="AK49" s="2922"/>
      <c r="AL49" s="2922"/>
      <c r="AM49" s="2922"/>
      <c r="AN49" s="2922"/>
      <c r="AO49" s="2922"/>
      <c r="AP49" s="2922"/>
      <c r="AQ49" s="2922"/>
      <c r="AR49" s="2922"/>
      <c r="AS49" s="2922"/>
      <c r="AT49" s="2922"/>
      <c r="AU49" s="2922"/>
      <c r="AV49" s="2922"/>
      <c r="AW49" s="2922"/>
      <c r="AX49" s="2922"/>
      <c r="AY49" s="2922"/>
      <c r="AZ49" s="2922"/>
    </row>
    <row r="50" spans="1:52" ht="14.25">
      <c r="A50" s="2977" t="s">
        <v>681</v>
      </c>
      <c r="B50" s="2978">
        <v>1.2E-2</v>
      </c>
      <c r="C50" s="2944"/>
      <c r="D50" s="2925"/>
      <c r="E50" s="2924"/>
      <c r="F50" s="2924"/>
      <c r="G50" s="2924"/>
      <c r="H50" s="2924"/>
      <c r="I50" s="2924"/>
      <c r="J50" s="2924"/>
      <c r="K50" s="3014"/>
      <c r="L50" s="3014"/>
      <c r="M50" s="2922"/>
      <c r="N50" s="2922"/>
      <c r="O50" s="2922"/>
      <c r="P50" s="2922"/>
      <c r="Q50" s="2922"/>
      <c r="R50" s="2922"/>
      <c r="S50" s="2922"/>
      <c r="T50" s="2922"/>
      <c r="U50" s="2922"/>
      <c r="V50" s="2922"/>
      <c r="W50" s="2922"/>
      <c r="X50" s="2922"/>
      <c r="Y50" s="2922"/>
      <c r="Z50" s="2922"/>
      <c r="AA50" s="2922"/>
      <c r="AB50" s="2922"/>
      <c r="AC50" s="2922"/>
      <c r="AD50" s="2922"/>
      <c r="AE50" s="2922"/>
      <c r="AF50" s="2922"/>
      <c r="AG50" s="2922"/>
      <c r="AH50" s="2922"/>
      <c r="AI50" s="2922"/>
      <c r="AJ50" s="2922"/>
      <c r="AK50" s="2922"/>
      <c r="AL50" s="2922"/>
      <c r="AM50" s="2922"/>
      <c r="AN50" s="2922"/>
      <c r="AO50" s="2922"/>
      <c r="AP50" s="2922"/>
      <c r="AQ50" s="2922"/>
      <c r="AR50" s="2922"/>
      <c r="AS50" s="2922"/>
      <c r="AT50" s="2922"/>
      <c r="AU50" s="2922"/>
      <c r="AV50" s="2922"/>
      <c r="AW50" s="2922"/>
      <c r="AX50" s="2922"/>
      <c r="AY50" s="2922"/>
      <c r="AZ50" s="2922"/>
    </row>
    <row r="51" spans="1:52" ht="14.25">
      <c r="A51" s="2945" t="s">
        <v>682</v>
      </c>
      <c r="B51" s="2979">
        <v>0.12</v>
      </c>
      <c r="C51" s="2944"/>
      <c r="D51" s="2925"/>
      <c r="E51" s="2924"/>
      <c r="F51" s="2924"/>
      <c r="G51" s="2924"/>
      <c r="H51" s="2924"/>
      <c r="I51" s="2924"/>
      <c r="J51" s="2924"/>
      <c r="K51" s="3014"/>
      <c r="L51" s="3014"/>
      <c r="M51" s="2922"/>
      <c r="N51" s="2922"/>
      <c r="O51" s="2922"/>
      <c r="P51" s="2922"/>
      <c r="Q51" s="2922"/>
      <c r="R51" s="2922"/>
      <c r="S51" s="2922"/>
      <c r="T51" s="2922"/>
      <c r="U51" s="2922"/>
      <c r="V51" s="2922"/>
      <c r="W51" s="2922"/>
      <c r="X51" s="2922"/>
      <c r="Y51" s="2922"/>
      <c r="Z51" s="2922"/>
      <c r="AA51" s="2922"/>
      <c r="AB51" s="2922"/>
      <c r="AC51" s="2922"/>
      <c r="AD51" s="2922"/>
      <c r="AE51" s="2922"/>
      <c r="AF51" s="2922"/>
      <c r="AG51" s="2922"/>
      <c r="AH51" s="2922"/>
      <c r="AI51" s="2922"/>
      <c r="AJ51" s="2922"/>
      <c r="AK51" s="2922"/>
      <c r="AL51" s="2922"/>
      <c r="AM51" s="2922"/>
      <c r="AN51" s="2922"/>
      <c r="AO51" s="2922"/>
      <c r="AP51" s="2922"/>
      <c r="AQ51" s="2922"/>
      <c r="AR51" s="2922"/>
      <c r="AS51" s="2922"/>
      <c r="AT51" s="2922"/>
      <c r="AU51" s="2922"/>
      <c r="AV51" s="2922"/>
      <c r="AW51" s="2922"/>
      <c r="AX51" s="2922"/>
      <c r="AY51" s="2922"/>
      <c r="AZ51" s="2922"/>
    </row>
    <row r="52" spans="1:52" ht="14.25">
      <c r="A52" s="2977" t="s">
        <v>683</v>
      </c>
      <c r="B52" s="2980">
        <f>SUMIF(A54:A63,B53,B54:B63)</f>
        <v>2</v>
      </c>
      <c r="C52" s="2944"/>
      <c r="D52" s="2925"/>
      <c r="E52" s="2924"/>
      <c r="F52" s="2924"/>
      <c r="G52" s="2924"/>
      <c r="H52" s="2924"/>
      <c r="I52" s="2924"/>
      <c r="J52" s="2924"/>
      <c r="K52" s="3014"/>
      <c r="L52" s="3014"/>
      <c r="M52" s="2922"/>
      <c r="N52" s="2922"/>
      <c r="O52" s="2922"/>
      <c r="P52" s="2922"/>
      <c r="Q52" s="2922"/>
      <c r="R52" s="2922"/>
      <c r="S52" s="2922"/>
      <c r="T52" s="2922"/>
      <c r="U52" s="2922"/>
      <c r="V52" s="2922"/>
      <c r="W52" s="2922"/>
      <c r="X52" s="2922"/>
      <c r="Y52" s="2922"/>
      <c r="Z52" s="2922"/>
      <c r="AA52" s="2922"/>
      <c r="AB52" s="2922"/>
      <c r="AC52" s="2922"/>
      <c r="AD52" s="2922"/>
      <c r="AE52" s="2922"/>
      <c r="AF52" s="2922"/>
      <c r="AG52" s="2922"/>
      <c r="AH52" s="2922"/>
      <c r="AI52" s="2922"/>
      <c r="AJ52" s="2922"/>
      <c r="AK52" s="2922"/>
      <c r="AL52" s="2922"/>
      <c r="AM52" s="2922"/>
      <c r="AN52" s="2922"/>
      <c r="AO52" s="2922"/>
      <c r="AP52" s="2922"/>
      <c r="AQ52" s="2922"/>
      <c r="AR52" s="2922"/>
      <c r="AS52" s="2922"/>
      <c r="AT52" s="2922"/>
      <c r="AU52" s="2922"/>
      <c r="AV52" s="2922"/>
      <c r="AW52" s="2922"/>
      <c r="AX52" s="2922"/>
      <c r="AY52" s="2922"/>
      <c r="AZ52" s="2922"/>
    </row>
    <row r="53" spans="1:52" ht="27">
      <c r="A53" s="2942" t="s">
        <v>684</v>
      </c>
      <c r="B53" s="2981" t="s">
        <v>251</v>
      </c>
      <c r="C53" s="2982" t="s">
        <v>685</v>
      </c>
      <c r="D53" s="2983" t="s">
        <v>686</v>
      </c>
      <c r="E53" s="2924"/>
      <c r="F53" s="2924"/>
      <c r="G53" s="2924"/>
      <c r="H53" s="2924"/>
      <c r="I53" s="2924"/>
      <c r="J53" s="2924"/>
      <c r="K53" s="3014"/>
      <c r="L53" s="3014"/>
      <c r="M53" s="2922"/>
      <c r="N53" s="2922"/>
      <c r="O53" s="2922"/>
      <c r="P53" s="2922"/>
      <c r="Q53" s="2922"/>
      <c r="R53" s="2922"/>
      <c r="S53" s="2922"/>
      <c r="T53" s="2922"/>
      <c r="U53" s="2922"/>
      <c r="V53" s="2922"/>
      <c r="W53" s="2922"/>
      <c r="X53" s="2922"/>
      <c r="Y53" s="2922"/>
      <c r="Z53" s="2922"/>
      <c r="AA53" s="2922"/>
      <c r="AB53" s="2922"/>
      <c r="AC53" s="2922"/>
      <c r="AD53" s="2922"/>
      <c r="AE53" s="2922"/>
      <c r="AF53" s="2922"/>
      <c r="AG53" s="2922"/>
      <c r="AH53" s="2922"/>
      <c r="AI53" s="2922"/>
      <c r="AJ53" s="2922"/>
      <c r="AK53" s="2922"/>
      <c r="AL53" s="2922"/>
      <c r="AM53" s="2922"/>
      <c r="AN53" s="2922"/>
      <c r="AO53" s="2922"/>
      <c r="AP53" s="2922"/>
      <c r="AQ53" s="2922"/>
      <c r="AR53" s="2922"/>
      <c r="AS53" s="2922"/>
      <c r="AT53" s="2922"/>
      <c r="AU53" s="2922"/>
      <c r="AV53" s="2922"/>
      <c r="AW53" s="2922"/>
      <c r="AX53" s="2922"/>
      <c r="AY53" s="2922"/>
      <c r="AZ53" s="2922"/>
    </row>
    <row r="54" spans="1:52" ht="14.25">
      <c r="A54" s="2984" t="s">
        <v>238</v>
      </c>
      <c r="B54" s="2985"/>
      <c r="C54" s="2941">
        <v>30</v>
      </c>
      <c r="D54" s="2986"/>
      <c r="E54" s="2924"/>
      <c r="F54" s="2924"/>
      <c r="G54" s="2924"/>
      <c r="H54" s="2924"/>
      <c r="I54" s="2924"/>
      <c r="J54" s="2924"/>
      <c r="K54" s="3014"/>
      <c r="L54" s="3014"/>
      <c r="M54" s="2922"/>
      <c r="N54" s="2922"/>
      <c r="O54" s="2922"/>
      <c r="P54" s="2922"/>
      <c r="Q54" s="2922"/>
      <c r="R54" s="2922"/>
      <c r="S54" s="2922"/>
      <c r="T54" s="2922"/>
      <c r="U54" s="2922"/>
      <c r="V54" s="2922"/>
      <c r="W54" s="2922"/>
      <c r="X54" s="2922"/>
      <c r="Y54" s="2922"/>
      <c r="Z54" s="2922"/>
      <c r="AA54" s="2922"/>
      <c r="AB54" s="2922"/>
      <c r="AC54" s="2922"/>
      <c r="AD54" s="2922"/>
      <c r="AE54" s="2922"/>
      <c r="AF54" s="2922"/>
      <c r="AG54" s="2922"/>
      <c r="AH54" s="2922"/>
      <c r="AI54" s="2922"/>
      <c r="AJ54" s="2922"/>
      <c r="AK54" s="2922"/>
      <c r="AL54" s="2922"/>
      <c r="AM54" s="2922"/>
      <c r="AN54" s="2922"/>
      <c r="AO54" s="2922"/>
      <c r="AP54" s="2922"/>
      <c r="AQ54" s="2922"/>
      <c r="AR54" s="2922"/>
      <c r="AS54" s="2922"/>
      <c r="AT54" s="2922"/>
      <c r="AU54" s="2922"/>
      <c r="AV54" s="2922"/>
      <c r="AW54" s="2922"/>
      <c r="AX54" s="2922"/>
      <c r="AY54" s="2922"/>
      <c r="AZ54" s="2922"/>
    </row>
    <row r="55" spans="1:52" ht="14.25">
      <c r="A55" s="2984" t="s">
        <v>251</v>
      </c>
      <c r="B55" s="2985">
        <v>2</v>
      </c>
      <c r="C55" s="2941">
        <v>24</v>
      </c>
      <c r="D55" s="2986"/>
      <c r="E55" s="2924"/>
      <c r="F55" s="2924"/>
      <c r="G55" s="2924"/>
      <c r="H55" s="2924"/>
      <c r="I55" s="3015"/>
      <c r="J55" s="2924"/>
      <c r="K55" s="3014"/>
      <c r="L55" s="3014"/>
      <c r="M55" s="2922"/>
      <c r="N55" s="2922"/>
      <c r="O55" s="2922"/>
      <c r="P55" s="2922"/>
      <c r="Q55" s="2922"/>
      <c r="R55" s="2922"/>
      <c r="S55" s="2922"/>
      <c r="T55" s="2922"/>
      <c r="U55" s="2922"/>
      <c r="V55" s="2922"/>
      <c r="W55" s="2922"/>
      <c r="X55" s="2922"/>
      <c r="Y55" s="2922"/>
      <c r="Z55" s="2922"/>
      <c r="AA55" s="2922"/>
      <c r="AB55" s="2922"/>
      <c r="AC55" s="2922"/>
      <c r="AD55" s="2922"/>
      <c r="AE55" s="2922"/>
      <c r="AF55" s="2922"/>
      <c r="AG55" s="2922"/>
      <c r="AH55" s="2922"/>
      <c r="AI55" s="2922"/>
      <c r="AJ55" s="2922"/>
      <c r="AK55" s="2922"/>
      <c r="AL55" s="2922"/>
      <c r="AM55" s="2922"/>
      <c r="AN55" s="2922"/>
      <c r="AO55" s="2922"/>
      <c r="AP55" s="2922"/>
      <c r="AQ55" s="2922"/>
      <c r="AR55" s="2922"/>
      <c r="AS55" s="2922"/>
      <c r="AT55" s="2922"/>
      <c r="AU55" s="2922"/>
      <c r="AV55" s="2922"/>
      <c r="AW55" s="2922"/>
      <c r="AX55" s="2922"/>
      <c r="AY55" s="2922"/>
      <c r="AZ55" s="2922"/>
    </row>
    <row r="56" spans="1:52" ht="14.25">
      <c r="A56" s="2984" t="s">
        <v>263</v>
      </c>
      <c r="B56" s="2985"/>
      <c r="C56" s="2941">
        <v>18</v>
      </c>
      <c r="D56" s="2986"/>
      <c r="E56" s="2924"/>
      <c r="F56" s="2924"/>
      <c r="G56" s="2924"/>
      <c r="H56" s="2924"/>
      <c r="I56" s="2924"/>
      <c r="J56" s="2924"/>
      <c r="K56" s="3014"/>
      <c r="L56" s="3014"/>
      <c r="M56" s="2922"/>
      <c r="N56" s="2922"/>
      <c r="O56" s="2922"/>
      <c r="P56" s="2922"/>
      <c r="Q56" s="2922"/>
      <c r="R56" s="2922"/>
      <c r="S56" s="2922"/>
      <c r="T56" s="2922"/>
      <c r="U56" s="2922"/>
      <c r="V56" s="2922"/>
      <c r="W56" s="2922"/>
      <c r="X56" s="2922"/>
      <c r="Y56" s="2922"/>
      <c r="Z56" s="2922"/>
      <c r="AA56" s="2922"/>
      <c r="AB56" s="2922"/>
      <c r="AC56" s="2922"/>
      <c r="AD56" s="2922"/>
      <c r="AE56" s="2922"/>
      <c r="AF56" s="2922"/>
      <c r="AG56" s="2922"/>
      <c r="AH56" s="2922"/>
      <c r="AI56" s="2922"/>
      <c r="AJ56" s="2922"/>
      <c r="AK56" s="2922"/>
      <c r="AL56" s="2922"/>
      <c r="AM56" s="2922"/>
      <c r="AN56" s="2922"/>
      <c r="AO56" s="2922"/>
      <c r="AP56" s="2922"/>
      <c r="AQ56" s="2922"/>
      <c r="AR56" s="2922"/>
      <c r="AS56" s="2922"/>
      <c r="AT56" s="2922"/>
      <c r="AU56" s="2922"/>
      <c r="AV56" s="2922"/>
      <c r="AW56" s="2922"/>
      <c r="AX56" s="2922"/>
      <c r="AY56" s="2922"/>
      <c r="AZ56" s="2922"/>
    </row>
    <row r="57" spans="1:52" ht="14.25">
      <c r="A57" s="2984" t="s">
        <v>273</v>
      </c>
      <c r="B57" s="2985"/>
      <c r="C57" s="2941">
        <v>12</v>
      </c>
      <c r="D57" s="2986"/>
      <c r="E57" s="2924"/>
      <c r="F57" s="2924"/>
      <c r="G57" s="2924"/>
      <c r="H57" s="2924"/>
      <c r="I57" s="2924"/>
      <c r="J57" s="2924"/>
      <c r="K57" s="3014"/>
      <c r="L57" s="3014"/>
      <c r="M57" s="2922"/>
      <c r="N57" s="2922"/>
      <c r="O57" s="2922"/>
      <c r="P57" s="2922"/>
      <c r="Q57" s="2922"/>
      <c r="R57" s="2922"/>
      <c r="S57" s="2922"/>
      <c r="T57" s="2922"/>
      <c r="U57" s="2922"/>
      <c r="V57" s="2922"/>
      <c r="W57" s="2922"/>
      <c r="X57" s="2922"/>
      <c r="Y57" s="2922"/>
      <c r="Z57" s="2922"/>
      <c r="AA57" s="2922"/>
      <c r="AB57" s="2922"/>
      <c r="AC57" s="2922"/>
      <c r="AD57" s="2922"/>
      <c r="AE57" s="2922"/>
      <c r="AF57" s="2922"/>
      <c r="AG57" s="2922"/>
      <c r="AH57" s="2922"/>
      <c r="AI57" s="2922"/>
      <c r="AJ57" s="2922"/>
      <c r="AK57" s="2922"/>
      <c r="AL57" s="2922"/>
      <c r="AM57" s="2922"/>
      <c r="AN57" s="2922"/>
      <c r="AO57" s="2922"/>
      <c r="AP57" s="2922"/>
      <c r="AQ57" s="2922"/>
      <c r="AR57" s="2922"/>
      <c r="AS57" s="2922"/>
      <c r="AT57" s="2922"/>
      <c r="AU57" s="2922"/>
      <c r="AV57" s="2922"/>
      <c r="AW57" s="2922"/>
      <c r="AX57" s="2922"/>
      <c r="AY57" s="2922"/>
      <c r="AZ57" s="2922"/>
    </row>
    <row r="58" spans="1:52" ht="14.25">
      <c r="A58" s="2984" t="s">
        <v>282</v>
      </c>
      <c r="B58" s="2985"/>
      <c r="C58" s="2941">
        <v>3</v>
      </c>
      <c r="D58" s="2986"/>
      <c r="E58" s="2924"/>
      <c r="F58" s="2924"/>
      <c r="G58" s="2924"/>
      <c r="H58" s="2924"/>
      <c r="I58" s="2924"/>
      <c r="J58" s="2924"/>
      <c r="K58" s="3014"/>
      <c r="L58" s="3014"/>
      <c r="M58" s="2922"/>
      <c r="N58" s="2922"/>
      <c r="O58" s="2922"/>
      <c r="P58" s="2922"/>
      <c r="Q58" s="2922"/>
      <c r="R58" s="2922"/>
      <c r="S58" s="2922"/>
      <c r="T58" s="2922"/>
      <c r="U58" s="2922"/>
      <c r="V58" s="2922"/>
      <c r="W58" s="2922"/>
      <c r="X58" s="2922"/>
      <c r="Y58" s="2922"/>
      <c r="Z58" s="2922"/>
      <c r="AA58" s="2922"/>
      <c r="AB58" s="2922"/>
      <c r="AC58" s="2922"/>
      <c r="AD58" s="2922"/>
      <c r="AE58" s="2922"/>
      <c r="AF58" s="2922"/>
      <c r="AG58" s="2922"/>
      <c r="AH58" s="2922"/>
      <c r="AI58" s="2922"/>
      <c r="AJ58" s="2922"/>
      <c r="AK58" s="2922"/>
      <c r="AL58" s="2922"/>
      <c r="AM58" s="2922"/>
      <c r="AN58" s="2922"/>
      <c r="AO58" s="2922"/>
      <c r="AP58" s="2922"/>
      <c r="AQ58" s="2922"/>
      <c r="AR58" s="2922"/>
      <c r="AS58" s="2922"/>
      <c r="AT58" s="2922"/>
      <c r="AU58" s="2922"/>
      <c r="AV58" s="2922"/>
      <c r="AW58" s="2922"/>
      <c r="AX58" s="2922"/>
      <c r="AY58" s="2922"/>
      <c r="AZ58" s="2922"/>
    </row>
    <row r="59" spans="1:52" ht="14.25">
      <c r="A59" s="2984" t="s">
        <v>290</v>
      </c>
      <c r="B59" s="2985"/>
      <c r="C59" s="2941">
        <v>1.5</v>
      </c>
      <c r="D59" s="2986"/>
      <c r="E59" s="2924"/>
      <c r="F59" s="2924"/>
      <c r="G59" s="2924"/>
      <c r="H59" s="2924"/>
      <c r="I59" s="2924"/>
      <c r="J59" s="2924"/>
      <c r="K59" s="3014"/>
      <c r="L59" s="3014"/>
      <c r="M59" s="2922"/>
      <c r="N59" s="2922"/>
      <c r="O59" s="2922"/>
      <c r="P59" s="2922"/>
      <c r="Q59" s="2922"/>
      <c r="R59" s="2922"/>
      <c r="S59" s="2922"/>
      <c r="T59" s="2922"/>
      <c r="U59" s="2922"/>
      <c r="V59" s="2922"/>
      <c r="W59" s="2922"/>
      <c r="X59" s="2922"/>
      <c r="Y59" s="2922"/>
      <c r="Z59" s="2922"/>
      <c r="AA59" s="2922"/>
      <c r="AB59" s="2922"/>
      <c r="AC59" s="2922"/>
      <c r="AD59" s="2922"/>
      <c r="AE59" s="2922"/>
      <c r="AF59" s="2922"/>
      <c r="AG59" s="2922"/>
      <c r="AH59" s="2922"/>
      <c r="AI59" s="2922"/>
      <c r="AJ59" s="2922"/>
      <c r="AK59" s="2922"/>
      <c r="AL59" s="2922"/>
      <c r="AM59" s="2922"/>
      <c r="AN59" s="2922"/>
      <c r="AO59" s="2922"/>
      <c r="AP59" s="2922"/>
      <c r="AQ59" s="2922"/>
      <c r="AR59" s="2922"/>
      <c r="AS59" s="2922"/>
      <c r="AT59" s="2922"/>
      <c r="AU59" s="2922"/>
      <c r="AV59" s="2922"/>
      <c r="AW59" s="2922"/>
      <c r="AX59" s="2922"/>
      <c r="AY59" s="2922"/>
      <c r="AZ59" s="2922"/>
    </row>
    <row r="60" spans="1:52" ht="14.25">
      <c r="A60" s="2984" t="s">
        <v>295</v>
      </c>
      <c r="B60" s="2985"/>
      <c r="C60" s="2924"/>
      <c r="D60" s="2925"/>
      <c r="E60" s="2924"/>
      <c r="F60" s="2924"/>
      <c r="G60" s="2924"/>
      <c r="H60" s="2924"/>
      <c r="I60" s="2924"/>
      <c r="J60" s="2924"/>
      <c r="K60" s="3014"/>
      <c r="L60" s="3014"/>
      <c r="M60" s="2922"/>
      <c r="N60" s="2922"/>
      <c r="O60" s="2922"/>
      <c r="P60" s="2922"/>
      <c r="Q60" s="2922"/>
      <c r="R60" s="2922"/>
      <c r="S60" s="2922"/>
      <c r="T60" s="2922"/>
      <c r="U60" s="2922"/>
      <c r="V60" s="2922"/>
      <c r="W60" s="2922"/>
      <c r="X60" s="2922"/>
      <c r="Y60" s="2922"/>
      <c r="Z60" s="2922"/>
      <c r="AA60" s="2922"/>
      <c r="AB60" s="2922"/>
      <c r="AC60" s="2922"/>
      <c r="AD60" s="2922"/>
      <c r="AE60" s="2922"/>
      <c r="AF60" s="2922"/>
      <c r="AG60" s="2922"/>
      <c r="AH60" s="2922"/>
      <c r="AI60" s="2922"/>
      <c r="AJ60" s="2922"/>
      <c r="AK60" s="2922"/>
      <c r="AL60" s="2922"/>
      <c r="AM60" s="2922"/>
      <c r="AN60" s="2922"/>
      <c r="AO60" s="2922"/>
      <c r="AP60" s="2922"/>
      <c r="AQ60" s="2922"/>
      <c r="AR60" s="2922"/>
      <c r="AS60" s="2922"/>
      <c r="AT60" s="2922"/>
      <c r="AU60" s="2922"/>
      <c r="AV60" s="2922"/>
      <c r="AW60" s="2922"/>
      <c r="AX60" s="2922"/>
      <c r="AY60" s="2922"/>
      <c r="AZ60" s="2922"/>
    </row>
    <row r="61" spans="1:52" ht="14.25">
      <c r="A61" s="2984" t="s">
        <v>301</v>
      </c>
      <c r="B61" s="2985"/>
      <c r="C61" s="2924"/>
      <c r="D61" s="2925"/>
      <c r="E61" s="2924"/>
      <c r="F61" s="2924"/>
      <c r="G61" s="2924"/>
      <c r="H61" s="2924"/>
      <c r="I61" s="2924"/>
      <c r="J61" s="2924"/>
      <c r="K61" s="3014"/>
      <c r="L61" s="3014"/>
      <c r="M61" s="2922"/>
      <c r="N61" s="2922"/>
      <c r="O61" s="2922"/>
      <c r="P61" s="2922"/>
      <c r="Q61" s="2922"/>
      <c r="R61" s="2922"/>
      <c r="S61" s="2922"/>
      <c r="T61" s="2922"/>
      <c r="U61" s="2922"/>
      <c r="V61" s="2922"/>
      <c r="W61" s="2922"/>
      <c r="X61" s="2922"/>
      <c r="Y61" s="2922"/>
      <c r="Z61" s="2922"/>
      <c r="AA61" s="2922"/>
      <c r="AB61" s="2922"/>
      <c r="AC61" s="2922"/>
      <c r="AD61" s="2922"/>
      <c r="AE61" s="2922"/>
      <c r="AF61" s="2922"/>
      <c r="AG61" s="2922"/>
      <c r="AH61" s="2922"/>
      <c r="AI61" s="2922"/>
      <c r="AJ61" s="2922"/>
      <c r="AK61" s="2922"/>
      <c r="AL61" s="2922"/>
      <c r="AM61" s="2922"/>
      <c r="AN61" s="2922"/>
      <c r="AO61" s="2922"/>
      <c r="AP61" s="2922"/>
      <c r="AQ61" s="2922"/>
      <c r="AR61" s="2922"/>
      <c r="AS61" s="2922"/>
      <c r="AT61" s="2922"/>
      <c r="AU61" s="2922"/>
      <c r="AV61" s="2922"/>
      <c r="AW61" s="2922"/>
      <c r="AX61" s="2922"/>
      <c r="AY61" s="2922"/>
      <c r="AZ61" s="2922"/>
    </row>
    <row r="62" spans="1:52" ht="14.25">
      <c r="A62" s="2984" t="s">
        <v>305</v>
      </c>
      <c r="B62" s="2985"/>
      <c r="C62" s="2924"/>
      <c r="D62" s="2925"/>
      <c r="E62" s="2924"/>
      <c r="F62" s="2924"/>
      <c r="G62" s="2924"/>
      <c r="H62" s="2924"/>
      <c r="I62" s="2924"/>
      <c r="J62" s="2924"/>
      <c r="K62" s="3014"/>
      <c r="L62" s="3014"/>
      <c r="M62" s="2922"/>
      <c r="N62" s="2922"/>
      <c r="O62" s="2922"/>
      <c r="P62" s="2922"/>
      <c r="Q62" s="2922"/>
      <c r="R62" s="2922"/>
      <c r="S62" s="2922"/>
      <c r="T62" s="2922"/>
      <c r="U62" s="2922"/>
      <c r="V62" s="2922"/>
      <c r="W62" s="2922"/>
      <c r="X62" s="2922"/>
      <c r="Y62" s="2922"/>
      <c r="Z62" s="2922"/>
      <c r="AA62" s="2922"/>
      <c r="AB62" s="2922"/>
      <c r="AC62" s="2922"/>
      <c r="AD62" s="2922"/>
      <c r="AE62" s="2922"/>
      <c r="AF62" s="2922"/>
      <c r="AG62" s="2922"/>
      <c r="AH62" s="2922"/>
      <c r="AI62" s="2922"/>
      <c r="AJ62" s="2922"/>
      <c r="AK62" s="2922"/>
      <c r="AL62" s="2922"/>
      <c r="AM62" s="2922"/>
      <c r="AN62" s="2922"/>
      <c r="AO62" s="2922"/>
      <c r="AP62" s="2922"/>
      <c r="AQ62" s="2922"/>
      <c r="AR62" s="2922"/>
      <c r="AS62" s="2922"/>
      <c r="AT62" s="2922"/>
      <c r="AU62" s="2922"/>
      <c r="AV62" s="2922"/>
      <c r="AW62" s="2922"/>
      <c r="AX62" s="2922"/>
      <c r="AY62" s="2922"/>
      <c r="AZ62" s="2922"/>
    </row>
    <row r="63" spans="1:52" ht="14.25">
      <c r="A63" s="2987" t="s">
        <v>309</v>
      </c>
      <c r="B63" s="2988"/>
      <c r="C63" s="2924"/>
      <c r="D63" s="2925"/>
      <c r="E63" s="2924"/>
      <c r="F63" s="2924"/>
      <c r="G63" s="2924"/>
      <c r="H63" s="2924"/>
      <c r="I63" s="2924"/>
      <c r="J63" s="2924"/>
      <c r="K63" s="3014"/>
      <c r="L63" s="3014"/>
      <c r="M63" s="2922"/>
      <c r="N63" s="2922"/>
      <c r="O63" s="2922"/>
      <c r="P63" s="2922"/>
      <c r="Q63" s="2922"/>
      <c r="R63" s="2922"/>
      <c r="S63" s="2922"/>
      <c r="T63" s="2922"/>
      <c r="U63" s="2922"/>
      <c r="V63" s="2922"/>
      <c r="W63" s="2922"/>
      <c r="X63" s="2922"/>
      <c r="Y63" s="2922"/>
      <c r="Z63" s="2922"/>
      <c r="AA63" s="2922"/>
      <c r="AB63" s="2922"/>
      <c r="AC63" s="2922"/>
      <c r="AD63" s="2922"/>
      <c r="AE63" s="2922"/>
      <c r="AF63" s="2922"/>
      <c r="AG63" s="2922"/>
      <c r="AH63" s="2922"/>
      <c r="AI63" s="2922"/>
      <c r="AJ63" s="2922"/>
      <c r="AK63" s="2922"/>
      <c r="AL63" s="2922"/>
      <c r="AM63" s="2922"/>
      <c r="AN63" s="2922"/>
      <c r="AO63" s="2922"/>
      <c r="AP63" s="2922"/>
      <c r="AQ63" s="2922"/>
      <c r="AR63" s="2922"/>
      <c r="AS63" s="2922"/>
      <c r="AT63" s="2922"/>
      <c r="AU63" s="2922"/>
      <c r="AV63" s="2922"/>
      <c r="AW63" s="2922"/>
      <c r="AX63" s="2922"/>
      <c r="AY63" s="2922"/>
      <c r="AZ63" s="2922"/>
    </row>
    <row r="64" spans="1:52" s="2877" customFormat="1">
      <c r="A64" s="2560"/>
      <c r="D64" s="2989"/>
      <c r="K64" s="207"/>
      <c r="L64" s="207"/>
    </row>
    <row r="65" spans="1:12" s="2877" customFormat="1">
      <c r="A65" s="2560"/>
      <c r="D65" s="2989"/>
      <c r="K65" s="207"/>
      <c r="L65" s="207"/>
    </row>
    <row r="66" spans="1:12" s="2877" customFormat="1">
      <c r="A66" s="2560"/>
      <c r="D66" s="2989"/>
      <c r="K66" s="207"/>
      <c r="L66" s="207"/>
    </row>
    <row r="67" spans="1:12" s="2877" customFormat="1">
      <c r="A67" s="2560"/>
      <c r="D67" s="2989"/>
      <c r="K67" s="207"/>
      <c r="L67" s="207"/>
    </row>
    <row r="68" spans="1:12" s="2877" customFormat="1">
      <c r="A68" s="2560"/>
      <c r="D68" s="2989"/>
      <c r="K68" s="207"/>
      <c r="L68" s="207"/>
    </row>
    <row r="69" spans="1:12" s="2877" customFormat="1">
      <c r="A69" s="2560"/>
      <c r="D69" s="2989"/>
      <c r="K69" s="207"/>
      <c r="L69" s="207"/>
    </row>
    <row r="70" spans="1:12" s="2877" customFormat="1">
      <c r="A70" s="2560"/>
      <c r="D70" s="2989"/>
      <c r="K70" s="207"/>
      <c r="L70" s="207"/>
    </row>
    <row r="71" spans="1:12" s="2877" customFormat="1">
      <c r="A71" s="2560"/>
      <c r="D71" s="2989"/>
      <c r="K71" s="207"/>
      <c r="L71" s="207"/>
    </row>
    <row r="72" spans="1:12" s="2877" customFormat="1">
      <c r="A72" s="2560"/>
      <c r="D72" s="2989"/>
      <c r="K72" s="207"/>
      <c r="L72" s="207"/>
    </row>
    <row r="73" spans="1:12" s="2877" customFormat="1">
      <c r="A73" s="2560"/>
      <c r="D73" s="2989"/>
      <c r="K73" s="207"/>
      <c r="L73" s="207"/>
    </row>
    <row r="74" spans="1:12" s="2877" customFormat="1">
      <c r="A74" s="2560"/>
      <c r="D74" s="2989"/>
      <c r="K74" s="207"/>
      <c r="L74" s="207"/>
    </row>
    <row r="75" spans="1:12" s="2877" customFormat="1">
      <c r="A75" s="2560"/>
      <c r="D75" s="2989"/>
      <c r="K75" s="207"/>
      <c r="L75" s="207"/>
    </row>
    <row r="76" spans="1:12" s="2877" customFormat="1">
      <c r="A76" s="2560"/>
      <c r="D76" s="2989"/>
      <c r="K76" s="207"/>
      <c r="L76" s="207"/>
    </row>
    <row r="77" spans="1:12" s="2877" customFormat="1">
      <c r="A77" s="2560"/>
      <c r="D77" s="2989"/>
      <c r="K77" s="207"/>
      <c r="L77" s="207"/>
    </row>
    <row r="78" spans="1:12" s="2877" customFormat="1">
      <c r="A78" s="2560"/>
      <c r="D78" s="2989"/>
      <c r="K78" s="207"/>
      <c r="L78" s="207"/>
    </row>
    <row r="79" spans="1:12" s="2877" customFormat="1">
      <c r="A79" s="2560"/>
      <c r="D79" s="2989"/>
      <c r="K79" s="207"/>
      <c r="L79" s="207"/>
    </row>
    <row r="80" spans="1:12" s="2877" customFormat="1">
      <c r="A80" s="2560"/>
      <c r="D80" s="2989"/>
      <c r="K80" s="207"/>
      <c r="L80" s="207"/>
    </row>
    <row r="81" spans="1:12" s="2877" customFormat="1">
      <c r="A81" s="2560"/>
      <c r="D81" s="2989"/>
      <c r="K81" s="207"/>
      <c r="L81" s="207"/>
    </row>
    <row r="82" spans="1:12" s="2877" customFormat="1">
      <c r="A82" s="2560"/>
      <c r="D82" s="2989"/>
      <c r="K82" s="207"/>
      <c r="L82" s="207"/>
    </row>
    <row r="83" spans="1:12" s="2877" customFormat="1">
      <c r="A83" s="2560"/>
      <c r="D83" s="2989"/>
      <c r="K83" s="207"/>
      <c r="L83" s="207"/>
    </row>
    <row r="84" spans="1:12" s="2877" customFormat="1">
      <c r="A84" s="2560"/>
      <c r="D84" s="2989"/>
      <c r="K84" s="207"/>
      <c r="L84" s="207"/>
    </row>
    <row r="85" spans="1:12" s="2877" customFormat="1">
      <c r="A85" s="2560"/>
      <c r="D85" s="2989"/>
      <c r="K85" s="207"/>
      <c r="L85" s="207"/>
    </row>
    <row r="86" spans="1:12" s="2877" customFormat="1">
      <c r="A86" s="2560"/>
      <c r="D86" s="2989"/>
      <c r="K86" s="207"/>
      <c r="L86" s="207"/>
    </row>
    <row r="87" spans="1:12" s="2877" customFormat="1">
      <c r="A87" s="2560"/>
      <c r="D87" s="2989"/>
      <c r="K87" s="207"/>
      <c r="L87" s="207"/>
    </row>
    <row r="88" spans="1:12" s="2877" customFormat="1">
      <c r="A88" s="2560"/>
      <c r="D88" s="2989"/>
      <c r="K88" s="207"/>
      <c r="L88" s="207"/>
    </row>
    <row r="89" spans="1:12" s="2877" customFormat="1">
      <c r="A89" s="2560"/>
      <c r="D89" s="2989"/>
      <c r="K89" s="207"/>
      <c r="L89" s="207"/>
    </row>
    <row r="90" spans="1:12" s="2877" customFormat="1">
      <c r="A90" s="2560"/>
      <c r="D90" s="2989"/>
      <c r="K90" s="207"/>
      <c r="L90" s="207"/>
    </row>
    <row r="91" spans="1:12" s="2877" customFormat="1">
      <c r="A91" s="2560"/>
      <c r="D91" s="2989"/>
      <c r="K91" s="207"/>
      <c r="L91" s="207"/>
    </row>
    <row r="92" spans="1:12" s="2877" customFormat="1">
      <c r="A92" s="2560"/>
      <c r="D92" s="2989"/>
      <c r="K92" s="207"/>
      <c r="L92" s="207"/>
    </row>
    <row r="93" spans="1:12" s="2877" customFormat="1">
      <c r="A93" s="2560"/>
      <c r="D93" s="2989"/>
      <c r="K93" s="207"/>
      <c r="L93" s="207"/>
    </row>
    <row r="94" spans="1:12" s="2877" customFormat="1">
      <c r="A94" s="2560"/>
      <c r="D94" s="2989"/>
      <c r="K94" s="207"/>
      <c r="L94" s="207"/>
    </row>
    <row r="95" spans="1:12" s="2877" customFormat="1">
      <c r="A95" s="2560"/>
      <c r="D95" s="2989"/>
      <c r="K95" s="207"/>
      <c r="L95" s="207"/>
    </row>
    <row r="96" spans="1:12" s="2877" customFormat="1">
      <c r="A96" s="2560"/>
      <c r="D96" s="2989"/>
      <c r="K96" s="207"/>
      <c r="L96" s="207"/>
    </row>
    <row r="97" spans="1:12" s="2877" customFormat="1">
      <c r="A97" s="2560"/>
      <c r="D97" s="2989"/>
      <c r="K97" s="207"/>
      <c r="L97" s="207"/>
    </row>
    <row r="98" spans="1:12" s="2877" customFormat="1">
      <c r="A98" s="2560"/>
      <c r="D98" s="2989"/>
      <c r="K98" s="207"/>
      <c r="L98" s="207"/>
    </row>
    <row r="99" spans="1:12" s="2877" customFormat="1">
      <c r="A99" s="2560"/>
      <c r="D99" s="2989"/>
      <c r="K99" s="207"/>
      <c r="L99" s="207"/>
    </row>
    <row r="100" spans="1:12" s="2877" customFormat="1">
      <c r="A100" s="2560"/>
      <c r="D100" s="2989"/>
      <c r="K100" s="207"/>
      <c r="L100" s="207"/>
    </row>
    <row r="101" spans="1:12" s="2877" customFormat="1">
      <c r="A101" s="2560"/>
      <c r="D101" s="2989"/>
      <c r="K101" s="207"/>
      <c r="L101" s="207"/>
    </row>
    <row r="102" spans="1:12" s="2877" customFormat="1">
      <c r="A102" s="2560"/>
      <c r="D102" s="2989"/>
      <c r="K102" s="207"/>
      <c r="L102" s="207"/>
    </row>
    <row r="103" spans="1:12" s="2877" customFormat="1">
      <c r="A103" s="2560"/>
      <c r="D103" s="2989"/>
      <c r="K103" s="207"/>
      <c r="L103" s="207"/>
    </row>
    <row r="104" spans="1:12" s="2877" customFormat="1">
      <c r="A104" s="2560"/>
      <c r="D104" s="2989"/>
      <c r="K104" s="207"/>
      <c r="L104" s="207"/>
    </row>
    <row r="105" spans="1:12" s="2877" customFormat="1">
      <c r="A105" s="2560"/>
      <c r="D105" s="2989"/>
      <c r="K105" s="207"/>
      <c r="L105" s="207"/>
    </row>
    <row r="106" spans="1:12" s="2877" customFormat="1">
      <c r="A106" s="2560"/>
      <c r="D106" s="2989"/>
      <c r="K106" s="207"/>
      <c r="L106" s="207"/>
    </row>
    <row r="107" spans="1:12" s="2877" customFormat="1">
      <c r="A107" s="2560"/>
      <c r="D107" s="2989"/>
      <c r="K107" s="207"/>
      <c r="L107" s="207"/>
    </row>
    <row r="108" spans="1:12" s="2877" customFormat="1">
      <c r="A108" s="2560"/>
      <c r="D108" s="2989"/>
      <c r="K108" s="207"/>
      <c r="L108" s="207"/>
    </row>
    <row r="109" spans="1:12" s="2877" customFormat="1">
      <c r="A109" s="2560"/>
      <c r="D109" s="2989"/>
      <c r="K109" s="207"/>
      <c r="L109" s="207"/>
    </row>
    <row r="110" spans="1:12" s="2877" customFormat="1">
      <c r="A110" s="2560"/>
      <c r="D110" s="2989"/>
      <c r="K110" s="207"/>
      <c r="L110" s="207"/>
    </row>
    <row r="111" spans="1:12" s="2877" customFormat="1">
      <c r="A111" s="2560"/>
      <c r="D111" s="2989"/>
      <c r="K111" s="207"/>
      <c r="L111" s="207"/>
    </row>
    <row r="112" spans="1:12" s="2877" customFormat="1">
      <c r="A112" s="2560"/>
      <c r="D112" s="2989"/>
      <c r="K112" s="207"/>
      <c r="L112" s="207"/>
    </row>
    <row r="113" spans="1:12" s="2877" customFormat="1">
      <c r="A113" s="2560"/>
      <c r="D113" s="2989"/>
      <c r="K113" s="207"/>
      <c r="L113" s="207"/>
    </row>
    <row r="114" spans="1:12" s="2877" customFormat="1">
      <c r="A114" s="2560"/>
      <c r="D114" s="2989"/>
      <c r="K114" s="207"/>
      <c r="L114" s="207"/>
    </row>
    <row r="115" spans="1:12" s="2877" customFormat="1">
      <c r="A115" s="2560"/>
      <c r="D115" s="2989"/>
      <c r="K115" s="207"/>
      <c r="L115" s="207"/>
    </row>
    <row r="116" spans="1:12" s="2877" customFormat="1">
      <c r="A116" s="2560"/>
      <c r="D116" s="2989"/>
      <c r="K116" s="207"/>
      <c r="L116" s="207"/>
    </row>
    <row r="117" spans="1:12" s="2877" customFormat="1">
      <c r="A117" s="2560"/>
      <c r="D117" s="2989"/>
      <c r="K117" s="207"/>
      <c r="L117" s="207"/>
    </row>
    <row r="118" spans="1:12" s="2877" customFormat="1">
      <c r="A118" s="2560"/>
      <c r="D118" s="2989"/>
      <c r="K118" s="207"/>
      <c r="L118" s="207"/>
    </row>
    <row r="119" spans="1:12" s="2877" customFormat="1">
      <c r="A119" s="2560"/>
      <c r="D119" s="2989"/>
      <c r="K119" s="207"/>
      <c r="L119" s="207"/>
    </row>
    <row r="120" spans="1:12" s="2877" customFormat="1">
      <c r="A120" s="2560"/>
      <c r="D120" s="2989"/>
      <c r="K120" s="207"/>
      <c r="L120" s="207"/>
    </row>
    <row r="121" spans="1:12" s="2877" customFormat="1">
      <c r="A121" s="2560"/>
      <c r="D121" s="2989"/>
      <c r="K121" s="207"/>
      <c r="L121" s="207"/>
    </row>
    <row r="122" spans="1:12" s="2877" customFormat="1">
      <c r="A122" s="2560"/>
      <c r="D122" s="2989"/>
      <c r="K122" s="207"/>
      <c r="L122" s="207"/>
    </row>
    <row r="123" spans="1:12" s="2877" customFormat="1">
      <c r="A123" s="2560"/>
      <c r="D123" s="2989"/>
      <c r="K123" s="207"/>
      <c r="L123" s="207"/>
    </row>
    <row r="124" spans="1:12" s="2877" customFormat="1">
      <c r="A124" s="2560"/>
      <c r="D124" s="2989"/>
      <c r="K124" s="207"/>
      <c r="L124" s="207"/>
    </row>
    <row r="125" spans="1:12" s="2877" customFormat="1">
      <c r="A125" s="2560"/>
      <c r="D125" s="2989"/>
      <c r="K125" s="207"/>
      <c r="L125" s="207"/>
    </row>
    <row r="126" spans="1:12" s="2877" customFormat="1">
      <c r="A126" s="2560"/>
      <c r="D126" s="2989"/>
      <c r="K126" s="207"/>
      <c r="L126" s="207"/>
    </row>
    <row r="127" spans="1:12" s="2877" customFormat="1">
      <c r="A127" s="2560"/>
      <c r="D127" s="2989"/>
      <c r="K127" s="207"/>
      <c r="L127" s="207"/>
    </row>
    <row r="128" spans="1:12" s="2877" customFormat="1">
      <c r="A128" s="2560"/>
      <c r="D128" s="2989"/>
      <c r="K128" s="207"/>
      <c r="L128" s="207"/>
    </row>
    <row r="129" spans="1:12" s="2877" customFormat="1">
      <c r="A129" s="2560"/>
      <c r="D129" s="2989"/>
      <c r="K129" s="207"/>
      <c r="L129" s="207"/>
    </row>
    <row r="130" spans="1:12" s="2877" customFormat="1">
      <c r="A130" s="2560"/>
      <c r="D130" s="2989"/>
      <c r="K130" s="207"/>
      <c r="L130" s="207"/>
    </row>
    <row r="131" spans="1:12" s="2877" customFormat="1">
      <c r="A131" s="2560"/>
      <c r="D131" s="2989"/>
      <c r="K131" s="207"/>
      <c r="L131" s="207"/>
    </row>
    <row r="132" spans="1:12" s="2877" customFormat="1">
      <c r="A132" s="2560"/>
      <c r="D132" s="2989"/>
      <c r="K132" s="207"/>
      <c r="L132" s="207"/>
    </row>
    <row r="133" spans="1:12" s="2877" customFormat="1">
      <c r="A133" s="2560"/>
      <c r="D133" s="2989"/>
      <c r="K133" s="207"/>
      <c r="L133" s="207"/>
    </row>
    <row r="134" spans="1:12" s="2877" customFormat="1">
      <c r="A134" s="2560"/>
      <c r="D134" s="2989"/>
      <c r="K134" s="207"/>
      <c r="L134" s="207"/>
    </row>
    <row r="135" spans="1:12" s="2877" customFormat="1">
      <c r="A135" s="2560"/>
      <c r="D135" s="2989"/>
      <c r="K135" s="207"/>
      <c r="L135" s="207"/>
    </row>
    <row r="136" spans="1:12" s="2877" customFormat="1">
      <c r="A136" s="2560"/>
      <c r="D136" s="2989"/>
      <c r="K136" s="207"/>
      <c r="L136" s="207"/>
    </row>
    <row r="137" spans="1:12" s="2877" customFormat="1">
      <c r="A137" s="2560"/>
      <c r="D137" s="2989"/>
      <c r="K137" s="207"/>
      <c r="L137" s="207"/>
    </row>
    <row r="138" spans="1:12" s="2877" customFormat="1">
      <c r="A138" s="2560"/>
      <c r="D138" s="2989"/>
      <c r="K138" s="207"/>
      <c r="L138" s="207"/>
    </row>
    <row r="139" spans="1:12" s="2877" customFormat="1">
      <c r="A139" s="2560"/>
      <c r="D139" s="2989"/>
      <c r="K139" s="207"/>
      <c r="L139" s="207"/>
    </row>
    <row r="140" spans="1:12" s="2877" customFormat="1">
      <c r="A140" s="2560"/>
      <c r="D140" s="2989"/>
      <c r="K140" s="207"/>
      <c r="L140" s="207"/>
    </row>
    <row r="141" spans="1:12" s="2877" customFormat="1">
      <c r="A141" s="2560"/>
      <c r="D141" s="2989"/>
      <c r="K141" s="207"/>
      <c r="L141" s="207"/>
    </row>
    <row r="142" spans="1:12" s="2877" customFormat="1">
      <c r="A142" s="2560"/>
      <c r="D142" s="2989"/>
      <c r="K142" s="207"/>
      <c r="L142" s="207"/>
    </row>
    <row r="143" spans="1:12" s="2877" customFormat="1">
      <c r="A143" s="2560"/>
      <c r="D143" s="2989"/>
      <c r="K143" s="207"/>
      <c r="L143" s="207"/>
    </row>
    <row r="144" spans="1:12" s="2877" customFormat="1">
      <c r="A144" s="2560"/>
      <c r="D144" s="2989"/>
      <c r="K144" s="207"/>
      <c r="L144" s="207"/>
    </row>
    <row r="145" spans="1:12" s="2877" customFormat="1">
      <c r="A145" s="2560"/>
      <c r="D145" s="2989"/>
      <c r="K145" s="207"/>
      <c r="L145" s="207"/>
    </row>
    <row r="146" spans="1:12" s="2877" customFormat="1">
      <c r="A146" s="2560"/>
      <c r="D146" s="2989"/>
      <c r="K146" s="207"/>
      <c r="L146" s="207"/>
    </row>
    <row r="147" spans="1:12" s="2877" customFormat="1">
      <c r="A147" s="2560"/>
      <c r="D147" s="2989"/>
      <c r="K147" s="207"/>
      <c r="L147" s="207"/>
    </row>
    <row r="148" spans="1:12" s="2877" customFormat="1">
      <c r="A148" s="2560"/>
      <c r="D148" s="2989"/>
      <c r="K148" s="207"/>
      <c r="L148" s="207"/>
    </row>
    <row r="149" spans="1:12" s="2877" customFormat="1">
      <c r="A149" s="2560"/>
      <c r="D149" s="2989"/>
      <c r="K149" s="207"/>
      <c r="L149" s="207"/>
    </row>
    <row r="150" spans="1:12" s="2877" customFormat="1">
      <c r="A150" s="2560"/>
      <c r="D150" s="2989"/>
      <c r="K150" s="207"/>
      <c r="L150" s="207"/>
    </row>
    <row r="151" spans="1:12" s="2877" customFormat="1">
      <c r="A151" s="2560"/>
      <c r="D151" s="2989"/>
      <c r="K151" s="207"/>
      <c r="L151" s="207"/>
    </row>
    <row r="152" spans="1:12" s="2877" customFormat="1">
      <c r="A152" s="2560"/>
      <c r="D152" s="2989"/>
      <c r="K152" s="207"/>
      <c r="L152" s="207"/>
    </row>
    <row r="153" spans="1:12" s="2877" customFormat="1">
      <c r="A153" s="2560"/>
      <c r="D153" s="2989"/>
      <c r="K153" s="207"/>
      <c r="L153" s="207"/>
    </row>
    <row r="154" spans="1:12" s="2877" customFormat="1">
      <c r="A154" s="2560"/>
      <c r="D154" s="2989"/>
      <c r="K154" s="207"/>
      <c r="L154" s="207"/>
    </row>
    <row r="155" spans="1:12" s="2877" customFormat="1">
      <c r="A155" s="2560"/>
      <c r="D155" s="2989"/>
      <c r="K155" s="207"/>
      <c r="L155" s="207"/>
    </row>
    <row r="156" spans="1:12" s="2877" customFormat="1">
      <c r="A156" s="2560"/>
      <c r="D156" s="2989"/>
      <c r="K156" s="207"/>
      <c r="L156" s="207"/>
    </row>
    <row r="157" spans="1:12" s="2877" customFormat="1">
      <c r="A157" s="2560"/>
      <c r="D157" s="2989"/>
      <c r="K157" s="207"/>
      <c r="L157" s="207"/>
    </row>
    <row r="158" spans="1:12" s="2877" customFormat="1">
      <c r="A158" s="2560"/>
      <c r="D158" s="2989"/>
      <c r="K158" s="207"/>
      <c r="L158" s="207"/>
    </row>
    <row r="159" spans="1:12" s="2877" customFormat="1">
      <c r="A159" s="2560"/>
      <c r="D159" s="2989"/>
      <c r="K159" s="207"/>
      <c r="L159" s="207"/>
    </row>
    <row r="160" spans="1:12" s="2877" customFormat="1">
      <c r="A160" s="2560"/>
      <c r="D160" s="2989"/>
      <c r="K160" s="207"/>
      <c r="L160" s="207"/>
    </row>
    <row r="161" spans="1:12" s="2877" customFormat="1">
      <c r="A161" s="2560"/>
      <c r="D161" s="2989"/>
      <c r="K161" s="207"/>
      <c r="L161" s="207"/>
    </row>
    <row r="162" spans="1:12" s="2877" customFormat="1">
      <c r="A162" s="2560"/>
      <c r="D162" s="2989"/>
      <c r="K162" s="207"/>
      <c r="L162" s="207"/>
    </row>
    <row r="163" spans="1:12" s="2877" customFormat="1">
      <c r="A163" s="2560"/>
      <c r="D163" s="2989"/>
      <c r="K163" s="207"/>
      <c r="L163" s="207"/>
    </row>
    <row r="164" spans="1:12" s="2877" customFormat="1">
      <c r="A164" s="2560"/>
      <c r="D164" s="2989"/>
      <c r="K164" s="207"/>
      <c r="L164" s="207"/>
    </row>
    <row r="165" spans="1:12" s="2877" customFormat="1">
      <c r="A165" s="2560"/>
      <c r="D165" s="2989"/>
      <c r="K165" s="207"/>
      <c r="L165" s="207"/>
    </row>
    <row r="166" spans="1:12" s="2877" customFormat="1">
      <c r="A166" s="2560"/>
      <c r="D166" s="2989"/>
      <c r="K166" s="207"/>
      <c r="L166" s="207"/>
    </row>
    <row r="167" spans="1:12" s="2877" customFormat="1">
      <c r="A167" s="2560"/>
      <c r="D167" s="2989"/>
      <c r="K167" s="207"/>
      <c r="L167" s="207"/>
    </row>
    <row r="168" spans="1:12" s="2877" customFormat="1">
      <c r="A168" s="2560"/>
      <c r="D168" s="2989"/>
      <c r="K168" s="207"/>
      <c r="L168" s="207"/>
    </row>
    <row r="169" spans="1:12" s="2877" customFormat="1">
      <c r="A169" s="2560"/>
      <c r="D169" s="2989"/>
      <c r="K169" s="207"/>
      <c r="L169" s="207"/>
    </row>
    <row r="170" spans="1:12" s="2877" customFormat="1">
      <c r="A170" s="2560"/>
      <c r="D170" s="2989"/>
      <c r="K170" s="207"/>
      <c r="L170" s="207"/>
    </row>
    <row r="171" spans="1:12" s="2877" customFormat="1">
      <c r="A171" s="2560"/>
      <c r="D171" s="2989"/>
      <c r="K171" s="207"/>
      <c r="L171" s="207"/>
    </row>
    <row r="172" spans="1:12" s="2877" customFormat="1">
      <c r="A172" s="2560"/>
      <c r="D172" s="2989"/>
      <c r="K172" s="207"/>
      <c r="L172" s="207"/>
    </row>
    <row r="173" spans="1:12" s="2877" customFormat="1">
      <c r="A173" s="2560"/>
      <c r="D173" s="2989"/>
      <c r="K173" s="207"/>
      <c r="L173" s="207"/>
    </row>
    <row r="174" spans="1:12" s="2877" customFormat="1">
      <c r="A174" s="2560"/>
      <c r="D174" s="2989"/>
      <c r="K174" s="207"/>
      <c r="L174" s="207"/>
    </row>
    <row r="175" spans="1:12" s="2877" customFormat="1">
      <c r="A175" s="2560"/>
      <c r="D175" s="2989"/>
      <c r="K175" s="207"/>
      <c r="L175" s="207"/>
    </row>
    <row r="176" spans="1:12" s="2877" customFormat="1">
      <c r="A176" s="2560"/>
      <c r="D176" s="2989"/>
      <c r="K176" s="207"/>
      <c r="L176" s="207"/>
    </row>
    <row r="177" spans="1:12" s="2877" customFormat="1">
      <c r="A177" s="2560"/>
      <c r="D177" s="2989"/>
      <c r="K177" s="207"/>
      <c r="L177" s="207"/>
    </row>
    <row r="178" spans="1:12" s="2877" customFormat="1">
      <c r="A178" s="2560"/>
      <c r="D178" s="2989"/>
      <c r="K178" s="207"/>
      <c r="L178" s="207"/>
    </row>
    <row r="179" spans="1:12" s="2877" customFormat="1">
      <c r="A179" s="2560"/>
      <c r="D179" s="2989"/>
      <c r="K179" s="207"/>
      <c r="L179" s="207"/>
    </row>
    <row r="180" spans="1:12" s="2877" customFormat="1">
      <c r="A180" s="2560"/>
      <c r="D180" s="2989"/>
      <c r="K180" s="207"/>
      <c r="L180" s="207"/>
    </row>
    <row r="181" spans="1:12" s="2877" customFormat="1">
      <c r="A181" s="2560"/>
      <c r="D181" s="2989"/>
      <c r="K181" s="207"/>
      <c r="L181" s="207"/>
    </row>
    <row r="182" spans="1:12" s="2877" customFormat="1">
      <c r="A182" s="2560"/>
      <c r="D182" s="2989"/>
      <c r="K182" s="207"/>
      <c r="L182" s="207"/>
    </row>
    <row r="183" spans="1:12" s="2877" customFormat="1">
      <c r="A183" s="2560"/>
      <c r="D183" s="2989"/>
      <c r="K183" s="207"/>
      <c r="L183" s="207"/>
    </row>
    <row r="184" spans="1:12" s="2877" customFormat="1">
      <c r="A184" s="2560"/>
      <c r="D184" s="2989"/>
      <c r="K184" s="207"/>
      <c r="L184" s="207"/>
    </row>
    <row r="185" spans="1:12" s="2877" customFormat="1">
      <c r="A185" s="2560"/>
      <c r="D185" s="2989"/>
      <c r="K185" s="207"/>
      <c r="L185" s="207"/>
    </row>
    <row r="186" spans="1:12" s="2877" customFormat="1">
      <c r="A186" s="2560"/>
      <c r="D186" s="2989"/>
      <c r="K186" s="207"/>
      <c r="L186" s="207"/>
    </row>
    <row r="187" spans="1:12" s="2877" customFormat="1">
      <c r="A187" s="2560"/>
      <c r="D187" s="2989"/>
      <c r="K187" s="207"/>
      <c r="L187" s="207"/>
    </row>
    <row r="188" spans="1:12" s="2877" customFormat="1">
      <c r="A188" s="2560"/>
      <c r="D188" s="2989"/>
      <c r="K188" s="207"/>
      <c r="L188" s="207"/>
    </row>
    <row r="189" spans="1:12" s="2877" customFormat="1">
      <c r="A189" s="2560"/>
      <c r="D189" s="2989"/>
      <c r="K189" s="207"/>
      <c r="L189" s="207"/>
    </row>
    <row r="190" spans="1:12" s="2877" customFormat="1">
      <c r="A190" s="2560"/>
      <c r="D190" s="2989"/>
      <c r="K190" s="207"/>
      <c r="L190" s="207"/>
    </row>
    <row r="191" spans="1:12" s="2877" customFormat="1">
      <c r="A191" s="2560"/>
      <c r="D191" s="2989"/>
      <c r="K191" s="207"/>
      <c r="L191" s="207"/>
    </row>
    <row r="192" spans="1:12" s="2877" customFormat="1">
      <c r="A192" s="2560"/>
      <c r="D192" s="2989"/>
      <c r="K192" s="207"/>
      <c r="L192" s="207"/>
    </row>
  </sheetData>
  <sheetProtection password="CEE9" sheet="1" objects="1" scenarios="1" formatCells="0" formatColumns="0" formatRows="0"/>
  <phoneticPr fontId="254" type="noConversion"/>
  <conditionalFormatting sqref="T6:T15">
    <cfRule type="containsText" dxfId="187" priority="12" stopIfTrue="1" operator="containsText" text="自行计算">
      <formula>NOT(ISERROR(SEARCH("自行计算",T6)))</formula>
    </cfRule>
    <cfRule type="containsText" dxfId="186" priority="13" stopIfTrue="1" operator="containsText" text="自行计算">
      <formula>NOT(ISERROR(SEARCH("自行计算",T6)))</formula>
    </cfRule>
    <cfRule type="expression" dxfId="185" priority="1" stopIfTrue="1">
      <formula>$T$4="按面积比例"</formula>
    </cfRule>
  </conditionalFormatting>
  <conditionalFormatting sqref="T6:T13">
    <cfRule type="containsText" dxfId="184" priority="10" stopIfTrue="1" operator="containsText" text="自行计算">
      <formula>NOT(ISERROR(SEARCH("自行计算",T6)))</formula>
    </cfRule>
    <cfRule type="containsText" dxfId="183" priority="11" stopIfTrue="1" operator="containsText" text="自行计算">
      <formula>NOT(ISERROR(SEARCH("自行计算",T6)))</formula>
    </cfRule>
  </conditionalFormatting>
  <conditionalFormatting sqref="T12:T13">
    <cfRule type="containsText" dxfId="182" priority="4" stopIfTrue="1" operator="containsText" text="自行计算">
      <formula>NOT(ISERROR(SEARCH("自行计算",T12)))</formula>
    </cfRule>
    <cfRule type="containsText" dxfId="181" priority="5" stopIfTrue="1" operator="containsText" text="自行计算">
      <formula>NOT(ISERROR(SEARCH("自行计算",T12)))</formula>
    </cfRule>
    <cfRule type="containsText" dxfId="180" priority="2" stopIfTrue="1" operator="containsText" text="自行计算">
      <formula>NOT(ISERROR(SEARCH("自行计算",T12)))</formula>
    </cfRule>
    <cfRule type="containsText" dxfId="179" priority="3" stopIfTrue="1" operator="containsText" text="自行计算">
      <formula>NOT(ISERROR(SEARCH("自行计算",T12)))</formula>
    </cfRule>
  </conditionalFormatting>
  <dataValidations count="8">
    <dataValidation type="list" allowBlank="1" showInputMessage="1" showErrorMessage="1" sqref="N5">
      <formula1>"工程进度,成新度"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legacy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workbookViewId="0">
      <pane xSplit="1" ySplit="2" topLeftCell="B3" activePane="bottomRight" state="frozen"/>
      <selection pane="topRight"/>
      <selection pane="bottomLeft"/>
      <selection pane="bottomRight" activeCell="K16" sqref="K16"/>
    </sheetView>
  </sheetViews>
  <sheetFormatPr defaultColWidth="9" defaultRowHeight="13.5"/>
  <cols>
    <col min="1" max="1" width="9.5" style="2803" customWidth="1"/>
    <col min="2" max="2" width="23.5" style="2804" customWidth="1"/>
    <col min="3" max="3" width="32.25" style="2805" customWidth="1"/>
    <col min="4" max="4" width="2.625" style="2805" customWidth="1"/>
    <col min="5" max="5" width="5.875" style="2805" customWidth="1"/>
    <col min="6" max="6" width="23.625" style="2804" customWidth="1"/>
    <col min="7" max="7" width="33.375" style="2806" customWidth="1"/>
    <col min="8" max="8" width="11.875" style="2804" customWidth="1"/>
    <col min="9" max="9" width="16.75" style="2806" customWidth="1"/>
    <col min="10" max="10" width="2.625" style="2805" customWidth="1"/>
    <col min="11" max="11" width="11.875" style="2804" customWidth="1"/>
    <col min="12" max="12" width="16.75" style="2806" customWidth="1"/>
    <col min="13" max="13" width="2.625" style="2805" customWidth="1"/>
    <col min="14" max="14" width="11.875" style="2804" customWidth="1"/>
    <col min="15" max="15" width="16.75" style="2806" customWidth="1"/>
    <col min="16" max="16" width="2.625" style="2805" customWidth="1"/>
    <col min="17" max="17" width="11.875" style="2804" customWidth="1"/>
    <col min="18" max="18" width="16.75" style="2807" customWidth="1"/>
    <col min="19" max="16384" width="9" style="2803"/>
  </cols>
  <sheetData>
    <row r="1" spans="1:18" s="2801" customFormat="1" ht="18.75">
      <c r="A1" s="3735" t="s">
        <v>687</v>
      </c>
      <c r="B1" s="3736"/>
      <c r="C1" s="3736"/>
      <c r="D1" s="3736"/>
      <c r="E1" s="3736"/>
      <c r="F1" s="3736"/>
      <c r="G1" s="3736"/>
      <c r="H1" s="2808"/>
      <c r="I1" s="2863"/>
      <c r="J1" s="2864"/>
      <c r="K1" s="2808"/>
      <c r="L1" s="2863"/>
      <c r="M1" s="2864"/>
      <c r="N1" s="2808"/>
      <c r="O1" s="2863"/>
      <c r="P1" s="2864"/>
      <c r="Q1" s="2872"/>
      <c r="R1" s="2873"/>
    </row>
    <row r="2" spans="1:18">
      <c r="A2" s="2809"/>
      <c r="B2" s="2810"/>
      <c r="C2" s="2811" t="s">
        <v>688</v>
      </c>
      <c r="D2" s="2812"/>
      <c r="E2" s="2809"/>
      <c r="F2" s="2813"/>
      <c r="G2" s="2811" t="s">
        <v>164</v>
      </c>
      <c r="H2" s="2803"/>
      <c r="I2" s="2803"/>
      <c r="J2" s="2803"/>
      <c r="K2" s="2803"/>
      <c r="L2" s="2803"/>
      <c r="M2" s="2803"/>
      <c r="N2" s="2803"/>
      <c r="O2" s="2803"/>
      <c r="P2" s="2803"/>
      <c r="Q2" s="2803"/>
      <c r="R2" s="2803"/>
    </row>
    <row r="3" spans="1:18" ht="40.5">
      <c r="A3" s="2814" t="s">
        <v>689</v>
      </c>
      <c r="B3" s="2815" t="s">
        <v>690</v>
      </c>
      <c r="C3" s="2816" t="s">
        <v>691</v>
      </c>
      <c r="D3" s="2817"/>
      <c r="E3" s="2818" t="s">
        <v>689</v>
      </c>
      <c r="F3" s="2819" t="s">
        <v>692</v>
      </c>
      <c r="G3" s="2820" t="s">
        <v>693</v>
      </c>
      <c r="H3" s="2803"/>
      <c r="I3" s="2803"/>
      <c r="J3" s="2803"/>
      <c r="K3" s="2803"/>
      <c r="L3" s="2803"/>
      <c r="M3" s="2803"/>
      <c r="N3" s="2803"/>
      <c r="O3" s="2803"/>
      <c r="P3" s="2803"/>
      <c r="Q3" s="2803"/>
      <c r="R3" s="2803"/>
    </row>
    <row r="4" spans="1:18" ht="40.5">
      <c r="A4" s="2818"/>
      <c r="B4" s="2821" t="s">
        <v>694</v>
      </c>
      <c r="C4" s="2822" t="s">
        <v>695</v>
      </c>
      <c r="D4" s="2817"/>
      <c r="E4" s="2823"/>
      <c r="F4" s="2824" t="s">
        <v>696</v>
      </c>
      <c r="G4" s="2825" t="s">
        <v>697</v>
      </c>
      <c r="H4" s="2803"/>
      <c r="I4" s="2803"/>
      <c r="J4" s="2803"/>
      <c r="K4" s="2803"/>
      <c r="L4" s="2803"/>
      <c r="M4" s="2803"/>
      <c r="N4" s="2803"/>
      <c r="O4" s="2803"/>
      <c r="P4" s="2803"/>
      <c r="Q4" s="2803"/>
      <c r="R4" s="2803"/>
    </row>
    <row r="5" spans="1:18" ht="41.25">
      <c r="A5" s="2818"/>
      <c r="B5" s="2821" t="s">
        <v>698</v>
      </c>
      <c r="C5" s="2822" t="s">
        <v>699</v>
      </c>
      <c r="D5" s="2817"/>
      <c r="E5" s="2823"/>
      <c r="F5" s="2821" t="s">
        <v>229</v>
      </c>
      <c r="G5" s="2825" t="s">
        <v>700</v>
      </c>
      <c r="H5" s="2803"/>
      <c r="I5" s="2803"/>
      <c r="J5" s="2803"/>
      <c r="K5" s="2803"/>
      <c r="L5" s="2803"/>
      <c r="M5" s="2803"/>
      <c r="N5" s="2803"/>
      <c r="O5" s="2803"/>
      <c r="P5" s="2803"/>
      <c r="Q5" s="2803"/>
      <c r="R5" s="2803"/>
    </row>
    <row r="6" spans="1:18" ht="40.5">
      <c r="A6" s="2818"/>
      <c r="B6" s="2821" t="s">
        <v>696</v>
      </c>
      <c r="C6" s="2825" t="s">
        <v>697</v>
      </c>
      <c r="D6" s="2817"/>
      <c r="E6" s="2823"/>
      <c r="F6" s="2821" t="s">
        <v>230</v>
      </c>
      <c r="G6" s="2825" t="s">
        <v>701</v>
      </c>
      <c r="H6" s="2803"/>
      <c r="I6" s="2803"/>
      <c r="J6" s="2803"/>
      <c r="K6" s="2803"/>
      <c r="L6" s="2803"/>
      <c r="M6" s="2803"/>
      <c r="N6" s="2803"/>
      <c r="O6" s="2803"/>
      <c r="P6" s="2803"/>
      <c r="Q6" s="2803"/>
      <c r="R6" s="2803"/>
    </row>
    <row r="7" spans="1:18" ht="27">
      <c r="A7" s="2818"/>
      <c r="B7" s="2821" t="s">
        <v>229</v>
      </c>
      <c r="C7" s="2825" t="s">
        <v>700</v>
      </c>
      <c r="D7" s="2826"/>
      <c r="E7" s="2827"/>
      <c r="F7" s="2828" t="s">
        <v>702</v>
      </c>
      <c r="G7" s="2829" t="s">
        <v>703</v>
      </c>
      <c r="H7" s="2803"/>
      <c r="I7" s="2803"/>
      <c r="J7" s="2803"/>
      <c r="K7" s="2803"/>
      <c r="L7" s="2803"/>
      <c r="M7" s="2803"/>
      <c r="N7" s="2803"/>
      <c r="O7" s="2803"/>
      <c r="P7" s="2803"/>
      <c r="Q7" s="2803"/>
      <c r="R7" s="2803"/>
    </row>
    <row r="8" spans="1:18">
      <c r="A8" s="2818"/>
      <c r="B8" s="2821" t="s">
        <v>230</v>
      </c>
      <c r="C8" s="2825" t="s">
        <v>701</v>
      </c>
      <c r="D8" s="2826"/>
      <c r="E8" s="2826"/>
      <c r="F8" s="2830"/>
      <c r="G8" s="2830"/>
      <c r="H8" s="2803"/>
      <c r="I8" s="2803"/>
      <c r="J8" s="2803"/>
      <c r="K8" s="2803"/>
      <c r="L8" s="2803"/>
      <c r="M8" s="2803"/>
      <c r="N8" s="2803"/>
      <c r="O8" s="2803"/>
      <c r="P8" s="2803"/>
      <c r="Q8" s="2803"/>
      <c r="R8" s="2803"/>
    </row>
    <row r="9" spans="1:18" ht="27">
      <c r="A9" s="2818"/>
      <c r="B9" s="2821" t="s">
        <v>704</v>
      </c>
      <c r="C9" s="2822" t="s">
        <v>705</v>
      </c>
      <c r="D9" s="2817"/>
      <c r="E9" s="2826"/>
      <c r="F9" s="2830"/>
      <c r="G9" s="2830"/>
      <c r="H9" s="2803"/>
      <c r="I9" s="2803"/>
      <c r="J9" s="2803"/>
      <c r="K9" s="2803"/>
      <c r="L9" s="2803"/>
      <c r="M9" s="2803"/>
      <c r="N9" s="2803"/>
      <c r="O9" s="2803"/>
      <c r="P9" s="2803"/>
      <c r="Q9" s="2803"/>
      <c r="R9" s="2803"/>
    </row>
    <row r="10" spans="1:18" s="2802" customFormat="1" ht="14.25">
      <c r="A10" s="2831"/>
      <c r="B10" s="2832" t="s">
        <v>706</v>
      </c>
      <c r="C10" s="2833"/>
      <c r="D10" s="2817"/>
      <c r="E10" s="2817"/>
      <c r="F10" s="2830"/>
      <c r="G10" s="2830"/>
      <c r="H10" s="2834"/>
      <c r="I10" s="2865"/>
      <c r="J10" s="2866"/>
      <c r="K10" s="2834"/>
      <c r="L10" s="2865"/>
      <c r="M10" s="2866"/>
      <c r="N10" s="2834"/>
      <c r="O10" s="2865"/>
      <c r="P10" s="2866"/>
      <c r="Q10" s="2834"/>
      <c r="R10" s="2865"/>
    </row>
    <row r="11" spans="1:18" s="2802" customFormat="1">
      <c r="A11" s="2835"/>
      <c r="B11" s="2826"/>
      <c r="C11" s="2817"/>
      <c r="D11" s="2817"/>
      <c r="E11" s="2817"/>
      <c r="F11" s="2826"/>
      <c r="G11" s="2836"/>
      <c r="H11" s="2834"/>
      <c r="I11" s="2865"/>
      <c r="J11" s="2866"/>
      <c r="K11" s="2834"/>
      <c r="L11" s="2865"/>
      <c r="M11" s="2866"/>
      <c r="N11" s="2834"/>
      <c r="O11" s="2865"/>
      <c r="P11" s="2866"/>
      <c r="Q11" s="2834"/>
      <c r="R11" s="2865"/>
    </row>
    <row r="12" spans="1:18" s="2801" customFormat="1" ht="18.75">
      <c r="A12" s="2835"/>
      <c r="B12" s="2826"/>
      <c r="C12" s="2817"/>
      <c r="D12" s="2837"/>
      <c r="E12" s="2817"/>
      <c r="F12" s="2826"/>
      <c r="G12" s="2836"/>
      <c r="H12" s="2838"/>
      <c r="I12" s="2867"/>
      <c r="J12" s="2838"/>
      <c r="K12" s="2838"/>
      <c r="L12" s="2868"/>
      <c r="M12" s="2838"/>
      <c r="N12" s="2869"/>
      <c r="O12" s="2870"/>
      <c r="P12" s="2871"/>
      <c r="Q12" s="2869"/>
      <c r="R12" s="2873"/>
    </row>
    <row r="13" spans="1:18" ht="18.75">
      <c r="A13" s="2839" t="s">
        <v>707</v>
      </c>
      <c r="B13" s="2837"/>
      <c r="C13" s="2837"/>
      <c r="D13" s="2812"/>
      <c r="E13" s="2837"/>
      <c r="F13" s="2837"/>
      <c r="G13" s="2837"/>
    </row>
    <row r="14" spans="1:18">
      <c r="A14" s="2840"/>
      <c r="B14" s="2840"/>
      <c r="C14" s="2841" t="s">
        <v>688</v>
      </c>
      <c r="D14" s="2817"/>
      <c r="E14" s="2842"/>
      <c r="F14" s="2842"/>
      <c r="G14" s="2811" t="s">
        <v>164</v>
      </c>
    </row>
    <row r="15" spans="1:18" ht="40.5">
      <c r="A15" s="2843" t="s">
        <v>689</v>
      </c>
      <c r="B15" s="2844" t="s">
        <v>690</v>
      </c>
      <c r="C15" s="2845" t="str">
        <f>C3</f>
        <v>估价对象周边居住用地比例、居住小区规模和社区发展完善程度，综合评价居住社区成熟度一般</v>
      </c>
      <c r="D15" s="2817"/>
      <c r="E15" s="2846" t="s">
        <v>689</v>
      </c>
      <c r="F15" s="2844" t="s">
        <v>692</v>
      </c>
      <c r="G15" s="2847" t="str">
        <f>G3</f>
        <v>估价对象位于XX开发区，园区建设成熟度XX，产业集聚程度XX</v>
      </c>
    </row>
    <row r="16" spans="1:18" ht="40.5">
      <c r="A16" s="2848"/>
      <c r="B16" s="2849" t="s">
        <v>694</v>
      </c>
      <c r="C16" s="2850" t="str">
        <f>C4</f>
        <v>估价对象位于XX商圈，周边商业氛围成熟，人流量大，商业繁华度好</v>
      </c>
      <c r="D16" s="2817"/>
      <c r="E16" s="2851"/>
      <c r="F16" s="2852" t="s">
        <v>696</v>
      </c>
      <c r="G16" s="2853" t="str">
        <f>G4</f>
        <v>估价对象周边道路状况、公共交通通达情况、停车便捷程度，综合评价交通便捷度较好</v>
      </c>
    </row>
    <row r="17" spans="1:7" ht="40.5">
      <c r="A17" s="2848"/>
      <c r="B17" s="2849" t="s">
        <v>698</v>
      </c>
      <c r="C17" s="2850" t="str">
        <f>C5</f>
        <v>估价对象位于XX商圈，周边办公楼项目较多，入驻率高，办公集聚程度较好</v>
      </c>
      <c r="D17" s="2826"/>
      <c r="E17" s="2851"/>
      <c r="F17" s="2852" t="s">
        <v>708</v>
      </c>
      <c r="G17" s="2854"/>
    </row>
    <row r="18" spans="1:7" ht="40.5">
      <c r="A18" s="2848"/>
      <c r="B18" s="2852" t="s">
        <v>696</v>
      </c>
      <c r="C18" s="2853" t="str">
        <f>C6</f>
        <v>估价对象周边道路状况、公共交通通达情况、停车便捷程度，综合评价交通便捷度较好</v>
      </c>
      <c r="D18" s="2826"/>
      <c r="E18" s="2851"/>
      <c r="F18" s="2852" t="s">
        <v>702</v>
      </c>
      <c r="G18" s="2853" t="str">
        <f>G7</f>
        <v>该园区内是否有污染型企业，绿化情况，卫生条件，整体环境状况判断</v>
      </c>
    </row>
    <row r="19" spans="1:7" ht="27">
      <c r="A19" s="2848"/>
      <c r="B19" s="2852" t="s">
        <v>708</v>
      </c>
      <c r="C19" s="2854"/>
      <c r="D19" s="2817"/>
      <c r="E19" s="2851"/>
      <c r="F19" s="2821" t="s">
        <v>229</v>
      </c>
      <c r="G19" s="2853" t="str">
        <f>G5</f>
        <v>估价对象所在区域公共配套设施齐备情况</v>
      </c>
    </row>
    <row r="20" spans="1:7" ht="27">
      <c r="A20" s="2848"/>
      <c r="B20" s="2852" t="s">
        <v>709</v>
      </c>
      <c r="C20" s="2850" t="str">
        <f>C9</f>
        <v>区域自然环境：；人文环境；综合评价环境状况一般</v>
      </c>
      <c r="D20" s="2826"/>
      <c r="E20" s="2851"/>
      <c r="F20" s="2821" t="s">
        <v>230</v>
      </c>
      <c r="G20" s="2853" t="str">
        <f>G6</f>
        <v>估价对象所在区域基础设施水平</v>
      </c>
    </row>
    <row r="21" spans="1:7" ht="27">
      <c r="A21" s="2848"/>
      <c r="B21" s="2821" t="s">
        <v>229</v>
      </c>
      <c r="C21" s="2853" t="str">
        <f>C7</f>
        <v>估价对象所在区域公共配套设施齐备情况</v>
      </c>
      <c r="D21" s="2817"/>
      <c r="E21" s="2851"/>
      <c r="F21" s="2852" t="s">
        <v>710</v>
      </c>
      <c r="G21" s="2855"/>
    </row>
    <row r="22" spans="1:7" ht="14.25">
      <c r="A22" s="2848"/>
      <c r="B22" s="2821" t="s">
        <v>230</v>
      </c>
      <c r="C22" s="2853" t="str">
        <f>C8</f>
        <v>估价对象所在区域基础设施水平</v>
      </c>
      <c r="D22" s="2817"/>
      <c r="E22" s="2851"/>
      <c r="F22" s="2852" t="s">
        <v>706</v>
      </c>
      <c r="G22" s="2854"/>
    </row>
    <row r="23" spans="1:7" ht="14.25">
      <c r="A23" s="2848"/>
      <c r="B23" s="2852" t="s">
        <v>710</v>
      </c>
      <c r="C23" s="2855"/>
      <c r="E23" s="2856"/>
      <c r="F23" s="2857" t="s">
        <v>215</v>
      </c>
      <c r="G23" s="2858"/>
    </row>
    <row r="24" spans="1:7">
      <c r="A24" s="2859"/>
      <c r="B24" s="2857" t="s">
        <v>706</v>
      </c>
      <c r="C24" s="2860">
        <f>C10</f>
        <v>0</v>
      </c>
      <c r="E24" s="2861"/>
      <c r="F24" s="2861"/>
      <c r="G24" s="2862"/>
    </row>
    <row r="25" spans="1:7">
      <c r="E25" s="2803"/>
      <c r="F25" s="2803"/>
      <c r="G25" s="2803"/>
    </row>
    <row r="26" spans="1:7">
      <c r="E26" s="2803"/>
      <c r="F26" s="2803"/>
      <c r="G26" s="2803"/>
    </row>
    <row r="27" spans="1:7">
      <c r="E27" s="2803"/>
      <c r="F27" s="2803"/>
      <c r="G27" s="2803"/>
    </row>
    <row r="28" spans="1:7">
      <c r="E28" s="2803"/>
      <c r="F28" s="2803"/>
      <c r="G28" s="2803"/>
    </row>
    <row r="29" spans="1:7">
      <c r="E29" s="2803"/>
      <c r="F29" s="2803"/>
      <c r="G29" s="2803"/>
    </row>
    <row r="30" spans="1:7">
      <c r="E30" s="2803"/>
      <c r="F30" s="2803"/>
      <c r="G30" s="2803"/>
    </row>
    <row r="31" spans="1:7">
      <c r="E31" s="2803"/>
      <c r="F31" s="2803"/>
      <c r="G31" s="2803"/>
    </row>
    <row r="32" spans="1:7">
      <c r="E32" s="2803"/>
      <c r="F32" s="2803"/>
      <c r="G32" s="2803"/>
    </row>
    <row r="33" spans="5:7">
      <c r="E33" s="2803"/>
      <c r="F33" s="2803"/>
      <c r="G33" s="2803"/>
    </row>
    <row r="34" spans="5:7">
      <c r="E34" s="2803"/>
      <c r="F34" s="2803"/>
      <c r="G34" s="2803"/>
    </row>
    <row r="35" spans="5:7">
      <c r="E35" s="2803"/>
      <c r="F35" s="2803"/>
      <c r="G35" s="2803"/>
    </row>
    <row r="36" spans="5:7">
      <c r="E36" s="2803"/>
      <c r="F36" s="2803"/>
      <c r="G36" s="2803"/>
    </row>
    <row r="37" spans="5:7">
      <c r="E37" s="2803"/>
      <c r="F37" s="2803"/>
      <c r="G37" s="2803"/>
    </row>
  </sheetData>
  <sheetProtection formatCells="0" formatColumns="0" formatRows="0"/>
  <mergeCells count="1">
    <mergeCell ref="A1:G1"/>
  </mergeCells>
  <phoneticPr fontId="254" type="noConversion"/>
  <dataValidations count="1">
    <dataValidation type="list" allowBlank="1" showInputMessage="1" showErrorMessage="1" sqref="G21 C23">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workbookViewId="0">
      <selection activeCell="D30" sqref="D30"/>
    </sheetView>
  </sheetViews>
  <sheetFormatPr defaultColWidth="14.625" defaultRowHeight="13.5"/>
  <cols>
    <col min="1" max="1" width="24.375" style="2789" customWidth="1"/>
    <col min="2" max="16384" width="14.625" style="2789"/>
  </cols>
  <sheetData>
    <row r="1" spans="1:10" ht="16.5">
      <c r="A1" s="2790" t="s">
        <v>711</v>
      </c>
      <c r="B1" s="2790">
        <f>SUM(B14:B23)</f>
        <v>74800</v>
      </c>
      <c r="C1" s="2791"/>
      <c r="D1" s="2791"/>
      <c r="E1" s="2791"/>
      <c r="F1" s="2791"/>
      <c r="G1" s="2792"/>
      <c r="H1" s="2792"/>
      <c r="I1" s="2792"/>
      <c r="J1" s="2792"/>
    </row>
    <row r="2" spans="1:10" ht="16.5">
      <c r="A2" s="2790" t="s">
        <v>712</v>
      </c>
      <c r="B2" s="2790">
        <f>SUM(C14:C23)</f>
        <v>200000</v>
      </c>
      <c r="C2" s="2791"/>
      <c r="D2" s="2791"/>
      <c r="E2" s="2791"/>
      <c r="F2" s="2791"/>
      <c r="G2" s="2792"/>
      <c r="H2" s="2792"/>
      <c r="I2" s="2792"/>
      <c r="J2" s="2792"/>
    </row>
    <row r="3" spans="1:10" ht="16.5">
      <c r="A3" s="2790" t="s">
        <v>713</v>
      </c>
      <c r="B3" s="2793">
        <f>项目基本情况!D3</f>
        <v>45260</v>
      </c>
      <c r="C3" s="2791"/>
      <c r="D3" s="2791"/>
      <c r="E3" s="2791"/>
      <c r="F3" s="2791"/>
      <c r="G3" s="2792"/>
      <c r="H3" s="2792"/>
      <c r="I3" s="2792"/>
      <c r="J3" s="2792"/>
    </row>
    <row r="4" spans="1:10" ht="33">
      <c r="A4" s="2790" t="s">
        <v>423</v>
      </c>
      <c r="B4" s="2790" t="s">
        <v>714</v>
      </c>
      <c r="C4" s="2790" t="s">
        <v>715</v>
      </c>
      <c r="D4" s="2790" t="s">
        <v>716</v>
      </c>
      <c r="E4" s="2791"/>
      <c r="F4" s="2791"/>
      <c r="G4" s="2792"/>
      <c r="H4" s="2792"/>
      <c r="I4" s="2792"/>
      <c r="J4" s="2792"/>
    </row>
    <row r="5" spans="1:10" ht="16.5">
      <c r="A5" s="2790" t="s">
        <v>717</v>
      </c>
      <c r="B5" s="2790">
        <f ca="1">SUM(D14:D23)</f>
        <v>2086</v>
      </c>
      <c r="C5" s="2790">
        <f ca="1">ROUND(B5*10000/$B$1,0)</f>
        <v>279</v>
      </c>
      <c r="D5" s="2790">
        <f ca="1">ROUND(B5*10000/$B$2,0)</f>
        <v>104</v>
      </c>
      <c r="E5" s="2791"/>
      <c r="F5" s="2791"/>
      <c r="G5" s="2792"/>
      <c r="H5" s="2792"/>
      <c r="I5" s="2792"/>
      <c r="J5" s="2792"/>
    </row>
    <row r="6" spans="1:10" ht="16.5">
      <c r="A6" s="2790" t="s">
        <v>718</v>
      </c>
      <c r="B6" s="2790">
        <f ca="1">SUM(G14:G23)</f>
        <v>2086</v>
      </c>
      <c r="C6" s="2790">
        <f ca="1">ROUND(B6*10000/$B$1,0)</f>
        <v>279</v>
      </c>
      <c r="D6" s="2790">
        <f ca="1">ROUND(B6*10000/$B$2,0)</f>
        <v>104</v>
      </c>
      <c r="E6" s="2791"/>
      <c r="F6" s="2791"/>
      <c r="G6" s="2792"/>
      <c r="H6" s="2792"/>
      <c r="I6" s="2792"/>
      <c r="J6" s="2792"/>
    </row>
    <row r="7" spans="1:10" ht="16.5">
      <c r="A7" s="2790" t="s">
        <v>719</v>
      </c>
      <c r="B7" s="2790">
        <f>SUM(H14:H23)</f>
        <v>0</v>
      </c>
      <c r="C7" s="2790">
        <f>ROUND(B7*10000/$B$1,0)</f>
        <v>0</v>
      </c>
      <c r="D7" s="2790">
        <f>ROUND(B7*10000/$B$2,0)</f>
        <v>0</v>
      </c>
      <c r="E7" s="2791"/>
      <c r="F7" s="2791"/>
      <c r="G7" s="2792"/>
      <c r="H7" s="2792"/>
      <c r="I7" s="2792"/>
      <c r="J7" s="2792"/>
    </row>
    <row r="8" spans="1:10" ht="16.5">
      <c r="A8" s="2790" t="s">
        <v>350</v>
      </c>
      <c r="B8" s="2790">
        <f>SUM(I14:I23)</f>
        <v>0</v>
      </c>
      <c r="C8" s="2790">
        <f>ROUND(B8*10000/$B$1,0)</f>
        <v>0</v>
      </c>
      <c r="D8" s="2790">
        <f>ROUND(B8*10000/$B$2,0)</f>
        <v>0</v>
      </c>
      <c r="E8" s="2791"/>
      <c r="F8" s="2791"/>
      <c r="G8" s="2792"/>
      <c r="H8" s="2792"/>
      <c r="I8" s="2792"/>
      <c r="J8" s="2792"/>
    </row>
    <row r="9" spans="1:10" ht="16.5">
      <c r="A9" s="2790" t="s">
        <v>720</v>
      </c>
      <c r="B9" s="2794"/>
      <c r="C9" s="2791"/>
      <c r="D9" s="2791"/>
      <c r="E9" s="2791"/>
      <c r="F9" s="2791"/>
      <c r="G9" s="2792"/>
      <c r="H9" s="2792"/>
      <c r="I9" s="2792"/>
      <c r="J9" s="2792"/>
    </row>
    <row r="10" spans="1:10" ht="16.5">
      <c r="A10" s="2790" t="s">
        <v>721</v>
      </c>
      <c r="B10" s="2794"/>
      <c r="C10" s="2791"/>
      <c r="D10" s="2791"/>
      <c r="E10" s="2791"/>
      <c r="F10" s="2791"/>
      <c r="G10" s="2792"/>
      <c r="H10" s="2792"/>
      <c r="I10" s="2792"/>
      <c r="J10" s="2792"/>
    </row>
    <row r="11" spans="1:10" ht="16.5">
      <c r="A11" s="2790" t="s">
        <v>722</v>
      </c>
      <c r="B11" s="2794"/>
      <c r="C11" s="2791"/>
      <c r="D11" s="2791"/>
      <c r="E11" s="2791"/>
      <c r="F11" s="2791"/>
      <c r="G11" s="2792"/>
      <c r="H11" s="2792"/>
      <c r="I11" s="2792"/>
      <c r="J11" s="2792"/>
    </row>
    <row r="12" spans="1:10" ht="16.5">
      <c r="A12" s="2791"/>
      <c r="B12" s="2791"/>
      <c r="C12" s="2791"/>
      <c r="D12" s="2791"/>
      <c r="E12" s="2791"/>
      <c r="F12" s="2791"/>
      <c r="G12" s="2792"/>
      <c r="H12" s="2792"/>
      <c r="I12" s="2792"/>
      <c r="J12" s="2792"/>
    </row>
    <row r="13" spans="1:10" ht="33">
      <c r="A13" s="2795" t="s">
        <v>723</v>
      </c>
      <c r="B13" s="2796" t="s">
        <v>711</v>
      </c>
      <c r="C13" s="2796" t="s">
        <v>712</v>
      </c>
      <c r="D13" s="2796" t="s">
        <v>724</v>
      </c>
      <c r="E13" s="2790" t="s">
        <v>715</v>
      </c>
      <c r="F13" s="2790" t="s">
        <v>716</v>
      </c>
      <c r="G13" s="2796" t="s">
        <v>725</v>
      </c>
      <c r="H13" s="2796" t="s">
        <v>726</v>
      </c>
      <c r="I13" s="2796" t="s">
        <v>727</v>
      </c>
      <c r="J13" s="2792"/>
    </row>
    <row r="14" spans="1:10" ht="16.5">
      <c r="A14" s="2797" t="s">
        <v>728</v>
      </c>
      <c r="B14" s="2798">
        <f>'数据-汇总表'!E3</f>
        <v>74800</v>
      </c>
      <c r="C14" s="2798">
        <f>'数据-汇总表'!D3</f>
        <v>200000</v>
      </c>
      <c r="D14" s="2798">
        <f ca="1">结果表!G19</f>
        <v>2086</v>
      </c>
      <c r="E14" s="2798">
        <f ca="1">ROUND(D14*10000/B14,0)</f>
        <v>279</v>
      </c>
      <c r="F14" s="2798">
        <f ca="1">ROUND(D14*10000/C14,0)</f>
        <v>104</v>
      </c>
      <c r="G14" s="2798">
        <f ca="1">D14</f>
        <v>2086</v>
      </c>
      <c r="H14" s="2798"/>
      <c r="I14" s="2798"/>
      <c r="J14" s="2792"/>
    </row>
    <row r="15" spans="1:10" ht="16.5">
      <c r="A15" s="2797" t="s">
        <v>729</v>
      </c>
      <c r="B15" s="2799"/>
      <c r="C15" s="2799"/>
      <c r="D15" s="2799"/>
      <c r="E15" s="2798" t="e">
        <f t="shared" ref="E15:E23" si="0">ROUND(D15*10000/B15,0)</f>
        <v>#DIV/0!</v>
      </c>
      <c r="F15" s="2798" t="e">
        <f t="shared" ref="F15:F23" si="1">ROUND(D15*10000/C15,0)</f>
        <v>#DIV/0!</v>
      </c>
      <c r="G15" s="2800"/>
      <c r="H15" s="2800"/>
      <c r="I15" s="2799"/>
      <c r="J15" s="2792"/>
    </row>
    <row r="16" spans="1:10" ht="16.5">
      <c r="A16" s="2797" t="s">
        <v>730</v>
      </c>
      <c r="B16" s="2799"/>
      <c r="C16" s="2799"/>
      <c r="D16" s="2799"/>
      <c r="E16" s="2798" t="e">
        <f t="shared" si="0"/>
        <v>#DIV/0!</v>
      </c>
      <c r="F16" s="2798" t="e">
        <f t="shared" si="1"/>
        <v>#DIV/0!</v>
      </c>
      <c r="G16" s="2800"/>
      <c r="H16" s="2800"/>
      <c r="I16" s="2799"/>
      <c r="J16" s="2792"/>
    </row>
    <row r="17" spans="1:10" ht="16.5">
      <c r="A17" s="2797" t="s">
        <v>731</v>
      </c>
      <c r="B17" s="2799"/>
      <c r="C17" s="2799"/>
      <c r="D17" s="2799"/>
      <c r="E17" s="2798" t="e">
        <f t="shared" si="0"/>
        <v>#DIV/0!</v>
      </c>
      <c r="F17" s="2798" t="e">
        <f t="shared" si="1"/>
        <v>#DIV/0!</v>
      </c>
      <c r="G17" s="2800"/>
      <c r="H17" s="2800"/>
      <c r="I17" s="2799"/>
      <c r="J17" s="2792"/>
    </row>
    <row r="18" spans="1:10" ht="16.5">
      <c r="A18" s="2797" t="s">
        <v>732</v>
      </c>
      <c r="B18" s="2799"/>
      <c r="C18" s="2799"/>
      <c r="D18" s="2799"/>
      <c r="E18" s="2798" t="e">
        <f t="shared" si="0"/>
        <v>#DIV/0!</v>
      </c>
      <c r="F18" s="2798" t="e">
        <f t="shared" si="1"/>
        <v>#DIV/0!</v>
      </c>
      <c r="G18" s="2799"/>
      <c r="H18" s="2799"/>
      <c r="I18" s="2799"/>
      <c r="J18" s="2792"/>
    </row>
    <row r="19" spans="1:10" ht="16.5">
      <c r="A19" s="2797" t="s">
        <v>733</v>
      </c>
      <c r="B19" s="2799"/>
      <c r="C19" s="2799"/>
      <c r="D19" s="2799"/>
      <c r="E19" s="2798" t="e">
        <f t="shared" si="0"/>
        <v>#DIV/0!</v>
      </c>
      <c r="F19" s="2798" t="e">
        <f t="shared" si="1"/>
        <v>#DIV/0!</v>
      </c>
      <c r="G19" s="2799"/>
      <c r="H19" s="2799"/>
      <c r="I19" s="2799"/>
      <c r="J19" s="2792"/>
    </row>
    <row r="20" spans="1:10" ht="16.5">
      <c r="A20" s="2797" t="s">
        <v>734</v>
      </c>
      <c r="B20" s="2799"/>
      <c r="C20" s="2799"/>
      <c r="D20" s="2799"/>
      <c r="E20" s="2798" t="e">
        <f t="shared" si="0"/>
        <v>#DIV/0!</v>
      </c>
      <c r="F20" s="2798" t="e">
        <f t="shared" si="1"/>
        <v>#DIV/0!</v>
      </c>
      <c r="G20" s="2799"/>
      <c r="H20" s="2799"/>
      <c r="I20" s="2799"/>
      <c r="J20" s="2792"/>
    </row>
    <row r="21" spans="1:10" ht="16.5">
      <c r="A21" s="2797" t="s">
        <v>735</v>
      </c>
      <c r="B21" s="2799"/>
      <c r="C21" s="2799"/>
      <c r="D21" s="2799"/>
      <c r="E21" s="2798" t="e">
        <f t="shared" si="0"/>
        <v>#DIV/0!</v>
      </c>
      <c r="F21" s="2798" t="e">
        <f t="shared" si="1"/>
        <v>#DIV/0!</v>
      </c>
      <c r="G21" s="2799"/>
      <c r="H21" s="2799"/>
      <c r="I21" s="2799"/>
      <c r="J21" s="2792"/>
    </row>
    <row r="22" spans="1:10" ht="16.5">
      <c r="A22" s="2797" t="s">
        <v>736</v>
      </c>
      <c r="B22" s="2799"/>
      <c r="C22" s="2799"/>
      <c r="D22" s="2799"/>
      <c r="E22" s="2798" t="e">
        <f t="shared" si="0"/>
        <v>#DIV/0!</v>
      </c>
      <c r="F22" s="2798" t="e">
        <f t="shared" si="1"/>
        <v>#DIV/0!</v>
      </c>
      <c r="G22" s="2799"/>
      <c r="H22" s="2799"/>
      <c r="I22" s="2799"/>
      <c r="J22" s="2792"/>
    </row>
    <row r="23" spans="1:10" ht="16.5">
      <c r="A23" s="2797" t="s">
        <v>737</v>
      </c>
      <c r="B23" s="2799"/>
      <c r="C23" s="2799"/>
      <c r="D23" s="2799"/>
      <c r="E23" s="2794" t="e">
        <f t="shared" si="0"/>
        <v>#DIV/0!</v>
      </c>
      <c r="F23" s="2794" t="e">
        <f t="shared" si="1"/>
        <v>#DIV/0!</v>
      </c>
      <c r="G23" s="2799"/>
      <c r="H23" s="2799"/>
      <c r="I23" s="2799"/>
      <c r="J23" s="2792"/>
    </row>
    <row r="24" spans="1:10">
      <c r="A24" s="2792"/>
      <c r="B24" s="2792"/>
      <c r="C24" s="2792"/>
      <c r="D24" s="2792"/>
      <c r="E24" s="2792"/>
      <c r="F24" s="2792"/>
      <c r="G24" s="2792"/>
      <c r="H24" s="2792"/>
      <c r="I24" s="2792"/>
      <c r="J24" s="2792"/>
    </row>
    <row r="25" spans="1:10">
      <c r="A25" s="2792"/>
      <c r="B25" s="2792"/>
      <c r="C25" s="2792"/>
      <c r="D25" s="2792"/>
      <c r="E25" s="2792"/>
      <c r="F25" s="2792"/>
      <c r="G25" s="2792"/>
      <c r="H25" s="2792"/>
      <c r="I25" s="2792"/>
      <c r="J25" s="2792"/>
    </row>
    <row r="26" spans="1:10">
      <c r="A26" s="2792"/>
      <c r="B26" s="2792"/>
      <c r="C26" s="2792"/>
      <c r="D26" s="2792"/>
      <c r="E26" s="2792"/>
      <c r="F26" s="2792"/>
      <c r="G26" s="2792"/>
      <c r="H26" s="2792"/>
      <c r="I26" s="2792"/>
      <c r="J26" s="2792"/>
    </row>
  </sheetData>
  <sheetProtection password="CEE9" sheet="1" objects="1" scenarios="1" formatCells="0" formatColumns="0" formatRows="0"/>
  <phoneticPr fontId="254"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zoomScale="85" zoomScaleNormal="100" zoomScaleSheetLayoutView="85" zoomScalePageLayoutView="80" workbookViewId="0">
      <selection activeCell="I24" sqref="I24"/>
    </sheetView>
  </sheetViews>
  <sheetFormatPr defaultColWidth="12.625" defaultRowHeight="21.75" customHeight="1"/>
  <cols>
    <col min="1" max="2" width="12.75" style="92" customWidth="1"/>
    <col min="3" max="4" width="12.625" style="92" customWidth="1"/>
    <col min="5" max="9" width="12.75" style="92" customWidth="1"/>
    <col min="10" max="10" width="2.25" style="86" customWidth="1"/>
    <col min="11" max="12" width="12.625" style="86" customWidth="1"/>
    <col min="13" max="13" width="12.625" style="86"/>
    <col min="14" max="14" width="15.625" style="86" customWidth="1"/>
    <col min="15" max="19" width="12.75" style="86" customWidth="1"/>
    <col min="20" max="26" width="12.625" style="86"/>
    <col min="27" max="16384" width="12.625" style="92"/>
  </cols>
  <sheetData>
    <row r="1" spans="1:22" ht="21.75" customHeight="1">
      <c r="A1" s="2453" t="s">
        <v>738</v>
      </c>
      <c r="B1" s="2454"/>
      <c r="C1" s="2455" t="s">
        <v>739</v>
      </c>
      <c r="D1" s="2456"/>
      <c r="E1" s="2455" t="s">
        <v>740</v>
      </c>
      <c r="F1" s="2457"/>
      <c r="G1" s="132"/>
      <c r="H1" s="132"/>
      <c r="I1" s="132"/>
      <c r="J1" s="199"/>
      <c r="K1" s="199"/>
      <c r="L1" s="199"/>
      <c r="M1" s="199"/>
      <c r="N1" s="199"/>
      <c r="O1" s="199"/>
      <c r="P1" s="199"/>
      <c r="Q1" s="199"/>
      <c r="R1" s="199"/>
      <c r="S1" s="199"/>
      <c r="T1" s="199"/>
      <c r="U1" s="199"/>
      <c r="V1" s="199"/>
    </row>
    <row r="2" spans="1:22" ht="21.75" customHeight="1">
      <c r="A2" s="3737" t="str">
        <f>项目基本情况!K2</f>
        <v>出让国有建设用地使用权</v>
      </c>
      <c r="B2" s="3738"/>
      <c r="C2" s="3739"/>
      <c r="D2" s="3739"/>
      <c r="E2" s="3739"/>
      <c r="F2" s="3739"/>
      <c r="G2" s="3738"/>
      <c r="H2" s="3738"/>
      <c r="I2" s="3740"/>
      <c r="J2" s="2569"/>
      <c r="K2" s="199"/>
      <c r="L2" s="199"/>
      <c r="M2" s="199"/>
      <c r="N2" s="199"/>
      <c r="O2" s="199"/>
      <c r="P2" s="199"/>
      <c r="Q2" s="199"/>
      <c r="R2" s="199"/>
      <c r="S2" s="199"/>
      <c r="T2" s="199"/>
      <c r="U2" s="199"/>
      <c r="V2" s="199"/>
    </row>
    <row r="3" spans="1:22" ht="14.25">
      <c r="A3" s="3741" t="s">
        <v>741</v>
      </c>
      <c r="B3" s="3742"/>
      <c r="C3" s="3742"/>
      <c r="D3" s="3742"/>
      <c r="E3" s="3742"/>
      <c r="F3" s="3742"/>
      <c r="G3" s="3742"/>
      <c r="H3" s="3742"/>
      <c r="I3" s="3742"/>
      <c r="J3" s="2569"/>
      <c r="K3" s="199"/>
      <c r="L3" s="199"/>
      <c r="M3" s="199"/>
      <c r="N3" s="199"/>
      <c r="O3" s="199"/>
      <c r="P3" s="199"/>
      <c r="Q3" s="199"/>
      <c r="R3" s="199"/>
      <c r="S3" s="199"/>
      <c r="T3" s="199"/>
      <c r="U3" s="199"/>
      <c r="V3" s="199"/>
    </row>
    <row r="4" spans="1:22" ht="14.25">
      <c r="A4" s="2458" t="s">
        <v>742</v>
      </c>
      <c r="B4" s="2214" t="s">
        <v>743</v>
      </c>
      <c r="C4" s="2459" t="s">
        <v>744</v>
      </c>
      <c r="D4" s="2459" t="s">
        <v>745</v>
      </c>
      <c r="E4" s="3743" t="s">
        <v>746</v>
      </c>
      <c r="F4" s="3744"/>
      <c r="G4" s="3744"/>
      <c r="H4" s="3744"/>
      <c r="I4" s="3745"/>
      <c r="J4" s="2569"/>
      <c r="K4" s="199"/>
      <c r="L4" s="2571" t="str">
        <f>IF(ISNUMBER(FIND("比较法",C4)),"比较法",IF(ISNUMBER(FIND("成本法",C4)),"成本法",IF(ISNUMBER(FIND("剩余法",C4)),"剩余法",IF(ISNUMBER(FIND("收益法",C4)),"收益法","基准地价系数修正法"))))</f>
        <v>比较法</v>
      </c>
      <c r="M4" s="133" t="str">
        <f>IF(ISNUMBER(FIND("比较法",D4)),"比较法",IF(ISNUMBER(FIND("成本法",D4)),"成本法",IF(ISNUMBER(FIND("剩余法",D4)),"剩余法",IF(ISNUMBER(FIND("收益法",D4)),"收益法","基准地价系数修正法"))))</f>
        <v>剩余法</v>
      </c>
      <c r="N4" s="199"/>
      <c r="O4" s="199"/>
      <c r="P4" s="199"/>
      <c r="Q4" s="199"/>
      <c r="R4" s="199"/>
      <c r="S4" s="199"/>
      <c r="T4" s="199"/>
      <c r="U4" s="199"/>
      <c r="V4" s="199"/>
    </row>
    <row r="5" spans="1:22" ht="14.25">
      <c r="A5" s="3799" t="s">
        <v>747</v>
      </c>
      <c r="B5" s="3802">
        <v>25</v>
      </c>
      <c r="C5" s="3803"/>
      <c r="D5" s="3806"/>
      <c r="E5" s="1040" t="s">
        <v>748</v>
      </c>
      <c r="F5" s="2462"/>
      <c r="G5" s="2462"/>
      <c r="H5" s="2462"/>
      <c r="I5" s="2572"/>
      <c r="J5" s="2569"/>
      <c r="K5" s="199"/>
      <c r="L5" s="199"/>
      <c r="M5" s="199"/>
      <c r="N5" s="199"/>
      <c r="O5" s="199"/>
      <c r="P5" s="199"/>
      <c r="Q5" s="199"/>
      <c r="R5" s="199"/>
      <c r="S5" s="199"/>
      <c r="T5" s="199"/>
      <c r="U5" s="199"/>
      <c r="V5" s="199"/>
    </row>
    <row r="6" spans="1:22" ht="14.25">
      <c r="A6" s="3799"/>
      <c r="B6" s="3802"/>
      <c r="C6" s="3804"/>
      <c r="D6" s="3806"/>
      <c r="E6" s="1040" t="s">
        <v>749</v>
      </c>
      <c r="F6" s="2462"/>
      <c r="G6" s="2462"/>
      <c r="H6" s="2462"/>
      <c r="I6" s="2572"/>
      <c r="J6" s="2569"/>
      <c r="K6" s="199"/>
      <c r="L6" s="199"/>
      <c r="M6" s="199"/>
      <c r="N6" s="199"/>
      <c r="O6" s="199"/>
      <c r="P6" s="199"/>
      <c r="Q6" s="199"/>
      <c r="R6" s="199"/>
      <c r="S6" s="199"/>
      <c r="T6" s="199"/>
      <c r="U6" s="199"/>
      <c r="V6" s="199"/>
    </row>
    <row r="7" spans="1:22" ht="14.25">
      <c r="A7" s="3799"/>
      <c r="B7" s="3802"/>
      <c r="C7" s="3805"/>
      <c r="D7" s="3806"/>
      <c r="E7" s="1040" t="s">
        <v>750</v>
      </c>
      <c r="F7" s="2462"/>
      <c r="G7" s="2462"/>
      <c r="H7" s="2462"/>
      <c r="I7" s="2572"/>
      <c r="J7" s="2569"/>
      <c r="K7" s="199"/>
      <c r="L7" s="199"/>
      <c r="M7" s="199"/>
      <c r="N7" s="199"/>
      <c r="O7" s="199"/>
      <c r="P7" s="199"/>
      <c r="Q7" s="199"/>
      <c r="R7" s="199"/>
      <c r="S7" s="199"/>
      <c r="T7" s="199"/>
      <c r="U7" s="199"/>
      <c r="V7" s="199"/>
    </row>
    <row r="8" spans="1:22" ht="14.25">
      <c r="A8" s="3799" t="s">
        <v>751</v>
      </c>
      <c r="B8" s="3802">
        <v>15</v>
      </c>
      <c r="C8" s="3803"/>
      <c r="D8" s="3806"/>
      <c r="E8" s="1040" t="s">
        <v>752</v>
      </c>
      <c r="F8" s="2462"/>
      <c r="G8" s="2462"/>
      <c r="H8" s="2462"/>
      <c r="I8" s="2572"/>
      <c r="J8" s="2569"/>
      <c r="K8" s="199"/>
      <c r="L8" s="199"/>
      <c r="M8" s="199"/>
      <c r="N8" s="199"/>
      <c r="O8" s="199"/>
      <c r="P8" s="199"/>
      <c r="Q8" s="199"/>
      <c r="R8" s="199"/>
      <c r="S8" s="199"/>
      <c r="T8" s="199"/>
      <c r="U8" s="199"/>
      <c r="V8" s="199"/>
    </row>
    <row r="9" spans="1:22" ht="14.25">
      <c r="A9" s="3799"/>
      <c r="B9" s="3802"/>
      <c r="C9" s="3805"/>
      <c r="D9" s="3806"/>
      <c r="E9" s="1040" t="s">
        <v>753</v>
      </c>
      <c r="F9" s="2462"/>
      <c r="G9" s="2462"/>
      <c r="H9" s="2462"/>
      <c r="I9" s="2572"/>
      <c r="J9" s="2569"/>
      <c r="K9" s="199"/>
      <c r="L9" s="199"/>
      <c r="M9" s="199"/>
      <c r="N9" s="199"/>
      <c r="O9" s="199"/>
      <c r="P9" s="199"/>
      <c r="Q9" s="199"/>
      <c r="R9" s="199"/>
      <c r="S9" s="199"/>
      <c r="T9" s="199"/>
      <c r="U9" s="199"/>
      <c r="V9" s="199"/>
    </row>
    <row r="10" spans="1:22" ht="14.25">
      <c r="A10" s="3799" t="s">
        <v>754</v>
      </c>
      <c r="B10" s="3802">
        <v>15</v>
      </c>
      <c r="C10" s="3803"/>
      <c r="D10" s="3806"/>
      <c r="E10" s="1040" t="s">
        <v>755</v>
      </c>
      <c r="F10" s="2462"/>
      <c r="G10" s="2462"/>
      <c r="H10" s="2462"/>
      <c r="I10" s="2572"/>
      <c r="J10" s="2569"/>
      <c r="K10" s="199"/>
      <c r="L10" s="199"/>
      <c r="M10" s="199"/>
      <c r="N10" s="199"/>
      <c r="O10" s="199"/>
      <c r="P10" s="199"/>
      <c r="Q10" s="199"/>
      <c r="R10" s="199"/>
      <c r="S10" s="199"/>
      <c r="T10" s="199"/>
      <c r="U10" s="199"/>
      <c r="V10" s="199"/>
    </row>
    <row r="11" spans="1:22" ht="14.25">
      <c r="A11" s="3799"/>
      <c r="B11" s="3802"/>
      <c r="C11" s="3805"/>
      <c r="D11" s="3806"/>
      <c r="E11" s="1040" t="s">
        <v>756</v>
      </c>
      <c r="F11" s="2462"/>
      <c r="G11" s="2462"/>
      <c r="H11" s="2462"/>
      <c r="I11" s="2572"/>
      <c r="J11" s="2569"/>
      <c r="K11" s="199"/>
      <c r="L11" s="199"/>
      <c r="M11" s="199"/>
      <c r="N11" s="199"/>
      <c r="O11" s="199"/>
      <c r="P11" s="199"/>
      <c r="Q11" s="199"/>
      <c r="R11" s="199"/>
      <c r="S11" s="199"/>
      <c r="T11" s="199"/>
      <c r="U11" s="199"/>
      <c r="V11" s="199"/>
    </row>
    <row r="12" spans="1:22" ht="14.25">
      <c r="A12" s="3799" t="s">
        <v>757</v>
      </c>
      <c r="B12" s="3802">
        <v>15</v>
      </c>
      <c r="C12" s="3803"/>
      <c r="D12" s="3806"/>
      <c r="E12" s="1040" t="s">
        <v>758</v>
      </c>
      <c r="F12" s="2462"/>
      <c r="G12" s="2462"/>
      <c r="H12" s="2462"/>
      <c r="I12" s="2572"/>
      <c r="J12" s="2569"/>
      <c r="K12" s="199"/>
      <c r="L12" s="199"/>
      <c r="M12" s="199"/>
      <c r="N12" s="199"/>
      <c r="O12" s="199"/>
      <c r="P12" s="199"/>
      <c r="Q12" s="199"/>
      <c r="R12" s="199"/>
      <c r="S12" s="199"/>
      <c r="T12" s="199"/>
      <c r="U12" s="199"/>
      <c r="V12" s="199"/>
    </row>
    <row r="13" spans="1:22" ht="14.25">
      <c r="A13" s="3799"/>
      <c r="B13" s="3802"/>
      <c r="C13" s="3805"/>
      <c r="D13" s="3806"/>
      <c r="E13" s="1040" t="s">
        <v>759</v>
      </c>
      <c r="F13" s="2462"/>
      <c r="G13" s="2462"/>
      <c r="H13" s="2462"/>
      <c r="I13" s="2572"/>
      <c r="J13" s="2569"/>
      <c r="K13" s="199"/>
      <c r="L13" s="199"/>
      <c r="M13" s="199"/>
      <c r="N13" s="199"/>
      <c r="O13" s="199"/>
      <c r="P13" s="199"/>
      <c r="Q13" s="199"/>
      <c r="R13" s="199"/>
      <c r="S13" s="199"/>
      <c r="T13" s="199"/>
      <c r="U13" s="199"/>
      <c r="V13" s="199"/>
    </row>
    <row r="14" spans="1:22" ht="14.25">
      <c r="A14" s="3799" t="s">
        <v>760</v>
      </c>
      <c r="B14" s="3802">
        <v>30</v>
      </c>
      <c r="C14" s="3803">
        <v>5</v>
      </c>
      <c r="D14" s="3806">
        <v>5</v>
      </c>
      <c r="E14" s="1040" t="s">
        <v>761</v>
      </c>
      <c r="F14" s="2462"/>
      <c r="G14" s="2462"/>
      <c r="H14" s="2462"/>
      <c r="I14" s="2572"/>
      <c r="J14" s="2569"/>
      <c r="K14" s="199"/>
      <c r="L14" s="199"/>
      <c r="M14" s="199"/>
      <c r="N14" s="199"/>
      <c r="O14" s="199"/>
      <c r="P14" s="199"/>
      <c r="Q14" s="199"/>
      <c r="R14" s="199"/>
      <c r="S14" s="199"/>
      <c r="T14" s="199"/>
      <c r="U14" s="199"/>
      <c r="V14" s="199"/>
    </row>
    <row r="15" spans="1:22" ht="14.25">
      <c r="A15" s="3799"/>
      <c r="B15" s="3802"/>
      <c r="C15" s="3804"/>
      <c r="D15" s="3806"/>
      <c r="E15" s="1040" t="s">
        <v>762</v>
      </c>
      <c r="F15" s="2462"/>
      <c r="G15" s="2462"/>
      <c r="H15" s="2462"/>
      <c r="I15" s="2572"/>
      <c r="J15" s="2569"/>
      <c r="K15" s="199"/>
      <c r="L15" s="199"/>
      <c r="M15" s="199"/>
      <c r="N15" s="199"/>
      <c r="O15" s="199"/>
      <c r="P15" s="199"/>
      <c r="Q15" s="199"/>
      <c r="R15" s="199"/>
      <c r="S15" s="199"/>
      <c r="T15" s="199"/>
      <c r="U15" s="199"/>
      <c r="V15" s="199"/>
    </row>
    <row r="16" spans="1:22" ht="14.25">
      <c r="A16" s="3799"/>
      <c r="B16" s="3802"/>
      <c r="C16" s="3805"/>
      <c r="D16" s="3806"/>
      <c r="E16" s="1040" t="s">
        <v>763</v>
      </c>
      <c r="F16" s="2462"/>
      <c r="G16" s="2462"/>
      <c r="H16" s="2462"/>
      <c r="I16" s="2572"/>
      <c r="J16" s="2569"/>
      <c r="K16" s="199"/>
      <c r="L16" s="199"/>
      <c r="M16" s="199"/>
      <c r="N16" s="199"/>
      <c r="O16" s="199"/>
      <c r="P16" s="199"/>
      <c r="Q16" s="199"/>
      <c r="R16" s="199"/>
      <c r="S16" s="199"/>
      <c r="T16" s="199"/>
      <c r="U16" s="199"/>
      <c r="V16" s="199"/>
    </row>
    <row r="17" spans="1:26" ht="15">
      <c r="A17" s="2463" t="s">
        <v>764</v>
      </c>
      <c r="B17" s="2464"/>
      <c r="C17" s="2465">
        <f>SUM(C5:C16)</f>
        <v>5</v>
      </c>
      <c r="D17" s="2465">
        <f>SUM(D5:D16)</f>
        <v>5</v>
      </c>
      <c r="E17" s="132"/>
      <c r="F17" s="132"/>
      <c r="G17" s="132"/>
      <c r="H17" s="132"/>
      <c r="I17" s="132"/>
      <c r="J17" s="2569"/>
      <c r="K17" s="199"/>
      <c r="L17" s="199"/>
      <c r="M17" s="199"/>
      <c r="N17" s="199"/>
      <c r="O17" s="199"/>
      <c r="P17" s="199"/>
      <c r="Q17" s="199"/>
      <c r="R17" s="199"/>
      <c r="S17" s="199"/>
      <c r="T17" s="199"/>
      <c r="U17" s="199"/>
      <c r="V17" s="199"/>
    </row>
    <row r="18" spans="1:26" ht="32.450000000000003" customHeight="1">
      <c r="A18" s="2466" t="s">
        <v>765</v>
      </c>
      <c r="B18" s="2467"/>
      <c r="C18" s="2468">
        <f>ROUND(C17/SUM(C17:D17),2)</f>
        <v>0.5</v>
      </c>
      <c r="D18" s="2468">
        <f>1-C18</f>
        <v>0.5</v>
      </c>
      <c r="E18" s="3746" t="s">
        <v>766</v>
      </c>
      <c r="F18" s="3747"/>
      <c r="G18" s="3747"/>
      <c r="H18" s="3747"/>
      <c r="I18" s="3747"/>
      <c r="J18" s="199"/>
      <c r="K18" s="199"/>
      <c r="L18" s="199"/>
      <c r="M18" s="199"/>
      <c r="N18" s="199"/>
      <c r="O18" s="199"/>
      <c r="P18" s="199"/>
      <c r="Q18" s="199"/>
      <c r="R18" s="199"/>
      <c r="S18" s="199"/>
      <c r="T18" s="199"/>
      <c r="U18" s="199"/>
      <c r="V18" s="199"/>
    </row>
    <row r="19" spans="1:26" ht="15">
      <c r="A19" s="2469" t="s">
        <v>767</v>
      </c>
      <c r="B19" s="2470" t="s">
        <v>768</v>
      </c>
      <c r="C19" s="2471">
        <f ca="1">SUMIF(INDIRECT("'"&amp;C4&amp;"'"&amp;"!A:A"),结果表!B19,INDIRECT("'"&amp;C4&amp;"'"&amp;"!B:B"))</f>
        <v>2800</v>
      </c>
      <c r="D19" s="2472">
        <f ca="1">SUMIF(INDIRECT("'"&amp;D4&amp;"'"&amp;"!A:A"),结果表!B19,INDIRECT("'"&amp;D4&amp;"'"&amp;"!B:B"))</f>
        <v>1371</v>
      </c>
      <c r="E19" s="2469" t="s">
        <v>769</v>
      </c>
      <c r="F19" s="2470" t="s">
        <v>768</v>
      </c>
      <c r="G19" s="2473">
        <f ca="1">ROUND(C19*$C$18+D19*$D$18,0)</f>
        <v>2086</v>
      </c>
      <c r="H19" s="2474" t="s">
        <v>770</v>
      </c>
      <c r="I19" s="132"/>
      <c r="J19" s="199"/>
      <c r="K19" s="199"/>
      <c r="L19" s="199"/>
      <c r="M19" s="199"/>
      <c r="N19" s="199"/>
      <c r="O19" s="199"/>
      <c r="P19" s="199"/>
      <c r="Q19" s="199"/>
      <c r="R19" s="199"/>
      <c r="S19" s="199"/>
      <c r="T19" s="199"/>
      <c r="U19" s="199"/>
      <c r="V19" s="199"/>
    </row>
    <row r="20" spans="1:26" ht="15">
      <c r="A20" s="2475"/>
      <c r="B20" s="2476" t="s">
        <v>259</v>
      </c>
      <c r="C20" s="2477">
        <f ca="1">SUMIF(INDIRECT("'"&amp;C4&amp;"'"&amp;"!A:A"),结果表!B20,INDIRECT("'"&amp;C4&amp;"'"&amp;"!B:B"))</f>
        <v>374</v>
      </c>
      <c r="D20" s="2478">
        <f ca="1">SUMIF(INDIRECT("'"&amp;D4&amp;"'"&amp;"!A:A"),结果表!B20,INDIRECT("'"&amp;D4&amp;"'"&amp;"!B:B"))</f>
        <v>183</v>
      </c>
      <c r="E20" s="2475"/>
      <c r="F20" s="2476" t="s">
        <v>259</v>
      </c>
      <c r="G20" s="2479">
        <f ca="1">ROUND(C20*$C$18+D20*$D$18,0)</f>
        <v>279</v>
      </c>
      <c r="H20" s="2442" t="s">
        <v>771</v>
      </c>
      <c r="I20" s="132"/>
      <c r="J20" s="199"/>
      <c r="K20" s="199"/>
      <c r="L20" s="199"/>
      <c r="M20" s="199"/>
      <c r="N20" s="199"/>
      <c r="O20" s="199"/>
      <c r="P20" s="199"/>
      <c r="Q20" s="199"/>
      <c r="R20" s="199"/>
      <c r="S20" s="199"/>
      <c r="T20" s="199"/>
      <c r="U20" s="199"/>
      <c r="V20" s="199"/>
    </row>
    <row r="21" spans="1:26" ht="15" customHeight="1">
      <c r="A21" s="2475"/>
      <c r="B21" s="2480" t="s">
        <v>247</v>
      </c>
      <c r="C21" s="2481">
        <f ca="1">SUMIF(INDIRECT("'"&amp;C4&amp;"'"&amp;"!A:A"),结果表!B21,INDIRECT("'"&amp;C4&amp;"'"&amp;"!B:B"))</f>
        <v>140</v>
      </c>
      <c r="D21" s="2482">
        <f ca="1">SUMIF(INDIRECT("'"&amp;D4&amp;"'"&amp;"!A:A"),结果表!B21,INDIRECT("'"&amp;D4&amp;"'"&amp;"!B:B"))</f>
        <v>69</v>
      </c>
      <c r="E21" s="2475"/>
      <c r="F21" s="2480" t="s">
        <v>247</v>
      </c>
      <c r="G21" s="2483">
        <f ca="1">ROUND(C21*$C$18+D21*$D$18,0)</f>
        <v>105</v>
      </c>
      <c r="H21" s="2484" t="s">
        <v>771</v>
      </c>
      <c r="I21" s="132"/>
      <c r="J21" s="199"/>
      <c r="K21" s="199"/>
      <c r="L21" s="199"/>
      <c r="M21" s="199"/>
      <c r="N21" s="199"/>
      <c r="O21" s="199"/>
      <c r="P21" s="199"/>
      <c r="Q21" s="199"/>
      <c r="R21" s="199"/>
      <c r="S21" s="199"/>
      <c r="T21" s="199"/>
      <c r="U21" s="199"/>
      <c r="V21" s="199"/>
    </row>
    <row r="22" spans="1:26" ht="15">
      <c r="A22" s="2485" t="s">
        <v>772</v>
      </c>
      <c r="B22" s="2486"/>
      <c r="C22" s="2487"/>
      <c r="D22" s="2488">
        <f ca="1">IF(C19&lt;D19,D19/C19-1,C19/D19-1)</f>
        <v>1.0423048869438367</v>
      </c>
      <c r="E22" s="2434"/>
      <c r="F22" s="2489"/>
      <c r="G22" s="2490">
        <f ca="1">ROUND(G19/('数据-汇总表'!D3/666.67),0)</f>
        <v>7</v>
      </c>
      <c r="H22" s="2491" t="s">
        <v>773</v>
      </c>
      <c r="I22" s="132"/>
      <c r="J22" s="199"/>
      <c r="K22" s="199"/>
      <c r="L22" s="199"/>
      <c r="M22" s="199"/>
      <c r="N22" s="199"/>
      <c r="O22" s="199"/>
      <c r="P22" s="199"/>
      <c r="Q22" s="199"/>
      <c r="R22" s="199"/>
      <c r="S22" s="199"/>
      <c r="T22" s="199"/>
      <c r="U22" s="199"/>
      <c r="V22" s="199"/>
    </row>
    <row r="23" spans="1:26" ht="12.75">
      <c r="A23" s="132"/>
      <c r="B23" s="132"/>
      <c r="C23" s="132"/>
      <c r="D23" s="132"/>
      <c r="E23" s="132"/>
      <c r="F23" s="132"/>
      <c r="G23" s="132"/>
      <c r="H23" s="132"/>
      <c r="I23" s="132"/>
      <c r="J23" s="199"/>
      <c r="K23" s="199"/>
      <c r="L23" s="199"/>
      <c r="M23" s="199"/>
      <c r="N23" s="199"/>
      <c r="O23" s="199"/>
      <c r="P23" s="199"/>
      <c r="Q23" s="199"/>
      <c r="R23" s="199"/>
      <c r="S23" s="199"/>
      <c r="T23" s="199"/>
      <c r="U23" s="199"/>
      <c r="V23" s="199"/>
    </row>
    <row r="24" spans="1:26" ht="14.25">
      <c r="A24" s="3800" t="s">
        <v>774</v>
      </c>
      <c r="B24" s="2470" t="s">
        <v>768</v>
      </c>
      <c r="C24" s="2492">
        <f>IF(B30=0,0,D30)</f>
        <v>0</v>
      </c>
      <c r="D24" s="2493"/>
      <c r="E24" s="132"/>
      <c r="F24" s="132"/>
      <c r="G24" s="132"/>
      <c r="H24" s="132"/>
      <c r="I24" s="132"/>
      <c r="J24" s="199"/>
      <c r="K24" s="199"/>
      <c r="L24" s="199"/>
      <c r="M24" s="199"/>
      <c r="N24" s="199"/>
      <c r="O24" s="199"/>
      <c r="P24" s="199"/>
      <c r="Q24" s="199"/>
      <c r="R24" s="199"/>
      <c r="S24" s="199"/>
      <c r="T24" s="199"/>
      <c r="U24" s="199"/>
      <c r="V24" s="199"/>
    </row>
    <row r="25" spans="1:26" ht="18">
      <c r="A25" s="3801"/>
      <c r="B25" s="2494" t="s">
        <v>259</v>
      </c>
      <c r="C25" s="2495">
        <f>IF(B30=0,0,C30)</f>
        <v>0</v>
      </c>
      <c r="D25" s="2496"/>
      <c r="E25" s="132"/>
      <c r="F25" s="132"/>
      <c r="G25" s="132"/>
      <c r="H25" s="132"/>
      <c r="I25" s="132"/>
      <c r="J25" s="199"/>
      <c r="K25" s="2573" t="str">
        <f ca="1">项目基本情况!A17&amp;"国有建设用地使用权价格："&amp;O38&amp;"万元"</f>
        <v>出让国有建设用地使用权价格：2086万元</v>
      </c>
      <c r="L25" s="2574"/>
      <c r="M25" s="2574"/>
      <c r="N25" s="2574"/>
      <c r="O25" s="2575"/>
      <c r="P25" s="199"/>
      <c r="Q25" s="199"/>
      <c r="R25" s="199"/>
      <c r="S25" s="199"/>
      <c r="T25" s="199"/>
      <c r="U25" s="199"/>
      <c r="V25" s="199"/>
    </row>
    <row r="26" spans="1:26" s="2451" customFormat="1" ht="18">
      <c r="A26" s="2497" t="s">
        <v>775</v>
      </c>
      <c r="B26" s="2498" t="s">
        <v>776</v>
      </c>
      <c r="C26" s="2498" t="s">
        <v>777</v>
      </c>
      <c r="D26" s="2499" t="s">
        <v>778</v>
      </c>
      <c r="E26" s="132"/>
      <c r="F26" s="132"/>
      <c r="G26" s="132"/>
      <c r="H26" s="132"/>
      <c r="I26" s="132"/>
      <c r="J26" s="199"/>
      <c r="K26" s="2576" t="str">
        <f ca="1">"大写金额：人民币"&amp;NUMBERSTRING(INT(O38*10000),2)&amp;"元整"</f>
        <v>大写金额：人民币贰仟零捌拾陆万元整</v>
      </c>
      <c r="L26" s="2486"/>
      <c r="M26" s="2486"/>
      <c r="N26" s="2486"/>
      <c r="O26" s="2484"/>
      <c r="P26" s="199"/>
      <c r="Q26" s="199"/>
      <c r="R26" s="199"/>
      <c r="S26" s="199"/>
      <c r="T26" s="199"/>
      <c r="U26" s="199"/>
      <c r="V26" s="199"/>
      <c r="W26" s="2335"/>
      <c r="X26" s="2335"/>
      <c r="Y26" s="2335"/>
      <c r="Z26" s="2335"/>
    </row>
    <row r="27" spans="1:26" ht="18">
      <c r="A27" s="2497"/>
      <c r="B27" s="2498"/>
      <c r="C27" s="2498"/>
      <c r="D27" s="2499"/>
      <c r="E27" s="132"/>
      <c r="F27" s="132"/>
      <c r="G27" s="132"/>
      <c r="H27" s="132"/>
      <c r="I27" s="132"/>
      <c r="J27" s="199"/>
      <c r="K27" s="2576" t="str">
        <f ca="1">"单位面积地价："&amp;M38&amp;"元/平方米"</f>
        <v>单位面积地价：104元/平方米</v>
      </c>
      <c r="L27" s="2486"/>
      <c r="M27" s="2486"/>
      <c r="N27" s="2486"/>
      <c r="O27" s="2484"/>
      <c r="P27" s="199"/>
      <c r="Q27" s="199"/>
      <c r="R27" s="199"/>
      <c r="S27" s="199"/>
      <c r="T27" s="199"/>
      <c r="U27" s="199"/>
      <c r="V27" s="199"/>
    </row>
    <row r="28" spans="1:26" ht="18.75" customHeight="1">
      <c r="A28" s="2497"/>
      <c r="B28" s="2498"/>
      <c r="C28" s="2498"/>
      <c r="D28" s="2499"/>
      <c r="E28" s="132"/>
      <c r="F28" s="132"/>
      <c r="G28" s="132"/>
      <c r="H28" s="132"/>
      <c r="I28" s="132"/>
      <c r="J28" s="199"/>
      <c r="K28" s="2576" t="str">
        <f ca="1">"楼面地价："&amp;N38&amp;"元/平方米"</f>
        <v>楼面地价：279元/平方米</v>
      </c>
      <c r="L28" s="2486"/>
      <c r="M28" s="2486"/>
      <c r="N28" s="2486"/>
      <c r="O28" s="2484"/>
      <c r="P28" s="199"/>
      <c r="V28" s="199"/>
    </row>
    <row r="29" spans="1:26" ht="18">
      <c r="A29" s="2497"/>
      <c r="B29" s="2498"/>
      <c r="C29" s="2498"/>
      <c r="D29" s="2499"/>
      <c r="E29" s="132"/>
      <c r="F29" s="132"/>
      <c r="G29" s="132"/>
      <c r="H29" s="132"/>
      <c r="I29" s="132"/>
      <c r="J29" s="199"/>
      <c r="K29" s="2576" t="str">
        <f ca="1">IF(OR(项目基本情况!E8="抵押价格",项目基本情况!E8="已注销及未注销"),"抵押价格："&amp;O39&amp;"万元","——")</f>
        <v>抵押价格：2086万元</v>
      </c>
      <c r="L29" s="2486"/>
      <c r="M29" s="2486"/>
      <c r="N29" s="2486"/>
      <c r="O29" s="2484"/>
      <c r="P29" s="199"/>
      <c r="V29" s="199"/>
    </row>
    <row r="30" spans="1:26" ht="18">
      <c r="A30" s="2500" t="s">
        <v>779</v>
      </c>
      <c r="B30" s="2501"/>
      <c r="C30" s="2501"/>
      <c r="D30" s="2502"/>
      <c r="E30" s="2503" t="s">
        <v>780</v>
      </c>
      <c r="F30" s="132"/>
      <c r="G30" s="132"/>
      <c r="H30" s="132"/>
      <c r="I30" s="132"/>
      <c r="J30" s="199"/>
      <c r="K30" s="2576" t="str">
        <f ca="1">IF(K29="——","——","大写金额：人民币"&amp;NUMBERSTRING(INT(O39*10000),2)&amp;"元整")</f>
        <v>大写金额：人民币贰仟零捌拾陆万元整</v>
      </c>
      <c r="L30" s="2486"/>
      <c r="M30" s="2486"/>
      <c r="N30" s="2486"/>
      <c r="O30" s="2484"/>
      <c r="P30" s="199"/>
      <c r="V30" s="199"/>
    </row>
    <row r="31" spans="1:26" ht="24" customHeight="1">
      <c r="A31" s="3748" t="s">
        <v>781</v>
      </c>
      <c r="B31" s="3748"/>
      <c r="C31" s="3748"/>
      <c r="D31" s="3748"/>
      <c r="E31" s="3748"/>
      <c r="F31" s="3748"/>
      <c r="G31" s="3748"/>
      <c r="H31" s="3748"/>
      <c r="I31" s="3748"/>
      <c r="J31" s="199"/>
      <c r="K31" s="2577" t="str">
        <f>IF(项目基本情况!E8="抵押价格","——","抵押担保权已注销时的抵押价格："&amp;O40&amp;"万元")</f>
        <v>——</v>
      </c>
      <c r="L31" s="2578"/>
      <c r="M31" s="2578"/>
      <c r="N31" s="2578"/>
      <c r="O31" s="2579"/>
      <c r="P31" s="199"/>
      <c r="V31" s="199"/>
    </row>
    <row r="32" spans="1:26" ht="18">
      <c r="A32" s="2475" t="s">
        <v>782</v>
      </c>
      <c r="B32" s="2504" t="s">
        <v>783</v>
      </c>
      <c r="C32" s="2466">
        <f ca="1">G19-C24</f>
        <v>2086</v>
      </c>
      <c r="D32" s="2505" t="s">
        <v>784</v>
      </c>
      <c r="E32" s="132"/>
      <c r="F32" s="132"/>
      <c r="G32" s="132"/>
      <c r="H32" s="132"/>
      <c r="I32" s="132"/>
      <c r="J32" s="199"/>
      <c r="K32" s="2580" t="str">
        <f>IF(K31="——","——","大写金额：人民币"&amp;NUMBERSTRING(INT(O40*10000),2)&amp;"元整")</f>
        <v>——</v>
      </c>
      <c r="L32" s="2581"/>
      <c r="M32" s="2581"/>
      <c r="N32" s="2581"/>
      <c r="O32" s="2582"/>
      <c r="P32" s="199"/>
      <c r="V32" s="199"/>
    </row>
    <row r="33" spans="1:26" ht="18">
      <c r="A33" s="2506" t="s">
        <v>785</v>
      </c>
      <c r="B33" s="2507" t="s">
        <v>786</v>
      </c>
      <c r="C33" s="2463">
        <f ca="1">ROUND(C32*10000/'数据-汇总表'!E3,0)</f>
        <v>279</v>
      </c>
      <c r="D33" s="2508" t="s">
        <v>787</v>
      </c>
      <c r="E33" s="3800" t="s">
        <v>788</v>
      </c>
      <c r="F33" s="2509" t="s">
        <v>789</v>
      </c>
      <c r="G33" s="2510"/>
      <c r="H33" s="2511"/>
      <c r="I33" s="2583"/>
      <c r="J33" s="199"/>
      <c r="K33" s="2576" t="str">
        <f>IF(项目基本情况!E9="——","——","抵押净值："&amp;C46&amp;"万元")</f>
        <v>抵押净值：——万元</v>
      </c>
      <c r="L33" s="2486"/>
      <c r="M33" s="2486"/>
      <c r="N33" s="2486"/>
      <c r="O33" s="2484"/>
      <c r="P33" s="199"/>
      <c r="V33" s="199"/>
    </row>
    <row r="34" spans="1:26" s="2451" customFormat="1" ht="18">
      <c r="A34" s="2512"/>
      <c r="B34" s="2513" t="s">
        <v>790</v>
      </c>
      <c r="C34" s="2463">
        <f ca="1">ROUND(C32*10000/'数据-汇总表'!D3,0)</f>
        <v>104</v>
      </c>
      <c r="D34" s="2514" t="s">
        <v>787</v>
      </c>
      <c r="E34" s="3807"/>
      <c r="F34" s="2515" t="s">
        <v>791</v>
      </c>
      <c r="G34" s="2516"/>
      <c r="H34" s="2467"/>
      <c r="I34" s="132"/>
      <c r="J34" s="199"/>
      <c r="K34" s="2584" t="e">
        <f>IF(K33="——","——","大写金额：人民币"&amp;NUMBERSTRING(INT(O41*10000),2)&amp;"元整")</f>
        <v>#VALUE!</v>
      </c>
      <c r="L34" s="2585"/>
      <c r="M34" s="2585"/>
      <c r="N34" s="2585"/>
      <c r="O34" s="2586"/>
      <c r="P34" s="199"/>
      <c r="Q34" s="2335"/>
      <c r="R34" s="2335"/>
      <c r="S34" s="2335"/>
      <c r="T34" s="2335"/>
      <c r="U34" s="2335"/>
      <c r="V34" s="199"/>
      <c r="W34" s="2335"/>
      <c r="X34" s="2335"/>
      <c r="Y34" s="2335"/>
      <c r="Z34" s="2335"/>
    </row>
    <row r="35" spans="1:26" ht="15">
      <c r="A35" s="2434"/>
      <c r="B35" s="2517"/>
      <c r="C35" s="2518">
        <f ca="1">ROUND(C32/('数据-汇总表'!D3/666.67),0)</f>
        <v>7</v>
      </c>
      <c r="D35" s="2519" t="s">
        <v>792</v>
      </c>
      <c r="E35" s="3808"/>
      <c r="F35" s="2520" t="s">
        <v>793</v>
      </c>
      <c r="G35" s="2521"/>
      <c r="H35" s="2522" t="s">
        <v>794</v>
      </c>
      <c r="I35" s="132"/>
      <c r="J35" s="199"/>
      <c r="K35" s="3812" t="s">
        <v>795</v>
      </c>
      <c r="L35" s="3812" t="s">
        <v>796</v>
      </c>
      <c r="M35" s="2587" t="s">
        <v>797</v>
      </c>
      <c r="N35" s="3812" t="s">
        <v>798</v>
      </c>
      <c r="O35" s="3812" t="s">
        <v>799</v>
      </c>
      <c r="P35" s="199"/>
      <c r="V35" s="199"/>
    </row>
    <row r="36" spans="1:26" ht="16.5" customHeight="1">
      <c r="A36" s="2523" t="s">
        <v>800</v>
      </c>
      <c r="B36" s="2524" t="s">
        <v>776</v>
      </c>
      <c r="C36" s="2525" t="s">
        <v>777</v>
      </c>
      <c r="D36" s="2525" t="s">
        <v>801</v>
      </c>
      <c r="E36" s="2526" t="s">
        <v>778</v>
      </c>
      <c r="F36" s="132"/>
      <c r="G36" s="132"/>
      <c r="H36" s="132"/>
      <c r="I36" s="132"/>
      <c r="J36" s="2588"/>
      <c r="K36" s="3813"/>
      <c r="L36" s="3813"/>
      <c r="M36" s="2589" t="s">
        <v>802</v>
      </c>
      <c r="N36" s="3813"/>
      <c r="O36" s="3813"/>
      <c r="P36" s="199"/>
      <c r="V36" s="199"/>
    </row>
    <row r="37" spans="1:26" ht="16.5" customHeight="1">
      <c r="A37" s="2527" t="s">
        <v>803</v>
      </c>
      <c r="B37" s="2528"/>
      <c r="C37" s="2498"/>
      <c r="D37" s="2498"/>
      <c r="E37" s="2499"/>
      <c r="F37" s="132"/>
      <c r="G37" s="132"/>
      <c r="H37" s="132"/>
      <c r="I37" s="132"/>
      <c r="J37" s="2588"/>
      <c r="K37" s="3814"/>
      <c r="L37" s="3814"/>
      <c r="M37" s="2590"/>
      <c r="N37" s="3814"/>
      <c r="O37" s="3814"/>
      <c r="P37" s="199"/>
      <c r="V37" s="199"/>
    </row>
    <row r="38" spans="1:26" ht="16.5" customHeight="1">
      <c r="A38" s="2527" t="s">
        <v>804</v>
      </c>
      <c r="B38" s="2528"/>
      <c r="C38" s="2498"/>
      <c r="D38" s="2498"/>
      <c r="E38" s="2499"/>
      <c r="F38" s="132"/>
      <c r="G38" s="132"/>
      <c r="H38" s="132"/>
      <c r="I38" s="132"/>
      <c r="J38" s="2588"/>
      <c r="K38" s="2591">
        <f>'数据-汇总表'!D3</f>
        <v>200000</v>
      </c>
      <c r="L38" s="2592">
        <f>'数据-汇总表'!E3</f>
        <v>74800</v>
      </c>
      <c r="M38" s="2592">
        <f ca="1">C34</f>
        <v>104</v>
      </c>
      <c r="N38" s="2592">
        <f ca="1">C33</f>
        <v>279</v>
      </c>
      <c r="O38" s="2593">
        <f ca="1">C32</f>
        <v>2086</v>
      </c>
      <c r="P38" s="199"/>
      <c r="V38" s="199"/>
    </row>
    <row r="39" spans="1:26" ht="16.5" customHeight="1">
      <c r="A39" s="2529"/>
      <c r="B39" s="2530"/>
      <c r="C39" s="2501"/>
      <c r="D39" s="2501"/>
      <c r="E39" s="2502"/>
      <c r="F39" s="132"/>
      <c r="G39" s="132"/>
      <c r="H39" s="132"/>
      <c r="I39" s="132"/>
      <c r="J39" s="2588"/>
      <c r="K39" s="3749" t="str">
        <f>MID(A44,3,LEN(A44)-2)</f>
        <v>抵押价格</v>
      </c>
      <c r="L39" s="3750"/>
      <c r="M39" s="3750"/>
      <c r="N39" s="3751"/>
      <c r="O39" s="2594">
        <f ca="1">C44</f>
        <v>2086</v>
      </c>
      <c r="P39" s="199"/>
      <c r="V39" s="199"/>
    </row>
    <row r="40" spans="1:26" ht="18.75">
      <c r="A40" s="2531" t="s">
        <v>805</v>
      </c>
      <c r="B40" s="132"/>
      <c r="C40" s="132"/>
      <c r="D40" s="132"/>
      <c r="E40" s="132"/>
      <c r="F40" s="132"/>
      <c r="G40" s="132"/>
      <c r="H40" s="132"/>
      <c r="I40" s="132"/>
      <c r="J40" s="2588"/>
      <c r="K40" s="3749" t="str">
        <f>MID(A45,3,LEN(A45)-2)</f>
        <v/>
      </c>
      <c r="L40" s="3750"/>
      <c r="M40" s="3750"/>
      <c r="N40" s="3751"/>
      <c r="O40" s="2594" t="str">
        <f>C45</f>
        <v>——</v>
      </c>
      <c r="P40" s="199"/>
      <c r="V40" s="199"/>
    </row>
    <row r="41" spans="1:26" ht="15.75">
      <c r="A41" s="2532" t="s">
        <v>806</v>
      </c>
      <c r="B41" s="2533"/>
      <c r="C41" s="2534" t="s">
        <v>807</v>
      </c>
      <c r="D41" s="2535" t="s">
        <v>808</v>
      </c>
      <c r="E41" s="2535" t="s">
        <v>809</v>
      </c>
      <c r="F41" s="2536" t="s">
        <v>810</v>
      </c>
      <c r="G41" s="132"/>
      <c r="H41" s="132"/>
      <c r="I41" s="132"/>
      <c r="J41" s="2588"/>
      <c r="K41" s="3749" t="str">
        <f>MID(A46,3,LEN(A46)-2)</f>
        <v/>
      </c>
      <c r="L41" s="3750"/>
      <c r="M41" s="3750"/>
      <c r="N41" s="3751"/>
      <c r="O41" s="2594" t="str">
        <f>C46</f>
        <v>——</v>
      </c>
      <c r="P41" s="199"/>
      <c r="V41" s="199"/>
    </row>
    <row r="42" spans="1:26" ht="29.25">
      <c r="A42" s="3752" t="s">
        <v>811</v>
      </c>
      <c r="B42" s="3753"/>
      <c r="C42" s="2463">
        <f ca="1">C32</f>
        <v>2086</v>
      </c>
      <c r="D42" s="2537">
        <f ca="1">C33</f>
        <v>279</v>
      </c>
      <c r="E42" s="2537">
        <f ca="1">C34</f>
        <v>104</v>
      </c>
      <c r="F42" s="2538">
        <f ca="1">C35</f>
        <v>7</v>
      </c>
      <c r="G42" s="132"/>
      <c r="H42" s="132"/>
      <c r="I42" s="2595"/>
      <c r="J42" s="2588"/>
      <c r="K42" s="2596" t="s">
        <v>812</v>
      </c>
      <c r="L42" s="2597" t="s">
        <v>813</v>
      </c>
      <c r="M42" s="2598" t="s">
        <v>814</v>
      </c>
      <c r="N42" s="2599" t="s">
        <v>815</v>
      </c>
      <c r="O42" s="2600" t="s">
        <v>816</v>
      </c>
      <c r="P42" s="199"/>
      <c r="V42" s="199"/>
    </row>
    <row r="43" spans="1:26" ht="18">
      <c r="A43" s="3754" t="s">
        <v>817</v>
      </c>
      <c r="B43" s="3755"/>
      <c r="C43" s="2463">
        <f>IF(H33="正常操作",G33+G34+G35,G34+G35)</f>
        <v>0</v>
      </c>
      <c r="D43" s="2537" t="s">
        <v>138</v>
      </c>
      <c r="E43" s="2537" t="s">
        <v>138</v>
      </c>
      <c r="F43" s="2538" t="s">
        <v>138</v>
      </c>
      <c r="G43" s="2539" t="s">
        <v>138</v>
      </c>
      <c r="H43" s="132"/>
      <c r="I43" s="2595"/>
      <c r="J43" s="2588"/>
      <c r="K43" s="2601" t="str">
        <f>C4</f>
        <v>比较法-工业</v>
      </c>
      <c r="L43" s="2602">
        <f ca="1">IF(L42="估价结果/万元",C19,C20)</f>
        <v>2800</v>
      </c>
      <c r="M43" s="2603">
        <f>C18</f>
        <v>0.5</v>
      </c>
      <c r="N43" s="2604">
        <f ca="1">IF(N42="测算结果/万元",G19,G20)</f>
        <v>2086</v>
      </c>
      <c r="O43" s="2605">
        <f ca="1">IF(O42="最终结果/万元",C32,C33)</f>
        <v>2086</v>
      </c>
      <c r="P43" s="199"/>
      <c r="V43" s="199"/>
    </row>
    <row r="44" spans="1:26" ht="30">
      <c r="A44" s="3752" t="str">
        <f>IF(OR(项目基本情况!E8="抵押价格",项目基本情况!E8="已注销及未注销"),"3.抵押价格","——")</f>
        <v>3.抵押价格</v>
      </c>
      <c r="B44" s="3753"/>
      <c r="C44" s="2463">
        <f ca="1">IF(A44="——","——",C42-C43)</f>
        <v>2086</v>
      </c>
      <c r="D44" s="2537">
        <f ca="1">ROUND(C44*10000/'数据-汇总表'!E3,0)</f>
        <v>279</v>
      </c>
      <c r="E44" s="2537">
        <f ca="1">ROUND(C44*10000/'数据-汇总表'!D3,0)</f>
        <v>104</v>
      </c>
      <c r="F44" s="2538">
        <f ca="1">ROUND(C44/('数据-汇总表'!D3/666.67),0)</f>
        <v>7</v>
      </c>
      <c r="G44" s="132"/>
      <c r="H44" s="132"/>
      <c r="I44" s="2595"/>
      <c r="J44" s="2588"/>
      <c r="K44" s="2606" t="str">
        <f>D4</f>
        <v>剩余法-待开发</v>
      </c>
      <c r="L44" s="2607">
        <f ca="1">IF(L42="估价结果/万元",D19,D20)</f>
        <v>1371</v>
      </c>
      <c r="M44" s="2608">
        <f>D18</f>
        <v>0.5</v>
      </c>
      <c r="N44" s="2609"/>
      <c r="O44" s="2610"/>
      <c r="P44" s="199"/>
      <c r="V44" s="199"/>
    </row>
    <row r="45" spans="1:26" ht="15">
      <c r="A45" s="3756" t="str">
        <f>IF(项目基本情况!E8="已注销及未注销","4.抵押担保权已注销时的抵押价格",IF(项目基本情况!E8="已注销","3.抵押担保权已注销时的抵押价格","——"))</f>
        <v>——</v>
      </c>
      <c r="B45" s="3757"/>
      <c r="C45" s="2540" t="str">
        <f>IF(A45="——","——",IF(项目基本情况!E8="抵押价格","——",C32-G34-G35))</f>
        <v>——</v>
      </c>
      <c r="D45" s="2537" t="e">
        <f>ROUND(C45*10000/'数据-汇总表'!E3,0)</f>
        <v>#VALUE!</v>
      </c>
      <c r="E45" s="2537" t="e">
        <f>ROUND(C45*10000/'数据-汇总表'!D3,0)</f>
        <v>#VALUE!</v>
      </c>
      <c r="F45" s="2538" t="e">
        <f>ROUND(C45/('数据-汇总表'!D3/666.67),0)</f>
        <v>#VALUE!</v>
      </c>
      <c r="G45" s="132"/>
      <c r="H45" s="132"/>
      <c r="I45" s="2595"/>
      <c r="J45" s="2588"/>
      <c r="K45" s="199"/>
      <c r="L45" s="199"/>
      <c r="M45" s="199"/>
      <c r="N45" s="199"/>
      <c r="O45" s="199"/>
      <c r="P45" s="199"/>
      <c r="V45" s="199"/>
    </row>
    <row r="46" spans="1:26" ht="15">
      <c r="A46" s="3758" t="str">
        <f>IF(项目基本情况!E9="抵押净值",IF(A45="——","4.抵押净值","5.抵押净值"),"——")</f>
        <v>——</v>
      </c>
      <c r="B46" s="3759"/>
      <c r="C46" s="2541" t="str">
        <f>IF(A46="——","——",O79)</f>
        <v>——</v>
      </c>
      <c r="D46" s="2537" t="e">
        <f>ROUND(C46*10000/'数据-汇总表'!E3,0)</f>
        <v>#VALUE!</v>
      </c>
      <c r="E46" s="2537" t="e">
        <f>ROUND(C46*10000/'数据-汇总表'!D3,0)</f>
        <v>#VALUE!</v>
      </c>
      <c r="F46" s="2538" t="e">
        <f>ROUND(C46/('数据-汇总表'!D3/666.67),0)</f>
        <v>#VALUE!</v>
      </c>
      <c r="G46" s="132"/>
      <c r="H46" s="132"/>
      <c r="I46" s="2595"/>
      <c r="J46" s="2588"/>
      <c r="K46" s="199"/>
      <c r="L46" s="199"/>
      <c r="M46" s="199"/>
      <c r="N46" s="199"/>
      <c r="O46" s="199"/>
      <c r="P46" s="199"/>
      <c r="Q46" s="199"/>
      <c r="R46" s="199"/>
      <c r="S46" s="199"/>
      <c r="T46" s="199"/>
      <c r="U46" s="199"/>
      <c r="V46" s="199"/>
    </row>
    <row r="47" spans="1:26" ht="15.75">
      <c r="A47" s="2542" t="s">
        <v>818</v>
      </c>
      <c r="B47" s="2543"/>
      <c r="C47" s="2544" t="s">
        <v>819</v>
      </c>
      <c r="D47" s="2545"/>
      <c r="E47" s="2545"/>
      <c r="F47" s="2545"/>
      <c r="G47" s="2546"/>
      <c r="H47" s="2547"/>
      <c r="I47" s="2611"/>
      <c r="J47" s="2588"/>
      <c r="K47" s="132" t="str">
        <f>IF(C43=0,"本次评估"&amp;IF(G43="设定","设定估价对象","")&amp;"不存在"&amp;MID(A43,3,LEN(A43)-2),"本次评估"&amp;IF(G43="设定","设定","")&amp;MID(A43,3,LEN(A43)-2)&amp;"为人民币"&amp;C43&amp;"万元整。")</f>
        <v>本次评估不存在估价师知悉的法定优先受偿款</v>
      </c>
      <c r="L47" s="199"/>
      <c r="M47" s="199"/>
      <c r="N47" s="199"/>
      <c r="O47" s="199"/>
      <c r="P47" s="199"/>
      <c r="Q47" s="199"/>
      <c r="R47" s="199"/>
      <c r="S47" s="199"/>
      <c r="T47" s="199"/>
      <c r="U47" s="199"/>
      <c r="V47" s="199"/>
    </row>
    <row r="48" spans="1:26" ht="12.75">
      <c r="A48" s="2548">
        <v>1</v>
      </c>
      <c r="B48" s="2549"/>
      <c r="C48" s="2549"/>
      <c r="D48" s="2545"/>
      <c r="E48" s="2545"/>
      <c r="F48" s="2545"/>
      <c r="G48" s="2545"/>
      <c r="H48" s="2550"/>
      <c r="I48" s="2612"/>
      <c r="J48" s="2588"/>
      <c r="K48" s="199"/>
      <c r="L48" s="199"/>
      <c r="M48" s="199"/>
      <c r="N48" s="199"/>
      <c r="O48" s="199"/>
      <c r="P48" s="199"/>
      <c r="Q48" s="199"/>
      <c r="R48" s="199"/>
      <c r="S48" s="199"/>
      <c r="T48" s="199"/>
      <c r="U48" s="199"/>
      <c r="V48" s="199"/>
    </row>
    <row r="49" spans="1:22" ht="12.75">
      <c r="A49" s="2548">
        <v>2</v>
      </c>
      <c r="B49" s="2549"/>
      <c r="C49" s="2549"/>
      <c r="D49" s="2545"/>
      <c r="E49" s="2545"/>
      <c r="F49" s="2545"/>
      <c r="G49" s="2545"/>
      <c r="H49" s="2550"/>
      <c r="I49" s="2612"/>
      <c r="J49" s="2613"/>
      <c r="K49" s="199"/>
      <c r="L49" s="199"/>
      <c r="M49" s="199"/>
      <c r="N49" s="199"/>
      <c r="O49" s="199"/>
      <c r="P49" s="199"/>
      <c r="Q49" s="199"/>
      <c r="R49" s="199"/>
      <c r="S49" s="199"/>
      <c r="T49" s="199"/>
      <c r="U49" s="199"/>
      <c r="V49" s="199"/>
    </row>
    <row r="50" spans="1:22" ht="12.75">
      <c r="A50" s="2548">
        <v>3</v>
      </c>
      <c r="B50" s="2549"/>
      <c r="C50" s="2549"/>
      <c r="D50" s="2545"/>
      <c r="E50" s="2545"/>
      <c r="F50" s="2545"/>
      <c r="G50" s="2545"/>
      <c r="H50" s="2550"/>
      <c r="I50" s="2612"/>
      <c r="J50" s="2613"/>
      <c r="K50" s="199"/>
      <c r="L50" s="199"/>
      <c r="M50" s="199"/>
      <c r="N50" s="199"/>
      <c r="O50" s="199"/>
      <c r="P50" s="199"/>
      <c r="Q50" s="199"/>
      <c r="R50" s="199"/>
      <c r="S50" s="199"/>
      <c r="T50" s="199"/>
      <c r="U50" s="199"/>
      <c r="V50" s="199"/>
    </row>
    <row r="51" spans="1:22" ht="12.75">
      <c r="A51" s="2551"/>
      <c r="B51" s="2552"/>
      <c r="C51" s="2552"/>
      <c r="D51" s="2553"/>
      <c r="E51" s="2553"/>
      <c r="F51" s="2553"/>
      <c r="G51" s="2553"/>
      <c r="H51" s="2554"/>
      <c r="I51" s="2614"/>
      <c r="J51" s="2613"/>
      <c r="K51" s="199"/>
      <c r="L51" s="199"/>
      <c r="M51" s="199"/>
      <c r="N51" s="199"/>
      <c r="O51" s="199"/>
      <c r="P51" s="199"/>
      <c r="Q51" s="199"/>
      <c r="R51" s="199"/>
      <c r="S51" s="199"/>
      <c r="T51" s="199"/>
      <c r="U51" s="199"/>
      <c r="V51" s="199"/>
    </row>
    <row r="52" spans="1:22" ht="12.75">
      <c r="A52" s="2549"/>
      <c r="B52" s="2549"/>
      <c r="C52" s="2549"/>
      <c r="D52" s="2545"/>
      <c r="E52" s="2545"/>
      <c r="F52" s="2545"/>
      <c r="G52" s="2545"/>
      <c r="H52" s="2550"/>
      <c r="I52" s="86"/>
      <c r="J52" s="2613"/>
      <c r="K52" s="199"/>
      <c r="L52" s="199"/>
      <c r="M52" s="199"/>
      <c r="N52" s="199"/>
      <c r="O52" s="199"/>
      <c r="P52" s="199"/>
      <c r="Q52" s="199"/>
      <c r="R52" s="199"/>
      <c r="S52" s="199"/>
      <c r="T52" s="199"/>
      <c r="U52" s="199"/>
      <c r="V52" s="199"/>
    </row>
    <row r="53" spans="1:22" ht="12.75">
      <c r="A53" s="86"/>
      <c r="B53" s="86"/>
      <c r="C53" s="86"/>
      <c r="D53" s="86"/>
      <c r="E53" s="86"/>
      <c r="F53" s="2555" t="s">
        <v>820</v>
      </c>
      <c r="G53" s="2556"/>
      <c r="H53" s="2556"/>
      <c r="I53" s="2615" t="s">
        <v>821</v>
      </c>
      <c r="J53" s="2613"/>
      <c r="K53" s="199"/>
      <c r="L53" s="199"/>
      <c r="M53" s="199"/>
      <c r="N53" s="199"/>
      <c r="O53" s="199"/>
      <c r="P53" s="199"/>
      <c r="Q53" s="199"/>
      <c r="R53" s="199"/>
      <c r="S53" s="199"/>
      <c r="T53" s="199"/>
      <c r="U53" s="199"/>
      <c r="V53" s="199"/>
    </row>
    <row r="54" spans="1:22" ht="12.75">
      <c r="A54" s="86"/>
      <c r="B54" s="2557" t="s">
        <v>822</v>
      </c>
      <c r="C54" s="86"/>
      <c r="D54" s="86"/>
      <c r="E54" s="86"/>
      <c r="F54" s="86"/>
      <c r="G54" s="86"/>
      <c r="H54" s="86"/>
      <c r="I54" s="86"/>
      <c r="J54" s="2613"/>
      <c r="K54" s="199"/>
      <c r="L54" s="199"/>
      <c r="M54" s="199"/>
      <c r="N54" s="199"/>
      <c r="O54" s="199"/>
      <c r="P54" s="199"/>
      <c r="Q54" s="199"/>
      <c r="R54" s="199"/>
      <c r="S54" s="199"/>
      <c r="T54" s="199"/>
      <c r="U54" s="199"/>
      <c r="V54" s="199"/>
    </row>
    <row r="55" spans="1:22" ht="12.75">
      <c r="A55" s="86"/>
      <c r="B55" s="86"/>
      <c r="C55" s="86"/>
      <c r="D55" s="86"/>
      <c r="E55" s="86"/>
      <c r="F55" s="86"/>
      <c r="G55" s="86"/>
      <c r="H55" s="86"/>
      <c r="I55" s="86"/>
      <c r="J55" s="2613"/>
      <c r="K55" s="199"/>
      <c r="L55" s="199"/>
      <c r="M55" s="199"/>
      <c r="N55" s="199"/>
      <c r="O55" s="199"/>
      <c r="P55" s="199"/>
      <c r="Q55" s="199"/>
      <c r="R55" s="199"/>
      <c r="S55" s="199"/>
      <c r="T55" s="199"/>
      <c r="U55" s="199"/>
      <c r="V55" s="199"/>
    </row>
    <row r="56" spans="1:22" ht="12.75">
      <c r="A56" s="86"/>
      <c r="B56" s="2556"/>
      <c r="C56" s="2556"/>
      <c r="D56" s="2556"/>
      <c r="E56" s="2556"/>
      <c r="F56" s="2556"/>
      <c r="G56" s="2556"/>
      <c r="H56" s="2556"/>
      <c r="I56" s="2615" t="s">
        <v>823</v>
      </c>
      <c r="J56" s="2613"/>
      <c r="K56" s="199"/>
      <c r="L56" s="199"/>
      <c r="M56" s="199"/>
      <c r="N56" s="199"/>
      <c r="O56" s="199"/>
      <c r="P56" s="199"/>
      <c r="Q56" s="199"/>
      <c r="R56" s="199"/>
      <c r="S56" s="199"/>
      <c r="T56" s="199"/>
      <c r="U56" s="199"/>
      <c r="V56" s="199"/>
    </row>
    <row r="57" spans="1:22" ht="12.75">
      <c r="A57" s="86"/>
      <c r="B57" s="2557" t="s">
        <v>824</v>
      </c>
      <c r="C57" s="86"/>
      <c r="D57" s="86"/>
      <c r="E57" s="86"/>
      <c r="F57" s="86"/>
      <c r="G57" s="86"/>
      <c r="H57" s="86"/>
      <c r="I57" s="86"/>
      <c r="J57" s="2613"/>
      <c r="K57" s="199"/>
      <c r="L57" s="199"/>
      <c r="M57" s="199"/>
      <c r="N57" s="199"/>
      <c r="O57" s="199"/>
      <c r="P57" s="199"/>
      <c r="Q57" s="199"/>
      <c r="R57" s="199"/>
      <c r="S57" s="199"/>
      <c r="T57" s="199"/>
      <c r="U57" s="199"/>
      <c r="V57" s="199"/>
    </row>
    <row r="58" spans="1:22" ht="12.75">
      <c r="A58" s="86"/>
      <c r="B58" s="2557"/>
      <c r="C58" s="86"/>
      <c r="D58" s="86"/>
      <c r="E58" s="86"/>
      <c r="F58" s="86"/>
      <c r="G58" s="86"/>
      <c r="H58" s="86"/>
      <c r="I58" s="86"/>
      <c r="J58" s="2613"/>
      <c r="K58" s="199"/>
      <c r="L58" s="199"/>
      <c r="M58" s="199"/>
      <c r="N58" s="199"/>
      <c r="O58" s="199"/>
      <c r="P58" s="199"/>
      <c r="Q58" s="199"/>
      <c r="R58" s="199"/>
      <c r="S58" s="199"/>
      <c r="T58" s="199"/>
      <c r="U58" s="199"/>
      <c r="V58" s="199"/>
    </row>
    <row r="59" spans="1:22" ht="12.75">
      <c r="A59" s="86"/>
      <c r="B59" s="2556"/>
      <c r="C59" s="2556"/>
      <c r="D59" s="2556"/>
      <c r="E59" s="2556"/>
      <c r="F59" s="2556"/>
      <c r="G59" s="2556"/>
      <c r="H59" s="2556"/>
      <c r="I59" s="2615" t="s">
        <v>823</v>
      </c>
      <c r="J59" s="2613"/>
      <c r="K59" s="199"/>
      <c r="L59" s="199"/>
      <c r="M59" s="199"/>
      <c r="N59" s="199"/>
      <c r="O59" s="199"/>
      <c r="P59" s="199"/>
      <c r="Q59" s="199"/>
      <c r="R59" s="199"/>
      <c r="S59" s="199"/>
      <c r="T59" s="199"/>
      <c r="U59" s="199"/>
      <c r="V59" s="199"/>
    </row>
    <row r="60" spans="1:22" ht="12.75">
      <c r="A60" s="86"/>
      <c r="B60" s="86"/>
      <c r="C60" s="86"/>
      <c r="D60" s="86"/>
      <c r="E60" s="86"/>
      <c r="F60" s="86"/>
      <c r="G60" s="86"/>
      <c r="H60" s="86"/>
      <c r="I60" s="86"/>
      <c r="J60" s="2613"/>
      <c r="K60" s="199"/>
      <c r="L60" s="199"/>
      <c r="M60" s="199"/>
      <c r="N60" s="199"/>
      <c r="O60" s="199"/>
      <c r="P60" s="199"/>
      <c r="Q60" s="199"/>
      <c r="R60" s="199"/>
      <c r="S60" s="199"/>
      <c r="T60" s="199"/>
      <c r="U60" s="199"/>
      <c r="V60" s="199"/>
    </row>
    <row r="61" spans="1:22" ht="12.75">
      <c r="A61" s="86"/>
      <c r="B61" s="2557"/>
      <c r="C61" s="2558"/>
      <c r="D61" s="2559"/>
      <c r="E61" s="2559"/>
      <c r="F61" s="2560"/>
      <c r="G61" s="86"/>
      <c r="H61" s="86"/>
      <c r="I61" s="86"/>
      <c r="J61" s="2613"/>
      <c r="K61" s="199"/>
      <c r="L61" s="199"/>
      <c r="M61" s="199"/>
      <c r="N61" s="199"/>
      <c r="O61" s="199"/>
      <c r="P61" s="199"/>
      <c r="Q61" s="199"/>
      <c r="R61" s="199"/>
      <c r="S61" s="199"/>
      <c r="T61" s="199"/>
      <c r="U61" s="199"/>
      <c r="V61" s="199"/>
    </row>
    <row r="62" spans="1:22" ht="18.75">
      <c r="A62" s="2561" t="s">
        <v>825</v>
      </c>
      <c r="B62" s="2562"/>
      <c r="C62" s="2562"/>
      <c r="D62" s="2563"/>
      <c r="E62" s="2563"/>
      <c r="F62" s="2564"/>
      <c r="G62" s="2564"/>
      <c r="H62" s="2564"/>
      <c r="I62" s="2564"/>
      <c r="J62" s="2616"/>
      <c r="K62" s="199"/>
      <c r="L62" s="199"/>
      <c r="M62" s="199"/>
      <c r="N62" s="199"/>
      <c r="O62" s="199"/>
      <c r="P62" s="199"/>
      <c r="Q62" s="199"/>
      <c r="R62" s="199"/>
      <c r="S62" s="199"/>
      <c r="T62" s="199"/>
      <c r="U62" s="199"/>
      <c r="V62" s="199"/>
    </row>
    <row r="63" spans="1:22" ht="14.25" customHeight="1">
      <c r="A63" s="3760" t="s">
        <v>826</v>
      </c>
      <c r="B63" s="3761"/>
      <c r="C63" s="3762"/>
      <c r="D63" s="1068">
        <f ca="1">ROUND(C42*F63,0)</f>
        <v>2086</v>
      </c>
      <c r="E63" s="2565" t="s">
        <v>827</v>
      </c>
      <c r="F63" s="2566">
        <v>1</v>
      </c>
      <c r="G63" s="2567" t="s">
        <v>828</v>
      </c>
      <c r="H63" s="132"/>
      <c r="I63" s="132"/>
      <c r="J63" s="199"/>
      <c r="K63" s="199"/>
      <c r="L63" s="199"/>
      <c r="M63" s="199"/>
      <c r="N63" s="199"/>
      <c r="O63" s="199"/>
      <c r="P63" s="199"/>
      <c r="Q63" s="199"/>
      <c r="R63" s="199"/>
      <c r="S63" s="199"/>
      <c r="T63" s="199"/>
      <c r="U63" s="199"/>
      <c r="V63" s="199"/>
    </row>
    <row r="64" spans="1:22" ht="14.25" customHeight="1">
      <c r="A64" s="3763" t="s">
        <v>829</v>
      </c>
      <c r="B64" s="3764"/>
      <c r="C64" s="3764"/>
      <c r="D64" s="3764"/>
      <c r="E64" s="3764"/>
      <c r="F64" s="3764"/>
      <c r="G64" s="3765"/>
      <c r="H64" s="2568"/>
      <c r="I64" s="133"/>
      <c r="J64" s="134"/>
      <c r="K64" s="2617" t="s">
        <v>830</v>
      </c>
      <c r="L64" s="2618"/>
      <c r="M64" s="2618"/>
      <c r="N64" s="2618"/>
      <c r="O64" s="2618"/>
      <c r="P64" s="132"/>
      <c r="Q64" s="199"/>
      <c r="R64" s="199"/>
      <c r="S64" s="199"/>
      <c r="T64" s="199"/>
      <c r="U64" s="199"/>
      <c r="V64" s="199"/>
    </row>
    <row r="65" spans="1:22" ht="12" customHeight="1">
      <c r="A65" s="2619" t="s">
        <v>831</v>
      </c>
      <c r="B65" s="2620"/>
      <c r="C65" s="2621"/>
      <c r="D65" s="2622" t="s">
        <v>832</v>
      </c>
      <c r="E65" s="138" t="s">
        <v>833</v>
      </c>
      <c r="F65" s="2623" t="s">
        <v>834</v>
      </c>
      <c r="G65" s="2624" t="s">
        <v>835</v>
      </c>
      <c r="H65" s="2568"/>
      <c r="I65" s="133"/>
      <c r="J65" s="134"/>
      <c r="K65" s="2726"/>
      <c r="L65" s="2727"/>
      <c r="M65" s="2727"/>
      <c r="N65" s="2728" t="s">
        <v>836</v>
      </c>
      <c r="O65" s="2729"/>
      <c r="P65" s="2730"/>
      <c r="Q65" s="199"/>
      <c r="R65" s="199"/>
      <c r="S65" s="199"/>
      <c r="T65" s="199"/>
      <c r="U65" s="199"/>
      <c r="V65" s="199"/>
    </row>
    <row r="66" spans="1:22" ht="25.5">
      <c r="A66" s="3766" t="s">
        <v>837</v>
      </c>
      <c r="B66" s="3767"/>
      <c r="C66" s="3767"/>
      <c r="D66" s="1040" t="b">
        <f>IF(H66="情况1",0,IF(H66="情况2",D70,IF(H66="情况3",D71,IF(H66="情况4",D72))))</f>
        <v>0</v>
      </c>
      <c r="E66" s="1062" t="str">
        <f>IF(H66="情况4","(销售额-原购置价)×税（费）率","销售额×税（费）率")</f>
        <v>销售额×税（费）率</v>
      </c>
      <c r="F66" s="2625">
        <f>IF(H66="情况1","免征",'数据-取费表'!B41)</f>
        <v>5.5E-2</v>
      </c>
      <c r="G66" s="2626" t="s">
        <v>838</v>
      </c>
      <c r="H66" s="2627"/>
      <c r="I66" s="2568"/>
      <c r="J66" s="2731"/>
      <c r="K66" s="2732">
        <v>1</v>
      </c>
      <c r="L66" s="3768" t="s">
        <v>839</v>
      </c>
      <c r="M66" s="3769"/>
      <c r="N66" s="2733"/>
      <c r="O66" s="2734"/>
      <c r="P66" s="2735"/>
      <c r="Q66" s="199"/>
      <c r="R66" s="199"/>
      <c r="S66" s="199"/>
      <c r="T66" s="199"/>
      <c r="U66" s="199"/>
      <c r="V66" s="199"/>
    </row>
    <row r="67" spans="1:22" ht="25.5" customHeight="1">
      <c r="A67" s="2628" t="s">
        <v>840</v>
      </c>
      <c r="B67" s="3770" t="s">
        <v>841</v>
      </c>
      <c r="C67" s="3770"/>
      <c r="D67" s="2629">
        <v>0</v>
      </c>
      <c r="E67" s="2630" t="s">
        <v>842</v>
      </c>
      <c r="F67" s="2631" t="s">
        <v>138</v>
      </c>
      <c r="G67" s="3809"/>
      <c r="H67" s="2633" t="s">
        <v>843</v>
      </c>
      <c r="I67" s="2736"/>
      <c r="J67" s="2737"/>
      <c r="K67" s="2738">
        <v>2</v>
      </c>
      <c r="L67" s="3771" t="s">
        <v>844</v>
      </c>
      <c r="M67" s="3771"/>
      <c r="N67" s="2739">
        <f>'数据-取费表'!B2</f>
        <v>45260</v>
      </c>
      <c r="O67" s="2739"/>
      <c r="P67" s="2739"/>
      <c r="Q67" s="199"/>
      <c r="R67" s="199"/>
      <c r="S67" s="199"/>
      <c r="T67" s="199"/>
      <c r="U67" s="199"/>
      <c r="V67" s="199"/>
    </row>
    <row r="68" spans="1:22" ht="25.5" customHeight="1">
      <c r="A68" s="2634"/>
      <c r="B68" s="3770" t="s">
        <v>845</v>
      </c>
      <c r="C68" s="3770"/>
      <c r="D68" s="2635"/>
      <c r="E68" s="2636"/>
      <c r="F68" s="2637"/>
      <c r="G68" s="3810"/>
      <c r="H68" s="2638" t="s">
        <v>846</v>
      </c>
      <c r="I68" s="2736"/>
      <c r="J68" s="2737"/>
      <c r="K68" s="2738">
        <v>3</v>
      </c>
      <c r="L68" s="3771" t="s">
        <v>847</v>
      </c>
      <c r="M68" s="3771"/>
      <c r="N68" s="2740">
        <f ca="1">C42</f>
        <v>2086</v>
      </c>
      <c r="O68" s="2740"/>
      <c r="P68" s="2740"/>
      <c r="Q68" s="199"/>
      <c r="R68" s="199"/>
      <c r="S68" s="199"/>
      <c r="T68" s="199"/>
      <c r="U68" s="199"/>
      <c r="V68" s="199"/>
    </row>
    <row r="69" spans="1:22" ht="23.45" customHeight="1">
      <c r="A69" s="2639"/>
      <c r="B69" s="3770" t="s">
        <v>848</v>
      </c>
      <c r="C69" s="3770"/>
      <c r="D69" s="2640"/>
      <c r="E69" s="2641"/>
      <c r="F69" s="2637"/>
      <c r="G69" s="3811"/>
      <c r="H69" s="2638" t="s">
        <v>849</v>
      </c>
      <c r="I69" s="2736"/>
      <c r="J69" s="2737"/>
      <c r="K69" s="2741">
        <v>4</v>
      </c>
      <c r="L69" s="3772" t="s">
        <v>850</v>
      </c>
      <c r="M69" s="3773"/>
      <c r="N69" s="2742">
        <f ca="1">C44</f>
        <v>2086</v>
      </c>
      <c r="O69" s="2742"/>
      <c r="P69" s="2742"/>
      <c r="Q69" s="199"/>
      <c r="R69" s="199"/>
      <c r="S69" s="199"/>
      <c r="T69" s="199"/>
      <c r="U69" s="199"/>
      <c r="V69" s="199"/>
    </row>
    <row r="70" spans="1:22" ht="24" customHeight="1">
      <c r="A70" s="2643" t="s">
        <v>851</v>
      </c>
      <c r="B70" s="3770" t="s">
        <v>852</v>
      </c>
      <c r="C70" s="3770"/>
      <c r="D70" s="2640">
        <f ca="1">ROUND(D63*'数据-取费表'!B41/(1+'数据-取费表'!C42),0)</f>
        <v>109</v>
      </c>
      <c r="E70" s="141" t="s">
        <v>853</v>
      </c>
      <c r="F70" s="2644">
        <f>'数据-取费表'!B41</f>
        <v>5.5E-2</v>
      </c>
      <c r="G70" s="2645"/>
      <c r="H70" s="132"/>
      <c r="I70" s="2743"/>
      <c r="J70" s="2737"/>
      <c r="K70" s="2744"/>
      <c r="L70" s="2745"/>
      <c r="M70" s="2745"/>
      <c r="N70" s="2746" t="s">
        <v>829</v>
      </c>
      <c r="O70" s="2745"/>
      <c r="P70" s="2747"/>
      <c r="Q70" s="199"/>
      <c r="R70" s="199"/>
      <c r="S70" s="199"/>
      <c r="T70" s="199"/>
      <c r="U70" s="199"/>
      <c r="V70" s="199"/>
    </row>
    <row r="71" spans="1:22" ht="12" customHeight="1">
      <c r="A71" s="2643" t="s">
        <v>854</v>
      </c>
      <c r="B71" s="3774" t="s">
        <v>855</v>
      </c>
      <c r="C71" s="3775"/>
      <c r="D71" s="2640">
        <f ca="1">ROUND(D63*'数据-取费表'!B41/(1+'数据-取费表'!C42),0)</f>
        <v>109</v>
      </c>
      <c r="E71" s="141" t="s">
        <v>853</v>
      </c>
      <c r="F71" s="2644">
        <f>'数据-取费表'!B41</f>
        <v>5.5E-2</v>
      </c>
      <c r="G71" s="2645"/>
      <c r="H71" s="132"/>
      <c r="I71" s="2743"/>
      <c r="J71" s="2737"/>
      <c r="K71" s="2748" t="s">
        <v>856</v>
      </c>
      <c r="L71" s="3776" t="s">
        <v>831</v>
      </c>
      <c r="M71" s="3776"/>
      <c r="N71" s="2748" t="s">
        <v>857</v>
      </c>
      <c r="O71" s="2748" t="s">
        <v>858</v>
      </c>
      <c r="P71" s="2748" t="s">
        <v>834</v>
      </c>
      <c r="Q71" s="199"/>
      <c r="R71" s="199"/>
      <c r="S71" s="199"/>
      <c r="T71" s="199"/>
      <c r="U71" s="199"/>
      <c r="V71" s="199"/>
    </row>
    <row r="72" spans="1:22" ht="12" customHeight="1">
      <c r="A72" s="2643" t="s">
        <v>859</v>
      </c>
      <c r="B72" s="3774" t="s">
        <v>860</v>
      </c>
      <c r="C72" s="3775"/>
      <c r="D72" s="2640">
        <f ca="1">C86</f>
        <v>109</v>
      </c>
      <c r="E72" s="2641" t="s">
        <v>861</v>
      </c>
      <c r="F72" s="2644">
        <f>'数据-取费表'!B41</f>
        <v>5.5E-2</v>
      </c>
      <c r="G72" s="2645"/>
      <c r="H72" s="2646"/>
      <c r="I72" s="2743"/>
      <c r="J72" s="2737"/>
      <c r="K72" s="2738">
        <v>1</v>
      </c>
      <c r="L72" s="3777" t="s">
        <v>862</v>
      </c>
      <c r="M72" s="3777"/>
      <c r="N72" s="2750" t="b">
        <f>D66</f>
        <v>0</v>
      </c>
      <c r="O72" s="2749" t="str">
        <f>E66</f>
        <v>销售额×税（费）率</v>
      </c>
      <c r="P72" s="2751">
        <f>F66</f>
        <v>5.5E-2</v>
      </c>
      <c r="Q72" s="199"/>
      <c r="R72" s="199"/>
      <c r="S72" s="199"/>
      <c r="T72" s="199"/>
      <c r="U72" s="199"/>
      <c r="V72" s="199"/>
    </row>
    <row r="73" spans="1:22" ht="24" customHeight="1">
      <c r="A73" s="3778" t="s">
        <v>863</v>
      </c>
      <c r="B73" s="3767"/>
      <c r="C73" s="3767"/>
      <c r="D73" s="2647">
        <f ca="1">IF(H73="个人住宅",0,ROUND(D63*I73,0))</f>
        <v>1</v>
      </c>
      <c r="E73" s="141" t="s">
        <v>864</v>
      </c>
      <c r="F73" s="2644" t="str">
        <f>IF(H73="正常",I73,"免征")</f>
        <v>免征</v>
      </c>
      <c r="G73" s="2645"/>
      <c r="H73" s="2627"/>
      <c r="I73" s="2644">
        <f>'数据-取费表'!B49</f>
        <v>5.0000000000000001E-4</v>
      </c>
      <c r="J73" s="2737"/>
      <c r="K73" s="2738">
        <v>2</v>
      </c>
      <c r="L73" s="3777" t="s">
        <v>865</v>
      </c>
      <c r="M73" s="3777"/>
      <c r="N73" s="2750">
        <f t="shared" ref="N73:P74" ca="1" si="0">D73</f>
        <v>1</v>
      </c>
      <c r="O73" s="2749" t="str">
        <f t="shared" si="0"/>
        <v>销售额×税（费）率</v>
      </c>
      <c r="P73" s="2751" t="str">
        <f t="shared" si="0"/>
        <v>免征</v>
      </c>
      <c r="Q73" s="199"/>
      <c r="R73" s="199"/>
      <c r="S73" s="199"/>
      <c r="T73" s="199"/>
      <c r="U73" s="199"/>
      <c r="V73" s="199"/>
    </row>
    <row r="74" spans="1:22" ht="24.75">
      <c r="A74" s="3778" t="s">
        <v>866</v>
      </c>
      <c r="B74" s="3767"/>
      <c r="C74" s="3767"/>
      <c r="D74" s="2647">
        <f ca="1">IF(H74="个人住宅",D75,D76)</f>
        <v>1183</v>
      </c>
      <c r="E74" s="141" t="s">
        <v>867</v>
      </c>
      <c r="F74" s="2644" t="str">
        <f>IF(H74="正常",F76,"免征")</f>
        <v>免征</v>
      </c>
      <c r="G74" s="2648" t="s">
        <v>838</v>
      </c>
      <c r="H74" s="2649"/>
      <c r="I74" s="2651"/>
      <c r="J74" s="2737"/>
      <c r="K74" s="2738">
        <v>3</v>
      </c>
      <c r="L74" s="3777" t="s">
        <v>868</v>
      </c>
      <c r="M74" s="3777"/>
      <c r="N74" s="2750">
        <f t="shared" ca="1" si="0"/>
        <v>1183</v>
      </c>
      <c r="O74" s="2749" t="str">
        <f t="shared" si="0"/>
        <v>增值额×税（费）率</v>
      </c>
      <c r="P74" s="2752" t="str">
        <f t="shared" si="0"/>
        <v>免征</v>
      </c>
      <c r="Q74" s="199"/>
      <c r="R74" s="199"/>
      <c r="S74" s="199"/>
      <c r="T74" s="199"/>
      <c r="U74" s="199"/>
      <c r="V74" s="199"/>
    </row>
    <row r="75" spans="1:22" ht="12.75">
      <c r="A75" s="2643" t="s">
        <v>840</v>
      </c>
      <c r="B75" s="3743" t="s">
        <v>869</v>
      </c>
      <c r="C75" s="3745"/>
      <c r="D75" s="2650">
        <v>0</v>
      </c>
      <c r="E75" s="2630" t="s">
        <v>842</v>
      </c>
      <c r="F75" s="95"/>
      <c r="G75" s="2645"/>
      <c r="H75" s="2651"/>
      <c r="I75" s="2651"/>
      <c r="J75" s="2737"/>
      <c r="K75" s="2738">
        <f>IF(H77="非个人房产","",4)</f>
        <v>4</v>
      </c>
      <c r="L75" s="3777" t="str">
        <f>IF(H77="非个人房产","——","个人所得税")</f>
        <v>个人所得税</v>
      </c>
      <c r="M75" s="3777"/>
      <c r="N75" s="2753">
        <f>D77</f>
        <v>0</v>
      </c>
      <c r="O75" s="2754" t="str">
        <f>E77</f>
        <v>差额计税</v>
      </c>
      <c r="P75" s="2755">
        <f>F77</f>
        <v>0.01</v>
      </c>
      <c r="Q75" s="199"/>
      <c r="R75" s="199"/>
      <c r="S75" s="199"/>
      <c r="T75" s="199"/>
      <c r="U75" s="199"/>
      <c r="V75" s="199"/>
    </row>
    <row r="76" spans="1:22" ht="24.75">
      <c r="A76" s="2643" t="s">
        <v>851</v>
      </c>
      <c r="B76" s="3743" t="s">
        <v>870</v>
      </c>
      <c r="C76" s="3744"/>
      <c r="D76" s="2647">
        <f ca="1">IF(H76="转让取得",C99,C115)</f>
        <v>1183</v>
      </c>
      <c r="E76" s="141" t="s">
        <v>867</v>
      </c>
      <c r="F76" s="138" t="s">
        <v>138</v>
      </c>
      <c r="G76" s="2645"/>
      <c r="H76" s="2649"/>
      <c r="I76" s="2651"/>
      <c r="J76" s="2737"/>
      <c r="K76" s="2738" t="str">
        <f>IF(项目基本情况!K6="上海银行",IF(K75="",4,K75+1),"")</f>
        <v/>
      </c>
      <c r="L76" s="3779" t="str">
        <f>IF(项目基本情况!K6="上海银行","其他处置费用","")</f>
        <v/>
      </c>
      <c r="M76" s="3780"/>
      <c r="N76" s="2750" t="str">
        <f>IF(项目基本情况!K6="上海银行",N89,"")</f>
        <v/>
      </c>
      <c r="O76" s="3781" t="str">
        <f>IF(项目基本情况!K6="上海银行","包含处置中涉及的律师、诉讼、拍卖、评估等费用","")</f>
        <v/>
      </c>
      <c r="P76" s="3782"/>
      <c r="Q76" s="199"/>
      <c r="R76" s="199"/>
      <c r="S76" s="199"/>
      <c r="T76" s="199"/>
      <c r="U76" s="199"/>
      <c r="V76" s="199"/>
    </row>
    <row r="77" spans="1:22" ht="24">
      <c r="A77" s="3783" t="s">
        <v>871</v>
      </c>
      <c r="B77" s="3784"/>
      <c r="C77" s="3784"/>
      <c r="D77" s="2652">
        <f>IF(H77="非个人房产","——",IF(H77="个人住宅（满五唯一有凭证）",0,IF(H77="个人其他（无凭证）",ROUND(D63*F77,0),ROUND(C84*F77,0))))</f>
        <v>0</v>
      </c>
      <c r="E77" s="2653" t="str">
        <f>IF(H77="非个人房产","——",IF(H77="个人其他（无凭证）","销售额×税（费）率",IF(H77="个人住宅（满五唯一有凭证）","免征","差额计税")))</f>
        <v>差额计税</v>
      </c>
      <c r="F77" s="2654">
        <f>IF(OR(H77="非个人房产",H77="个人住宅（满五唯一有凭证）"),"——",IF(H77="个人其他（有凭证）",20%,1%))</f>
        <v>0.01</v>
      </c>
      <c r="G77" s="2655" t="s">
        <v>838</v>
      </c>
      <c r="H77" s="2656"/>
      <c r="I77" s="2757" t="s">
        <v>872</v>
      </c>
      <c r="J77" s="2737"/>
      <c r="K77" s="3815">
        <f>IF(AND(K75="",K76=""),4,IF(项目基本情况!K6="上海银行",K76+1,K75+1))</f>
        <v>5</v>
      </c>
      <c r="L77" s="3777" t="s">
        <v>520</v>
      </c>
      <c r="M77" s="2758" t="s">
        <v>873</v>
      </c>
      <c r="N77" s="2759"/>
      <c r="O77" s="2760">
        <f ca="1">SUMIF(N72:N76,"&lt;9e307")</f>
        <v>1184</v>
      </c>
      <c r="P77" s="2761"/>
      <c r="Q77" s="2783">
        <f ca="1">O77/N69</f>
        <v>0.56759348034515822</v>
      </c>
      <c r="R77" s="199"/>
      <c r="S77" s="199"/>
      <c r="T77" s="199"/>
      <c r="U77" s="199"/>
      <c r="V77" s="199"/>
    </row>
    <row r="78" spans="1:22" ht="12" customHeight="1">
      <c r="A78" s="2657"/>
      <c r="B78" s="132"/>
      <c r="C78" s="132"/>
      <c r="D78" s="132"/>
      <c r="E78" s="2651"/>
      <c r="F78" s="2651"/>
      <c r="G78" s="2651"/>
      <c r="H78" s="2658"/>
      <c r="I78" s="132"/>
      <c r="J78" s="2737"/>
      <c r="K78" s="3815"/>
      <c r="L78" s="3777"/>
      <c r="M78" s="2758" t="s">
        <v>874</v>
      </c>
      <c r="N78" s="2759"/>
      <c r="O78" s="2760" t="str">
        <f ca="1">NUMBERSTRING(INT(O77*10000),2)&amp;"元整"</f>
        <v>壹仟壹佰捌拾肆万元整</v>
      </c>
      <c r="P78" s="2761"/>
      <c r="Q78" s="199"/>
      <c r="R78" s="199"/>
      <c r="S78" s="199"/>
      <c r="T78" s="199"/>
      <c r="U78" s="199"/>
      <c r="V78" s="199"/>
    </row>
    <row r="79" spans="1:22" ht="12.75">
      <c r="A79" s="3785" t="s">
        <v>875</v>
      </c>
      <c r="B79" s="3785"/>
      <c r="C79" s="3785"/>
      <c r="D79" s="3785"/>
      <c r="E79" s="3785"/>
      <c r="F79" s="2651"/>
      <c r="G79" s="2651"/>
      <c r="H79" s="2658"/>
      <c r="I79" s="132"/>
      <c r="J79" s="2737"/>
      <c r="K79" s="3816">
        <f>K77+1</f>
        <v>6</v>
      </c>
      <c r="L79" s="3777" t="s">
        <v>876</v>
      </c>
      <c r="M79" s="2758" t="s">
        <v>873</v>
      </c>
      <c r="N79" s="2759"/>
      <c r="O79" s="2760">
        <f ca="1">N69-O77</f>
        <v>902</v>
      </c>
      <c r="P79" s="2761"/>
      <c r="Q79" s="199"/>
      <c r="R79" s="199"/>
      <c r="S79" s="199"/>
      <c r="T79" s="199"/>
      <c r="U79" s="199"/>
      <c r="V79" s="199"/>
    </row>
    <row r="80" spans="1:22" ht="25.5">
      <c r="A80" s="3786" t="s">
        <v>877</v>
      </c>
      <c r="B80" s="3787"/>
      <c r="C80" s="2659"/>
      <c r="D80" s="2659" t="s">
        <v>878</v>
      </c>
      <c r="E80" s="2660" t="s">
        <v>835</v>
      </c>
      <c r="F80" s="2651"/>
      <c r="G80" s="2651"/>
      <c r="H80" s="2658"/>
      <c r="I80" s="132"/>
      <c r="J80" s="199"/>
      <c r="K80" s="3817"/>
      <c r="L80" s="3777"/>
      <c r="M80" s="2758" t="s">
        <v>874</v>
      </c>
      <c r="N80" s="2759"/>
      <c r="O80" s="2760" t="str">
        <f ca="1">NUMBERSTRING(INT(O79*10000),2)&amp;"元整"</f>
        <v>玖佰零贰万元整</v>
      </c>
      <c r="P80" s="2761"/>
      <c r="Q80" s="199"/>
      <c r="R80" s="199"/>
      <c r="S80" s="199"/>
      <c r="T80" s="199"/>
      <c r="U80" s="199"/>
      <c r="V80" s="199"/>
    </row>
    <row r="81" spans="1:26" ht="12.75">
      <c r="A81" s="2661" t="s">
        <v>879</v>
      </c>
      <c r="B81" s="2662" t="s">
        <v>880</v>
      </c>
      <c r="C81" s="2663">
        <f ca="1">ROUND((C82+C83)/(1+'数据-取费表'!C42),0)</f>
        <v>1987</v>
      </c>
      <c r="D81" s="2664"/>
      <c r="E81" s="2665"/>
      <c r="F81" s="2651"/>
      <c r="G81" s="2651"/>
      <c r="H81" s="2658"/>
      <c r="I81" s="132"/>
      <c r="J81" s="199"/>
      <c r="K81" s="2738">
        <f>K79+1</f>
        <v>7</v>
      </c>
      <c r="L81" s="3788" t="s">
        <v>881</v>
      </c>
      <c r="M81" s="3789"/>
      <c r="N81" s="2762"/>
      <c r="O81" s="2763">
        <f ca="1">ROUND(O79*10000/'数据-汇总表'!E3,0)</f>
        <v>121</v>
      </c>
      <c r="P81" s="2764"/>
      <c r="Q81" s="199"/>
      <c r="R81" s="199"/>
      <c r="S81" s="199"/>
      <c r="T81" s="199"/>
      <c r="U81" s="199"/>
      <c r="V81" s="199"/>
    </row>
    <row r="82" spans="1:26" ht="12.75">
      <c r="A82" s="2424" t="s">
        <v>882</v>
      </c>
      <c r="B82" s="2666" t="s">
        <v>883</v>
      </c>
      <c r="C82" s="2667">
        <f ca="1">D63</f>
        <v>2086</v>
      </c>
      <c r="D82" s="1876" t="s">
        <v>138</v>
      </c>
      <c r="E82" s="2668"/>
      <c r="F82" s="2651"/>
      <c r="G82" s="2651"/>
      <c r="H82" s="2658"/>
      <c r="I82" s="132"/>
      <c r="J82" s="199"/>
      <c r="K82" s="199"/>
      <c r="L82" s="199"/>
      <c r="M82" s="199"/>
      <c r="N82" s="199"/>
      <c r="O82" s="199"/>
      <c r="P82" s="199"/>
      <c r="Q82" s="199"/>
      <c r="R82" s="199"/>
      <c r="S82" s="199"/>
      <c r="T82" s="199"/>
      <c r="U82" s="199"/>
      <c r="V82" s="199"/>
    </row>
    <row r="83" spans="1:26" ht="12.75">
      <c r="A83" s="2424" t="s">
        <v>884</v>
      </c>
      <c r="B83" s="2666" t="s">
        <v>885</v>
      </c>
      <c r="C83" s="2669"/>
      <c r="D83" s="1876"/>
      <c r="E83" s="2668"/>
      <c r="F83" s="2651"/>
      <c r="G83" s="2651"/>
      <c r="H83" s="2658"/>
      <c r="I83" s="132"/>
      <c r="J83" s="199"/>
      <c r="K83" s="3818" t="s">
        <v>886</v>
      </c>
      <c r="L83" s="2765" t="s">
        <v>887</v>
      </c>
      <c r="M83" s="2766">
        <f ca="1">IF(N69&gt;10000,N69*0.5%,IF(AND(N69&gt;1000,N69&lt;=10000),N69*1%,IF(AND(N69&gt;100,N69&lt;=1000),N69*3%,IF(AND(N69&gt;10,N69&lt;=100),N69*5%,N69*8%))))</f>
        <v>20.86</v>
      </c>
      <c r="N83" s="138">
        <f ca="1">ROUND(M83,1)</f>
        <v>20.9</v>
      </c>
      <c r="O83" s="2767"/>
      <c r="P83" s="199"/>
      <c r="Q83" s="199"/>
      <c r="R83" s="199"/>
      <c r="S83" s="199"/>
      <c r="T83" s="199"/>
      <c r="U83" s="199"/>
      <c r="V83" s="199"/>
    </row>
    <row r="84" spans="1:26" ht="12.75">
      <c r="A84" s="2661" t="s">
        <v>888</v>
      </c>
      <c r="B84" s="2670" t="s">
        <v>889</v>
      </c>
      <c r="C84" s="2671"/>
      <c r="D84" s="2672" t="s">
        <v>138</v>
      </c>
      <c r="E84" s="2673" t="s">
        <v>890</v>
      </c>
      <c r="F84" s="2651"/>
      <c r="G84" s="2651"/>
      <c r="H84" s="2658"/>
      <c r="I84" s="132"/>
      <c r="J84" s="199"/>
      <c r="K84" s="3818"/>
      <c r="L84" s="2765" t="s">
        <v>891</v>
      </c>
      <c r="M84" s="2766">
        <f ca="1">IF(N69&gt;2000,N69*0.5%,IF(AND(N69&gt;1000,N69&lt;=2000),N69*0.6%,IF(AND(N69&gt;500,N69&lt;=1000),N69*0.7%,IF(AND(N69&gt;200,N69&lt;=500),N69*0.8%,IF(AND(N69&gt;100,N69&lt;=200),N69*0.9%,IF(AND(N69&gt;50,N69&lt;=100),N69*1%,IF(AND(N69&gt;20,N69&lt;=50),N69*1.5%,IF(AND(N69&gt;10,N69&lt;=20),N69*2%,IF(AND(N69&gt;1,N69&lt;=10),N69*2.5%)))))))))</f>
        <v>10.43</v>
      </c>
      <c r="N84" s="138">
        <f ca="1">ROUND(M84,1)</f>
        <v>10.4</v>
      </c>
      <c r="O84" s="199" t="s">
        <v>892</v>
      </c>
      <c r="P84" s="199"/>
      <c r="Q84" s="199"/>
      <c r="R84" s="199"/>
      <c r="S84" s="199"/>
      <c r="T84" s="199"/>
      <c r="U84" s="199"/>
      <c r="V84" s="199"/>
    </row>
    <row r="85" spans="1:26" ht="12.75">
      <c r="A85" s="2661" t="s">
        <v>893</v>
      </c>
      <c r="B85" s="2670" t="s">
        <v>894</v>
      </c>
      <c r="C85" s="2674">
        <f ca="1">C81-C84</f>
        <v>1987</v>
      </c>
      <c r="D85" s="1876" t="s">
        <v>138</v>
      </c>
      <c r="E85" s="2668"/>
      <c r="F85" s="2651"/>
      <c r="G85" s="2651"/>
      <c r="H85" s="2658"/>
      <c r="I85" s="132"/>
      <c r="J85" s="199"/>
      <c r="K85" s="3818"/>
      <c r="L85" s="2765" t="s">
        <v>895</v>
      </c>
      <c r="M85" s="2766">
        <f ca="1">IF(N69&gt;1000,N69*0.1%,IF(AND(N69&gt;500,N69&lt;=1000),N69*0.5%,IF(AND(N69&gt;50,N69&lt;=500),N69*1%,IF(AND(N69&gt;1,N69&lt;=50),N69*1.5%))))</f>
        <v>2.0859999999999999</v>
      </c>
      <c r="N85" s="138">
        <f ca="1">ROUND(M85,1)</f>
        <v>2.1</v>
      </c>
      <c r="O85" s="199" t="s">
        <v>892</v>
      </c>
      <c r="P85" s="199"/>
      <c r="Q85" s="199"/>
      <c r="R85" s="199"/>
      <c r="S85" s="199"/>
      <c r="T85" s="199"/>
      <c r="U85" s="199"/>
      <c r="V85" s="199"/>
    </row>
    <row r="86" spans="1:26" ht="12.75">
      <c r="A86" s="2675" t="s">
        <v>896</v>
      </c>
      <c r="B86" s="2676" t="s">
        <v>897</v>
      </c>
      <c r="C86" s="2677">
        <f ca="1">IF(C85&lt;=0,0,ROUND(C85*D86,0))</f>
        <v>109</v>
      </c>
      <c r="D86" s="2678">
        <f>'数据-取费表'!B41</f>
        <v>5.5E-2</v>
      </c>
      <c r="E86" s="2679"/>
      <c r="F86" s="2651"/>
      <c r="G86" s="2651"/>
      <c r="H86" s="2658"/>
      <c r="I86" s="132"/>
      <c r="J86" s="199"/>
      <c r="K86" s="3818"/>
      <c r="L86" s="2765" t="s">
        <v>898</v>
      </c>
      <c r="M86" s="2766">
        <f ca="1">N69*0.5%</f>
        <v>10.43</v>
      </c>
      <c r="N86" s="138">
        <f ca="1">IF(M86&gt;0.5,0.5,ROUND(M86,0))</f>
        <v>0.5</v>
      </c>
      <c r="O86" s="199" t="s">
        <v>899</v>
      </c>
      <c r="P86" s="199"/>
      <c r="Q86" s="199"/>
      <c r="R86" s="199"/>
      <c r="S86" s="199"/>
      <c r="T86" s="199"/>
      <c r="U86" s="199"/>
      <c r="V86" s="199"/>
    </row>
    <row r="87" spans="1:26" s="2451" customFormat="1" ht="14.25" customHeight="1">
      <c r="A87" s="2680"/>
      <c r="B87" s="2681"/>
      <c r="C87" s="2682"/>
      <c r="D87" s="2683"/>
      <c r="E87" s="2684"/>
      <c r="F87" s="2651"/>
      <c r="G87" s="2651"/>
      <c r="H87" s="2658"/>
      <c r="I87" s="132"/>
      <c r="J87" s="199"/>
      <c r="K87" s="3818"/>
      <c r="L87" s="2765" t="s">
        <v>900</v>
      </c>
      <c r="M87" s="2766">
        <f ca="1">IF(N69&gt;=10000,(8.25+(N69-10000)*0.01%),IF(AND(N69&gt;=8000,N69&lt;10000),(7.85+(N69-8000)*0.02%),IF(AND(N69&gt;=5000,N69&lt;8000),(6.65+(N69-5000)*0.04%),IF(AND(N69&gt;=2000,N69&lt;5000),(4.25+(PN69-2000)*0.08%),IF(AND(N69&gt;=1000,N69&lt;2000),(2.75+(N69-1000)*0.15%),IF(AND(N69&gt;=100,N69&lt;1000),(0.5+(N69-100)*0.25%),IF(AND(N69&gt;0,N69&lt;100),N69*0.5%)))))))</f>
        <v>2.65</v>
      </c>
      <c r="N87" s="138">
        <f ca="1">ROUND(M87*0.9,1)</f>
        <v>2.4</v>
      </c>
      <c r="O87" s="2767"/>
      <c r="P87" s="199"/>
      <c r="Q87" s="199"/>
      <c r="R87" s="199"/>
      <c r="S87" s="199"/>
      <c r="T87" s="199"/>
      <c r="U87" s="199"/>
      <c r="V87" s="199"/>
      <c r="W87" s="2335"/>
      <c r="X87" s="2335"/>
      <c r="Y87" s="2335"/>
      <c r="Z87" s="2335"/>
    </row>
    <row r="88" spans="1:26" s="2452" customFormat="1" ht="14.25">
      <c r="A88" s="3790" t="s">
        <v>901</v>
      </c>
      <c r="B88" s="3791"/>
      <c r="C88" s="3791"/>
      <c r="D88" s="3791"/>
      <c r="E88" s="3791"/>
      <c r="F88" s="3791"/>
      <c r="G88" s="3791"/>
      <c r="H88" s="3791"/>
      <c r="I88" s="2768"/>
      <c r="J88" s="2769"/>
      <c r="K88" s="3818"/>
      <c r="L88" s="2765" t="s">
        <v>902</v>
      </c>
      <c r="M88" s="2766">
        <f ca="1">IF(N69&gt;10000,N69*0.5%,IF(AND(N69&gt;5000,N69&lt;=10000),N69*1%,IF(AND(N69&gt;1000,N69&lt;=5000),N69*2%,IF(AND(N69&gt;200,N69&lt;=1000),N69*3%,N69*5%))))</f>
        <v>41.72</v>
      </c>
      <c r="N88" s="138">
        <f ca="1">ROUND(M88,1)</f>
        <v>41.7</v>
      </c>
      <c r="O88" s="2767"/>
      <c r="P88" s="2770"/>
      <c r="Q88" s="2770"/>
      <c r="R88" s="2770"/>
      <c r="S88" s="2770"/>
      <c r="T88" s="2770"/>
      <c r="U88" s="2770"/>
      <c r="V88" s="2770"/>
      <c r="W88" s="2784"/>
      <c r="X88" s="2784"/>
      <c r="Y88" s="2784"/>
      <c r="Z88" s="2784"/>
    </row>
    <row r="89" spans="1:26" s="2452" customFormat="1" ht="14.25">
      <c r="A89" s="3786" t="s">
        <v>877</v>
      </c>
      <c r="B89" s="3787"/>
      <c r="C89" s="2659"/>
      <c r="D89" s="2659" t="s">
        <v>878</v>
      </c>
      <c r="E89" s="2685" t="s">
        <v>835</v>
      </c>
      <c r="F89" s="2686"/>
      <c r="G89" s="2686"/>
      <c r="H89" s="2687"/>
      <c r="I89" s="2771"/>
      <c r="J89" s="2772"/>
      <c r="K89" s="3818"/>
      <c r="L89" s="2765" t="s">
        <v>903</v>
      </c>
      <c r="M89" s="2773"/>
      <c r="N89" s="138">
        <f ca="1">ROUND(SUM(N83:N88),0)</f>
        <v>78</v>
      </c>
      <c r="O89" s="2774">
        <f ca="1">N89/N69</f>
        <v>3.7392138063279005E-2</v>
      </c>
      <c r="P89" s="2770"/>
      <c r="Q89" s="2770"/>
      <c r="R89" s="2770"/>
      <c r="S89" s="2770"/>
      <c r="T89" s="2770"/>
      <c r="U89" s="2770"/>
      <c r="V89" s="2770"/>
      <c r="W89" s="2784"/>
      <c r="X89" s="2784"/>
      <c r="Y89" s="2784"/>
      <c r="Z89" s="2784"/>
    </row>
    <row r="90" spans="1:26" s="2452" customFormat="1" ht="14.25">
      <c r="A90" s="2661" t="s">
        <v>879</v>
      </c>
      <c r="B90" s="2670" t="s">
        <v>904</v>
      </c>
      <c r="C90" s="2674">
        <f ca="1">ROUND(D63/(1+'数据-取费表'!C42),0)</f>
        <v>1987</v>
      </c>
      <c r="D90" s="1876" t="s">
        <v>138</v>
      </c>
      <c r="E90" s="1031"/>
      <c r="F90" s="1032"/>
      <c r="G90" s="1032"/>
      <c r="H90" s="2688"/>
      <c r="I90" s="2771"/>
      <c r="J90" s="2772"/>
      <c r="K90" s="2770"/>
      <c r="L90" s="2770"/>
      <c r="M90" s="2770"/>
      <c r="N90" s="2770"/>
      <c r="O90" s="2770"/>
      <c r="P90" s="2770"/>
      <c r="Q90" s="2770"/>
      <c r="R90" s="2770"/>
      <c r="S90" s="2770"/>
      <c r="T90" s="2770"/>
      <c r="U90" s="2770"/>
      <c r="V90" s="2770"/>
      <c r="W90" s="2784"/>
      <c r="X90" s="2784"/>
      <c r="Y90" s="2784"/>
      <c r="Z90" s="2784"/>
    </row>
    <row r="91" spans="1:26" s="2452" customFormat="1" ht="14.25">
      <c r="A91" s="2661" t="s">
        <v>888</v>
      </c>
      <c r="B91" s="2623" t="s">
        <v>905</v>
      </c>
      <c r="C91" s="2674">
        <f ca="1">C92+C96</f>
        <v>10</v>
      </c>
      <c r="D91" s="1876" t="s">
        <v>138</v>
      </c>
      <c r="E91" s="1031"/>
      <c r="F91" s="1032"/>
      <c r="G91" s="1032"/>
      <c r="H91" s="2688"/>
      <c r="I91" s="2771"/>
      <c r="J91" s="2772"/>
      <c r="K91" s="2770"/>
      <c r="L91" s="2770"/>
      <c r="M91" s="2770"/>
      <c r="N91" s="2770"/>
      <c r="O91" s="2770"/>
      <c r="P91" s="2770"/>
      <c r="Q91" s="2770"/>
      <c r="R91" s="2770"/>
      <c r="S91" s="2770"/>
      <c r="T91" s="2770"/>
      <c r="U91" s="2770"/>
      <c r="V91" s="2770"/>
      <c r="W91" s="2784"/>
      <c r="X91" s="2784"/>
      <c r="Y91" s="2784"/>
      <c r="Z91" s="2784"/>
    </row>
    <row r="92" spans="1:26" s="2452" customFormat="1" ht="24">
      <c r="A92" s="2689" t="s">
        <v>882</v>
      </c>
      <c r="B92" s="2666" t="s">
        <v>906</v>
      </c>
      <c r="C92" s="1876">
        <f>ROUND(IF(G95="2016年5月1日后购买",C93/(1+'数据-取费表'!C30)+C94+C95,C93+C94+C95),0)</f>
        <v>0</v>
      </c>
      <c r="D92" s="1876" t="s">
        <v>138</v>
      </c>
      <c r="E92" s="1031"/>
      <c r="F92" s="1032"/>
      <c r="G92" s="1032"/>
      <c r="H92" s="2688"/>
      <c r="I92" s="2771"/>
      <c r="J92" s="2772"/>
      <c r="K92" s="2770"/>
      <c r="L92" s="2770"/>
      <c r="M92" s="2770"/>
      <c r="N92" s="2770"/>
      <c r="O92" s="2770"/>
      <c r="P92" s="2770"/>
      <c r="Q92" s="2770"/>
      <c r="R92" s="2770"/>
      <c r="S92" s="2770"/>
      <c r="T92" s="2770"/>
      <c r="U92" s="2770"/>
      <c r="V92" s="2770"/>
      <c r="W92" s="2784"/>
      <c r="X92" s="2784"/>
      <c r="Y92" s="2784"/>
      <c r="Z92" s="2784"/>
    </row>
    <row r="93" spans="1:26" s="2452" customFormat="1" ht="14.25">
      <c r="A93" s="2689" t="s">
        <v>907</v>
      </c>
      <c r="B93" s="2666" t="s">
        <v>908</v>
      </c>
      <c r="C93" s="1878"/>
      <c r="D93" s="1876" t="s">
        <v>138</v>
      </c>
      <c r="E93" s="2690" t="s">
        <v>909</v>
      </c>
      <c r="F93" s="2691"/>
      <c r="G93" s="2690" t="s">
        <v>910</v>
      </c>
      <c r="H93" s="2692">
        <v>5</v>
      </c>
      <c r="I93" s="2618"/>
      <c r="J93" s="2770"/>
      <c r="K93" s="2770"/>
      <c r="L93" s="2770"/>
      <c r="M93" s="2770"/>
      <c r="N93" s="2770"/>
      <c r="O93" s="2770"/>
      <c r="P93" s="2770"/>
      <c r="Q93" s="2770"/>
      <c r="R93" s="2770"/>
      <c r="S93" s="2770"/>
      <c r="T93" s="2770"/>
      <c r="U93" s="2770"/>
      <c r="V93" s="2770"/>
      <c r="W93" s="2784"/>
      <c r="X93" s="2784"/>
      <c r="Y93" s="2784"/>
      <c r="Z93" s="2784"/>
    </row>
    <row r="94" spans="1:26" s="2452" customFormat="1" ht="24.75" customHeight="1">
      <c r="A94" s="2689" t="s">
        <v>911</v>
      </c>
      <c r="B94" s="2693" t="s">
        <v>912</v>
      </c>
      <c r="C94" s="1876">
        <f>IF(F93="购房发票",ROUND(C93*H93*5%,0),0)</f>
        <v>0</v>
      </c>
      <c r="D94" s="2694">
        <v>0.05</v>
      </c>
      <c r="E94" s="3774" t="s">
        <v>913</v>
      </c>
      <c r="F94" s="3770"/>
      <c r="G94" s="3770"/>
      <c r="H94" s="3792"/>
      <c r="I94" s="2771"/>
      <c r="J94" s="2772"/>
      <c r="K94" s="2770"/>
      <c r="L94" s="2770"/>
      <c r="M94" s="2770"/>
      <c r="N94" s="2770"/>
      <c r="O94" s="2770"/>
      <c r="P94" s="2770"/>
      <c r="Q94" s="2770"/>
      <c r="R94" s="2770"/>
      <c r="S94" s="2770"/>
      <c r="T94" s="2770"/>
      <c r="U94" s="2770"/>
      <c r="V94" s="2770"/>
      <c r="W94" s="2784"/>
      <c r="X94" s="2784"/>
      <c r="Y94" s="2784"/>
      <c r="Z94" s="2784"/>
    </row>
    <row r="95" spans="1:26" s="2452" customFormat="1" ht="24.75" customHeight="1">
      <c r="A95" s="2689" t="s">
        <v>914</v>
      </c>
      <c r="B95" s="2666" t="s">
        <v>915</v>
      </c>
      <c r="C95" s="1876">
        <f>ROUND(IF(G95="个人买卖住房",0,IF(G95="2016年5月1日前购买",C93*D95,C93*D95/(1+'数据-取费表'!C42))),0)</f>
        <v>0</v>
      </c>
      <c r="D95" s="2696">
        <f>'数据-取费表'!B48+'数据-取费表'!B49</f>
        <v>3.0499999999999999E-2</v>
      </c>
      <c r="E95" s="1116" t="s">
        <v>916</v>
      </c>
      <c r="F95" s="2697"/>
      <c r="G95" s="2698"/>
      <c r="H95" s="2695" t="str">
        <f>IF(G95="个人买卖住房","免征印花税"," ")</f>
        <v/>
      </c>
      <c r="I95" s="2771"/>
      <c r="J95" s="2772"/>
      <c r="K95" s="2770"/>
      <c r="L95" s="2770"/>
      <c r="M95" s="2770"/>
      <c r="N95" s="2770"/>
      <c r="O95" s="2770"/>
      <c r="P95" s="2770"/>
      <c r="Q95" s="2770"/>
      <c r="R95" s="2770"/>
      <c r="S95" s="2770"/>
      <c r="T95" s="2770"/>
      <c r="U95" s="2770"/>
      <c r="V95" s="2770"/>
      <c r="W95" s="2784"/>
      <c r="X95" s="2784"/>
      <c r="Y95" s="2784"/>
      <c r="Z95" s="2784"/>
    </row>
    <row r="96" spans="1:26" s="2452" customFormat="1" ht="24.75" customHeight="1">
      <c r="A96" s="2689" t="s">
        <v>884</v>
      </c>
      <c r="B96" s="2666" t="s">
        <v>917</v>
      </c>
      <c r="C96" s="2699">
        <f ca="1">ROUND(D63*D96/(1+'数据-取费表'!C42),0)</f>
        <v>10</v>
      </c>
      <c r="D96" s="2700">
        <f>'数据-取费表'!B43</f>
        <v>5.0000000000000001E-3</v>
      </c>
      <c r="E96" s="3793" t="s">
        <v>918</v>
      </c>
      <c r="F96" s="3794"/>
      <c r="G96" s="3794"/>
      <c r="H96" s="3795"/>
      <c r="I96" s="2775"/>
      <c r="J96" s="2776"/>
      <c r="K96" s="2770"/>
      <c r="L96" s="2770"/>
      <c r="M96" s="2770"/>
      <c r="N96" s="2770"/>
      <c r="O96" s="2770"/>
      <c r="P96" s="2770"/>
      <c r="Q96" s="2770"/>
      <c r="R96" s="2770"/>
      <c r="S96" s="2770"/>
      <c r="T96" s="2770"/>
      <c r="U96" s="2770"/>
      <c r="V96" s="2770"/>
      <c r="W96" s="2784"/>
      <c r="X96" s="2784"/>
      <c r="Y96" s="2784"/>
      <c r="Z96" s="2784"/>
    </row>
    <row r="97" spans="1:26" s="2452" customFormat="1" ht="14.25">
      <c r="A97" s="2703" t="s">
        <v>893</v>
      </c>
      <c r="B97" s="2670" t="s">
        <v>919</v>
      </c>
      <c r="C97" s="2674">
        <f ca="1">C90-C91</f>
        <v>1977</v>
      </c>
      <c r="D97" s="1876" t="s">
        <v>138</v>
      </c>
      <c r="E97" s="1031"/>
      <c r="F97" s="1032"/>
      <c r="G97" s="1032"/>
      <c r="H97" s="2688"/>
      <c r="I97" s="2771"/>
      <c r="J97" s="2772"/>
      <c r="K97" s="2770"/>
      <c r="L97" s="2770"/>
      <c r="M97" s="2770"/>
      <c r="N97" s="2770"/>
      <c r="O97" s="2770"/>
      <c r="P97" s="2770"/>
      <c r="Q97" s="2770"/>
      <c r="R97" s="2770"/>
      <c r="S97" s="2770"/>
      <c r="T97" s="2770"/>
      <c r="U97" s="2770"/>
      <c r="V97" s="2770"/>
      <c r="W97" s="2784"/>
      <c r="X97" s="2784"/>
      <c r="Y97" s="2784"/>
      <c r="Z97" s="2784"/>
    </row>
    <row r="98" spans="1:26" s="2452" customFormat="1" ht="24">
      <c r="A98" s="2703" t="s">
        <v>896</v>
      </c>
      <c r="B98" s="2670" t="s">
        <v>920</v>
      </c>
      <c r="C98" s="2704">
        <f ca="1">IF(C97&lt;=0,0,C97/C91)</f>
        <v>197.7</v>
      </c>
      <c r="D98" s="1876" t="s">
        <v>138</v>
      </c>
      <c r="E98" s="1116" t="str">
        <f ca="1">IF(C98&gt;=200%,"增值额超过扣除项目金额200%",IF(C98&gt;=100%,"增值额超过扣除项目金额100%，未超过200%",IF(C98&gt;=50%,"增值额超过扣除项目金额50%，未超过100%",IF(C98&lt;50%,"增值额未超过扣除项目金额50%"))))</f>
        <v>增值额超过扣除项目金额200%</v>
      </c>
      <c r="F98" s="1032"/>
      <c r="G98" s="1032"/>
      <c r="H98" s="2688"/>
      <c r="I98" s="2771"/>
      <c r="J98" s="2772"/>
      <c r="K98" s="2770"/>
      <c r="L98" s="2770"/>
      <c r="M98" s="2770"/>
      <c r="N98" s="2770"/>
      <c r="O98" s="2770"/>
      <c r="P98" s="2770"/>
      <c r="Q98" s="2770"/>
      <c r="R98" s="2770"/>
      <c r="S98" s="2770"/>
      <c r="T98" s="2770"/>
      <c r="U98" s="2770"/>
      <c r="V98" s="2770"/>
      <c r="W98" s="2784"/>
      <c r="X98" s="2784"/>
      <c r="Y98" s="2784"/>
      <c r="Z98" s="2784"/>
    </row>
    <row r="99" spans="1:26" s="2452" customFormat="1" ht="24">
      <c r="A99" s="2705" t="s">
        <v>921</v>
      </c>
      <c r="B99" s="2676" t="s">
        <v>922</v>
      </c>
      <c r="C99" s="2706">
        <f ca="1">ROUND(IF(C97&lt;=0,0,IF(C98&gt;=200%,C97*60%-C91*35%,IF(C98&gt;=100%,C97*50%-C91*15%,IF(C98&gt;=50%,C97*40%-C91*5%,IF(C98&lt;50%,C97*30%,0))))),0)</f>
        <v>1183</v>
      </c>
      <c r="D99" s="2707" t="s">
        <v>138</v>
      </c>
      <c r="E99" s="2708"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709"/>
      <c r="G99" s="2709"/>
      <c r="H99" s="2710"/>
      <c r="I99" s="2771"/>
      <c r="J99" s="2772"/>
      <c r="K99" s="2770"/>
      <c r="L99" s="2770"/>
      <c r="M99" s="2770"/>
      <c r="N99" s="2770"/>
      <c r="O99" s="2770"/>
      <c r="P99" s="2770"/>
      <c r="Q99" s="2770"/>
      <c r="R99" s="2770"/>
      <c r="S99" s="2770"/>
      <c r="T99" s="2770"/>
      <c r="U99" s="2770"/>
      <c r="V99" s="2770"/>
      <c r="W99" s="2784"/>
      <c r="X99" s="2784"/>
      <c r="Y99" s="2784"/>
      <c r="Z99" s="2784"/>
    </row>
    <row r="100" spans="1:26" s="2452" customFormat="1" ht="7.5" customHeight="1">
      <c r="A100" s="2711"/>
      <c r="B100" s="2712"/>
      <c r="C100" s="2618"/>
      <c r="D100" s="2618"/>
      <c r="E100" s="2712"/>
      <c r="F100" s="2712"/>
      <c r="G100" s="2712"/>
      <c r="H100" s="2713"/>
      <c r="I100" s="2775"/>
      <c r="J100" s="2776"/>
      <c r="K100" s="2770"/>
      <c r="L100" s="2770"/>
      <c r="M100" s="2770"/>
      <c r="N100" s="2770"/>
      <c r="O100" s="2770"/>
      <c r="P100" s="2770"/>
      <c r="Q100" s="2770"/>
      <c r="R100" s="2770"/>
      <c r="S100" s="2770"/>
      <c r="T100" s="2770"/>
      <c r="U100" s="2770"/>
      <c r="V100" s="2770"/>
      <c r="W100" s="2784"/>
      <c r="X100" s="2784"/>
      <c r="Y100" s="2784"/>
      <c r="Z100" s="2784"/>
    </row>
    <row r="101" spans="1:26" s="2452" customFormat="1" ht="14.25">
      <c r="A101" s="3790" t="s">
        <v>923</v>
      </c>
      <c r="B101" s="3791"/>
      <c r="C101" s="3791"/>
      <c r="D101" s="3791"/>
      <c r="E101" s="3791"/>
      <c r="F101" s="3791"/>
      <c r="G101" s="3791"/>
      <c r="H101" s="3791"/>
      <c r="I101" s="2618"/>
      <c r="J101" s="2770"/>
      <c r="K101" s="2770"/>
      <c r="L101" s="2770"/>
      <c r="M101" s="2770"/>
      <c r="N101" s="2770"/>
      <c r="O101" s="2770"/>
      <c r="P101" s="2770"/>
      <c r="Q101" s="2770"/>
      <c r="R101" s="2770"/>
      <c r="S101" s="2770"/>
      <c r="T101" s="2770"/>
      <c r="U101" s="2770"/>
      <c r="V101" s="2770"/>
      <c r="W101" s="2784"/>
      <c r="X101" s="2784"/>
      <c r="Y101" s="2784"/>
      <c r="Z101" s="2784"/>
    </row>
    <row r="102" spans="1:26" s="2452" customFormat="1" ht="14.25">
      <c r="A102" s="3786" t="s">
        <v>877</v>
      </c>
      <c r="B102" s="3787"/>
      <c r="C102" s="2659"/>
      <c r="D102" s="2659" t="s">
        <v>878</v>
      </c>
      <c r="E102" s="2685" t="s">
        <v>835</v>
      </c>
      <c r="F102" s="2686"/>
      <c r="G102" s="2686"/>
      <c r="H102" s="2714"/>
      <c r="I102" s="2618"/>
      <c r="J102" s="2770"/>
      <c r="K102" s="2770"/>
      <c r="L102" s="2770"/>
      <c r="M102" s="2770"/>
      <c r="N102" s="2770"/>
      <c r="O102" s="2770"/>
      <c r="P102" s="2770"/>
      <c r="Q102" s="2770"/>
      <c r="R102" s="2770"/>
      <c r="S102" s="2770"/>
      <c r="T102" s="2770"/>
      <c r="U102" s="2770"/>
      <c r="V102" s="2770"/>
      <c r="W102" s="2784"/>
      <c r="X102" s="2784"/>
      <c r="Y102" s="2784"/>
      <c r="Z102" s="2784"/>
    </row>
    <row r="103" spans="1:26" s="2452" customFormat="1" ht="14.25">
      <c r="A103" s="2661" t="s">
        <v>879</v>
      </c>
      <c r="B103" s="2670" t="s">
        <v>904</v>
      </c>
      <c r="C103" s="2674">
        <f ca="1">ROUND(D63/(1+'数据-取费表'!C42),0)</f>
        <v>1987</v>
      </c>
      <c r="D103" s="1876" t="s">
        <v>138</v>
      </c>
      <c r="E103" s="1031"/>
      <c r="F103" s="1032"/>
      <c r="G103" s="1032"/>
      <c r="H103" s="2715"/>
      <c r="I103" s="2618"/>
      <c r="J103" s="2770"/>
      <c r="K103" s="2770"/>
      <c r="L103" s="2770"/>
      <c r="M103" s="2770"/>
      <c r="N103" s="2770"/>
      <c r="O103" s="2770"/>
      <c r="P103" s="2770"/>
      <c r="Q103" s="2770"/>
      <c r="R103" s="2770"/>
      <c r="S103" s="2770"/>
      <c r="T103" s="2770"/>
      <c r="U103" s="2770"/>
      <c r="V103" s="2770"/>
      <c r="W103" s="2784"/>
      <c r="X103" s="2784"/>
      <c r="Y103" s="2784"/>
      <c r="Z103" s="2784"/>
    </row>
    <row r="104" spans="1:26" s="2452" customFormat="1" ht="14.25">
      <c r="A104" s="2661" t="s">
        <v>888</v>
      </c>
      <c r="B104" s="2623" t="s">
        <v>905</v>
      </c>
      <c r="C104" s="2674">
        <f ca="1">IF(H106="仅含出让金",C105+C108+C109+C110+C111+C112,C105+C109+C110+C111+C112)</f>
        <v>10</v>
      </c>
      <c r="D104" s="2716"/>
      <c r="E104" s="1031"/>
      <c r="F104" s="1032"/>
      <c r="G104" s="1032"/>
      <c r="H104" s="2715"/>
      <c r="I104" s="2618"/>
      <c r="J104" s="2770"/>
      <c r="K104" s="2770"/>
      <c r="L104" s="2770"/>
      <c r="M104" s="2770"/>
      <c r="N104" s="2770"/>
      <c r="O104" s="2770"/>
      <c r="P104" s="2770"/>
      <c r="Q104" s="2770"/>
      <c r="R104" s="2770"/>
      <c r="S104" s="2770"/>
      <c r="T104" s="2770"/>
      <c r="U104" s="2770"/>
      <c r="V104" s="2770"/>
      <c r="W104" s="2784"/>
      <c r="X104" s="2784"/>
      <c r="Y104" s="2784"/>
      <c r="Z104" s="2784"/>
    </row>
    <row r="105" spans="1:26" s="2452" customFormat="1" ht="14.25">
      <c r="A105" s="2689" t="s">
        <v>882</v>
      </c>
      <c r="B105" s="2666" t="s">
        <v>924</v>
      </c>
      <c r="C105" s="2699">
        <f>C106+C107</f>
        <v>0</v>
      </c>
      <c r="D105" s="2700"/>
      <c r="E105" s="2717"/>
      <c r="F105" s="2701"/>
      <c r="G105" s="2701"/>
      <c r="H105" s="2702"/>
      <c r="I105" s="2618"/>
      <c r="J105" s="2770"/>
      <c r="K105" s="2770"/>
      <c r="L105" s="2770"/>
      <c r="M105" s="2770"/>
      <c r="N105" s="2770"/>
      <c r="O105" s="2770"/>
      <c r="P105" s="2770"/>
      <c r="Q105" s="2770"/>
      <c r="R105" s="2770"/>
      <c r="S105" s="2770"/>
      <c r="T105" s="2770"/>
      <c r="U105" s="2770"/>
      <c r="V105" s="2770"/>
      <c r="W105" s="2784"/>
      <c r="X105" s="2784"/>
      <c r="Y105" s="2784"/>
      <c r="Z105" s="2784"/>
    </row>
    <row r="106" spans="1:26" s="2452" customFormat="1" ht="14.25">
      <c r="A106" s="2689" t="s">
        <v>907</v>
      </c>
      <c r="B106" s="2666" t="s">
        <v>925</v>
      </c>
      <c r="C106" s="2718"/>
      <c r="D106" s="2700"/>
      <c r="E106" s="2719" t="s">
        <v>926</v>
      </c>
      <c r="F106" s="2701"/>
      <c r="G106" s="2720" t="s">
        <v>927</v>
      </c>
      <c r="H106" s="2721"/>
      <c r="I106" s="2618"/>
      <c r="J106" s="2770"/>
      <c r="K106" s="2777" t="s">
        <v>928</v>
      </c>
      <c r="L106" s="2770"/>
      <c r="M106" s="2770"/>
      <c r="N106" s="2770"/>
      <c r="O106" s="2770"/>
      <c r="P106" s="2770"/>
      <c r="Q106" s="2770"/>
      <c r="R106" s="2770"/>
      <c r="S106" s="2770"/>
      <c r="T106" s="2770"/>
      <c r="U106" s="2770"/>
      <c r="V106" s="2770"/>
      <c r="W106" s="2784"/>
      <c r="X106" s="2784"/>
      <c r="Y106" s="2784"/>
      <c r="Z106" s="2784"/>
    </row>
    <row r="107" spans="1:26" s="2452" customFormat="1" ht="14.25">
      <c r="A107" s="2689" t="s">
        <v>911</v>
      </c>
      <c r="B107" s="2666" t="s">
        <v>915</v>
      </c>
      <c r="C107" s="2699">
        <f>ROUND(C106*D107,0)</f>
        <v>0</v>
      </c>
      <c r="D107" s="2700">
        <f>'数据-取费表'!B48+'数据-取费表'!B49</f>
        <v>3.0499999999999999E-2</v>
      </c>
      <c r="E107" s="2719" t="s">
        <v>929</v>
      </c>
      <c r="F107" s="2701"/>
      <c r="G107" s="2701"/>
      <c r="H107" s="2702"/>
      <c r="I107" s="2618"/>
      <c r="J107" s="2770"/>
      <c r="K107" s="2770"/>
      <c r="L107" s="2770"/>
      <c r="M107" s="2770"/>
      <c r="N107" s="2770"/>
      <c r="O107" s="2770"/>
      <c r="P107" s="2770"/>
      <c r="Q107" s="2770"/>
      <c r="R107" s="2770"/>
      <c r="S107" s="2770"/>
      <c r="T107" s="2770"/>
      <c r="U107" s="2770"/>
      <c r="V107" s="2770"/>
      <c r="W107" s="2784"/>
      <c r="X107" s="2784"/>
      <c r="Y107" s="2784"/>
      <c r="Z107" s="2784"/>
    </row>
    <row r="108" spans="1:26" s="2452" customFormat="1" ht="14.25">
      <c r="A108" s="2689" t="s">
        <v>884</v>
      </c>
      <c r="B108" s="2666" t="s">
        <v>930</v>
      </c>
      <c r="C108" s="2718"/>
      <c r="D108" s="2700"/>
      <c r="E108" s="2719" t="str">
        <f>IF(H106="-","土地取得成本中已包含该笔费用"," ")</f>
        <v/>
      </c>
      <c r="F108" s="2701"/>
      <c r="G108" s="3796" t="s">
        <v>931</v>
      </c>
      <c r="H108" s="3797"/>
      <c r="I108" s="2778"/>
      <c r="J108" s="2770"/>
      <c r="K108" s="2777" t="s">
        <v>932</v>
      </c>
      <c r="L108" s="2770"/>
      <c r="M108" s="2770"/>
      <c r="N108" s="2770"/>
      <c r="O108" s="2770"/>
      <c r="P108" s="2770"/>
      <c r="Q108" s="2770"/>
      <c r="R108" s="2770"/>
      <c r="S108" s="2770"/>
      <c r="T108" s="2770"/>
      <c r="U108" s="2770"/>
      <c r="V108" s="2770"/>
      <c r="W108" s="2784"/>
      <c r="X108" s="2784"/>
      <c r="Y108" s="2784"/>
      <c r="Z108" s="2784"/>
    </row>
    <row r="109" spans="1:26" s="2452" customFormat="1" ht="24" customHeight="1">
      <c r="A109" s="2722" t="s">
        <v>933</v>
      </c>
      <c r="B109" s="2666" t="s">
        <v>934</v>
      </c>
      <c r="C109" s="2699">
        <f>IF(H109="——",IF(F1="现房",'剩余法-现房'!C18,0),I109)</f>
        <v>0</v>
      </c>
      <c r="D109" s="2700"/>
      <c r="E109" s="3798" t="s">
        <v>935</v>
      </c>
      <c r="F109" s="3794"/>
      <c r="G109" s="3794"/>
      <c r="H109" s="2723" t="s">
        <v>138</v>
      </c>
      <c r="I109" s="2779"/>
      <c r="J109" s="2770"/>
      <c r="K109" s="2770"/>
      <c r="L109" s="2770"/>
      <c r="M109" s="2770"/>
      <c r="N109" s="2770"/>
      <c r="O109" s="2770"/>
      <c r="P109" s="2770"/>
      <c r="Q109" s="2770"/>
      <c r="R109" s="2770"/>
      <c r="S109" s="2770"/>
      <c r="T109" s="2770"/>
      <c r="U109" s="2770"/>
      <c r="V109" s="2770"/>
      <c r="W109" s="2784"/>
      <c r="X109" s="2784"/>
      <c r="Y109" s="2784"/>
      <c r="Z109" s="2784"/>
    </row>
    <row r="110" spans="1:26" s="2452" customFormat="1" ht="25.5" customHeight="1">
      <c r="A110" s="2722" t="s">
        <v>936</v>
      </c>
      <c r="B110" s="2666" t="s">
        <v>937</v>
      </c>
      <c r="C110" s="2699">
        <f>ROUND((C105+C108+C109)*D110,0)</f>
        <v>0</v>
      </c>
      <c r="D110" s="2724">
        <v>0</v>
      </c>
      <c r="E110" s="3798" t="s">
        <v>938</v>
      </c>
      <c r="F110" s="3794"/>
      <c r="G110" s="3794"/>
      <c r="H110" s="3795"/>
      <c r="I110" s="2618"/>
      <c r="J110" s="2770"/>
      <c r="K110" s="2780" t="s">
        <v>939</v>
      </c>
      <c r="L110" s="2770"/>
      <c r="M110" s="2770"/>
      <c r="N110" s="2770"/>
      <c r="O110" s="2770"/>
      <c r="P110" s="2770"/>
      <c r="Q110" s="2770"/>
      <c r="R110" s="2770"/>
      <c r="S110" s="2770"/>
      <c r="T110" s="2770"/>
      <c r="U110" s="2770"/>
      <c r="V110" s="2770"/>
      <c r="W110" s="2784"/>
      <c r="X110" s="2784"/>
      <c r="Y110" s="2784"/>
      <c r="Z110" s="2784"/>
    </row>
    <row r="111" spans="1:26" s="2452" customFormat="1" ht="25.5" customHeight="1">
      <c r="A111" s="2722" t="s">
        <v>940</v>
      </c>
      <c r="B111" s="2666" t="s">
        <v>917</v>
      </c>
      <c r="C111" s="2699">
        <f ca="1">ROUND(D63*D111/(1+'数据-取费表'!C42),0)</f>
        <v>10</v>
      </c>
      <c r="D111" s="2700">
        <f>'数据-取费表'!B43</f>
        <v>5.0000000000000001E-3</v>
      </c>
      <c r="E111" s="3793" t="s">
        <v>918</v>
      </c>
      <c r="F111" s="3794"/>
      <c r="G111" s="3794"/>
      <c r="H111" s="3795"/>
      <c r="I111" s="2618"/>
      <c r="J111" s="2770"/>
      <c r="K111" s="2770"/>
      <c r="L111" s="2770"/>
      <c r="M111" s="2770"/>
      <c r="N111" s="2770"/>
      <c r="O111" s="2770"/>
      <c r="P111" s="2770"/>
      <c r="Q111" s="2770"/>
      <c r="R111" s="2770"/>
      <c r="S111" s="2770"/>
      <c r="T111" s="2770"/>
      <c r="U111" s="2770"/>
      <c r="V111" s="2770"/>
      <c r="W111" s="2784"/>
      <c r="X111" s="2784"/>
      <c r="Y111" s="2784"/>
      <c r="Z111" s="2784"/>
    </row>
    <row r="112" spans="1:26" s="2452" customFormat="1" ht="25.5" customHeight="1">
      <c r="A112" s="2722" t="s">
        <v>941</v>
      </c>
      <c r="B112" s="2666" t="s">
        <v>942</v>
      </c>
      <c r="C112" s="2699">
        <f>ROUND(C108*D112,0)</f>
        <v>0</v>
      </c>
      <c r="D112" s="2700">
        <v>0.2</v>
      </c>
      <c r="E112" s="3798" t="s">
        <v>943</v>
      </c>
      <c r="F112" s="3794"/>
      <c r="G112" s="3794"/>
      <c r="H112" s="3795"/>
      <c r="I112" s="2618"/>
      <c r="J112" s="2770"/>
      <c r="K112" s="2770"/>
      <c r="L112" s="2770"/>
      <c r="M112" s="2770"/>
      <c r="N112" s="2770"/>
      <c r="O112" s="2770"/>
      <c r="P112" s="2770"/>
      <c r="Q112" s="2770"/>
      <c r="R112" s="2770"/>
      <c r="S112" s="2770"/>
      <c r="T112" s="2770"/>
      <c r="U112" s="2770"/>
      <c r="V112" s="2770"/>
      <c r="W112" s="2784"/>
      <c r="X112" s="2784"/>
      <c r="Y112" s="2784"/>
      <c r="Z112" s="2784"/>
    </row>
    <row r="113" spans="1:26" s="2452" customFormat="1" ht="14.25">
      <c r="A113" s="2703" t="s">
        <v>893</v>
      </c>
      <c r="B113" s="2670" t="s">
        <v>919</v>
      </c>
      <c r="C113" s="2674">
        <f ca="1">ROUND(C103-C104,0)</f>
        <v>1977</v>
      </c>
      <c r="D113" s="1876" t="s">
        <v>138</v>
      </c>
      <c r="E113" s="1031"/>
      <c r="F113" s="1032"/>
      <c r="G113" s="1032"/>
      <c r="H113" s="2715"/>
      <c r="I113" s="2618"/>
      <c r="J113" s="2770"/>
      <c r="K113" s="2770"/>
      <c r="L113" s="2770"/>
      <c r="M113" s="2770"/>
      <c r="N113" s="2770"/>
      <c r="O113" s="2770"/>
      <c r="P113" s="2770"/>
      <c r="Q113" s="2770"/>
      <c r="R113" s="2770"/>
      <c r="S113" s="2770"/>
      <c r="T113" s="2770"/>
      <c r="U113" s="2770"/>
      <c r="V113" s="2770"/>
      <c r="W113" s="2784"/>
      <c r="X113" s="2784"/>
      <c r="Y113" s="2784"/>
      <c r="Z113" s="2784"/>
    </row>
    <row r="114" spans="1:26" s="2452" customFormat="1" ht="24">
      <c r="A114" s="2703" t="s">
        <v>896</v>
      </c>
      <c r="B114" s="2670" t="s">
        <v>920</v>
      </c>
      <c r="C114" s="2704">
        <f ca="1">IF(C113&lt;=0,0,C113/C104)</f>
        <v>197.7</v>
      </c>
      <c r="D114" s="1876" t="s">
        <v>138</v>
      </c>
      <c r="E114" s="1116" t="str">
        <f ca="1">IF(C114&gt;=200%,"增值额超过扣除项目金额200%",IF(C114&gt;=100%,"增值额超过扣除项目金额100%，未超过200%",IF(C114&gt;=50%,"增值额超过扣除项目金额50%，未超过100%",IF(C114&lt;50%,"增值额未超过扣除项目金额50%"))))</f>
        <v>增值额超过扣除项目金额200%</v>
      </c>
      <c r="F114" s="1032"/>
      <c r="G114" s="1032"/>
      <c r="H114" s="2715"/>
      <c r="I114" s="2618"/>
      <c r="J114" s="2770"/>
      <c r="K114" s="2770"/>
      <c r="L114" s="2770"/>
      <c r="M114" s="2770"/>
      <c r="N114" s="2770"/>
      <c r="O114" s="2770"/>
      <c r="P114" s="2770"/>
      <c r="Q114" s="2770"/>
      <c r="R114" s="2770"/>
      <c r="S114" s="2770"/>
      <c r="T114" s="2770"/>
      <c r="U114" s="2770"/>
      <c r="V114" s="2770"/>
      <c r="W114" s="2784"/>
      <c r="X114" s="2784"/>
      <c r="Y114" s="2784"/>
      <c r="Z114" s="2784"/>
    </row>
    <row r="115" spans="1:26" s="2452" customFormat="1" ht="24">
      <c r="A115" s="2705" t="s">
        <v>921</v>
      </c>
      <c r="B115" s="2676" t="s">
        <v>922</v>
      </c>
      <c r="C115" s="2706">
        <f ca="1">ROUND(IF(C113&lt;=0,0,IF(C114&gt;=200%,C113*60%-C104*35%,IF(C114&gt;=100%,C113*50%-C104*15%,IF(C114&gt;=50%,C113*40%-C104*5%,IF(C114&lt;50%,C113*30%,0))))),0)</f>
        <v>1183</v>
      </c>
      <c r="D115" s="2707" t="s">
        <v>138</v>
      </c>
      <c r="E115" s="2708"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2709"/>
      <c r="G115" s="2709"/>
      <c r="H115" s="2725"/>
      <c r="I115" s="2618"/>
      <c r="J115" s="2770"/>
      <c r="K115" s="2770"/>
      <c r="L115" s="2770"/>
      <c r="M115" s="2770"/>
      <c r="N115" s="2770"/>
      <c r="O115" s="2770"/>
      <c r="P115" s="2770"/>
      <c r="Q115" s="2770"/>
      <c r="R115" s="2770"/>
      <c r="S115" s="2770"/>
      <c r="T115" s="2770"/>
      <c r="U115" s="2770"/>
      <c r="V115" s="2770"/>
      <c r="W115" s="2784"/>
      <c r="X115" s="2784"/>
      <c r="Y115" s="2784"/>
      <c r="Z115" s="2784"/>
    </row>
    <row r="116" spans="1:26" s="172" customFormat="1" ht="21.75" customHeight="1">
      <c r="J116" s="2781"/>
      <c r="K116" s="199"/>
      <c r="L116" s="199"/>
      <c r="M116" s="199"/>
      <c r="N116" s="199"/>
      <c r="O116" s="199"/>
    </row>
    <row r="117" spans="1:26" s="172" customFormat="1" ht="21.75" customHeight="1">
      <c r="J117" s="2781"/>
    </row>
    <row r="118" spans="1:26" s="172" customFormat="1" ht="21.75" customHeight="1">
      <c r="J118" s="2781"/>
    </row>
    <row r="119" spans="1:26" s="172" customFormat="1" ht="21.75" customHeight="1">
      <c r="J119" s="2781"/>
    </row>
    <row r="120" spans="1:26" s="172" customFormat="1" ht="21.75" customHeight="1">
      <c r="J120" s="2781"/>
    </row>
    <row r="121" spans="1:26" s="172" customFormat="1" ht="21.75" customHeight="1"/>
    <row r="122" spans="1:26" s="172" customFormat="1" ht="21.75" customHeight="1">
      <c r="J122" s="2782"/>
    </row>
    <row r="123" spans="1:26" s="172" customFormat="1" ht="21.75" customHeight="1"/>
    <row r="124" spans="1:26" s="172" customFormat="1" ht="21.75" customHeight="1"/>
    <row r="125" spans="1:26" s="172" customFormat="1" ht="21.75" customHeight="1">
      <c r="J125" s="2782"/>
    </row>
    <row r="126" spans="1:26" s="172" customFormat="1" ht="21.75" customHeight="1"/>
    <row r="127" spans="1:26" s="172" customFormat="1" ht="21.75" customHeight="1"/>
    <row r="128" spans="1:26" s="172" customFormat="1" ht="21.75" customHeight="1">
      <c r="J128" s="2782"/>
    </row>
    <row r="129" spans="2:6" s="172" customFormat="1" ht="21.75" customHeight="1"/>
    <row r="130" spans="2:6" s="172" customFormat="1" ht="21.75" customHeight="1">
      <c r="B130" s="2785"/>
      <c r="C130" s="2786"/>
      <c r="D130" s="2787"/>
      <c r="E130" s="2787"/>
      <c r="F130" s="2788"/>
    </row>
    <row r="131" spans="2:6" s="172" customFormat="1" ht="21.75" customHeight="1"/>
    <row r="132" spans="2:6" s="172" customFormat="1" ht="21.75" customHeight="1"/>
    <row r="133" spans="2:6" s="172" customFormat="1" ht="21.75" customHeight="1"/>
    <row r="134" spans="2:6" s="172" customFormat="1" ht="21.75" customHeight="1"/>
    <row r="135" spans="2:6" s="172" customFormat="1" ht="21.75" customHeight="1"/>
    <row r="136" spans="2:6" s="172" customFormat="1" ht="21.75" customHeight="1"/>
    <row r="137" spans="2:6" s="172" customFormat="1" ht="21.75" customHeight="1"/>
    <row r="138" spans="2:6" s="172" customFormat="1" ht="21.75" customHeight="1"/>
    <row r="139" spans="2:6" s="172" customFormat="1" ht="21.75" customHeight="1"/>
    <row r="140" spans="2:6" s="172" customFormat="1" ht="21.75" customHeight="1"/>
    <row r="141" spans="2:6" s="172" customFormat="1" ht="21.75" customHeight="1"/>
    <row r="142" spans="2:6" s="172" customFormat="1" ht="21.75" customHeight="1"/>
    <row r="143" spans="2:6" s="172" customFormat="1" ht="21.75" customHeight="1"/>
    <row r="144" spans="2:6" s="172" customFormat="1" ht="21.75" customHeight="1"/>
    <row r="145" s="172" customFormat="1" ht="21.75" customHeight="1"/>
    <row r="146" s="172" customFormat="1" ht="21.75" customHeight="1"/>
    <row r="147" s="172" customFormat="1" ht="21.75" customHeight="1"/>
    <row r="148" s="172" customFormat="1" ht="21.75" customHeight="1"/>
    <row r="149" s="172" customFormat="1" ht="21.75" customHeight="1"/>
    <row r="150" s="172" customFormat="1" ht="21.75" customHeight="1"/>
    <row r="151" s="172" customFormat="1" ht="21.75" customHeight="1"/>
    <row r="152" s="172" customFormat="1" ht="21.75" customHeight="1"/>
    <row r="153" s="172" customFormat="1" ht="21.75" customHeight="1"/>
    <row r="154" s="172" customFormat="1" ht="21.75" customHeight="1"/>
    <row r="155" s="172" customFormat="1" ht="21.75" customHeight="1"/>
    <row r="156" s="172" customFormat="1" ht="21.75" customHeight="1"/>
    <row r="157" s="172" customFormat="1" ht="21.75" customHeight="1"/>
    <row r="158" s="172" customFormat="1" ht="21.75" customHeight="1"/>
    <row r="159" s="172" customFormat="1" ht="21.75" customHeight="1"/>
    <row r="160" s="172" customFormat="1" ht="21.75" customHeight="1"/>
    <row r="161" s="172" customFormat="1" ht="21.75" customHeight="1"/>
    <row r="162" s="172" customFormat="1" ht="21.75" customHeight="1"/>
    <row r="163" s="172" customFormat="1" ht="21.75" customHeight="1"/>
    <row r="164" s="172" customFormat="1" ht="21.75" customHeight="1"/>
    <row r="165" s="172" customFormat="1" ht="21.75" customHeight="1"/>
    <row r="166" s="172" customFormat="1" ht="21.75" customHeight="1"/>
    <row r="167" s="172" customFormat="1" ht="21.75" customHeight="1"/>
    <row r="168" s="172" customFormat="1" ht="21.75" customHeight="1"/>
    <row r="169" s="172" customFormat="1" ht="21.75" customHeight="1"/>
    <row r="170" s="172" customFormat="1" ht="21.75" customHeight="1"/>
    <row r="171" s="172" customFormat="1" ht="21.75" customHeight="1"/>
    <row r="172" s="172" customFormat="1" ht="21.75" customHeight="1"/>
    <row r="173" s="172" customFormat="1" ht="21.75" customHeight="1"/>
    <row r="174" s="172" customFormat="1" ht="21.75" customHeight="1"/>
    <row r="175" s="172" customFormat="1" ht="21.75" customHeight="1"/>
    <row r="176" s="172" customFormat="1" ht="21.75" customHeight="1"/>
    <row r="177" spans="11:15" s="172" customFormat="1" ht="21.75" customHeight="1"/>
    <row r="178" spans="11:15" s="172" customFormat="1" ht="21.75" customHeight="1"/>
    <row r="179" spans="11:15" s="172" customFormat="1" ht="21.75" customHeight="1"/>
    <row r="180" spans="11:15" s="172" customFormat="1" ht="21.75" customHeight="1"/>
    <row r="181" spans="11:15" s="172" customFormat="1" ht="21.75" customHeight="1"/>
    <row r="182" spans="11:15" s="172" customFormat="1" ht="21.75" customHeight="1"/>
    <row r="183" spans="11:15" s="172" customFormat="1" ht="21.75" customHeight="1"/>
    <row r="184" spans="11:15" s="172" customFormat="1" ht="21.75" customHeight="1"/>
    <row r="185" spans="11:15" s="86" customFormat="1" ht="21.75" customHeight="1">
      <c r="K185" s="172"/>
      <c r="L185" s="172"/>
      <c r="M185" s="172"/>
      <c r="N185" s="172"/>
      <c r="O185" s="172"/>
    </row>
    <row r="186" spans="11:15" s="86" customFormat="1" ht="21.75" customHeight="1"/>
    <row r="187" spans="11:15" s="86" customFormat="1" ht="21.75" customHeight="1"/>
    <row r="188" spans="11:15" s="86" customFormat="1" ht="21.75" customHeight="1"/>
    <row r="189" spans="11:15" s="86" customFormat="1" ht="21.75" customHeight="1"/>
    <row r="190" spans="11:15" s="86" customFormat="1" ht="21.75" customHeight="1"/>
    <row r="191" spans="11:15" s="86" customFormat="1" ht="21.75" customHeight="1"/>
    <row r="192" spans="11:15" s="86" customFormat="1" ht="21.75" customHeight="1"/>
    <row r="193" s="86" customFormat="1" ht="21.75" customHeight="1"/>
    <row r="194" s="86" customFormat="1" ht="21.75" customHeight="1"/>
    <row r="195" s="86" customFormat="1" ht="21.75" customHeight="1"/>
    <row r="196" s="86" customFormat="1" ht="21.75" customHeight="1"/>
    <row r="197" s="86" customFormat="1" ht="21.75" customHeight="1"/>
    <row r="198" s="86" customFormat="1" ht="21.75" customHeight="1"/>
    <row r="199" s="86" customFormat="1" ht="21.75" customHeight="1"/>
    <row r="200" s="86" customFormat="1" ht="21.75" customHeight="1"/>
    <row r="201" s="86" customFormat="1" ht="21.75" customHeight="1"/>
    <row r="202" s="86" customFormat="1" ht="21.75" customHeight="1"/>
    <row r="203" s="86" customFormat="1" ht="21.75" customHeight="1"/>
    <row r="204" s="86" customFormat="1" ht="21.75" customHeight="1"/>
    <row r="205" s="86" customFormat="1" ht="21.75" customHeight="1"/>
    <row r="206" s="86" customFormat="1" ht="21.75" customHeight="1"/>
  </sheetData>
  <sheetProtection password="CEE9" sheet="1" objects="1" scenarios="1" formatCells="0" formatColumns="0" formatRows="0"/>
  <mergeCells count="84">
    <mergeCell ref="L35:L37"/>
    <mergeCell ref="L77:L78"/>
    <mergeCell ref="L79:L80"/>
    <mergeCell ref="N35:N37"/>
    <mergeCell ref="O35:O37"/>
    <mergeCell ref="E33:E35"/>
    <mergeCell ref="G67:G69"/>
    <mergeCell ref="K35:K37"/>
    <mergeCell ref="K77:K78"/>
    <mergeCell ref="K79:K80"/>
    <mergeCell ref="D5:D7"/>
    <mergeCell ref="D8:D9"/>
    <mergeCell ref="D10:D11"/>
    <mergeCell ref="D12:D13"/>
    <mergeCell ref="D14:D16"/>
    <mergeCell ref="C5:C7"/>
    <mergeCell ref="C8:C9"/>
    <mergeCell ref="C10:C11"/>
    <mergeCell ref="C12:C13"/>
    <mergeCell ref="C14:C16"/>
    <mergeCell ref="G108:H108"/>
    <mergeCell ref="E109:G109"/>
    <mergeCell ref="E110:H110"/>
    <mergeCell ref="E111:H111"/>
    <mergeCell ref="E112:H112"/>
    <mergeCell ref="A89:B89"/>
    <mergeCell ref="E94:H94"/>
    <mergeCell ref="E96:H96"/>
    <mergeCell ref="A101:H101"/>
    <mergeCell ref="A102:B102"/>
    <mergeCell ref="A77:C77"/>
    <mergeCell ref="A79:E79"/>
    <mergeCell ref="A80:B80"/>
    <mergeCell ref="L81:M81"/>
    <mergeCell ref="A88:H88"/>
    <mergeCell ref="K83:K89"/>
    <mergeCell ref="B75:C75"/>
    <mergeCell ref="L75:M75"/>
    <mergeCell ref="B76:C76"/>
    <mergeCell ref="L76:M76"/>
    <mergeCell ref="O76:P76"/>
    <mergeCell ref="B72:C72"/>
    <mergeCell ref="L72:M72"/>
    <mergeCell ref="A73:C73"/>
    <mergeCell ref="L73:M73"/>
    <mergeCell ref="A74:C74"/>
    <mergeCell ref="L74:M74"/>
    <mergeCell ref="B69:C69"/>
    <mergeCell ref="L69:M69"/>
    <mergeCell ref="B70:C70"/>
    <mergeCell ref="B71:C71"/>
    <mergeCell ref="L71:M71"/>
    <mergeCell ref="A66:C66"/>
    <mergeCell ref="L66:M66"/>
    <mergeCell ref="B67:C67"/>
    <mergeCell ref="L67:M67"/>
    <mergeCell ref="B68:C68"/>
    <mergeCell ref="L68:M68"/>
    <mergeCell ref="A44:B44"/>
    <mergeCell ref="A45:B45"/>
    <mergeCell ref="A46:B46"/>
    <mergeCell ref="A63:C63"/>
    <mergeCell ref="A64:G64"/>
    <mergeCell ref="K39:N39"/>
    <mergeCell ref="K40:N40"/>
    <mergeCell ref="K41:N41"/>
    <mergeCell ref="A42:B42"/>
    <mergeCell ref="A43:B43"/>
    <mergeCell ref="A2:I2"/>
    <mergeCell ref="A3:I3"/>
    <mergeCell ref="E4:I4"/>
    <mergeCell ref="E18:I18"/>
    <mergeCell ref="A31:I31"/>
    <mergeCell ref="A5:A7"/>
    <mergeCell ref="A8:A9"/>
    <mergeCell ref="A10:A11"/>
    <mergeCell ref="A12:A13"/>
    <mergeCell ref="A14:A16"/>
    <mergeCell ref="A24:A25"/>
    <mergeCell ref="B5:B7"/>
    <mergeCell ref="B8:B9"/>
    <mergeCell ref="B10:B11"/>
    <mergeCell ref="B12:B13"/>
    <mergeCell ref="B14:B16"/>
  </mergeCells>
  <phoneticPr fontId="254" type="noConversion"/>
  <conditionalFormatting sqref="I33">
    <cfRule type="expression" dxfId="178" priority="1" stopIfTrue="1">
      <formula>$H$33="同一抵押权人同一抵押物续贷"</formula>
    </cfRule>
  </conditionalFormatting>
  <conditionalFormatting sqref="C108">
    <cfRule type="expression" dxfId="177" priority="3" stopIfTrue="1">
      <formula>$H$106&lt;&gt;"仅含出让金"</formula>
    </cfRule>
  </conditionalFormatting>
  <conditionalFormatting sqref="C109">
    <cfRule type="expression" dxfId="176" priority="2" stopIfTrue="1">
      <formula>$H$109="由企业提供"</formula>
    </cfRule>
  </conditionalFormatting>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D14:D16">
    <cfRule type="cellIs" dxfId="170" priority="6" stopIfTrue="1" operator="equal">
      <formula>30</formula>
    </cfRule>
  </conditionalFormatting>
  <conditionalFormatting sqref="C10:D13">
    <cfRule type="cellIs" dxfId="169" priority="8" stopIfTrue="1" operator="equal">
      <formula>15</formula>
    </cfRule>
  </conditionalFormatting>
  <dataValidations count="21">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C4:D4">
      <formula1>估价方法</formula1>
    </dataValidation>
    <dataValidation type="list" allowBlank="1" showInputMessage="1" showErrorMessage="1" sqref="B25">
      <formula1>"楼面地价,单位面积地价"</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L42">
      <formula1>"估价结果/万元,估价结果/（元/平方米）"</formula1>
    </dataValidation>
    <dataValidation type="list" allowBlank="1" showInputMessage="1" showErrorMessage="1" sqref="N42">
      <formula1>"测算结果/万元,测算结果/（元/平方米）"</formula1>
    </dataValidation>
    <dataValidation type="list" allowBlank="1" showInputMessage="1" showErrorMessage="1" sqref="O42">
      <formula1>"最终结果/万元,最终结果/（元/平方米）"</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G43">
      <formula1>"设定,——"</formula1>
    </dataValidation>
    <dataValidation type="list" allowBlank="1" showInputMessage="1" showErrorMessage="1" sqref="C47">
      <formula1>"无,有"</formula1>
    </dataValidation>
    <dataValidation type="list" allowBlank="1" showInputMessage="1" showErrorMessage="1" sqref="F63">
      <formula1>"100%,70%,56%"</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 type="list" allowBlank="1" showInputMessage="1" showErrorMessage="1" sqref="H109">
      <formula1>"企业提供(在右侧录入),——"</formula1>
    </dataValidation>
    <dataValidation type="list" allowBlank="1" showInputMessage="1" showErrorMessage="1" sqref="D110">
      <formula1>"0,5%,10%"</formula1>
    </dataValidation>
    <dataValidation type="list" allowBlank="1" showInputMessage="1" showErrorMessage="1" sqref="H73:H74">
      <formula1>"个人住宅,正常"</formula1>
    </dataValidation>
  </dataValidations>
  <pageMargins left="0.43307086614173201" right="0.43307086614173201" top="0.35433070866141703" bottom="0.15748031496063" header="0.31496062992126" footer="0.31496062992126"/>
  <pageSetup paperSize="9" scale="84"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workbookViewId="0">
      <selection activeCell="G20" sqref="G20"/>
    </sheetView>
  </sheetViews>
  <sheetFormatPr defaultColWidth="6.625" defaultRowHeight="12.75"/>
  <cols>
    <col min="1" max="1" width="9.75" style="2257" customWidth="1"/>
    <col min="2" max="2" width="25.75" style="2258" customWidth="1"/>
    <col min="3" max="3" width="10.375" style="2259" customWidth="1"/>
    <col min="4" max="4" width="12" style="2258" customWidth="1"/>
    <col min="5" max="5" width="9.5" style="2257" customWidth="1"/>
    <col min="6" max="6" width="10.125" style="2258" customWidth="1"/>
    <col min="7" max="7" width="11.625" style="2258" customWidth="1"/>
    <col min="8" max="8" width="10" style="2258" customWidth="1"/>
    <col min="9" max="11" width="9.5" style="2258" customWidth="1"/>
    <col min="12" max="12" width="9" style="2249" customWidth="1"/>
    <col min="13" max="13" width="10.5" style="2249" customWidth="1"/>
    <col min="14" max="26" width="9" style="2249" customWidth="1"/>
    <col min="27" max="254" width="9" style="2258" customWidth="1"/>
    <col min="255" max="16384" width="6.625" style="2258"/>
  </cols>
  <sheetData>
    <row r="1" spans="1:31" s="172" customFormat="1" ht="20.25">
      <c r="A1" s="2361" t="s">
        <v>944</v>
      </c>
      <c r="B1" s="2260"/>
      <c r="C1" s="2261"/>
      <c r="D1" s="2261"/>
      <c r="E1" s="2261"/>
      <c r="F1" s="2261"/>
      <c r="G1" s="2261"/>
      <c r="H1" s="2261"/>
      <c r="I1" s="2261"/>
      <c r="J1" s="2261"/>
      <c r="K1" s="2334">
        <f>MATCH(B1,'数据-取费表'!A6:A16,0)+5</f>
        <v>7</v>
      </c>
      <c r="L1" s="2335"/>
      <c r="M1" s="2335"/>
      <c r="N1" s="2335"/>
      <c r="O1" s="2335"/>
      <c r="P1" s="2335"/>
      <c r="Q1" s="2335"/>
      <c r="R1" s="2335"/>
      <c r="S1" s="2335"/>
      <c r="T1" s="2335"/>
      <c r="U1" s="2335"/>
      <c r="V1" s="2335"/>
      <c r="W1" s="2335"/>
      <c r="X1" s="2335"/>
      <c r="Y1" s="2335"/>
      <c r="Z1" s="2335"/>
    </row>
    <row r="2" spans="1:31" s="172" customFormat="1" ht="18" customHeight="1">
      <c r="A2" s="2362" t="s">
        <v>945</v>
      </c>
      <c r="B2" s="2363">
        <f ca="1">C36</f>
        <v>1371</v>
      </c>
      <c r="C2" s="2261"/>
      <c r="D2" s="2261"/>
      <c r="E2" s="2261"/>
      <c r="F2" s="2261"/>
      <c r="G2" s="2261"/>
      <c r="H2" s="2261"/>
      <c r="I2" s="2261"/>
      <c r="J2" s="2261"/>
      <c r="K2" s="2261"/>
      <c r="L2" s="2335"/>
      <c r="M2" s="2335"/>
      <c r="N2" s="2335"/>
      <c r="O2" s="2335"/>
      <c r="P2" s="2335"/>
      <c r="Q2" s="2335"/>
      <c r="R2" s="2335"/>
      <c r="S2" s="2335"/>
      <c r="T2" s="2335"/>
      <c r="U2" s="2335"/>
      <c r="V2" s="2335"/>
      <c r="W2" s="2335"/>
      <c r="X2" s="2335"/>
      <c r="Y2" s="2335"/>
      <c r="Z2" s="2335"/>
    </row>
    <row r="3" spans="1:31" s="172" customFormat="1" ht="18" customHeight="1">
      <c r="A3" s="2364" t="s">
        <v>946</v>
      </c>
      <c r="B3" s="2365">
        <f ca="1">ROUND(B2*10000/IF(B1="",'数据-汇总表'!E3,INDIRECT("'数据-取费表'!K"&amp;$K$1)),0)</f>
        <v>183</v>
      </c>
      <c r="C3" s="2261"/>
      <c r="D3" s="2261"/>
      <c r="E3" s="2261"/>
      <c r="F3" s="2261"/>
      <c r="G3" s="2261"/>
      <c r="H3" s="2261"/>
      <c r="I3" s="2261"/>
      <c r="J3" s="2261"/>
      <c r="K3" s="2261"/>
      <c r="L3" s="2335"/>
      <c r="M3" s="2335"/>
      <c r="N3" s="2335"/>
      <c r="O3" s="2335"/>
      <c r="P3" s="2335"/>
      <c r="Q3" s="2335"/>
      <c r="R3" s="2335"/>
      <c r="S3" s="2335"/>
      <c r="T3" s="2335"/>
      <c r="U3" s="2335"/>
      <c r="V3" s="2335"/>
      <c r="W3" s="2335"/>
      <c r="X3" s="2335"/>
      <c r="Y3" s="2335"/>
      <c r="Z3" s="2335"/>
    </row>
    <row r="4" spans="1:31" s="172" customFormat="1" ht="18" customHeight="1">
      <c r="A4" s="734" t="s">
        <v>947</v>
      </c>
      <c r="B4" s="735">
        <f ca="1">ROUND(B2*10000/IF(B1="",'数据-汇总表'!D3,INDIRECT("'数据-取费表'!R"&amp;$K$1)),0)</f>
        <v>69</v>
      </c>
      <c r="C4" s="1240"/>
      <c r="D4" s="2334"/>
      <c r="E4" s="2334"/>
      <c r="F4" s="2334"/>
      <c r="G4" s="2334"/>
      <c r="H4" s="2334"/>
      <c r="I4" s="2334"/>
      <c r="J4" s="2334"/>
      <c r="K4" s="2334"/>
      <c r="L4" s="2335"/>
      <c r="M4" s="2335"/>
      <c r="N4" s="2335"/>
      <c r="O4" s="2335"/>
      <c r="P4" s="2335"/>
      <c r="Q4" s="2335"/>
      <c r="R4" s="2335"/>
      <c r="S4" s="2335"/>
      <c r="T4" s="2335"/>
      <c r="U4" s="2335"/>
      <c r="V4" s="2335"/>
      <c r="W4" s="2335"/>
      <c r="X4" s="2335"/>
      <c r="Y4" s="2335"/>
      <c r="Z4" s="2335"/>
    </row>
    <row r="5" spans="1:31" s="172" customFormat="1" ht="18" customHeight="1">
      <c r="A5" s="737"/>
      <c r="B5" s="738">
        <f ca="1">ROUND(B2/(IF(B1="",'数据-汇总表'!D3,INDIRECT("'数据-取费表'!R"&amp;$K$1))/666.67),0)</f>
        <v>5</v>
      </c>
      <c r="C5" s="739" t="s">
        <v>948</v>
      </c>
      <c r="D5" s="2334"/>
      <c r="E5" s="2334"/>
      <c r="F5" s="2334"/>
      <c r="G5" s="2334"/>
      <c r="H5" s="2334"/>
      <c r="I5" s="2334"/>
      <c r="J5" s="2334"/>
      <c r="K5" s="2334"/>
      <c r="L5" s="2335"/>
      <c r="M5" s="2335"/>
      <c r="N5" s="2335"/>
      <c r="O5" s="2335"/>
      <c r="P5" s="2335"/>
      <c r="Q5" s="2335"/>
      <c r="R5" s="2335"/>
      <c r="S5" s="2335"/>
      <c r="T5" s="2335"/>
      <c r="U5" s="2335"/>
      <c r="V5" s="2335"/>
      <c r="W5" s="2335"/>
      <c r="X5" s="2335"/>
      <c r="Y5" s="2335"/>
      <c r="Z5" s="2335"/>
    </row>
    <row r="6" spans="1:31" s="2247" customFormat="1" ht="16.5" customHeight="1">
      <c r="A6" s="2366" t="s">
        <v>949</v>
      </c>
      <c r="B6" s="2367"/>
      <c r="C6" s="2368">
        <f ca="1">SUM(C10:K10)</f>
        <v>22182</v>
      </c>
      <c r="D6" s="2367"/>
      <c r="E6" s="2367"/>
      <c r="F6" s="2367"/>
      <c r="G6" s="2367"/>
      <c r="H6" s="2367"/>
      <c r="I6" s="2367"/>
      <c r="J6" s="2367"/>
      <c r="K6" s="2438"/>
      <c r="L6" s="2337"/>
      <c r="M6" s="2337"/>
      <c r="N6" s="2337"/>
      <c r="O6" s="2337"/>
      <c r="P6" s="2337"/>
      <c r="Q6" s="2337"/>
      <c r="R6" s="2337"/>
      <c r="S6" s="2337"/>
      <c r="T6" s="2337"/>
      <c r="U6" s="2337"/>
      <c r="V6" s="2337"/>
      <c r="W6" s="2337"/>
      <c r="X6" s="2337"/>
      <c r="Y6" s="2337"/>
      <c r="Z6" s="2337"/>
    </row>
    <row r="7" spans="1:31" s="2248" customFormat="1" ht="15">
      <c r="A7" s="2369" t="s">
        <v>950</v>
      </c>
      <c r="B7" s="2370" t="s">
        <v>951</v>
      </c>
      <c r="C7" s="2270" t="s">
        <v>581</v>
      </c>
      <c r="D7" s="2270"/>
      <c r="E7" s="2270"/>
      <c r="F7" s="2270"/>
      <c r="G7" s="2270"/>
      <c r="H7" s="2270"/>
      <c r="I7" s="2270"/>
      <c r="J7" s="2270"/>
      <c r="K7" s="2338"/>
      <c r="AA7" s="2357"/>
      <c r="AB7" s="2357"/>
      <c r="AC7" s="2357"/>
      <c r="AD7" s="2357"/>
      <c r="AE7" s="2357"/>
    </row>
    <row r="8" spans="1:31" s="2249" customFormat="1" ht="13.5" customHeight="1">
      <c r="A8" s="1249" t="s">
        <v>882</v>
      </c>
      <c r="B8" s="1040" t="s">
        <v>952</v>
      </c>
      <c r="C8" s="2371">
        <f ca="1">不动产收益法!C43</f>
        <v>2966</v>
      </c>
      <c r="D8" s="2371"/>
      <c r="E8" s="2371"/>
      <c r="F8" s="2371"/>
      <c r="G8" s="2371"/>
      <c r="H8" s="2371"/>
      <c r="I8" s="2371"/>
      <c r="J8" s="2371"/>
      <c r="K8" s="2439"/>
      <c r="AA8" s="2258"/>
      <c r="AB8" s="2258"/>
      <c r="AC8" s="2258"/>
      <c r="AD8" s="2258"/>
      <c r="AE8" s="2258"/>
    </row>
    <row r="9" spans="1:31" s="2249" customFormat="1" ht="13.5" customHeight="1">
      <c r="A9" s="1249" t="s">
        <v>884</v>
      </c>
      <c r="B9" s="1040" t="s">
        <v>505</v>
      </c>
      <c r="C9" s="2274">
        <f>SUMIF('数据-汇总表'!$C19:$C33,'剩余法-待开发'!C7,'数据-汇总表'!$E19:$E33)</f>
        <v>74800</v>
      </c>
      <c r="D9" s="2274">
        <f>SUMIF('数据-汇总表'!$C19:$C33,'剩余法-待开发'!D7,'数据-汇总表'!$E19:$E33)</f>
        <v>0</v>
      </c>
      <c r="E9" s="2274">
        <f>SUMIF('数据-汇总表'!$C19:$C33,'剩余法-待开发'!E7,'数据-汇总表'!$E19:$E33)</f>
        <v>0</v>
      </c>
      <c r="F9" s="2274">
        <f>SUMIF('数据-汇总表'!$C19:$C33,'剩余法-待开发'!F7,'数据-汇总表'!$E19:$E33)</f>
        <v>0</v>
      </c>
      <c r="G9" s="2274">
        <f>SUMIF('数据-汇总表'!$C19:$C33,'剩余法-待开发'!G7,'数据-汇总表'!$E19:$E33)</f>
        <v>0</v>
      </c>
      <c r="H9" s="2274">
        <f>SUMIF('数据-汇总表'!$C19:$C33,'剩余法-待开发'!H7,'数据-汇总表'!$E19:$E33)</f>
        <v>0</v>
      </c>
      <c r="I9" s="2274">
        <f>SUMIF('数据-汇总表'!$C19:$C33,'剩余法-待开发'!I7,'数据-汇总表'!$E19:$E33)</f>
        <v>0</v>
      </c>
      <c r="J9" s="2274">
        <f>SUMIF('数据-汇总表'!$C19:$C33,'剩余法-待开发'!J7,'数据-汇总表'!$E19:$E33)</f>
        <v>0</v>
      </c>
      <c r="K9" s="2340">
        <f>SUMIF('数据-汇总表'!$C19:$C33,'剩余法-待开发'!K7,'数据-汇总表'!$E19:$E33)</f>
        <v>0</v>
      </c>
      <c r="AA9" s="2258"/>
      <c r="AB9" s="2258"/>
      <c r="AC9" s="2258"/>
      <c r="AD9" s="2258"/>
      <c r="AE9" s="2258"/>
    </row>
    <row r="10" spans="1:31" s="2249" customFormat="1" ht="13.5" customHeight="1">
      <c r="A10" s="2372" t="s">
        <v>953</v>
      </c>
      <c r="B10" s="2373" t="s">
        <v>954</v>
      </c>
      <c r="C10" s="2374">
        <f ca="1">不动产收益法!C40</f>
        <v>22182</v>
      </c>
      <c r="D10" s="2374"/>
      <c r="E10" s="2374"/>
      <c r="F10" s="2375"/>
      <c r="G10" s="2375"/>
      <c r="H10" s="2375"/>
      <c r="I10" s="2375"/>
      <c r="J10" s="2375"/>
      <c r="K10" s="2440"/>
      <c r="AA10" s="2258"/>
      <c r="AB10" s="2258"/>
      <c r="AC10" s="2258"/>
      <c r="AD10" s="2258"/>
      <c r="AE10" s="2258"/>
    </row>
    <row r="11" spans="1:31" s="2247" customFormat="1" ht="16.5" customHeight="1">
      <c r="A11" s="2376" t="s">
        <v>955</v>
      </c>
      <c r="B11" s="2367"/>
      <c r="C11" s="2367"/>
      <c r="D11" s="2367"/>
      <c r="E11" s="2367"/>
      <c r="F11" s="2367"/>
      <c r="G11" s="2367"/>
      <c r="H11" s="2367"/>
      <c r="I11" s="2367"/>
      <c r="J11" s="2367"/>
      <c r="K11" s="2438"/>
      <c r="L11" s="2337"/>
      <c r="M11" s="2337"/>
      <c r="N11" s="2337"/>
      <c r="O11" s="2337"/>
      <c r="P11" s="2337"/>
      <c r="Q11" s="2337"/>
      <c r="R11" s="2337"/>
      <c r="S11" s="2337"/>
      <c r="T11" s="2337"/>
      <c r="U11" s="2337"/>
      <c r="V11" s="2337"/>
      <c r="W11" s="2337"/>
      <c r="X11" s="2337"/>
      <c r="Y11" s="2337"/>
      <c r="Z11" s="2337"/>
    </row>
    <row r="12" spans="1:31" s="1092" customFormat="1" ht="13.5" customHeight="1">
      <c r="A12" s="2377" t="s">
        <v>950</v>
      </c>
      <c r="B12" s="2378" t="s">
        <v>951</v>
      </c>
      <c r="C12" s="2379" t="s">
        <v>956</v>
      </c>
      <c r="D12" s="2380" t="s">
        <v>957</v>
      </c>
      <c r="E12" s="2380" t="s">
        <v>958</v>
      </c>
      <c r="F12" s="2380" t="s">
        <v>959</v>
      </c>
      <c r="G12" s="2378"/>
      <c r="H12" s="2381"/>
      <c r="I12" s="2381"/>
      <c r="J12" s="2381"/>
      <c r="K12" s="2441"/>
      <c r="L12" s="2344"/>
      <c r="M12" s="2344"/>
      <c r="N12" s="2344"/>
      <c r="O12" s="2344"/>
      <c r="P12" s="2344"/>
      <c r="Q12" s="2344"/>
      <c r="R12" s="2344"/>
      <c r="S12" s="2344"/>
      <c r="T12" s="2344"/>
      <c r="U12" s="2344"/>
      <c r="V12" s="2344"/>
      <c r="W12" s="2344"/>
      <c r="X12" s="2344"/>
      <c r="Y12" s="2344"/>
      <c r="Z12" s="2344"/>
    </row>
    <row r="13" spans="1:31" s="2250" customFormat="1" ht="13.5" customHeight="1">
      <c r="A13" s="2382" t="s">
        <v>907</v>
      </c>
      <c r="B13" s="2383" t="s">
        <v>960</v>
      </c>
      <c r="C13" s="2287">
        <f ca="1">IF(B1="",'数据-取费表'!P16,INDIRECT("'数据-取费表'!p"&amp;$K$1)+INDIRECT("'数据-取费表'!t"&amp;$K$1))</f>
        <v>13464</v>
      </c>
      <c r="D13" s="2384"/>
      <c r="E13" s="2385"/>
      <c r="F13" s="2386"/>
      <c r="G13" s="2378"/>
      <c r="H13" s="2381"/>
      <c r="I13" s="2381"/>
      <c r="J13" s="2381"/>
      <c r="K13" s="2441"/>
      <c r="L13" s="2251"/>
      <c r="M13" s="2251"/>
      <c r="N13" s="2251"/>
      <c r="O13" s="2251"/>
      <c r="P13" s="2251"/>
      <c r="Q13" s="2251"/>
      <c r="R13" s="2251"/>
      <c r="S13" s="2251"/>
      <c r="T13" s="2251"/>
      <c r="U13" s="2251"/>
      <c r="V13" s="2251"/>
      <c r="W13" s="2251"/>
      <c r="X13" s="2251"/>
      <c r="Y13" s="2251"/>
      <c r="Z13" s="2251"/>
    </row>
    <row r="14" spans="1:31" s="2250" customFormat="1" ht="13.5" customHeight="1">
      <c r="A14" s="2382" t="s">
        <v>961</v>
      </c>
      <c r="B14" s="2383" t="s">
        <v>962</v>
      </c>
      <c r="C14" s="138">
        <f ca="1">ROUND(C13*F14,0)</f>
        <v>673</v>
      </c>
      <c r="D14" s="2384"/>
      <c r="E14" s="2385"/>
      <c r="F14" s="2387">
        <f>'数据-取费表'!B33</f>
        <v>0.05</v>
      </c>
      <c r="G14" s="2378" t="s">
        <v>963</v>
      </c>
      <c r="H14" s="2381"/>
      <c r="I14" s="2381"/>
      <c r="J14" s="2381"/>
      <c r="K14" s="2441"/>
      <c r="L14" s="2251"/>
      <c r="M14" s="2251"/>
      <c r="N14" s="2251"/>
      <c r="O14" s="2251"/>
      <c r="P14" s="2251"/>
      <c r="Q14" s="2251"/>
      <c r="R14" s="2251"/>
      <c r="S14" s="2251"/>
      <c r="T14" s="2251"/>
      <c r="U14" s="2251"/>
      <c r="V14" s="2251"/>
      <c r="W14" s="2251"/>
      <c r="X14" s="2251"/>
      <c r="Y14" s="2251"/>
      <c r="Z14" s="2251"/>
    </row>
    <row r="15" spans="1:31" s="2250" customFormat="1" ht="13.5" customHeight="1">
      <c r="A15" s="2382" t="s">
        <v>964</v>
      </c>
      <c r="B15" s="2383" t="s">
        <v>965</v>
      </c>
      <c r="C15" s="138">
        <f ca="1">ROUND(IF(B1="",SUMIF('数据-取费表'!C:C,"住宅",'数据-取费表'!P:P)*F15,IF(INDIRECT("'数据-取费表'!c"&amp;$K$1)="住宅",INDIRECT("'数据-取费表'!P"&amp;$K$1)*F15,0)),0)</f>
        <v>0</v>
      </c>
      <c r="D15" s="2384"/>
      <c r="E15" s="2385"/>
      <c r="F15" s="2387">
        <f>'数据-取费表'!B34</f>
        <v>0</v>
      </c>
      <c r="G15" s="2378" t="s">
        <v>966</v>
      </c>
      <c r="H15" s="2381"/>
      <c r="I15" s="2381"/>
      <c r="J15" s="2381"/>
      <c r="K15" s="2441"/>
      <c r="L15" s="2251"/>
      <c r="M15" s="2251"/>
      <c r="N15" s="2251"/>
      <c r="O15" s="2251"/>
      <c r="P15" s="2251"/>
      <c r="Q15" s="2251"/>
      <c r="R15" s="2251"/>
      <c r="S15" s="2251"/>
      <c r="T15" s="2251"/>
      <c r="U15" s="2251"/>
      <c r="V15" s="2251"/>
      <c r="W15" s="2251"/>
      <c r="X15" s="2251"/>
      <c r="Y15" s="2251"/>
      <c r="Z15" s="2251"/>
    </row>
    <row r="16" spans="1:31" s="2251" customFormat="1" ht="13.5" customHeight="1">
      <c r="A16" s="2382" t="s">
        <v>967</v>
      </c>
      <c r="B16" s="2383" t="s">
        <v>968</v>
      </c>
      <c r="C16" s="138">
        <f ca="1">ROUND(D16*E16/10000,0)</f>
        <v>1496</v>
      </c>
      <c r="D16" s="2384">
        <f ca="1">IF(B1="",'数据-汇总表'!E3,INDIRECT("'数据-取费表'!K"&amp;$K$1)+INDIRECT("'数据-取费表'!S"&amp;$K$1))</f>
        <v>74800</v>
      </c>
      <c r="E16" s="138">
        <f>'数据-取费表'!B35</f>
        <v>200</v>
      </c>
      <c r="F16" s="2388"/>
      <c r="G16" s="2378"/>
      <c r="H16" s="2381"/>
      <c r="I16" s="2381"/>
      <c r="J16" s="2381"/>
      <c r="K16" s="2441"/>
      <c r="AA16" s="2250"/>
      <c r="AB16" s="2250"/>
      <c r="AC16" s="2250"/>
      <c r="AD16" s="2250"/>
      <c r="AE16" s="2250"/>
    </row>
    <row r="17" spans="1:26" s="2250" customFormat="1" ht="13.5" customHeight="1">
      <c r="A17" s="2382" t="s">
        <v>969</v>
      </c>
      <c r="B17" s="2383" t="s">
        <v>970</v>
      </c>
      <c r="C17" s="2389">
        <f ca="1">ROUND(C13*F17,0)</f>
        <v>269</v>
      </c>
      <c r="D17" s="2390"/>
      <c r="E17" s="2389"/>
      <c r="F17" s="2387">
        <f>'数据-取费表'!B36</f>
        <v>0.02</v>
      </c>
      <c r="G17" s="1040" t="s">
        <v>971</v>
      </c>
      <c r="H17" s="2391"/>
      <c r="I17" s="2391"/>
      <c r="J17" s="2391"/>
      <c r="K17" s="2442"/>
      <c r="L17" s="2251"/>
      <c r="M17" s="2251"/>
      <c r="N17" s="2251"/>
      <c r="O17" s="2251"/>
      <c r="P17" s="2251"/>
      <c r="Q17" s="2251"/>
      <c r="R17" s="2251"/>
      <c r="S17" s="2251"/>
      <c r="T17" s="2251"/>
      <c r="U17" s="2251"/>
      <c r="V17" s="2251"/>
      <c r="W17" s="2251"/>
      <c r="X17" s="2251"/>
      <c r="Y17" s="2251"/>
      <c r="Z17" s="2251"/>
    </row>
    <row r="18" spans="1:26" s="2250" customFormat="1" ht="13.5" customHeight="1">
      <c r="A18" s="2392" t="s">
        <v>972</v>
      </c>
      <c r="B18" s="2393" t="s">
        <v>973</v>
      </c>
      <c r="C18" s="2394">
        <f ca="1">SUM(C13:C17)</f>
        <v>15902</v>
      </c>
      <c r="D18" s="2395"/>
      <c r="E18" s="2396"/>
      <c r="F18" s="2396"/>
      <c r="G18" s="2397" t="s">
        <v>974</v>
      </c>
      <c r="H18" s="2398"/>
      <c r="I18" s="2398"/>
      <c r="J18" s="2398"/>
      <c r="K18" s="2443"/>
      <c r="L18" s="2251"/>
      <c r="M18" s="2251"/>
      <c r="N18" s="2251"/>
      <c r="O18" s="2251"/>
      <c r="P18" s="2251"/>
      <c r="Q18" s="2251"/>
      <c r="R18" s="2251"/>
      <c r="S18" s="2251"/>
      <c r="T18" s="2251"/>
      <c r="U18" s="2251"/>
      <c r="V18" s="2251"/>
      <c r="W18" s="2251"/>
      <c r="X18" s="2251"/>
      <c r="Y18" s="2251"/>
      <c r="Z18" s="2251"/>
    </row>
    <row r="19" spans="1:26" s="2250" customFormat="1" ht="13.5" customHeight="1">
      <c r="A19" s="2392" t="s">
        <v>975</v>
      </c>
      <c r="B19" s="2393" t="s">
        <v>976</v>
      </c>
      <c r="C19" s="2380">
        <f ca="1">ROUND(D19*E19/10000,0)</f>
        <v>0</v>
      </c>
      <c r="D19" s="2399">
        <f ca="1">D16</f>
        <v>74800</v>
      </c>
      <c r="E19" s="2380">
        <f>'数据-取费表'!B32</f>
        <v>0</v>
      </c>
      <c r="F19" s="2396"/>
      <c r="G19" s="2378" t="s">
        <v>977</v>
      </c>
      <c r="H19" s="2381"/>
      <c r="I19" s="2398"/>
      <c r="J19" s="2398"/>
      <c r="K19" s="2443"/>
      <c r="L19" s="2251"/>
      <c r="M19" s="2251"/>
      <c r="N19" s="2251"/>
      <c r="O19" s="2251"/>
      <c r="P19" s="2251"/>
      <c r="Q19" s="2251"/>
      <c r="R19" s="2251"/>
      <c r="S19" s="2251"/>
      <c r="T19" s="2251"/>
      <c r="U19" s="2251"/>
      <c r="V19" s="2251"/>
      <c r="W19" s="2251"/>
      <c r="X19" s="2251"/>
      <c r="Y19" s="2251"/>
      <c r="Z19" s="2251"/>
    </row>
    <row r="20" spans="1:26" s="2250" customFormat="1" ht="13.5" customHeight="1">
      <c r="A20" s="2392" t="s">
        <v>978</v>
      </c>
      <c r="B20" s="2393" t="s">
        <v>979</v>
      </c>
      <c r="C20" s="2380">
        <f ca="1">C21+C22-IF(B1="",'数据-取费表'!B29,IF(G20="已全部缴纳",C21+C22,H20))</f>
        <v>883</v>
      </c>
      <c r="D20" s="2399"/>
      <c r="E20" s="2380"/>
      <c r="F20" s="2400"/>
      <c r="G20" s="2401" t="s">
        <v>980</v>
      </c>
      <c r="H20" s="2402"/>
      <c r="I20" s="2444" t="s">
        <v>981</v>
      </c>
      <c r="J20" s="2398"/>
      <c r="K20" s="2443"/>
      <c r="L20" s="2251"/>
      <c r="M20" s="2251"/>
      <c r="N20" s="2251"/>
      <c r="O20" s="2251"/>
      <c r="P20" s="2251"/>
      <c r="Q20" s="2251"/>
      <c r="R20" s="2251"/>
      <c r="S20" s="2251"/>
      <c r="T20" s="2251"/>
      <c r="U20" s="2251"/>
      <c r="V20" s="2251"/>
      <c r="W20" s="2251"/>
      <c r="X20" s="2251"/>
      <c r="Y20" s="2251"/>
      <c r="Z20" s="2251"/>
    </row>
    <row r="21" spans="1:26" s="2250" customFormat="1" ht="13.5" customHeight="1">
      <c r="A21" s="2382" t="s">
        <v>907</v>
      </c>
      <c r="B21" s="2383" t="s">
        <v>982</v>
      </c>
      <c r="C21" s="138">
        <f ca="1">ROUND(D21*E21/10000,0)</f>
        <v>0</v>
      </c>
      <c r="D21" s="2384">
        <f ca="1">IF(B1="",'数据-汇总表'!E5,IF(INDIRECT("'数据-取费表'!c"&amp;$K$1)="住宅",INDIRECT("'数据-取费表'!k"&amp;$K$1),0))</f>
        <v>0</v>
      </c>
      <c r="E21" s="138">
        <f>'数据-取费表'!B27</f>
        <v>0</v>
      </c>
      <c r="F21" s="2388"/>
      <c r="G21" s="1116"/>
      <c r="H21" s="2403"/>
      <c r="I21" s="2403"/>
      <c r="J21" s="2403"/>
      <c r="K21" s="2445"/>
      <c r="L21" s="2251"/>
      <c r="M21" s="2251"/>
      <c r="N21" s="2251"/>
      <c r="O21" s="2251"/>
      <c r="P21" s="2251"/>
      <c r="Q21" s="2251"/>
      <c r="R21" s="2251"/>
      <c r="S21" s="2251"/>
      <c r="T21" s="2251"/>
      <c r="U21" s="2251"/>
      <c r="V21" s="2251"/>
      <c r="W21" s="2251"/>
      <c r="X21" s="2251"/>
      <c r="Y21" s="2251"/>
      <c r="Z21" s="2251"/>
    </row>
    <row r="22" spans="1:26" s="2250" customFormat="1" ht="13.5" customHeight="1">
      <c r="A22" s="2382" t="s">
        <v>911</v>
      </c>
      <c r="B22" s="2383" t="s">
        <v>983</v>
      </c>
      <c r="C22" s="138">
        <f ca="1">ROUND(D22*E22/10000,0)</f>
        <v>883</v>
      </c>
      <c r="D22" s="2384">
        <f ca="1">IF(B1="",'数据-汇总表'!E6,IF(INDIRECT("'数据-取费表'!c"&amp;$K$1)="住宅",INDIRECT("'数据-取费表'!s"&amp;$K$1),INDIRECT("'数据-取费表'!k"&amp;$K$1)+INDIRECT("'数据-取费表'!s"&amp;$K$1)))</f>
        <v>74800</v>
      </c>
      <c r="E22" s="138">
        <f>'数据-取费表'!B28</f>
        <v>118</v>
      </c>
      <c r="F22" s="2388"/>
      <c r="G22" s="1116"/>
      <c r="H22" s="2403"/>
      <c r="I22" s="2403"/>
      <c r="J22" s="2403"/>
      <c r="K22" s="2445"/>
      <c r="L22" s="2251"/>
      <c r="M22" s="2251"/>
      <c r="N22" s="2251"/>
      <c r="O22" s="2251"/>
      <c r="P22" s="2251"/>
      <c r="Q22" s="2251"/>
      <c r="R22" s="2251"/>
      <c r="S22" s="2251"/>
      <c r="T22" s="2251"/>
      <c r="U22" s="2251"/>
      <c r="V22" s="2251"/>
      <c r="W22" s="2251"/>
      <c r="X22" s="2251"/>
      <c r="Y22" s="2251"/>
      <c r="Z22" s="2251"/>
    </row>
    <row r="23" spans="1:26" s="2250" customFormat="1" ht="13.5" customHeight="1">
      <c r="A23" s="2392" t="s">
        <v>984</v>
      </c>
      <c r="B23" s="2404" t="s">
        <v>985</v>
      </c>
      <c r="C23" s="2394">
        <f ca="1">ROUND((C18+C19+C20)*F23,0)</f>
        <v>336</v>
      </c>
      <c r="D23" s="2396"/>
      <c r="E23" s="2396"/>
      <c r="F23" s="2405">
        <f>'数据-取费表'!B37</f>
        <v>0.02</v>
      </c>
      <c r="G23" s="2378" t="s">
        <v>986</v>
      </c>
      <c r="H23" s="2381"/>
      <c r="I23" s="2381"/>
      <c r="J23" s="2381"/>
      <c r="K23" s="2441"/>
      <c r="L23" s="2446"/>
      <c r="M23" s="2446"/>
      <c r="N23" s="2446"/>
      <c r="O23" s="2251"/>
      <c r="P23" s="2251"/>
      <c r="Q23" s="2251"/>
      <c r="R23" s="2251"/>
      <c r="S23" s="2251"/>
      <c r="T23" s="2251"/>
      <c r="U23" s="2251"/>
      <c r="V23" s="2251"/>
      <c r="W23" s="2251"/>
      <c r="X23" s="2251"/>
      <c r="Y23" s="2251"/>
      <c r="Z23" s="2251"/>
    </row>
    <row r="24" spans="1:26" s="2250" customFormat="1" ht="13.5" customHeight="1">
      <c r="A24" s="2392" t="s">
        <v>987</v>
      </c>
      <c r="B24" s="2404" t="s">
        <v>988</v>
      </c>
      <c r="C24" s="2394">
        <f ca="1">ROUND(C6*F24,0)</f>
        <v>444</v>
      </c>
      <c r="D24" s="2390"/>
      <c r="E24" s="2406"/>
      <c r="F24" s="2405">
        <f>'数据-取费表'!B38</f>
        <v>0.02</v>
      </c>
      <c r="G24" s="2407" t="s">
        <v>989</v>
      </c>
      <c r="H24" s="2391"/>
      <c r="I24" s="2391"/>
      <c r="J24" s="2391"/>
      <c r="K24" s="2442"/>
      <c r="L24" s="2446"/>
      <c r="M24" s="2446"/>
      <c r="N24" s="2446"/>
      <c r="O24" s="2251"/>
      <c r="P24" s="2251"/>
      <c r="Q24" s="2251"/>
      <c r="R24" s="2251"/>
      <c r="S24" s="2251"/>
      <c r="T24" s="2251"/>
      <c r="U24" s="2251"/>
      <c r="V24" s="2251"/>
      <c r="W24" s="2251"/>
      <c r="X24" s="2251"/>
      <c r="Y24" s="2251"/>
      <c r="Z24" s="2251"/>
    </row>
    <row r="25" spans="1:26" s="2252" customFormat="1" ht="13.5" customHeight="1">
      <c r="A25" s="2392" t="s">
        <v>990</v>
      </c>
      <c r="B25" s="2404" t="s">
        <v>991</v>
      </c>
      <c r="C25" s="2408">
        <f>ROUND(F25/(1+'数据-取费表'!C42),4)</f>
        <v>2.9000000000000001E-2</v>
      </c>
      <c r="D25" s="2299" t="s">
        <v>992</v>
      </c>
      <c r="E25" s="2409"/>
      <c r="F25" s="2405">
        <f>IF(项目基本情况!B8="出让",0,'数据-取费表'!B48+'数据-取费表'!B49)</f>
        <v>3.0499999999999999E-2</v>
      </c>
      <c r="G25" s="2410" t="s">
        <v>993</v>
      </c>
      <c r="H25" s="2381"/>
      <c r="I25" s="2381"/>
      <c r="J25" s="2381"/>
      <c r="K25" s="2441"/>
      <c r="L25" s="2346"/>
      <c r="M25" s="2346"/>
      <c r="N25" s="2346"/>
      <c r="O25" s="2346"/>
      <c r="P25" s="2346"/>
      <c r="Q25" s="2346"/>
      <c r="R25" s="2346"/>
      <c r="S25" s="2346"/>
      <c r="T25" s="2346"/>
      <c r="U25" s="2346"/>
      <c r="V25" s="2346"/>
      <c r="W25" s="2346"/>
      <c r="X25" s="2346"/>
      <c r="Y25" s="2346"/>
      <c r="Z25" s="2346"/>
    </row>
    <row r="26" spans="1:26" s="2358" customFormat="1" ht="13.5" customHeight="1">
      <c r="A26" s="2392" t="s">
        <v>994</v>
      </c>
      <c r="B26" s="2411" t="s">
        <v>995</v>
      </c>
      <c r="C26" s="2412">
        <f ca="1">C28</f>
        <v>453</v>
      </c>
      <c r="D26" s="2408">
        <f ca="1">C27</f>
        <v>5.3699999999999998E-2</v>
      </c>
      <c r="E26" s="2409" t="s">
        <v>992</v>
      </c>
      <c r="F26" s="2303">
        <f ca="1">'数据-取费表'!B40</f>
        <v>3.4500000000000003E-2</v>
      </c>
      <c r="G26" s="1044" t="str">
        <f>IF('数据-取费表'!B22&lt;=1,"单利计息。","复利计息。")&amp;"后续开发成本、管理费用及销售费用产生的利息。"</f>
        <v>复利计息。后续开发成本、管理费用及销售费用产生的利息。</v>
      </c>
      <c r="H26" s="2398"/>
      <c r="I26" s="2398"/>
      <c r="J26" s="2398"/>
      <c r="K26" s="2443"/>
      <c r="L26" s="2446"/>
      <c r="M26" s="2446"/>
      <c r="N26" s="2446"/>
      <c r="O26" s="2446"/>
      <c r="P26" s="2446"/>
      <c r="Q26" s="2446"/>
      <c r="R26" s="2446"/>
      <c r="S26" s="2446"/>
      <c r="T26" s="2446"/>
      <c r="U26" s="2446"/>
      <c r="V26" s="2446"/>
      <c r="W26" s="2446"/>
      <c r="X26" s="2446"/>
      <c r="Y26" s="2446"/>
      <c r="Z26" s="2446"/>
    </row>
    <row r="27" spans="1:26" s="2254" customFormat="1" ht="13.5" customHeight="1">
      <c r="A27" s="1249" t="s">
        <v>907</v>
      </c>
      <c r="B27" s="2413" t="s">
        <v>996</v>
      </c>
      <c r="C27" s="2414">
        <f ca="1">ROUND(IF('数据-取费表'!B22&lt;=1,(1+C25)*F26*'数据-取费表'!B24,(1+C25)*(POWER((1+F26),'数据-取费表'!B24)-1)),4)</f>
        <v>5.3699999999999998E-2</v>
      </c>
      <c r="D27" s="2415"/>
      <c r="E27" s="2406"/>
      <c r="F27" s="2416"/>
      <c r="G27" s="1044" t="str">
        <f>IF('数据-取费表'!B22&lt;=1,"（1+取得税费率/(1+5%)）×年利率×建设期","（1+取得税费率）/(1+5%)×((1+年利率)^建设期-1)")</f>
        <v>（1+取得税费率）/(1+5%)×((1+年利率)^建设期-1)</v>
      </c>
      <c r="H27" s="2391"/>
      <c r="I27" s="2391"/>
      <c r="J27" s="2391"/>
      <c r="K27" s="2442"/>
      <c r="L27" s="2350"/>
      <c r="M27" s="2350"/>
      <c r="N27" s="2350"/>
      <c r="O27" s="2350"/>
      <c r="P27" s="2350"/>
      <c r="Q27" s="2350"/>
      <c r="R27" s="2350"/>
      <c r="S27" s="2350"/>
      <c r="T27" s="2350"/>
      <c r="U27" s="2350"/>
      <c r="V27" s="2350"/>
      <c r="W27" s="2350"/>
      <c r="X27" s="2350"/>
      <c r="Y27" s="2350"/>
      <c r="Z27" s="2350"/>
    </row>
    <row r="28" spans="1:26" s="2254" customFormat="1" ht="13.5" customHeight="1">
      <c r="A28" s="1249" t="s">
        <v>911</v>
      </c>
      <c r="B28" s="2413" t="s">
        <v>997</v>
      </c>
      <c r="C28" s="2417">
        <f ca="1">ROUND(IF('数据-取费表'!B22&lt;=1,(C18+C19+C20+C23+C24)*F26*'数据-取费表'!B24/2,(C18+C19+C20+C23+C24)*(POWER((1+F26),'数据-取费表'!B24/2)-1)),0)</f>
        <v>453</v>
      </c>
      <c r="D28" s="2415"/>
      <c r="E28" s="2406"/>
      <c r="F28" s="2416"/>
      <c r="G28" s="1044" t="str">
        <f>IF('数据-取费表'!B22&lt;=1,"（1）-（4）项×年利率×建设期÷2","（1）-（4）项×((1+年利率)^(建设期÷2)-1)")</f>
        <v>（1）-（4）项×((1+年利率)^(建设期÷2)-1)</v>
      </c>
      <c r="H28" s="2391"/>
      <c r="I28" s="2391"/>
      <c r="J28" s="2391"/>
      <c r="K28" s="2442"/>
      <c r="L28" s="2350"/>
      <c r="M28" s="2350"/>
      <c r="N28" s="2350"/>
      <c r="O28" s="2350"/>
      <c r="P28" s="2350"/>
      <c r="Q28" s="2350"/>
      <c r="R28" s="2350"/>
      <c r="S28" s="2350"/>
      <c r="T28" s="2350"/>
      <c r="U28" s="2350"/>
      <c r="V28" s="2350"/>
      <c r="W28" s="2350"/>
      <c r="X28" s="2350"/>
      <c r="Y28" s="2350"/>
      <c r="Z28" s="2350"/>
    </row>
    <row r="29" spans="1:26" s="2254" customFormat="1" ht="13.5" customHeight="1">
      <c r="A29" s="2418" t="s">
        <v>998</v>
      </c>
      <c r="B29" s="2393" t="s">
        <v>999</v>
      </c>
      <c r="C29" s="2394">
        <f ca="1">ROUND(C6*F29/(1+'数据-取费表'!C42),0)</f>
        <v>1162</v>
      </c>
      <c r="D29" s="2396"/>
      <c r="E29" s="2396"/>
      <c r="F29" s="2419">
        <f>'数据-取费表'!B41</f>
        <v>5.5E-2</v>
      </c>
      <c r="G29" s="2407" t="s">
        <v>1000</v>
      </c>
      <c r="H29" s="2381"/>
      <c r="I29" s="2381"/>
      <c r="J29" s="2381"/>
      <c r="K29" s="2441"/>
      <c r="L29" s="2350"/>
      <c r="M29" s="2350"/>
      <c r="N29" s="2350"/>
      <c r="O29" s="2350"/>
      <c r="P29" s="2350"/>
      <c r="Q29" s="2350"/>
      <c r="R29" s="2350"/>
      <c r="S29" s="2350"/>
      <c r="T29" s="2350"/>
      <c r="U29" s="2350"/>
      <c r="V29" s="2350"/>
      <c r="W29" s="2350"/>
      <c r="X29" s="2350"/>
      <c r="Y29" s="2350"/>
      <c r="Z29" s="2350"/>
    </row>
    <row r="30" spans="1:26" s="2253" customFormat="1" ht="13.5" customHeight="1">
      <c r="A30" s="2420" t="s">
        <v>1001</v>
      </c>
      <c r="B30" s="2421" t="s">
        <v>1002</v>
      </c>
      <c r="C30" s="2412">
        <f ca="1">C31</f>
        <v>19180</v>
      </c>
      <c r="D30" s="2422">
        <f ca="1">C32</f>
        <v>8.2699999999999996E-2</v>
      </c>
      <c r="E30" s="2409" t="s">
        <v>992</v>
      </c>
      <c r="F30" s="2303"/>
      <c r="G30" s="2410" t="s">
        <v>1003</v>
      </c>
      <c r="H30" s="2381"/>
      <c r="I30" s="2381"/>
      <c r="J30" s="2381"/>
      <c r="K30" s="2441"/>
      <c r="L30" s="2347"/>
      <c r="M30" s="2347"/>
      <c r="N30" s="2347"/>
      <c r="O30" s="2347"/>
      <c r="P30" s="2347"/>
      <c r="Q30" s="2347"/>
      <c r="R30" s="2347"/>
      <c r="S30" s="2347"/>
      <c r="T30" s="2347"/>
      <c r="U30" s="2347"/>
      <c r="V30" s="2347"/>
      <c r="W30" s="2347"/>
      <c r="X30" s="2347"/>
      <c r="Y30" s="2347"/>
      <c r="Z30" s="2347"/>
    </row>
    <row r="31" spans="1:26" s="2254" customFormat="1" ht="13.5" customHeight="1">
      <c r="A31" s="1249" t="s">
        <v>907</v>
      </c>
      <c r="B31" s="2413"/>
      <c r="C31" s="2287">
        <f ca="1">C18+C19+C20+C23+C24+C26+C29</f>
        <v>19180</v>
      </c>
      <c r="D31" s="2415"/>
      <c r="E31" s="2406"/>
      <c r="F31" s="2416"/>
      <c r="G31" s="1040"/>
      <c r="H31" s="2391"/>
      <c r="I31" s="2391"/>
      <c r="J31" s="2391"/>
      <c r="K31" s="2442"/>
      <c r="L31" s="2350"/>
      <c r="M31" s="2350"/>
      <c r="N31" s="2350"/>
      <c r="O31" s="2350"/>
      <c r="P31" s="2350"/>
      <c r="Q31" s="2350"/>
      <c r="R31" s="2350"/>
      <c r="S31" s="2350"/>
      <c r="T31" s="2350"/>
      <c r="U31" s="2350"/>
      <c r="V31" s="2350"/>
      <c r="W31" s="2350"/>
      <c r="X31" s="2350"/>
      <c r="Y31" s="2350"/>
      <c r="Z31" s="2350"/>
    </row>
    <row r="32" spans="1:26" s="2254" customFormat="1" ht="13.5" customHeight="1">
      <c r="A32" s="1249" t="s">
        <v>911</v>
      </c>
      <c r="B32" s="2413"/>
      <c r="C32" s="138">
        <f ca="1">ROUND(C25+D26,4)</f>
        <v>8.2699999999999996E-2</v>
      </c>
      <c r="D32" s="2415"/>
      <c r="E32" s="2406"/>
      <c r="F32" s="2416"/>
      <c r="G32" s="1040"/>
      <c r="H32" s="2391"/>
      <c r="I32" s="2391"/>
      <c r="J32" s="2391"/>
      <c r="K32" s="2442"/>
      <c r="L32" s="2350"/>
      <c r="M32" s="2350"/>
      <c r="N32" s="2350"/>
      <c r="O32" s="2350"/>
      <c r="P32" s="2350"/>
      <c r="Q32" s="2350"/>
      <c r="R32" s="2350"/>
      <c r="S32" s="2350"/>
      <c r="T32" s="2350"/>
      <c r="U32" s="2350"/>
      <c r="V32" s="2350"/>
      <c r="W32" s="2350"/>
      <c r="X32" s="2350"/>
      <c r="Y32" s="2350"/>
      <c r="Z32" s="2350"/>
    </row>
    <row r="33" spans="1:26" s="2359" customFormat="1" ht="13.5" customHeight="1">
      <c r="A33" s="2423" t="s">
        <v>1004</v>
      </c>
      <c r="B33" s="2304" t="s">
        <v>1005</v>
      </c>
      <c r="C33" s="2305">
        <f ca="1">C35</f>
        <v>1405</v>
      </c>
      <c r="D33" s="2408">
        <f ca="1">C34</f>
        <v>8.2299999999999998E-2</v>
      </c>
      <c r="E33" s="2409" t="s">
        <v>992</v>
      </c>
      <c r="F33" s="2185">
        <f ca="1">IF(B1="",'数据-取费表'!Q16,INDIRECT("'数据-取费表'!q"&amp;$K$1))</f>
        <v>0.08</v>
      </c>
      <c r="G33" s="2397"/>
      <c r="H33" s="2398"/>
      <c r="I33" s="2398"/>
      <c r="J33" s="2398"/>
      <c r="K33" s="2443"/>
      <c r="L33" s="2447"/>
      <c r="M33" s="2447"/>
      <c r="N33" s="2447"/>
      <c r="O33" s="2447"/>
      <c r="P33" s="2447"/>
      <c r="Q33" s="2447"/>
      <c r="R33" s="2447"/>
      <c r="S33" s="2447"/>
      <c r="T33" s="2447"/>
      <c r="U33" s="2447"/>
      <c r="V33" s="2447"/>
      <c r="W33" s="2447"/>
      <c r="X33" s="2447"/>
      <c r="Y33" s="2447"/>
      <c r="Z33" s="2447"/>
    </row>
    <row r="34" spans="1:26" s="2360" customFormat="1" ht="13.5" customHeight="1">
      <c r="A34" s="2424" t="s">
        <v>907</v>
      </c>
      <c r="B34" s="2425" t="s">
        <v>1006</v>
      </c>
      <c r="C34" s="2415">
        <f ca="1">ROUND((1+C25)*F33,4)</f>
        <v>8.2299999999999998E-2</v>
      </c>
      <c r="D34" s="2415"/>
      <c r="E34" s="2406"/>
      <c r="F34" s="2426"/>
      <c r="G34" s="1040" t="s">
        <v>1007</v>
      </c>
      <c r="H34" s="2391"/>
      <c r="I34" s="2391"/>
      <c r="J34" s="2391"/>
      <c r="K34" s="2442"/>
      <c r="L34" s="2448"/>
      <c r="M34" s="2448"/>
      <c r="N34" s="2448"/>
      <c r="O34" s="2448"/>
      <c r="P34" s="2448"/>
      <c r="Q34" s="2448"/>
      <c r="R34" s="2448"/>
      <c r="S34" s="2448"/>
      <c r="T34" s="2448"/>
      <c r="U34" s="2448"/>
      <c r="V34" s="2448"/>
      <c r="W34" s="2448"/>
      <c r="X34" s="2448"/>
      <c r="Y34" s="2448"/>
      <c r="Z34" s="2448"/>
    </row>
    <row r="35" spans="1:26" s="2360" customFormat="1" ht="13.5" customHeight="1">
      <c r="A35" s="2427" t="s">
        <v>911</v>
      </c>
      <c r="B35" s="2428" t="s">
        <v>1008</v>
      </c>
      <c r="C35" s="2429">
        <f ca="1">ROUND((C18+C19+C20+C23+C24)*F33,0)</f>
        <v>1405</v>
      </c>
      <c r="D35" s="2430"/>
      <c r="E35" s="2431"/>
      <c r="F35" s="2432"/>
      <c r="G35" s="2373"/>
      <c r="H35" s="2433"/>
      <c r="I35" s="2433"/>
      <c r="J35" s="2433"/>
      <c r="K35" s="2449"/>
      <c r="L35" s="2448"/>
      <c r="M35" s="2448"/>
      <c r="N35" s="2448"/>
      <c r="O35" s="2448"/>
      <c r="P35" s="2448"/>
      <c r="Q35" s="2448"/>
      <c r="R35" s="2448"/>
      <c r="S35" s="2448"/>
      <c r="T35" s="2448"/>
      <c r="U35" s="2448"/>
      <c r="V35" s="2448"/>
      <c r="W35" s="2448"/>
      <c r="X35" s="2448"/>
      <c r="Y35" s="2448"/>
      <c r="Z35" s="2448"/>
    </row>
    <row r="36" spans="1:26" s="1092" customFormat="1" ht="13.5" customHeight="1">
      <c r="A36" s="2434" t="s">
        <v>1009</v>
      </c>
      <c r="B36" s="2435"/>
      <c r="C36" s="2436">
        <f ca="1">ROUND((C6-C30-C33)/(1+D30+D33),0)</f>
        <v>1371</v>
      </c>
      <c r="D36" s="2435"/>
      <c r="E36" s="2435"/>
      <c r="F36" s="2435"/>
      <c r="G36" s="2437" t="s">
        <v>1010</v>
      </c>
      <c r="H36" s="2435"/>
      <c r="I36" s="2435"/>
      <c r="J36" s="2435"/>
      <c r="K36" s="2450"/>
      <c r="L36" s="2344"/>
      <c r="M36" s="2344"/>
      <c r="N36" s="2344"/>
      <c r="O36" s="2344"/>
      <c r="P36" s="2344"/>
      <c r="Q36" s="2344"/>
      <c r="R36" s="2344"/>
      <c r="S36" s="2344"/>
      <c r="T36" s="2344"/>
      <c r="U36" s="2344"/>
      <c r="V36" s="2344"/>
      <c r="W36" s="2344"/>
      <c r="X36" s="2344"/>
      <c r="Y36" s="2344"/>
      <c r="Z36" s="2344"/>
    </row>
    <row r="37" spans="1:26" s="2249" customFormat="1">
      <c r="A37" s="2332"/>
      <c r="C37" s="2333"/>
      <c r="E37" s="2332"/>
    </row>
    <row r="38" spans="1:26" s="2249" customFormat="1" ht="12.75" customHeight="1">
      <c r="A38" s="2332"/>
      <c r="C38" s="2333"/>
      <c r="E38" s="2332"/>
    </row>
    <row r="39" spans="1:26" s="2249" customFormat="1">
      <c r="A39" s="2332"/>
      <c r="C39" s="2333"/>
      <c r="E39" s="2332"/>
    </row>
    <row r="40" spans="1:26" s="2249" customFormat="1">
      <c r="A40" s="2332"/>
      <c r="C40" s="2333"/>
      <c r="E40" s="2332"/>
    </row>
    <row r="41" spans="1:26" s="2249" customFormat="1">
      <c r="A41" s="2332"/>
      <c r="C41" s="2333"/>
      <c r="E41" s="2332"/>
    </row>
    <row r="42" spans="1:26" s="2249" customFormat="1">
      <c r="A42" s="2332"/>
      <c r="C42" s="2333"/>
      <c r="E42" s="2332"/>
    </row>
    <row r="43" spans="1:26" s="2249" customFormat="1">
      <c r="A43" s="2332"/>
      <c r="C43" s="2333"/>
      <c r="E43" s="2332"/>
    </row>
    <row r="44" spans="1:26" s="2249" customFormat="1">
      <c r="A44" s="2332"/>
      <c r="C44" s="2333"/>
      <c r="E44" s="2332"/>
    </row>
    <row r="45" spans="1:26" s="2249" customFormat="1">
      <c r="A45" s="2332"/>
      <c r="C45" s="2333"/>
      <c r="E45" s="2332"/>
    </row>
    <row r="46" spans="1:26" s="2249" customFormat="1">
      <c r="A46" s="2332"/>
      <c r="C46" s="2333"/>
      <c r="E46" s="2332"/>
    </row>
    <row r="47" spans="1:26" s="2249" customFormat="1">
      <c r="A47" s="2332"/>
      <c r="C47" s="2333"/>
      <c r="E47" s="2332"/>
    </row>
    <row r="48" spans="1:26" s="2249" customFormat="1">
      <c r="A48" s="2332"/>
      <c r="C48" s="2333"/>
      <c r="E48" s="2332"/>
    </row>
    <row r="49" spans="1:5" s="2249" customFormat="1">
      <c r="A49" s="2332"/>
      <c r="C49" s="2333"/>
      <c r="E49" s="2332"/>
    </row>
    <row r="50" spans="1:5" s="2249" customFormat="1">
      <c r="A50" s="2332"/>
      <c r="C50" s="2333"/>
      <c r="E50" s="2332"/>
    </row>
    <row r="51" spans="1:5" s="2249" customFormat="1">
      <c r="A51" s="2332"/>
      <c r="C51" s="2333"/>
      <c r="E51" s="2332"/>
    </row>
    <row r="52" spans="1:5" s="2249" customFormat="1">
      <c r="A52" s="2332"/>
      <c r="C52" s="2333"/>
      <c r="E52" s="2332"/>
    </row>
    <row r="53" spans="1:5" s="2249" customFormat="1">
      <c r="A53" s="2332"/>
      <c r="C53" s="2333"/>
      <c r="E53" s="2332"/>
    </row>
    <row r="54" spans="1:5" s="2249" customFormat="1">
      <c r="A54" s="2332"/>
      <c r="C54" s="2333"/>
      <c r="E54" s="2332"/>
    </row>
    <row r="55" spans="1:5" s="2249" customFormat="1">
      <c r="A55" s="2332"/>
      <c r="C55" s="2333"/>
      <c r="E55" s="2332"/>
    </row>
    <row r="56" spans="1:5" s="2249" customFormat="1">
      <c r="A56" s="2332"/>
      <c r="C56" s="2333"/>
      <c r="E56" s="2332"/>
    </row>
    <row r="57" spans="1:5" s="2249" customFormat="1">
      <c r="A57" s="2332"/>
      <c r="C57" s="2333"/>
      <c r="E57" s="2332"/>
    </row>
    <row r="58" spans="1:5" s="2249" customFormat="1">
      <c r="A58" s="2332"/>
      <c r="C58" s="2333"/>
      <c r="E58" s="2332"/>
    </row>
    <row r="59" spans="1:5" s="2249" customFormat="1">
      <c r="A59" s="2332"/>
      <c r="C59" s="2333"/>
      <c r="E59" s="2332"/>
    </row>
    <row r="60" spans="1:5" s="2249" customFormat="1">
      <c r="A60" s="2332"/>
      <c r="C60" s="2333"/>
      <c r="E60" s="2332"/>
    </row>
    <row r="61" spans="1:5" s="2249" customFormat="1">
      <c r="A61" s="2332"/>
      <c r="C61" s="2333"/>
      <c r="E61" s="2332"/>
    </row>
    <row r="62" spans="1:5" s="2249" customFormat="1">
      <c r="A62" s="2332"/>
      <c r="C62" s="2333"/>
      <c r="E62" s="2332"/>
    </row>
    <row r="63" spans="1:5" s="2249" customFormat="1">
      <c r="A63" s="2332"/>
      <c r="C63" s="2333"/>
      <c r="E63" s="2332"/>
    </row>
    <row r="64" spans="1:5" s="2249" customFormat="1">
      <c r="A64" s="2332"/>
      <c r="C64" s="2333"/>
      <c r="E64" s="2332"/>
    </row>
    <row r="65" spans="1:5" s="2249" customFormat="1">
      <c r="A65" s="2332"/>
      <c r="C65" s="2333"/>
      <c r="E65" s="2332"/>
    </row>
    <row r="66" spans="1:5" s="2249" customFormat="1">
      <c r="A66" s="2332"/>
      <c r="C66" s="2333"/>
      <c r="E66" s="2332"/>
    </row>
    <row r="67" spans="1:5" s="2249" customFormat="1">
      <c r="A67" s="2332"/>
      <c r="C67" s="2333"/>
      <c r="E67" s="2332"/>
    </row>
    <row r="68" spans="1:5" s="2249" customFormat="1">
      <c r="A68" s="2332"/>
      <c r="C68" s="2333"/>
      <c r="E68" s="2332"/>
    </row>
    <row r="69" spans="1:5" s="2249" customFormat="1">
      <c r="A69" s="2332"/>
      <c r="C69" s="2333"/>
      <c r="E69" s="2332"/>
    </row>
    <row r="70" spans="1:5" s="2249" customFormat="1">
      <c r="A70" s="2332"/>
      <c r="C70" s="2333"/>
      <c r="E70" s="2332"/>
    </row>
    <row r="71" spans="1:5" s="2249" customFormat="1">
      <c r="A71" s="2332"/>
      <c r="C71" s="2333"/>
      <c r="E71" s="2332"/>
    </row>
    <row r="72" spans="1:5" s="2249" customFormat="1">
      <c r="A72" s="2332"/>
      <c r="C72" s="2333"/>
      <c r="E72" s="2332"/>
    </row>
    <row r="73" spans="1:5" s="2249" customFormat="1">
      <c r="A73" s="2332"/>
      <c r="C73" s="2333"/>
      <c r="E73" s="2332"/>
    </row>
    <row r="74" spans="1:5" s="2249" customFormat="1">
      <c r="A74" s="2332"/>
      <c r="C74" s="2333"/>
      <c r="E74" s="2332"/>
    </row>
    <row r="75" spans="1:5" s="2249" customFormat="1">
      <c r="A75" s="2332"/>
      <c r="C75" s="2333"/>
      <c r="E75" s="2332"/>
    </row>
    <row r="76" spans="1:5" s="2249" customFormat="1">
      <c r="A76" s="2332"/>
      <c r="C76" s="2333"/>
      <c r="E76" s="2332"/>
    </row>
    <row r="77" spans="1:5" s="2249" customFormat="1">
      <c r="A77" s="2332"/>
      <c r="C77" s="2333"/>
      <c r="E77" s="2332"/>
    </row>
    <row r="78" spans="1:5" s="2249" customFormat="1">
      <c r="A78" s="2332"/>
      <c r="C78" s="2333"/>
      <c r="E78" s="2332"/>
    </row>
    <row r="79" spans="1:5" s="2249" customFormat="1">
      <c r="A79" s="2332"/>
      <c r="C79" s="2333"/>
      <c r="E79" s="2332"/>
    </row>
    <row r="80" spans="1:5" s="2249" customFormat="1">
      <c r="A80" s="2332"/>
      <c r="C80" s="2333"/>
      <c r="E80" s="2332"/>
    </row>
    <row r="81" spans="1:5" s="2249" customFormat="1">
      <c r="A81" s="2332"/>
      <c r="C81" s="2333"/>
      <c r="E81" s="2332"/>
    </row>
    <row r="82" spans="1:5" s="2249" customFormat="1">
      <c r="A82" s="2332"/>
      <c r="C82" s="2333"/>
      <c r="E82" s="2332"/>
    </row>
    <row r="83" spans="1:5" s="2249" customFormat="1">
      <c r="A83" s="2332"/>
      <c r="C83" s="2333"/>
      <c r="E83" s="2332"/>
    </row>
    <row r="84" spans="1:5" s="2249" customFormat="1">
      <c r="A84" s="2332"/>
      <c r="C84" s="2333"/>
      <c r="E84" s="2332"/>
    </row>
    <row r="85" spans="1:5" s="2249" customFormat="1">
      <c r="A85" s="2332"/>
      <c r="C85" s="2333"/>
      <c r="E85" s="2332"/>
    </row>
    <row r="86" spans="1:5" s="2249" customFormat="1">
      <c r="A86" s="2332"/>
      <c r="C86" s="2333"/>
      <c r="E86" s="2332"/>
    </row>
    <row r="87" spans="1:5" s="2249" customFormat="1">
      <c r="A87" s="2332"/>
      <c r="C87" s="2333"/>
      <c r="E87" s="2332"/>
    </row>
    <row r="88" spans="1:5" s="2249" customFormat="1">
      <c r="A88" s="2332"/>
      <c r="C88" s="2333"/>
      <c r="E88" s="2332"/>
    </row>
    <row r="89" spans="1:5" s="2249" customFormat="1">
      <c r="A89" s="2332"/>
      <c r="C89" s="2333"/>
      <c r="E89" s="2332"/>
    </row>
    <row r="90" spans="1:5" s="2249" customFormat="1">
      <c r="A90" s="2332"/>
      <c r="C90" s="2333"/>
      <c r="E90" s="2332"/>
    </row>
    <row r="91" spans="1:5" s="2249" customFormat="1">
      <c r="A91" s="2332"/>
      <c r="C91" s="2333"/>
      <c r="E91" s="2332"/>
    </row>
    <row r="92" spans="1:5" s="2249" customFormat="1">
      <c r="A92" s="2332"/>
      <c r="C92" s="2333"/>
      <c r="E92" s="2332"/>
    </row>
    <row r="93" spans="1:5" s="2249" customFormat="1">
      <c r="A93" s="2332"/>
      <c r="C93" s="2333"/>
      <c r="E93" s="2332"/>
    </row>
    <row r="94" spans="1:5" s="2249" customFormat="1">
      <c r="A94" s="2332"/>
      <c r="C94" s="2333"/>
      <c r="E94" s="2332"/>
    </row>
    <row r="95" spans="1:5" s="2249" customFormat="1">
      <c r="A95" s="2332"/>
      <c r="C95" s="2333"/>
      <c r="E95" s="2332"/>
    </row>
    <row r="96" spans="1:5" s="2249" customFormat="1">
      <c r="A96" s="2332"/>
      <c r="C96" s="2333"/>
      <c r="E96" s="2332"/>
    </row>
    <row r="97" spans="1:5" s="2249" customFormat="1">
      <c r="A97" s="2332"/>
      <c r="C97" s="2333"/>
      <c r="E97" s="2332"/>
    </row>
    <row r="98" spans="1:5" s="2249" customFormat="1">
      <c r="A98" s="2332"/>
      <c r="C98" s="2333"/>
      <c r="E98" s="2332"/>
    </row>
    <row r="99" spans="1:5" s="2249" customFormat="1">
      <c r="A99" s="2332"/>
      <c r="C99" s="2333"/>
      <c r="E99" s="2332"/>
    </row>
    <row r="100" spans="1:5" s="2249" customFormat="1">
      <c r="A100" s="2332"/>
      <c r="C100" s="2333"/>
      <c r="E100" s="2332"/>
    </row>
    <row r="101" spans="1:5" s="2249" customFormat="1">
      <c r="A101" s="2332"/>
      <c r="C101" s="2333"/>
      <c r="E101" s="2332"/>
    </row>
    <row r="102" spans="1:5" s="2249" customFormat="1">
      <c r="A102" s="2332"/>
      <c r="C102" s="2333"/>
      <c r="E102" s="2332"/>
    </row>
    <row r="103" spans="1:5" s="2249" customFormat="1">
      <c r="A103" s="2332"/>
      <c r="C103" s="2333"/>
      <c r="E103" s="2332"/>
    </row>
    <row r="104" spans="1:5" s="2249" customFormat="1">
      <c r="A104" s="2332"/>
      <c r="C104" s="2333"/>
      <c r="E104" s="2332"/>
    </row>
    <row r="105" spans="1:5" s="2249" customFormat="1">
      <c r="A105" s="2332"/>
      <c r="C105" s="2333"/>
      <c r="E105" s="2332"/>
    </row>
    <row r="106" spans="1:5" s="2249" customFormat="1">
      <c r="A106" s="2332"/>
      <c r="C106" s="2333"/>
      <c r="E106" s="2332"/>
    </row>
    <row r="107" spans="1:5" s="2249" customFormat="1">
      <c r="A107" s="2332"/>
      <c r="C107" s="2333"/>
      <c r="E107" s="2332"/>
    </row>
    <row r="108" spans="1:5" s="2249" customFormat="1">
      <c r="A108" s="2332"/>
      <c r="C108" s="2333"/>
      <c r="E108" s="2332"/>
    </row>
    <row r="109" spans="1:5" s="2249" customFormat="1">
      <c r="A109" s="2332"/>
      <c r="C109" s="2333"/>
      <c r="E109" s="2332"/>
    </row>
    <row r="110" spans="1:5" s="2249" customFormat="1">
      <c r="A110" s="2332"/>
      <c r="C110" s="2333"/>
      <c r="E110" s="2332"/>
    </row>
    <row r="111" spans="1:5" s="2249" customFormat="1">
      <c r="A111" s="2332"/>
      <c r="C111" s="2333"/>
      <c r="E111" s="2332"/>
    </row>
    <row r="112" spans="1:5" s="2249" customFormat="1">
      <c r="A112" s="2332"/>
      <c r="C112" s="2333"/>
      <c r="E112" s="2332"/>
    </row>
    <row r="113" spans="1:5" s="2249" customFormat="1">
      <c r="A113" s="2332"/>
      <c r="C113" s="2333"/>
      <c r="E113" s="2332"/>
    </row>
    <row r="114" spans="1:5" s="2249" customFormat="1">
      <c r="A114" s="2332"/>
      <c r="C114" s="2333"/>
      <c r="E114" s="2332"/>
    </row>
    <row r="115" spans="1:5" s="2249" customFormat="1">
      <c r="A115" s="2332"/>
      <c r="C115" s="2333"/>
      <c r="E115" s="2332"/>
    </row>
    <row r="116" spans="1:5" s="2249" customFormat="1">
      <c r="A116" s="2332"/>
      <c r="C116" s="2333"/>
      <c r="E116" s="2332"/>
    </row>
    <row r="117" spans="1:5" s="2249" customFormat="1">
      <c r="A117" s="2332"/>
      <c r="C117" s="2333"/>
      <c r="E117" s="2332"/>
    </row>
    <row r="118" spans="1:5" s="2249" customFormat="1">
      <c r="A118" s="2332"/>
      <c r="C118" s="2333"/>
      <c r="E118" s="2332"/>
    </row>
    <row r="119" spans="1:5" s="2249" customFormat="1">
      <c r="A119" s="2332"/>
      <c r="C119" s="2333"/>
      <c r="E119" s="2332"/>
    </row>
    <row r="120" spans="1:5" s="2249" customFormat="1">
      <c r="A120" s="2332"/>
      <c r="C120" s="2333"/>
      <c r="E120" s="2332"/>
    </row>
    <row r="121" spans="1:5" s="2249" customFormat="1">
      <c r="A121" s="2332"/>
      <c r="C121" s="2333"/>
      <c r="E121" s="2332"/>
    </row>
    <row r="122" spans="1:5" s="2249" customFormat="1">
      <c r="A122" s="2332"/>
      <c r="C122" s="2333"/>
      <c r="E122" s="2332"/>
    </row>
    <row r="123" spans="1:5" s="2249" customFormat="1">
      <c r="A123" s="2332"/>
      <c r="C123" s="2333"/>
      <c r="E123" s="2332"/>
    </row>
    <row r="124" spans="1:5" s="2249" customFormat="1">
      <c r="A124" s="2332"/>
      <c r="C124" s="2333"/>
      <c r="E124" s="2332"/>
    </row>
    <row r="125" spans="1:5" s="2249" customFormat="1">
      <c r="A125" s="2332"/>
      <c r="C125" s="2333"/>
      <c r="E125" s="2332"/>
    </row>
    <row r="126" spans="1:5" s="2249" customFormat="1">
      <c r="A126" s="2332"/>
      <c r="C126" s="2333"/>
      <c r="E126" s="2332"/>
    </row>
    <row r="127" spans="1:5" s="2249" customFormat="1">
      <c r="A127" s="2332"/>
      <c r="C127" s="2333"/>
      <c r="E127" s="2332"/>
    </row>
    <row r="128" spans="1:5" s="2249" customFormat="1">
      <c r="A128" s="2332"/>
      <c r="C128" s="2333"/>
      <c r="E128" s="2332"/>
    </row>
    <row r="129" spans="1:5" s="2249" customFormat="1">
      <c r="A129" s="2332"/>
      <c r="C129" s="2333"/>
      <c r="E129" s="2332"/>
    </row>
    <row r="130" spans="1:5" s="2249" customFormat="1">
      <c r="A130" s="2332"/>
      <c r="C130" s="2333"/>
      <c r="E130" s="2332"/>
    </row>
    <row r="131" spans="1:5" s="2249" customFormat="1">
      <c r="A131" s="2332"/>
      <c r="C131" s="2333"/>
      <c r="E131" s="2332"/>
    </row>
    <row r="132" spans="1:5" s="2249" customFormat="1">
      <c r="A132" s="2332"/>
      <c r="C132" s="2333"/>
      <c r="E132" s="2332"/>
    </row>
    <row r="133" spans="1:5" s="2249" customFormat="1">
      <c r="A133" s="2332"/>
      <c r="C133" s="2333"/>
      <c r="E133" s="2332"/>
    </row>
    <row r="134" spans="1:5" s="2249" customFormat="1">
      <c r="A134" s="2332"/>
      <c r="C134" s="2333"/>
      <c r="E134" s="2332"/>
    </row>
    <row r="135" spans="1:5" s="2249" customFormat="1">
      <c r="A135" s="2332"/>
      <c r="C135" s="2333"/>
      <c r="E135" s="2332"/>
    </row>
    <row r="136" spans="1:5" s="2249" customFormat="1">
      <c r="A136" s="2332"/>
      <c r="C136" s="2333"/>
      <c r="E136" s="2332"/>
    </row>
    <row r="137" spans="1:5" s="2249" customFormat="1">
      <c r="A137" s="2332"/>
      <c r="C137" s="2333"/>
      <c r="E137" s="2332"/>
    </row>
    <row r="138" spans="1:5" s="2249" customFormat="1">
      <c r="A138" s="2332"/>
      <c r="C138" s="2333"/>
      <c r="E138" s="2332"/>
    </row>
    <row r="139" spans="1:5" s="2249" customFormat="1">
      <c r="A139" s="2332"/>
      <c r="C139" s="2333"/>
      <c r="E139" s="2332"/>
    </row>
    <row r="140" spans="1:5" s="2249" customFormat="1">
      <c r="A140" s="2332"/>
      <c r="C140" s="2333"/>
      <c r="E140" s="2332"/>
    </row>
    <row r="141" spans="1:5" s="2249" customFormat="1">
      <c r="A141" s="2332"/>
      <c r="C141" s="2333"/>
      <c r="E141" s="2332"/>
    </row>
    <row r="142" spans="1:5" s="2249" customFormat="1">
      <c r="A142" s="2332"/>
      <c r="C142" s="2333"/>
      <c r="E142" s="2332"/>
    </row>
    <row r="143" spans="1:5" s="2249" customFormat="1">
      <c r="A143" s="2332"/>
      <c r="C143" s="2333"/>
      <c r="E143" s="2332"/>
    </row>
    <row r="144" spans="1:5" s="2249" customFormat="1">
      <c r="A144" s="2332"/>
      <c r="C144" s="2333"/>
      <c r="E144" s="2332"/>
    </row>
    <row r="145" spans="1:5" s="2249" customFormat="1">
      <c r="A145" s="2332"/>
      <c r="C145" s="2333"/>
      <c r="E145" s="2332"/>
    </row>
    <row r="146" spans="1:5" s="2249" customFormat="1">
      <c r="A146" s="2332"/>
      <c r="C146" s="2333"/>
      <c r="E146" s="2332"/>
    </row>
    <row r="147" spans="1:5" s="2249" customFormat="1">
      <c r="A147" s="2332"/>
      <c r="C147" s="2333"/>
      <c r="E147" s="2332"/>
    </row>
    <row r="148" spans="1:5" s="2249" customFormat="1">
      <c r="A148" s="2332"/>
      <c r="C148" s="2333"/>
      <c r="E148" s="2332"/>
    </row>
    <row r="149" spans="1:5" s="2249" customFormat="1">
      <c r="A149" s="2332"/>
      <c r="C149" s="2333"/>
      <c r="E149" s="2332"/>
    </row>
    <row r="150" spans="1:5" s="2249" customFormat="1">
      <c r="A150" s="2332"/>
      <c r="C150" s="2333"/>
      <c r="E150" s="2332"/>
    </row>
    <row r="151" spans="1:5" s="2249" customFormat="1">
      <c r="A151" s="2332"/>
      <c r="C151" s="2333"/>
      <c r="E151" s="2332"/>
    </row>
    <row r="152" spans="1:5" s="2249" customFormat="1">
      <c r="A152" s="2332"/>
      <c r="C152" s="2333"/>
      <c r="E152" s="2332"/>
    </row>
    <row r="153" spans="1:5" s="2249" customFormat="1">
      <c r="A153" s="2332"/>
      <c r="C153" s="2333"/>
      <c r="E153" s="2332"/>
    </row>
    <row r="154" spans="1:5" s="2249" customFormat="1">
      <c r="A154" s="2332"/>
      <c r="C154" s="2333"/>
      <c r="E154" s="2332"/>
    </row>
    <row r="155" spans="1:5" s="2249" customFormat="1">
      <c r="A155" s="2332"/>
      <c r="C155" s="2333"/>
      <c r="E155" s="2332"/>
    </row>
    <row r="156" spans="1:5" s="2249" customFormat="1">
      <c r="A156" s="2332"/>
      <c r="C156" s="2333"/>
      <c r="E156" s="2332"/>
    </row>
    <row r="157" spans="1:5" s="2249" customFormat="1">
      <c r="A157" s="2332"/>
      <c r="C157" s="2333"/>
      <c r="E157" s="2332"/>
    </row>
    <row r="158" spans="1:5" s="2249" customFormat="1">
      <c r="A158" s="2332"/>
      <c r="C158" s="2333"/>
      <c r="E158" s="2332"/>
    </row>
    <row r="159" spans="1:5" s="2249" customFormat="1">
      <c r="A159" s="2332"/>
      <c r="C159" s="2333"/>
      <c r="E159" s="2332"/>
    </row>
    <row r="160" spans="1:5" s="2249" customFormat="1">
      <c r="A160" s="2332"/>
      <c r="C160" s="2333"/>
      <c r="E160" s="2332"/>
    </row>
    <row r="161" spans="1:5" s="2249" customFormat="1">
      <c r="A161" s="2332"/>
      <c r="C161" s="2333"/>
      <c r="E161" s="2332"/>
    </row>
    <row r="162" spans="1:5" s="2249" customFormat="1">
      <c r="A162" s="2332"/>
      <c r="C162" s="2333"/>
      <c r="E162" s="2332"/>
    </row>
    <row r="163" spans="1:5" s="2249" customFormat="1">
      <c r="A163" s="2332"/>
      <c r="C163" s="2333"/>
      <c r="E163" s="2332"/>
    </row>
    <row r="164" spans="1:5" s="2249" customFormat="1">
      <c r="A164" s="2332"/>
      <c r="C164" s="2333"/>
      <c r="E164" s="2332"/>
    </row>
    <row r="165" spans="1:5" s="2249" customFormat="1">
      <c r="A165" s="2332"/>
      <c r="C165" s="2333"/>
      <c r="E165" s="2332"/>
    </row>
    <row r="166" spans="1:5" s="2249" customFormat="1">
      <c r="A166" s="2332"/>
      <c r="C166" s="2333"/>
      <c r="E166" s="2332"/>
    </row>
    <row r="167" spans="1:5" s="2249" customFormat="1">
      <c r="A167" s="2332"/>
      <c r="C167" s="2333"/>
      <c r="E167" s="2332"/>
    </row>
    <row r="168" spans="1:5" s="2249" customFormat="1">
      <c r="A168" s="2332"/>
      <c r="C168" s="2333"/>
      <c r="E168" s="2332"/>
    </row>
    <row r="169" spans="1:5" s="2249" customFormat="1">
      <c r="A169" s="2332"/>
      <c r="C169" s="2333"/>
      <c r="E169" s="2332"/>
    </row>
    <row r="170" spans="1:5" s="2249" customFormat="1">
      <c r="A170" s="2332"/>
      <c r="C170" s="2333"/>
      <c r="E170" s="2332"/>
    </row>
    <row r="171" spans="1:5" s="2249" customFormat="1">
      <c r="A171" s="2332"/>
      <c r="C171" s="2333"/>
      <c r="E171" s="2332"/>
    </row>
    <row r="172" spans="1:5" s="2249" customFormat="1">
      <c r="A172" s="2332"/>
      <c r="C172" s="2333"/>
      <c r="E172" s="2332"/>
    </row>
    <row r="173" spans="1:5" s="2249" customFormat="1">
      <c r="A173" s="2332"/>
      <c r="C173" s="2333"/>
      <c r="E173" s="2332"/>
    </row>
    <row r="174" spans="1:5" s="2249" customFormat="1">
      <c r="A174" s="2332"/>
      <c r="C174" s="2333"/>
      <c r="E174" s="2332"/>
    </row>
    <row r="175" spans="1:5" s="2249" customFormat="1">
      <c r="A175" s="2332"/>
      <c r="C175" s="2333"/>
      <c r="E175" s="2332"/>
    </row>
    <row r="176" spans="1:5" s="2249" customFormat="1">
      <c r="A176" s="2332"/>
      <c r="C176" s="2333"/>
      <c r="E176" s="2332"/>
    </row>
    <row r="177" spans="1:5" s="2249" customFormat="1">
      <c r="A177" s="2332"/>
      <c r="C177" s="2333"/>
      <c r="E177" s="2332"/>
    </row>
    <row r="178" spans="1:5" s="2249" customFormat="1">
      <c r="A178" s="2332"/>
      <c r="C178" s="2333"/>
      <c r="E178" s="2332"/>
    </row>
    <row r="179" spans="1:5" s="2249" customFormat="1">
      <c r="A179" s="2332"/>
      <c r="C179" s="2333"/>
      <c r="E179" s="2332"/>
    </row>
    <row r="180" spans="1:5" s="2249" customFormat="1">
      <c r="A180" s="2332"/>
      <c r="C180" s="2333"/>
      <c r="E180" s="2332"/>
    </row>
    <row r="181" spans="1:5" s="2249" customFormat="1">
      <c r="A181" s="2332"/>
      <c r="C181" s="2333"/>
      <c r="E181" s="2332"/>
    </row>
    <row r="182" spans="1:5" s="2249" customFormat="1">
      <c r="A182" s="2332"/>
      <c r="C182" s="2333"/>
      <c r="E182" s="2332"/>
    </row>
    <row r="183" spans="1:5" s="2249" customFormat="1">
      <c r="A183" s="2332"/>
      <c r="C183" s="2333"/>
      <c r="E183" s="2332"/>
    </row>
    <row r="184" spans="1:5" s="2249" customFormat="1">
      <c r="A184" s="2332"/>
      <c r="C184" s="2333"/>
      <c r="E184" s="2332"/>
    </row>
    <row r="185" spans="1:5" s="2249" customFormat="1">
      <c r="A185" s="2332"/>
      <c r="C185" s="2333"/>
      <c r="E185" s="2332"/>
    </row>
    <row r="186" spans="1:5" s="2249" customFormat="1">
      <c r="A186" s="2332"/>
      <c r="C186" s="2333"/>
      <c r="E186" s="2332"/>
    </row>
    <row r="187" spans="1:5" s="2249" customFormat="1">
      <c r="A187" s="2332"/>
      <c r="C187" s="2333"/>
      <c r="E187" s="2332"/>
    </row>
    <row r="188" spans="1:5" s="2249" customFormat="1">
      <c r="A188" s="2332"/>
      <c r="C188" s="2333"/>
      <c r="E188" s="2332"/>
    </row>
    <row r="189" spans="1:5" s="2249" customFormat="1">
      <c r="A189" s="2332"/>
      <c r="C189" s="2333"/>
      <c r="E189" s="2332"/>
    </row>
    <row r="190" spans="1:5" s="2249" customFormat="1">
      <c r="A190" s="2332"/>
      <c r="C190" s="2333"/>
      <c r="E190" s="2332"/>
    </row>
    <row r="191" spans="1:5" s="2249" customFormat="1">
      <c r="A191" s="2332"/>
      <c r="C191" s="2333"/>
      <c r="E191" s="2332"/>
    </row>
    <row r="192" spans="1:5" s="2249" customFormat="1">
      <c r="A192" s="2332"/>
      <c r="C192" s="2333"/>
      <c r="E192" s="2332"/>
    </row>
    <row r="193" spans="1:5" s="2249" customFormat="1">
      <c r="A193" s="2332"/>
      <c r="C193" s="2333"/>
      <c r="E193" s="2332"/>
    </row>
    <row r="194" spans="1:5" s="2249" customFormat="1">
      <c r="A194" s="2332"/>
      <c r="C194" s="2333"/>
      <c r="E194" s="2332"/>
    </row>
    <row r="195" spans="1:5" s="2249" customFormat="1">
      <c r="A195" s="2332"/>
      <c r="C195" s="2333"/>
      <c r="E195" s="2332"/>
    </row>
    <row r="196" spans="1:5" s="2249" customFormat="1">
      <c r="A196" s="2332"/>
      <c r="C196" s="2333"/>
      <c r="E196" s="2332"/>
    </row>
    <row r="197" spans="1:5" s="2249" customFormat="1">
      <c r="A197" s="2332"/>
      <c r="C197" s="2333"/>
      <c r="E197" s="2332"/>
    </row>
    <row r="198" spans="1:5" s="2249" customFormat="1">
      <c r="A198" s="2332"/>
      <c r="C198" s="2333"/>
      <c r="E198" s="2332"/>
    </row>
    <row r="199" spans="1:5" s="2249" customFormat="1">
      <c r="A199" s="2332"/>
      <c r="C199" s="2333"/>
      <c r="E199" s="2332"/>
    </row>
    <row r="200" spans="1:5" s="2249" customFormat="1">
      <c r="A200" s="2332"/>
      <c r="C200" s="2333"/>
      <c r="E200" s="2332"/>
    </row>
    <row r="201" spans="1:5" s="2249" customFormat="1">
      <c r="A201" s="2332"/>
      <c r="C201" s="2333"/>
      <c r="E201" s="2332"/>
    </row>
    <row r="202" spans="1:5" s="2249" customFormat="1">
      <c r="A202" s="2332"/>
      <c r="C202" s="2333"/>
      <c r="E202" s="2332"/>
    </row>
    <row r="203" spans="1:5" s="2249" customFormat="1">
      <c r="A203" s="2332"/>
      <c r="C203" s="2333"/>
      <c r="E203" s="2332"/>
    </row>
    <row r="204" spans="1:5" s="2249" customFormat="1">
      <c r="A204" s="2332"/>
      <c r="C204" s="2333"/>
      <c r="E204" s="2332"/>
    </row>
    <row r="205" spans="1:5" s="2249" customFormat="1">
      <c r="A205" s="2332"/>
      <c r="C205" s="2333"/>
      <c r="E205" s="2332"/>
    </row>
    <row r="206" spans="1:5" s="2249" customFormat="1">
      <c r="A206" s="2332"/>
      <c r="C206" s="2333"/>
      <c r="E206" s="2332"/>
    </row>
    <row r="207" spans="1:5" s="2249" customFormat="1">
      <c r="A207" s="2332"/>
      <c r="C207" s="2333"/>
      <c r="E207" s="2332"/>
    </row>
    <row r="208" spans="1:5" s="2249" customFormat="1">
      <c r="A208" s="2332"/>
      <c r="C208" s="2333"/>
      <c r="E208" s="2332"/>
    </row>
    <row r="209" spans="1:5" s="2249" customFormat="1">
      <c r="A209" s="2332"/>
      <c r="C209" s="2333"/>
      <c r="E209" s="2332"/>
    </row>
    <row r="210" spans="1:5" s="2249" customFormat="1">
      <c r="A210" s="2332"/>
      <c r="C210" s="2333"/>
      <c r="E210" s="2332"/>
    </row>
    <row r="211" spans="1:5" s="2249" customFormat="1">
      <c r="A211" s="2332"/>
      <c r="C211" s="2333"/>
      <c r="E211" s="2332"/>
    </row>
    <row r="212" spans="1:5" s="2249" customFormat="1">
      <c r="A212" s="2332"/>
      <c r="C212" s="2333"/>
      <c r="E212" s="2332"/>
    </row>
    <row r="213" spans="1:5" s="2249" customFormat="1">
      <c r="A213" s="2332"/>
      <c r="C213" s="2333"/>
      <c r="E213" s="2332"/>
    </row>
    <row r="214" spans="1:5" s="2249" customFormat="1">
      <c r="A214" s="2332"/>
      <c r="C214" s="2333"/>
      <c r="E214" s="2332"/>
    </row>
    <row r="215" spans="1:5" s="2249" customFormat="1">
      <c r="A215" s="2332"/>
      <c r="C215" s="2333"/>
      <c r="E215" s="2332"/>
    </row>
    <row r="216" spans="1:5" s="2249" customFormat="1">
      <c r="A216" s="2332"/>
      <c r="C216" s="2333"/>
      <c r="E216" s="2332"/>
    </row>
    <row r="217" spans="1:5" s="2249" customFormat="1">
      <c r="A217" s="2332"/>
      <c r="C217" s="2333"/>
      <c r="E217" s="2332"/>
    </row>
    <row r="218" spans="1:5" s="2249" customFormat="1">
      <c r="A218" s="2332"/>
      <c r="C218" s="2333"/>
      <c r="E218" s="2332"/>
    </row>
    <row r="219" spans="1:5" s="2249" customFormat="1">
      <c r="A219" s="2332"/>
      <c r="C219" s="2333"/>
      <c r="E219" s="2332"/>
    </row>
    <row r="220" spans="1:5" s="2249" customFormat="1">
      <c r="A220" s="2332"/>
      <c r="C220" s="2333"/>
      <c r="E220" s="2332"/>
    </row>
    <row r="221" spans="1:5" s="2249" customFormat="1">
      <c r="A221" s="2332"/>
      <c r="C221" s="2333"/>
      <c r="E221" s="2332"/>
    </row>
    <row r="222" spans="1:5" s="2249" customFormat="1">
      <c r="A222" s="2332"/>
      <c r="C222" s="2333"/>
      <c r="E222" s="2332"/>
    </row>
    <row r="223" spans="1:5" s="2249" customFormat="1">
      <c r="A223" s="2332"/>
      <c r="C223" s="2333"/>
      <c r="E223" s="2332"/>
    </row>
    <row r="224" spans="1:5" s="2249" customFormat="1">
      <c r="A224" s="2332"/>
      <c r="C224" s="2333"/>
      <c r="E224" s="2332"/>
    </row>
    <row r="225" spans="1:5" s="2249" customFormat="1">
      <c r="A225" s="2332"/>
      <c r="C225" s="2333"/>
      <c r="E225" s="2332"/>
    </row>
    <row r="226" spans="1:5" s="2249" customFormat="1">
      <c r="A226" s="2332"/>
      <c r="C226" s="2333"/>
      <c r="E226" s="2332"/>
    </row>
    <row r="227" spans="1:5" s="2249" customFormat="1">
      <c r="A227" s="2332"/>
      <c r="C227" s="2333"/>
      <c r="E227" s="2332"/>
    </row>
    <row r="228" spans="1:5" s="2249" customFormat="1">
      <c r="A228" s="2332"/>
      <c r="C228" s="2333"/>
      <c r="E228" s="2332"/>
    </row>
    <row r="229" spans="1:5" s="2249" customFormat="1">
      <c r="A229" s="2332"/>
      <c r="C229" s="2333"/>
      <c r="E229" s="2332"/>
    </row>
    <row r="230" spans="1:5" s="2249" customFormat="1">
      <c r="A230" s="2332"/>
      <c r="C230" s="2333"/>
      <c r="E230" s="2332"/>
    </row>
    <row r="231" spans="1:5" s="2249" customFormat="1">
      <c r="A231" s="2332"/>
      <c r="C231" s="2333"/>
      <c r="E231" s="2332"/>
    </row>
    <row r="232" spans="1:5" s="2249" customFormat="1">
      <c r="A232" s="2332"/>
      <c r="C232" s="2333"/>
      <c r="E232" s="2332"/>
    </row>
    <row r="233" spans="1:5" s="2249" customFormat="1">
      <c r="A233" s="2332"/>
      <c r="C233" s="2333"/>
      <c r="E233" s="2332"/>
    </row>
    <row r="234" spans="1:5" s="2249" customFormat="1">
      <c r="A234" s="2332"/>
      <c r="C234" s="2333"/>
      <c r="E234" s="2332"/>
    </row>
    <row r="235" spans="1:5" s="2249" customFormat="1">
      <c r="A235" s="2332"/>
      <c r="C235" s="2333"/>
      <c r="E235" s="2332"/>
    </row>
    <row r="236" spans="1:5" s="2249" customFormat="1">
      <c r="A236" s="2332"/>
      <c r="C236" s="2333"/>
      <c r="E236" s="2332"/>
    </row>
    <row r="237" spans="1:5" s="2249" customFormat="1">
      <c r="A237" s="2332"/>
      <c r="C237" s="2333"/>
      <c r="E237" s="2332"/>
    </row>
    <row r="238" spans="1:5" s="2249" customFormat="1">
      <c r="A238" s="2332"/>
      <c r="C238" s="2333"/>
      <c r="E238" s="2332"/>
    </row>
    <row r="239" spans="1:5" s="2249" customFormat="1">
      <c r="A239" s="2332"/>
      <c r="C239" s="2333"/>
      <c r="E239" s="2332"/>
    </row>
    <row r="240" spans="1:5" s="2249" customFormat="1">
      <c r="A240" s="2332"/>
      <c r="C240" s="2333"/>
      <c r="E240" s="2332"/>
    </row>
    <row r="241" spans="1:5" s="2249" customFormat="1">
      <c r="A241" s="2332"/>
      <c r="C241" s="2333"/>
      <c r="E241" s="2332"/>
    </row>
    <row r="242" spans="1:5" s="2249" customFormat="1">
      <c r="A242" s="2332"/>
      <c r="C242" s="2333"/>
      <c r="E242" s="2332"/>
    </row>
    <row r="243" spans="1:5" s="2249" customFormat="1">
      <c r="A243" s="2332"/>
      <c r="C243" s="2333"/>
      <c r="E243" s="2332"/>
    </row>
    <row r="244" spans="1:5" s="2249" customFormat="1">
      <c r="A244" s="2332"/>
      <c r="C244" s="2333"/>
      <c r="E244" s="2332"/>
    </row>
    <row r="245" spans="1:5" s="2249" customFormat="1">
      <c r="A245" s="2332"/>
      <c r="C245" s="2333"/>
      <c r="E245" s="2332"/>
    </row>
    <row r="246" spans="1:5" s="2249" customFormat="1">
      <c r="A246" s="2332"/>
      <c r="C246" s="2333"/>
      <c r="E246" s="2332"/>
    </row>
    <row r="247" spans="1:5" s="2249" customFormat="1">
      <c r="A247" s="2332"/>
      <c r="C247" s="2333"/>
      <c r="E247" s="2332"/>
    </row>
    <row r="248" spans="1:5" s="2249" customFormat="1">
      <c r="A248" s="2332"/>
      <c r="C248" s="2333"/>
      <c r="E248" s="2332"/>
    </row>
    <row r="249" spans="1:5" s="2249" customFormat="1">
      <c r="A249" s="2332"/>
      <c r="C249" s="2333"/>
      <c r="E249" s="2332"/>
    </row>
    <row r="250" spans="1:5" s="2249" customFormat="1">
      <c r="A250" s="2332"/>
      <c r="C250" s="2333"/>
      <c r="E250" s="2332"/>
    </row>
    <row r="251" spans="1:5" s="2249" customFormat="1">
      <c r="A251" s="2332"/>
      <c r="C251" s="2333"/>
      <c r="E251" s="2332"/>
    </row>
    <row r="252" spans="1:5" s="2249" customFormat="1">
      <c r="A252" s="2332"/>
      <c r="C252" s="2333"/>
      <c r="E252" s="2332"/>
    </row>
    <row r="253" spans="1:5" s="2249" customFormat="1">
      <c r="A253" s="2332"/>
      <c r="C253" s="2333"/>
      <c r="E253" s="2332"/>
    </row>
    <row r="254" spans="1:5" s="2249" customFormat="1">
      <c r="A254" s="2332"/>
      <c r="C254" s="2333"/>
      <c r="E254" s="2332"/>
    </row>
    <row r="255" spans="1:5" s="2249" customFormat="1">
      <c r="A255" s="2332"/>
      <c r="C255" s="2333"/>
      <c r="E255" s="2332"/>
    </row>
    <row r="256" spans="1:5" s="2249" customFormat="1">
      <c r="A256" s="2332"/>
      <c r="C256" s="2333"/>
      <c r="E256" s="2332"/>
    </row>
    <row r="257" spans="1:5" s="2249" customFormat="1">
      <c r="A257" s="2332"/>
      <c r="C257" s="2333"/>
      <c r="E257" s="2332"/>
    </row>
    <row r="258" spans="1:5" s="2249" customFormat="1">
      <c r="A258" s="2332"/>
      <c r="C258" s="2333"/>
      <c r="E258" s="2332"/>
    </row>
    <row r="259" spans="1:5" s="2249" customFormat="1">
      <c r="A259" s="2332"/>
      <c r="C259" s="2333"/>
      <c r="E259" s="2332"/>
    </row>
    <row r="260" spans="1:5" s="2249" customFormat="1">
      <c r="A260" s="2332"/>
      <c r="C260" s="2333"/>
      <c r="E260" s="2332"/>
    </row>
    <row r="261" spans="1:5" s="2249" customFormat="1">
      <c r="A261" s="2332"/>
      <c r="C261" s="2333"/>
      <c r="E261" s="2332"/>
    </row>
    <row r="262" spans="1:5" s="2249" customFormat="1">
      <c r="A262" s="2332"/>
      <c r="C262" s="2333"/>
      <c r="E262" s="2332"/>
    </row>
    <row r="263" spans="1:5" s="2249" customFormat="1">
      <c r="A263" s="2332"/>
      <c r="C263" s="2333"/>
      <c r="E263" s="2332"/>
    </row>
    <row r="264" spans="1:5" s="2249" customFormat="1">
      <c r="A264" s="2332"/>
      <c r="C264" s="2333"/>
      <c r="E264" s="2332"/>
    </row>
    <row r="265" spans="1:5" s="2249" customFormat="1">
      <c r="A265" s="2332"/>
      <c r="C265" s="2333"/>
      <c r="E265" s="2332"/>
    </row>
    <row r="266" spans="1:5" s="2249" customFormat="1">
      <c r="A266" s="2332"/>
      <c r="C266" s="2333"/>
      <c r="E266" s="2332"/>
    </row>
    <row r="267" spans="1:5" s="2249" customFormat="1">
      <c r="A267" s="2332"/>
      <c r="C267" s="2333"/>
      <c r="E267" s="2332"/>
    </row>
    <row r="268" spans="1:5" s="2249" customFormat="1">
      <c r="A268" s="2332"/>
      <c r="C268" s="2333"/>
      <c r="E268" s="2332"/>
    </row>
    <row r="269" spans="1:5" s="2249" customFormat="1">
      <c r="A269" s="2332"/>
      <c r="C269" s="2333"/>
      <c r="E269" s="2332"/>
    </row>
    <row r="270" spans="1:5" s="2249" customFormat="1">
      <c r="A270" s="2332"/>
      <c r="C270" s="2333"/>
      <c r="E270" s="2332"/>
    </row>
    <row r="271" spans="1:5" s="2249" customFormat="1">
      <c r="A271" s="2332"/>
      <c r="C271" s="2333"/>
      <c r="E271" s="2332"/>
    </row>
    <row r="272" spans="1:5" s="2249" customFormat="1">
      <c r="A272" s="2332"/>
      <c r="C272" s="2333"/>
      <c r="E272" s="2332"/>
    </row>
    <row r="273" spans="1:5" s="2249" customFormat="1">
      <c r="A273" s="2332"/>
      <c r="C273" s="2333"/>
      <c r="E273" s="2332"/>
    </row>
    <row r="274" spans="1:5" s="2249" customFormat="1">
      <c r="A274" s="2332"/>
      <c r="C274" s="2333"/>
      <c r="E274" s="2332"/>
    </row>
    <row r="275" spans="1:5" s="2249" customFormat="1">
      <c r="A275" s="2332"/>
      <c r="C275" s="2333"/>
      <c r="E275" s="2332"/>
    </row>
    <row r="276" spans="1:5" s="2249" customFormat="1">
      <c r="A276" s="2332"/>
      <c r="C276" s="2333"/>
      <c r="E276" s="2332"/>
    </row>
    <row r="277" spans="1:5" s="2249" customFormat="1">
      <c r="A277" s="2332"/>
      <c r="C277" s="2333"/>
      <c r="E277" s="2332"/>
    </row>
    <row r="278" spans="1:5" s="2249" customFormat="1">
      <c r="A278" s="2332"/>
      <c r="C278" s="2333"/>
      <c r="E278" s="2332"/>
    </row>
    <row r="279" spans="1:5" s="2249" customFormat="1">
      <c r="A279" s="2332"/>
      <c r="C279" s="2333"/>
      <c r="E279" s="2332"/>
    </row>
    <row r="280" spans="1:5" s="2249" customFormat="1">
      <c r="A280" s="2332"/>
      <c r="C280" s="2333"/>
      <c r="E280" s="2332"/>
    </row>
    <row r="281" spans="1:5" s="2249" customFormat="1">
      <c r="A281" s="2332"/>
      <c r="C281" s="2333"/>
      <c r="E281" s="2332"/>
    </row>
    <row r="282" spans="1:5" s="2249" customFormat="1">
      <c r="A282" s="2332"/>
      <c r="C282" s="2333"/>
      <c r="E282" s="2332"/>
    </row>
    <row r="283" spans="1:5" s="2249" customFormat="1">
      <c r="A283" s="2332"/>
      <c r="C283" s="2333"/>
      <c r="E283" s="2332"/>
    </row>
    <row r="284" spans="1:5" s="2249" customFormat="1">
      <c r="A284" s="2332"/>
      <c r="C284" s="2333"/>
      <c r="E284" s="2332"/>
    </row>
    <row r="285" spans="1:5" s="2249" customFormat="1">
      <c r="A285" s="2332"/>
      <c r="C285" s="2333"/>
      <c r="E285" s="2332"/>
    </row>
    <row r="286" spans="1:5" s="2249" customFormat="1">
      <c r="A286" s="2332"/>
      <c r="C286" s="2333"/>
      <c r="E286" s="2332"/>
    </row>
    <row r="287" spans="1:5" s="2249" customFormat="1">
      <c r="A287" s="2332"/>
      <c r="C287" s="2333"/>
      <c r="E287" s="2332"/>
    </row>
    <row r="288" spans="1:5" s="2249" customFormat="1">
      <c r="A288" s="2332"/>
      <c r="C288" s="2333"/>
      <c r="E288" s="2332"/>
    </row>
    <row r="289" spans="1:5" s="2249" customFormat="1">
      <c r="A289" s="2332"/>
      <c r="C289" s="2333"/>
      <c r="E289" s="2332"/>
    </row>
    <row r="290" spans="1:5" s="2249" customFormat="1">
      <c r="A290" s="2332"/>
      <c r="C290" s="2333"/>
      <c r="E290" s="2332"/>
    </row>
    <row r="291" spans="1:5" s="2249" customFormat="1">
      <c r="A291" s="2332"/>
      <c r="C291" s="2333"/>
      <c r="E291" s="2332"/>
    </row>
    <row r="292" spans="1:5" s="2249" customFormat="1">
      <c r="A292" s="2332"/>
      <c r="C292" s="2333"/>
      <c r="E292" s="2332"/>
    </row>
    <row r="293" spans="1:5" s="2249" customFormat="1">
      <c r="A293" s="2332"/>
      <c r="C293" s="2333"/>
      <c r="E293" s="2332"/>
    </row>
    <row r="294" spans="1:5" s="2249" customFormat="1">
      <c r="A294" s="2332"/>
      <c r="C294" s="2333"/>
      <c r="E294" s="2332"/>
    </row>
    <row r="295" spans="1:5" s="2249" customFormat="1">
      <c r="A295" s="2332"/>
      <c r="C295" s="2333"/>
      <c r="E295" s="2332"/>
    </row>
    <row r="296" spans="1:5" s="2249" customFormat="1">
      <c r="A296" s="2332"/>
      <c r="C296" s="2333"/>
      <c r="E296" s="2332"/>
    </row>
    <row r="297" spans="1:5" s="2249" customFormat="1">
      <c r="A297" s="2332"/>
      <c r="C297" s="2333"/>
      <c r="E297" s="2332"/>
    </row>
    <row r="298" spans="1:5" s="2249" customFormat="1">
      <c r="A298" s="2332"/>
      <c r="C298" s="2333"/>
      <c r="E298" s="2332"/>
    </row>
    <row r="299" spans="1:5" s="2249" customFormat="1">
      <c r="A299" s="2332"/>
      <c r="C299" s="2333"/>
      <c r="E299" s="2332"/>
    </row>
    <row r="300" spans="1:5" s="2249" customFormat="1">
      <c r="A300" s="2332"/>
      <c r="C300" s="2333"/>
      <c r="E300" s="2332"/>
    </row>
    <row r="301" spans="1:5" s="2249" customFormat="1">
      <c r="A301" s="2332"/>
      <c r="C301" s="2333"/>
      <c r="E301" s="2332"/>
    </row>
    <row r="302" spans="1:5" s="2249" customFormat="1">
      <c r="A302" s="2332"/>
      <c r="C302" s="2333"/>
      <c r="E302" s="2332"/>
    </row>
    <row r="303" spans="1:5" s="2249" customFormat="1">
      <c r="A303" s="2332"/>
      <c r="C303" s="2333"/>
      <c r="E303" s="2332"/>
    </row>
    <row r="304" spans="1:5" s="2249" customFormat="1">
      <c r="A304" s="2332"/>
      <c r="C304" s="2333"/>
      <c r="E304" s="2332"/>
    </row>
    <row r="305" spans="1:5" s="2249" customFormat="1">
      <c r="A305" s="2332"/>
      <c r="C305" s="2333"/>
      <c r="E305" s="2332"/>
    </row>
    <row r="306" spans="1:5" s="2249" customFormat="1">
      <c r="A306" s="2332"/>
      <c r="C306" s="2333"/>
      <c r="E306" s="2332"/>
    </row>
    <row r="307" spans="1:5" s="2249" customFormat="1">
      <c r="A307" s="2332"/>
      <c r="C307" s="2333"/>
      <c r="E307" s="2332"/>
    </row>
    <row r="308" spans="1:5" s="2249" customFormat="1">
      <c r="A308" s="2332"/>
      <c r="C308" s="2333"/>
      <c r="E308" s="2332"/>
    </row>
    <row r="309" spans="1:5" s="2249" customFormat="1">
      <c r="A309" s="2332"/>
      <c r="C309" s="2333"/>
      <c r="E309" s="2332"/>
    </row>
    <row r="310" spans="1:5" s="2249" customFormat="1">
      <c r="A310" s="2332"/>
      <c r="C310" s="2333"/>
      <c r="E310" s="2332"/>
    </row>
    <row r="311" spans="1:5" s="2249" customFormat="1">
      <c r="A311" s="2332"/>
      <c r="C311" s="2333"/>
      <c r="E311" s="2332"/>
    </row>
    <row r="312" spans="1:5" s="2249" customFormat="1">
      <c r="A312" s="2332"/>
      <c r="C312" s="2333"/>
      <c r="E312" s="2332"/>
    </row>
    <row r="313" spans="1:5" s="2249" customFormat="1">
      <c r="A313" s="2332"/>
      <c r="C313" s="2333"/>
      <c r="E313" s="2332"/>
    </row>
    <row r="314" spans="1:5" s="2249" customFormat="1">
      <c r="A314" s="2332"/>
      <c r="C314" s="2333"/>
      <c r="E314" s="2332"/>
    </row>
    <row r="315" spans="1:5" s="2249" customFormat="1">
      <c r="A315" s="2332"/>
      <c r="C315" s="2333"/>
      <c r="E315" s="2332"/>
    </row>
    <row r="316" spans="1:5" s="2249" customFormat="1">
      <c r="A316" s="2332"/>
      <c r="C316" s="2333"/>
      <c r="E316" s="2332"/>
    </row>
    <row r="317" spans="1:5" s="2249" customFormat="1">
      <c r="A317" s="2332"/>
      <c r="C317" s="2333"/>
      <c r="E317" s="2332"/>
    </row>
    <row r="318" spans="1:5" s="2249" customFormat="1">
      <c r="A318" s="2332"/>
      <c r="C318" s="2333"/>
      <c r="E318" s="2332"/>
    </row>
    <row r="319" spans="1:5" s="2249" customFormat="1">
      <c r="A319" s="2332"/>
      <c r="C319" s="2333"/>
      <c r="E319" s="2332"/>
    </row>
    <row r="320" spans="1:5" s="2249" customFormat="1">
      <c r="A320" s="2332"/>
      <c r="C320" s="2333"/>
      <c r="E320" s="2332"/>
    </row>
    <row r="321" spans="1:5" s="2249" customFormat="1">
      <c r="A321" s="2332"/>
      <c r="C321" s="2333"/>
      <c r="E321" s="2332"/>
    </row>
    <row r="322" spans="1:5" s="2249" customFormat="1">
      <c r="A322" s="2332"/>
      <c r="C322" s="2333"/>
      <c r="E322" s="2332"/>
    </row>
    <row r="323" spans="1:5" s="2249" customFormat="1">
      <c r="A323" s="2332"/>
      <c r="C323" s="2333"/>
      <c r="E323" s="2332"/>
    </row>
    <row r="324" spans="1:5" s="2249" customFormat="1">
      <c r="A324" s="2332"/>
      <c r="C324" s="2333"/>
      <c r="E324" s="2332"/>
    </row>
    <row r="325" spans="1:5" s="2249" customFormat="1">
      <c r="A325" s="2332"/>
      <c r="C325" s="2333"/>
      <c r="E325" s="2332"/>
    </row>
    <row r="326" spans="1:5" s="2249" customFormat="1">
      <c r="A326" s="2332"/>
      <c r="C326" s="2333"/>
      <c r="E326" s="2332"/>
    </row>
    <row r="327" spans="1:5" s="2249" customFormat="1">
      <c r="A327" s="2332"/>
      <c r="C327" s="2333"/>
      <c r="E327" s="2332"/>
    </row>
    <row r="328" spans="1:5" s="2249" customFormat="1">
      <c r="A328" s="2332"/>
      <c r="C328" s="2333"/>
      <c r="E328" s="2332"/>
    </row>
    <row r="329" spans="1:5" s="2249" customFormat="1">
      <c r="A329" s="2332"/>
      <c r="C329" s="2333"/>
      <c r="E329" s="2332"/>
    </row>
    <row r="330" spans="1:5" s="2249" customFormat="1">
      <c r="A330" s="2332"/>
      <c r="C330" s="2333"/>
      <c r="E330" s="2332"/>
    </row>
    <row r="331" spans="1:5" s="2249" customFormat="1">
      <c r="A331" s="2332"/>
      <c r="C331" s="2333"/>
      <c r="E331" s="2332"/>
    </row>
    <row r="332" spans="1:5" s="2249" customFormat="1">
      <c r="A332" s="2332"/>
      <c r="C332" s="2333"/>
      <c r="E332" s="2332"/>
    </row>
    <row r="333" spans="1:5" s="2249" customFormat="1">
      <c r="A333" s="2332"/>
      <c r="C333" s="2333"/>
      <c r="E333" s="2332"/>
    </row>
    <row r="334" spans="1:5" s="2249" customFormat="1">
      <c r="A334" s="2332"/>
      <c r="C334" s="2333"/>
      <c r="E334" s="2332"/>
    </row>
    <row r="335" spans="1:5" s="2249" customFormat="1">
      <c r="A335" s="2332"/>
      <c r="C335" s="2333"/>
      <c r="E335" s="2332"/>
    </row>
    <row r="336" spans="1:5" s="2249" customFormat="1">
      <c r="A336" s="2332"/>
      <c r="C336" s="2333"/>
      <c r="E336" s="2332"/>
    </row>
    <row r="337" spans="1:5" s="2249" customFormat="1">
      <c r="A337" s="2332"/>
      <c r="C337" s="2333"/>
      <c r="E337" s="2332"/>
    </row>
    <row r="338" spans="1:5" s="2249" customFormat="1">
      <c r="A338" s="2332"/>
      <c r="C338" s="2333"/>
      <c r="E338" s="2332"/>
    </row>
    <row r="339" spans="1:5" s="2249" customFormat="1">
      <c r="A339" s="2332"/>
      <c r="C339" s="2333"/>
      <c r="E339" s="2332"/>
    </row>
    <row r="340" spans="1:5" s="2249" customFormat="1">
      <c r="A340" s="2332"/>
      <c r="C340" s="2333"/>
      <c r="E340" s="2332"/>
    </row>
    <row r="341" spans="1:5" s="2249" customFormat="1">
      <c r="A341" s="2332"/>
      <c r="C341" s="2333"/>
      <c r="E341" s="2332"/>
    </row>
    <row r="342" spans="1:5" s="2249" customFormat="1">
      <c r="A342" s="2332"/>
      <c r="C342" s="2333"/>
      <c r="E342" s="2332"/>
    </row>
    <row r="343" spans="1:5" s="2249" customFormat="1">
      <c r="A343" s="2332"/>
      <c r="C343" s="2333"/>
      <c r="E343" s="2332"/>
    </row>
    <row r="344" spans="1:5" s="2249" customFormat="1">
      <c r="A344" s="2332"/>
      <c r="C344" s="2333"/>
      <c r="E344" s="2332"/>
    </row>
    <row r="345" spans="1:5" s="2249" customFormat="1">
      <c r="A345" s="2332"/>
      <c r="C345" s="2333"/>
      <c r="E345" s="2332"/>
    </row>
    <row r="346" spans="1:5" s="2249" customFormat="1">
      <c r="A346" s="2332"/>
      <c r="C346" s="2333"/>
      <c r="E346" s="2332"/>
    </row>
    <row r="347" spans="1:5" s="2249" customFormat="1">
      <c r="A347" s="2332"/>
      <c r="C347" s="2333"/>
      <c r="E347" s="2332"/>
    </row>
    <row r="348" spans="1:5" s="2249" customFormat="1">
      <c r="A348" s="2332"/>
      <c r="C348" s="2333"/>
      <c r="E348" s="2332"/>
    </row>
    <row r="349" spans="1:5" s="2249" customFormat="1">
      <c r="A349" s="2332"/>
      <c r="C349" s="2333"/>
      <c r="E349" s="2332"/>
    </row>
    <row r="350" spans="1:5" s="2249" customFormat="1">
      <c r="A350" s="2332"/>
      <c r="C350" s="2333"/>
      <c r="E350" s="2332"/>
    </row>
    <row r="351" spans="1:5" s="2249" customFormat="1">
      <c r="A351" s="2332"/>
      <c r="C351" s="2333"/>
      <c r="E351" s="2332"/>
    </row>
    <row r="352" spans="1:5" s="2249" customFormat="1">
      <c r="A352" s="2332"/>
      <c r="C352" s="2333"/>
      <c r="E352" s="2332"/>
    </row>
    <row r="353" spans="1:5" s="2249" customFormat="1">
      <c r="A353" s="2332"/>
      <c r="C353" s="2333"/>
      <c r="E353" s="2332"/>
    </row>
    <row r="354" spans="1:5" s="2249" customFormat="1">
      <c r="A354" s="2332"/>
      <c r="C354" s="2333"/>
      <c r="E354" s="2332"/>
    </row>
    <row r="355" spans="1:5" s="2249" customFormat="1">
      <c r="A355" s="2332"/>
      <c r="C355" s="2333"/>
      <c r="E355" s="2332"/>
    </row>
    <row r="356" spans="1:5" s="2249" customFormat="1">
      <c r="A356" s="2332"/>
      <c r="C356" s="2333"/>
      <c r="E356" s="2332"/>
    </row>
    <row r="357" spans="1:5" s="2249" customFormat="1">
      <c r="A357" s="2332"/>
      <c r="C357" s="2333"/>
      <c r="E357" s="2332"/>
    </row>
    <row r="358" spans="1:5" s="2249" customFormat="1">
      <c r="A358" s="2332"/>
      <c r="C358" s="2333"/>
      <c r="E358" s="2332"/>
    </row>
    <row r="359" spans="1:5" s="2249" customFormat="1">
      <c r="A359" s="2332"/>
      <c r="C359" s="2333"/>
      <c r="E359" s="2332"/>
    </row>
    <row r="360" spans="1:5" s="2249" customFormat="1">
      <c r="A360" s="2332"/>
      <c r="C360" s="2333"/>
      <c r="E360" s="2332"/>
    </row>
    <row r="361" spans="1:5" s="2249" customFormat="1">
      <c r="A361" s="2332"/>
      <c r="C361" s="2333"/>
      <c r="E361" s="2332"/>
    </row>
    <row r="362" spans="1:5" s="2249" customFormat="1">
      <c r="A362" s="2332"/>
      <c r="C362" s="2333"/>
      <c r="E362" s="2332"/>
    </row>
    <row r="363" spans="1:5" s="2249" customFormat="1">
      <c r="A363" s="2332"/>
      <c r="C363" s="2333"/>
      <c r="E363" s="2332"/>
    </row>
    <row r="364" spans="1:5" s="2249" customFormat="1">
      <c r="A364" s="2332"/>
      <c r="C364" s="2333"/>
      <c r="E364" s="2332"/>
    </row>
    <row r="365" spans="1:5" s="2249" customFormat="1">
      <c r="A365" s="2332"/>
      <c r="C365" s="2333"/>
      <c r="E365" s="2332"/>
    </row>
    <row r="366" spans="1:5" s="2249" customFormat="1">
      <c r="A366" s="2332"/>
      <c r="C366" s="2333"/>
      <c r="E366" s="2332"/>
    </row>
    <row r="367" spans="1:5" s="2249" customFormat="1">
      <c r="A367" s="2332"/>
      <c r="C367" s="2333"/>
      <c r="E367" s="2332"/>
    </row>
    <row r="368" spans="1:5" s="2249" customFormat="1">
      <c r="A368" s="2332"/>
      <c r="C368" s="2333"/>
      <c r="E368" s="2332"/>
    </row>
    <row r="369" spans="1:5" s="2249" customFormat="1">
      <c r="A369" s="2332"/>
      <c r="C369" s="2333"/>
      <c r="E369" s="2332"/>
    </row>
    <row r="370" spans="1:5" s="2249" customFormat="1">
      <c r="A370" s="2332"/>
      <c r="C370" s="2333"/>
      <c r="E370" s="2332"/>
    </row>
    <row r="371" spans="1:5" s="2249" customFormat="1">
      <c r="A371" s="2332"/>
      <c r="C371" s="2333"/>
      <c r="E371" s="2332"/>
    </row>
    <row r="372" spans="1:5" s="2249" customFormat="1">
      <c r="A372" s="2332"/>
      <c r="C372" s="2333"/>
      <c r="E372" s="2332"/>
    </row>
    <row r="373" spans="1:5" s="2249" customFormat="1">
      <c r="A373" s="2332"/>
      <c r="C373" s="2333"/>
      <c r="E373" s="2332"/>
    </row>
    <row r="374" spans="1:5" s="2249" customFormat="1">
      <c r="A374" s="2332"/>
      <c r="C374" s="2333"/>
      <c r="E374" s="2332"/>
    </row>
    <row r="375" spans="1:5" s="2249" customFormat="1">
      <c r="A375" s="2332"/>
      <c r="C375" s="2333"/>
      <c r="E375" s="2332"/>
    </row>
    <row r="376" spans="1:5" s="2249" customFormat="1">
      <c r="A376" s="2332"/>
      <c r="C376" s="2333"/>
      <c r="E376" s="2332"/>
    </row>
    <row r="377" spans="1:5" s="2249" customFormat="1">
      <c r="A377" s="2332"/>
      <c r="C377" s="2333"/>
      <c r="E377" s="2332"/>
    </row>
    <row r="378" spans="1:5" s="2249" customFormat="1">
      <c r="A378" s="2332"/>
      <c r="C378" s="2333"/>
      <c r="E378" s="2332"/>
    </row>
    <row r="379" spans="1:5" s="2249" customFormat="1">
      <c r="A379" s="2332"/>
      <c r="C379" s="2333"/>
      <c r="E379" s="2332"/>
    </row>
    <row r="380" spans="1:5" s="2249" customFormat="1">
      <c r="A380" s="2332"/>
      <c r="C380" s="2333"/>
      <c r="E380" s="2332"/>
    </row>
    <row r="381" spans="1:5" s="2249" customFormat="1">
      <c r="A381" s="2332"/>
      <c r="C381" s="2333"/>
      <c r="E381" s="2332"/>
    </row>
    <row r="382" spans="1:5" s="2249" customFormat="1">
      <c r="A382" s="2332"/>
      <c r="C382" s="2333"/>
      <c r="E382" s="2332"/>
    </row>
    <row r="383" spans="1:5" s="2249" customFormat="1">
      <c r="A383" s="2332"/>
      <c r="C383" s="2333"/>
      <c r="E383" s="2332"/>
    </row>
    <row r="384" spans="1:5" s="2249" customFormat="1">
      <c r="A384" s="2332"/>
      <c r="C384" s="2333"/>
      <c r="E384" s="2332"/>
    </row>
    <row r="385" spans="1:5" s="2249" customFormat="1">
      <c r="A385" s="2332"/>
      <c r="C385" s="2333"/>
      <c r="E385" s="2332"/>
    </row>
    <row r="386" spans="1:5" s="2249" customFormat="1">
      <c r="A386" s="2332"/>
      <c r="C386" s="2333"/>
      <c r="E386" s="2332"/>
    </row>
    <row r="387" spans="1:5" s="2249" customFormat="1">
      <c r="A387" s="2332"/>
      <c r="C387" s="2333"/>
      <c r="E387" s="2332"/>
    </row>
    <row r="388" spans="1:5" s="2249" customFormat="1">
      <c r="A388" s="2332"/>
      <c r="C388" s="2333"/>
      <c r="E388" s="2332"/>
    </row>
    <row r="389" spans="1:5" s="2249" customFormat="1">
      <c r="A389" s="2332"/>
      <c r="C389" s="2333"/>
      <c r="E389" s="2332"/>
    </row>
    <row r="390" spans="1:5" s="2249" customFormat="1">
      <c r="A390" s="2332"/>
      <c r="C390" s="2333"/>
      <c r="E390" s="2332"/>
    </row>
    <row r="391" spans="1:5" s="2249" customFormat="1">
      <c r="A391" s="2332"/>
      <c r="C391" s="2333"/>
      <c r="E391" s="2332"/>
    </row>
    <row r="392" spans="1:5" s="2249" customFormat="1">
      <c r="A392" s="2332"/>
      <c r="C392" s="2333"/>
      <c r="E392" s="2332"/>
    </row>
    <row r="393" spans="1:5" s="2249" customFormat="1">
      <c r="A393" s="2332"/>
      <c r="C393" s="2333"/>
      <c r="E393" s="2332"/>
    </row>
    <row r="394" spans="1:5" s="2249" customFormat="1">
      <c r="A394" s="2332"/>
      <c r="C394" s="2333"/>
      <c r="E394" s="2332"/>
    </row>
    <row r="395" spans="1:5" s="2249" customFormat="1">
      <c r="A395" s="2332"/>
      <c r="C395" s="2333"/>
      <c r="E395" s="2332"/>
    </row>
    <row r="396" spans="1:5" s="2249" customFormat="1">
      <c r="A396" s="2332"/>
      <c r="C396" s="2333"/>
      <c r="E396" s="2332"/>
    </row>
    <row r="397" spans="1:5" s="2249" customFormat="1">
      <c r="A397" s="2332"/>
      <c r="C397" s="2333"/>
      <c r="E397" s="2332"/>
    </row>
    <row r="398" spans="1:5" s="2249" customFormat="1">
      <c r="A398" s="2332"/>
      <c r="C398" s="2333"/>
      <c r="E398" s="2332"/>
    </row>
    <row r="399" spans="1:5" s="2249" customFormat="1">
      <c r="A399" s="2332"/>
      <c r="C399" s="2333"/>
      <c r="E399" s="2332"/>
    </row>
    <row r="400" spans="1:5" s="2249" customFormat="1">
      <c r="A400" s="2332"/>
      <c r="C400" s="2333"/>
      <c r="E400" s="2332"/>
    </row>
    <row r="401" spans="1:5" s="2249" customFormat="1">
      <c r="A401" s="2332"/>
      <c r="C401" s="2333"/>
      <c r="E401" s="2332"/>
    </row>
    <row r="402" spans="1:5" s="2249" customFormat="1">
      <c r="A402" s="2332"/>
      <c r="C402" s="2333"/>
      <c r="E402" s="2332"/>
    </row>
    <row r="403" spans="1:5" s="2249" customFormat="1">
      <c r="A403" s="2332"/>
      <c r="C403" s="2333"/>
      <c r="E403" s="2332"/>
    </row>
    <row r="404" spans="1:5" s="2249" customFormat="1">
      <c r="A404" s="2332"/>
      <c r="C404" s="2333"/>
      <c r="E404" s="2332"/>
    </row>
    <row r="405" spans="1:5" s="2249" customFormat="1">
      <c r="A405" s="2332"/>
      <c r="C405" s="2333"/>
      <c r="E405" s="2332"/>
    </row>
    <row r="406" spans="1:5" s="2249" customFormat="1">
      <c r="A406" s="2332"/>
      <c r="C406" s="2333"/>
      <c r="E406" s="2332"/>
    </row>
    <row r="407" spans="1:5" s="2249" customFormat="1">
      <c r="A407" s="2332"/>
      <c r="C407" s="2333"/>
      <c r="E407" s="2332"/>
    </row>
    <row r="408" spans="1:5" s="2249" customFormat="1">
      <c r="A408" s="2332"/>
      <c r="C408" s="2333"/>
      <c r="E408" s="2332"/>
    </row>
    <row r="409" spans="1:5" s="2249" customFormat="1">
      <c r="A409" s="2332"/>
      <c r="C409" s="2333"/>
      <c r="E409" s="2332"/>
    </row>
    <row r="410" spans="1:5" s="2249" customFormat="1">
      <c r="A410" s="2332"/>
      <c r="C410" s="2333"/>
      <c r="E410" s="2332"/>
    </row>
    <row r="411" spans="1:5" s="2249" customFormat="1">
      <c r="A411" s="2332"/>
      <c r="C411" s="2333"/>
      <c r="E411" s="2332"/>
    </row>
    <row r="412" spans="1:5" s="2249" customFormat="1">
      <c r="A412" s="2332"/>
      <c r="C412" s="2333"/>
      <c r="E412" s="2332"/>
    </row>
    <row r="413" spans="1:5" s="2249" customFormat="1">
      <c r="A413" s="2332"/>
      <c r="C413" s="2333"/>
      <c r="E413" s="2332"/>
    </row>
    <row r="414" spans="1:5" s="2249" customFormat="1">
      <c r="A414" s="2332"/>
      <c r="C414" s="2333"/>
      <c r="E414" s="2332"/>
    </row>
    <row r="415" spans="1:5" s="2249" customFormat="1">
      <c r="A415" s="2332"/>
      <c r="C415" s="2333"/>
      <c r="E415" s="2332"/>
    </row>
    <row r="416" spans="1:5" s="2249" customFormat="1">
      <c r="A416" s="2332"/>
      <c r="C416" s="2333"/>
      <c r="E416" s="2332"/>
    </row>
    <row r="417" spans="1:5" s="2249" customFormat="1">
      <c r="A417" s="2332"/>
      <c r="C417" s="2333"/>
      <c r="E417" s="2332"/>
    </row>
    <row r="418" spans="1:5" s="2249" customFormat="1">
      <c r="A418" s="2332"/>
      <c r="C418" s="2333"/>
      <c r="E418" s="2332"/>
    </row>
    <row r="419" spans="1:5" s="2249" customFormat="1">
      <c r="A419" s="2332"/>
      <c r="C419" s="2333"/>
      <c r="E419" s="2332"/>
    </row>
    <row r="420" spans="1:5" s="2249" customFormat="1">
      <c r="A420" s="2332"/>
      <c r="C420" s="2333"/>
      <c r="E420" s="2332"/>
    </row>
    <row r="421" spans="1:5" s="2249" customFormat="1">
      <c r="A421" s="2332"/>
      <c r="C421" s="2333"/>
      <c r="E421" s="2332"/>
    </row>
    <row r="422" spans="1:5" s="2249" customFormat="1">
      <c r="A422" s="2332"/>
      <c r="C422" s="2333"/>
      <c r="E422" s="2332"/>
    </row>
    <row r="423" spans="1:5" s="2249" customFormat="1">
      <c r="A423" s="2332"/>
      <c r="C423" s="2333"/>
      <c r="E423" s="2332"/>
    </row>
    <row r="424" spans="1:5" s="2249" customFormat="1">
      <c r="A424" s="2332"/>
      <c r="C424" s="2333"/>
      <c r="E424" s="2332"/>
    </row>
    <row r="425" spans="1:5" s="2249" customFormat="1">
      <c r="A425" s="2332"/>
      <c r="C425" s="2333"/>
      <c r="E425" s="2332"/>
    </row>
    <row r="426" spans="1:5" s="2249" customFormat="1">
      <c r="A426" s="2332"/>
      <c r="C426" s="2333"/>
      <c r="E426" s="2332"/>
    </row>
    <row r="427" spans="1:5" s="2249" customFormat="1">
      <c r="A427" s="2332"/>
      <c r="C427" s="2333"/>
      <c r="E427" s="2332"/>
    </row>
    <row r="428" spans="1:5" s="2249" customFormat="1">
      <c r="A428" s="2332"/>
      <c r="C428" s="2333"/>
      <c r="E428" s="2332"/>
    </row>
    <row r="429" spans="1:5" s="2249" customFormat="1">
      <c r="A429" s="2332"/>
      <c r="C429" s="2333"/>
      <c r="E429" s="2332"/>
    </row>
    <row r="430" spans="1:5" s="2249" customFormat="1">
      <c r="A430" s="2332"/>
      <c r="C430" s="2333"/>
      <c r="E430" s="2332"/>
    </row>
    <row r="431" spans="1:5" s="2249" customFormat="1">
      <c r="A431" s="2332"/>
      <c r="C431" s="2333"/>
      <c r="E431" s="2332"/>
    </row>
    <row r="432" spans="1:5" s="2249" customFormat="1">
      <c r="A432" s="2332"/>
      <c r="C432" s="2333"/>
      <c r="E432" s="2332"/>
    </row>
    <row r="433" spans="1:5" s="2249" customFormat="1">
      <c r="A433" s="2332"/>
      <c r="C433" s="2333"/>
      <c r="E433" s="2332"/>
    </row>
    <row r="434" spans="1:5" s="2249" customFormat="1">
      <c r="A434" s="2332"/>
      <c r="C434" s="2333"/>
      <c r="E434" s="2332"/>
    </row>
    <row r="435" spans="1:5" s="2249" customFormat="1">
      <c r="A435" s="2332"/>
      <c r="C435" s="2333"/>
      <c r="E435" s="2332"/>
    </row>
    <row r="436" spans="1:5" s="2249" customFormat="1">
      <c r="A436" s="2332"/>
      <c r="C436" s="2333"/>
      <c r="E436" s="2332"/>
    </row>
    <row r="437" spans="1:5" s="2249" customFormat="1">
      <c r="A437" s="2332"/>
      <c r="C437" s="2333"/>
      <c r="E437" s="2332"/>
    </row>
    <row r="438" spans="1:5" s="2249" customFormat="1">
      <c r="A438" s="2332"/>
      <c r="C438" s="2333"/>
      <c r="E438" s="2332"/>
    </row>
    <row r="439" spans="1:5" s="2249" customFormat="1">
      <c r="A439" s="2332"/>
      <c r="C439" s="2333"/>
      <c r="E439" s="2332"/>
    </row>
    <row r="440" spans="1:5" s="2249" customFormat="1">
      <c r="A440" s="2332"/>
      <c r="C440" s="2333"/>
      <c r="E440" s="2332"/>
    </row>
    <row r="441" spans="1:5" s="2249" customFormat="1">
      <c r="A441" s="2332"/>
      <c r="C441" s="2333"/>
      <c r="E441" s="2332"/>
    </row>
    <row r="442" spans="1:5" s="2249" customFormat="1">
      <c r="A442" s="2332"/>
      <c r="C442" s="2333"/>
      <c r="E442" s="2332"/>
    </row>
    <row r="443" spans="1:5" s="2249" customFormat="1">
      <c r="A443" s="2332"/>
      <c r="C443" s="2333"/>
      <c r="E443" s="2332"/>
    </row>
    <row r="444" spans="1:5" s="2249" customFormat="1">
      <c r="A444" s="2332"/>
      <c r="C444" s="2333"/>
      <c r="E444" s="2332"/>
    </row>
    <row r="445" spans="1:5" s="2249" customFormat="1">
      <c r="A445" s="2332"/>
      <c r="C445" s="2333"/>
      <c r="E445" s="2332"/>
    </row>
    <row r="446" spans="1:5" s="2249" customFormat="1">
      <c r="A446" s="2332"/>
      <c r="C446" s="2333"/>
      <c r="E446" s="2332"/>
    </row>
    <row r="447" spans="1:5" s="2249" customFormat="1">
      <c r="A447" s="2332"/>
      <c r="C447" s="2333"/>
      <c r="E447" s="2332"/>
    </row>
    <row r="448" spans="1:5" s="2249" customFormat="1">
      <c r="A448" s="2332"/>
      <c r="C448" s="2333"/>
      <c r="E448" s="2332"/>
    </row>
    <row r="449" spans="1:5" s="2249" customFormat="1">
      <c r="A449" s="2332"/>
      <c r="C449" s="2333"/>
      <c r="E449" s="2332"/>
    </row>
    <row r="450" spans="1:5" s="2249" customFormat="1">
      <c r="A450" s="2332"/>
      <c r="C450" s="2333"/>
      <c r="E450" s="2332"/>
    </row>
    <row r="451" spans="1:5" s="2249" customFormat="1">
      <c r="A451" s="2332"/>
      <c r="C451" s="2333"/>
      <c r="E451" s="2332"/>
    </row>
    <row r="452" spans="1:5" s="2249" customFormat="1">
      <c r="A452" s="2332"/>
      <c r="C452" s="2333"/>
      <c r="E452" s="2332"/>
    </row>
    <row r="453" spans="1:5" s="2249" customFormat="1">
      <c r="A453" s="2332"/>
      <c r="C453" s="2333"/>
      <c r="E453" s="2332"/>
    </row>
    <row r="454" spans="1:5" s="2249" customFormat="1">
      <c r="A454" s="2332"/>
      <c r="C454" s="2333"/>
      <c r="E454" s="2332"/>
    </row>
    <row r="455" spans="1:5" s="2249" customFormat="1">
      <c r="A455" s="2332"/>
      <c r="C455" s="2333"/>
      <c r="E455" s="2332"/>
    </row>
    <row r="456" spans="1:5" s="2249" customFormat="1">
      <c r="A456" s="2332"/>
      <c r="C456" s="2333"/>
      <c r="E456" s="2332"/>
    </row>
    <row r="457" spans="1:5" s="2249" customFormat="1">
      <c r="A457" s="2332"/>
      <c r="C457" s="2333"/>
      <c r="E457" s="2332"/>
    </row>
    <row r="458" spans="1:5" s="2249" customFormat="1">
      <c r="A458" s="2332"/>
      <c r="C458" s="2333"/>
      <c r="E458" s="2332"/>
    </row>
    <row r="459" spans="1:5" s="2249" customFormat="1">
      <c r="A459" s="2332"/>
      <c r="C459" s="2333"/>
      <c r="E459" s="2332"/>
    </row>
    <row r="460" spans="1:5" s="2249" customFormat="1">
      <c r="A460" s="2332"/>
      <c r="C460" s="2333"/>
      <c r="E460" s="2332"/>
    </row>
    <row r="461" spans="1:5" s="2249" customFormat="1">
      <c r="A461" s="2332"/>
      <c r="C461" s="2333"/>
      <c r="E461" s="2332"/>
    </row>
    <row r="462" spans="1:5" s="2249" customFormat="1">
      <c r="A462" s="2332"/>
      <c r="C462" s="2333"/>
      <c r="E462" s="2332"/>
    </row>
    <row r="463" spans="1:5" s="2249" customFormat="1">
      <c r="A463" s="2332"/>
      <c r="C463" s="2333"/>
      <c r="E463" s="2332"/>
    </row>
    <row r="464" spans="1:5" s="2249" customFormat="1">
      <c r="A464" s="2332"/>
      <c r="C464" s="2333"/>
      <c r="E464" s="2332"/>
    </row>
    <row r="465" spans="1:5" s="2249" customFormat="1">
      <c r="A465" s="2332"/>
      <c r="C465" s="2333"/>
      <c r="E465" s="2332"/>
    </row>
    <row r="466" spans="1:5" s="2249" customFormat="1">
      <c r="A466" s="2332"/>
      <c r="C466" s="2333"/>
      <c r="E466" s="2332"/>
    </row>
    <row r="467" spans="1:5" s="2249" customFormat="1">
      <c r="A467" s="2332"/>
      <c r="C467" s="2333"/>
      <c r="E467" s="2332"/>
    </row>
    <row r="468" spans="1:5" s="2249" customFormat="1">
      <c r="A468" s="2332"/>
      <c r="C468" s="2333"/>
      <c r="E468" s="2332"/>
    </row>
    <row r="469" spans="1:5" s="2249" customFormat="1">
      <c r="A469" s="2332"/>
      <c r="C469" s="2333"/>
      <c r="E469" s="2332"/>
    </row>
    <row r="470" spans="1:5" s="2249" customFormat="1">
      <c r="A470" s="2332"/>
      <c r="C470" s="2333"/>
      <c r="E470" s="2332"/>
    </row>
    <row r="471" spans="1:5" s="2249" customFormat="1">
      <c r="A471" s="2332"/>
      <c r="C471" s="2333"/>
      <c r="E471" s="2332"/>
    </row>
    <row r="472" spans="1:5" s="2249" customFormat="1">
      <c r="A472" s="2332"/>
      <c r="C472" s="2333"/>
      <c r="E472" s="2332"/>
    </row>
    <row r="473" spans="1:5" s="2249" customFormat="1">
      <c r="A473" s="2332"/>
      <c r="C473" s="2333"/>
      <c r="E473" s="2332"/>
    </row>
    <row r="474" spans="1:5" s="2249" customFormat="1">
      <c r="A474" s="2332"/>
      <c r="C474" s="2333"/>
      <c r="E474" s="2332"/>
    </row>
    <row r="475" spans="1:5" s="2249" customFormat="1">
      <c r="A475" s="2332"/>
      <c r="C475" s="2333"/>
      <c r="E475" s="2332"/>
    </row>
    <row r="476" spans="1:5" s="2249" customFormat="1">
      <c r="A476" s="2332"/>
      <c r="C476" s="2333"/>
      <c r="E476" s="2332"/>
    </row>
    <row r="477" spans="1:5" s="2249" customFormat="1">
      <c r="A477" s="2332"/>
      <c r="C477" s="2333"/>
      <c r="E477" s="2332"/>
    </row>
    <row r="478" spans="1:5" s="2249" customFormat="1">
      <c r="A478" s="2332"/>
      <c r="C478" s="2333"/>
      <c r="E478" s="2332"/>
    </row>
    <row r="479" spans="1:5" s="2249" customFormat="1">
      <c r="A479" s="2332"/>
      <c r="C479" s="2333"/>
      <c r="E479" s="2332"/>
    </row>
    <row r="480" spans="1:5" s="2249" customFormat="1">
      <c r="A480" s="2332"/>
      <c r="C480" s="2333"/>
      <c r="E480" s="2332"/>
    </row>
    <row r="481" spans="1:5" s="2249" customFormat="1">
      <c r="A481" s="2332"/>
      <c r="C481" s="2333"/>
      <c r="E481" s="2332"/>
    </row>
    <row r="482" spans="1:5" s="2249" customFormat="1">
      <c r="A482" s="2332"/>
      <c r="C482" s="2333"/>
      <c r="E482" s="2332"/>
    </row>
    <row r="483" spans="1:5" s="2249" customFormat="1">
      <c r="A483" s="2332"/>
      <c r="C483" s="2333"/>
      <c r="E483" s="2332"/>
    </row>
    <row r="484" spans="1:5" s="2249" customFormat="1">
      <c r="A484" s="2332"/>
      <c r="C484" s="2333"/>
      <c r="E484" s="2332"/>
    </row>
    <row r="485" spans="1:5" s="2249" customFormat="1">
      <c r="A485" s="2332"/>
      <c r="C485" s="2333"/>
      <c r="E485" s="2332"/>
    </row>
    <row r="486" spans="1:5" s="2249" customFormat="1">
      <c r="A486" s="2332"/>
      <c r="C486" s="2333"/>
      <c r="E486" s="2332"/>
    </row>
    <row r="487" spans="1:5" s="2249" customFormat="1">
      <c r="A487" s="2332"/>
      <c r="C487" s="2333"/>
      <c r="E487" s="2332"/>
    </row>
    <row r="488" spans="1:5" s="2249" customFormat="1">
      <c r="A488" s="2332"/>
      <c r="C488" s="2333"/>
      <c r="E488" s="2332"/>
    </row>
    <row r="489" spans="1:5" s="2249" customFormat="1">
      <c r="A489" s="2332"/>
      <c r="C489" s="2333"/>
      <c r="E489" s="2332"/>
    </row>
    <row r="490" spans="1:5" s="2249" customFormat="1">
      <c r="A490" s="2332"/>
      <c r="C490" s="2333"/>
      <c r="E490" s="2332"/>
    </row>
  </sheetData>
  <sheetProtection password="CEE9" sheet="1" objects="1" scenarios="1" formatCells="0" formatColumns="0" formatRows="0"/>
  <phoneticPr fontId="254" type="noConversion"/>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workbookViewId="0">
      <selection activeCell="A62" sqref="A62:XFD62"/>
    </sheetView>
  </sheetViews>
  <sheetFormatPr defaultColWidth="6.625" defaultRowHeight="12.75"/>
  <cols>
    <col min="1" max="1" width="10.125" style="2257" customWidth="1"/>
    <col min="2" max="2" width="25.75" style="2258" customWidth="1"/>
    <col min="3" max="3" width="11.5" style="2259" customWidth="1"/>
    <col min="4" max="4" width="12" style="2258" customWidth="1"/>
    <col min="5" max="5" width="9.5" style="2257" customWidth="1"/>
    <col min="6" max="6" width="10.125" style="2258" customWidth="1"/>
    <col min="7" max="7" width="9.5" style="2258" customWidth="1"/>
    <col min="8" max="8" width="10" style="2258" customWidth="1"/>
    <col min="9" max="11" width="9.5" style="2258" customWidth="1"/>
    <col min="12" max="12" width="9" style="2249" customWidth="1"/>
    <col min="13" max="13" width="10.5" style="2249" customWidth="1"/>
    <col min="14" max="26" width="9" style="2249" customWidth="1"/>
    <col min="27" max="254" width="9" style="2258" customWidth="1"/>
    <col min="255" max="16384" width="6.625" style="2258"/>
  </cols>
  <sheetData>
    <row r="1" spans="1:41" s="172" customFormat="1" ht="20.25">
      <c r="A1" s="727" t="s">
        <v>944</v>
      </c>
      <c r="B1" s="2260"/>
      <c r="C1" s="2261"/>
      <c r="D1" s="2261"/>
      <c r="E1" s="2261"/>
      <c r="F1" s="2261"/>
      <c r="G1" s="2261"/>
      <c r="H1" s="2261"/>
      <c r="I1" s="2261"/>
      <c r="J1" s="2261"/>
      <c r="K1" s="2334">
        <f>MATCH(B1,'数据-取费表'!A6:A16,0)+5</f>
        <v>7</v>
      </c>
      <c r="L1" s="2335"/>
      <c r="M1" s="2335"/>
      <c r="N1" s="2335"/>
      <c r="O1" s="2335"/>
      <c r="P1" s="2335"/>
      <c r="Q1" s="2335"/>
      <c r="R1" s="2335"/>
      <c r="S1" s="2335"/>
      <c r="T1" s="2335"/>
      <c r="U1" s="2335"/>
      <c r="V1" s="2335"/>
      <c r="W1" s="2335"/>
      <c r="X1" s="2335"/>
      <c r="Y1" s="2335"/>
      <c r="Z1" s="2335"/>
    </row>
    <row r="2" spans="1:41" s="172" customFormat="1" ht="18" customHeight="1">
      <c r="A2" s="225" t="s">
        <v>945</v>
      </c>
      <c r="B2" s="2262">
        <f ca="1">C27</f>
        <v>0</v>
      </c>
      <c r="C2" s="2261"/>
      <c r="D2" s="2261"/>
      <c r="E2" s="2261"/>
      <c r="F2" s="2261"/>
      <c r="G2" s="2261"/>
      <c r="H2" s="2261"/>
      <c r="I2" s="2261"/>
      <c r="J2" s="2261"/>
      <c r="K2" s="2261"/>
      <c r="L2" s="2335"/>
      <c r="M2" s="2335"/>
      <c r="N2" s="2335"/>
      <c r="O2" s="2335"/>
      <c r="P2" s="2335"/>
      <c r="Q2" s="2335"/>
      <c r="R2" s="2335"/>
      <c r="S2" s="2335"/>
      <c r="T2" s="2335"/>
      <c r="U2" s="2335"/>
      <c r="V2" s="2335"/>
      <c r="W2" s="2335"/>
      <c r="X2" s="2335"/>
      <c r="Y2" s="2335"/>
      <c r="Z2" s="2335"/>
    </row>
    <row r="3" spans="1:41" s="172" customFormat="1" ht="18" customHeight="1">
      <c r="A3" s="733" t="s">
        <v>946</v>
      </c>
      <c r="B3" s="731">
        <f ca="1">ROUND(B2*10000/IF(B1="",'数据-汇总表'!E3,INDIRECT("'数据-取费表'!K"&amp;$K$1)),0)</f>
        <v>0</v>
      </c>
      <c r="C3" s="2261"/>
      <c r="D3" s="2261"/>
      <c r="E3" s="2261"/>
      <c r="F3" s="2261"/>
      <c r="G3" s="2261"/>
      <c r="H3" s="2261"/>
      <c r="I3" s="2261"/>
      <c r="J3" s="2261"/>
      <c r="K3" s="2261"/>
      <c r="L3" s="2335"/>
      <c r="M3" s="2335"/>
      <c r="N3" s="2335"/>
      <c r="O3" s="2335"/>
      <c r="P3" s="2335"/>
      <c r="Q3" s="2335"/>
      <c r="R3" s="2335"/>
      <c r="S3" s="2335"/>
      <c r="T3" s="2335"/>
      <c r="U3" s="2335"/>
      <c r="V3" s="2335"/>
      <c r="W3" s="2335"/>
      <c r="X3" s="2335"/>
      <c r="Y3" s="2335"/>
      <c r="Z3" s="2335"/>
    </row>
    <row r="4" spans="1:41" s="172" customFormat="1" ht="18" customHeight="1">
      <c r="A4" s="734" t="s">
        <v>947</v>
      </c>
      <c r="B4" s="735">
        <f ca="1">ROUND(B2*10000/IF(B1="",'数据-汇总表'!D3,INDIRECT("'数据-取费表'!R"&amp;$K$1)),0)</f>
        <v>0</v>
      </c>
      <c r="C4" s="490"/>
      <c r="D4" s="2261"/>
      <c r="E4" s="2261"/>
      <c r="F4" s="2261"/>
      <c r="G4" s="2261"/>
      <c r="H4" s="2261"/>
      <c r="I4" s="2261"/>
      <c r="J4" s="2261"/>
      <c r="K4" s="2261"/>
      <c r="L4" s="2335"/>
      <c r="M4" s="2335"/>
      <c r="N4" s="2335"/>
      <c r="O4" s="2335"/>
      <c r="P4" s="2335"/>
      <c r="Q4" s="2335"/>
      <c r="R4" s="2335"/>
      <c r="S4" s="2335"/>
      <c r="T4" s="2335"/>
      <c r="U4" s="2335"/>
      <c r="V4" s="2335"/>
      <c r="W4" s="2335"/>
      <c r="X4" s="2335"/>
      <c r="Y4" s="2335"/>
      <c r="Z4" s="2335"/>
    </row>
    <row r="5" spans="1:41" s="172" customFormat="1" ht="18" customHeight="1">
      <c r="A5" s="737"/>
      <c r="B5" s="738">
        <f ca="1">ROUND(B2/(IF(B1="",'数据-汇总表'!D3,INDIRECT("'数据-取费表'!R"&amp;$K$1))/666.67),0)</f>
        <v>0</v>
      </c>
      <c r="C5" s="739" t="s">
        <v>948</v>
      </c>
      <c r="D5" s="2261"/>
      <c r="E5" s="2261"/>
      <c r="F5" s="2261"/>
      <c r="G5" s="2261"/>
      <c r="H5" s="2261"/>
      <c r="I5" s="2261"/>
      <c r="J5" s="2261"/>
      <c r="K5" s="2261"/>
      <c r="L5" s="2335"/>
      <c r="M5" s="2335"/>
      <c r="N5" s="2335"/>
      <c r="O5" s="2335"/>
      <c r="P5" s="2335"/>
      <c r="Q5" s="2335"/>
      <c r="R5" s="2335"/>
      <c r="S5" s="2335"/>
      <c r="T5" s="2335"/>
      <c r="U5" s="2335"/>
      <c r="V5" s="2335"/>
      <c r="W5" s="2335"/>
      <c r="X5" s="2335"/>
      <c r="Y5" s="2335"/>
      <c r="Z5" s="2335"/>
    </row>
    <row r="6" spans="1:41" s="2247" customFormat="1" ht="16.5" customHeight="1">
      <c r="A6" s="2263" t="s">
        <v>1011</v>
      </c>
      <c r="B6" s="2264"/>
      <c r="C6" s="2265">
        <f>SUM(C10:K10)</f>
        <v>0</v>
      </c>
      <c r="D6" s="2266"/>
      <c r="E6" s="2266"/>
      <c r="F6" s="2266"/>
      <c r="G6" s="2266"/>
      <c r="H6" s="2266"/>
      <c r="I6" s="2266"/>
      <c r="J6" s="2266"/>
      <c r="K6" s="2336"/>
      <c r="L6" s="2337"/>
      <c r="M6" s="2337"/>
      <c r="N6" s="2337"/>
      <c r="O6" s="2337"/>
      <c r="P6" s="2337"/>
      <c r="Q6" s="2337"/>
      <c r="R6" s="2337"/>
      <c r="S6" s="2337"/>
      <c r="T6" s="2337"/>
      <c r="U6" s="2337"/>
      <c r="V6" s="2337"/>
      <c r="W6" s="2337"/>
      <c r="X6" s="2337"/>
      <c r="Y6" s="2337"/>
      <c r="Z6" s="2337"/>
    </row>
    <row r="7" spans="1:41" s="2248" customFormat="1" ht="15">
      <c r="A7" s="2267" t="s">
        <v>950</v>
      </c>
      <c r="B7" s="2268" t="s">
        <v>951</v>
      </c>
      <c r="C7" s="2269"/>
      <c r="D7" s="2270"/>
      <c r="E7" s="2270"/>
      <c r="F7" s="2270"/>
      <c r="G7" s="2270"/>
      <c r="H7" s="2270"/>
      <c r="I7" s="2270"/>
      <c r="J7" s="2270"/>
      <c r="K7" s="2338"/>
      <c r="AA7" s="2357"/>
      <c r="AB7" s="2357"/>
      <c r="AC7" s="2357"/>
      <c r="AD7" s="2357"/>
      <c r="AE7" s="2357"/>
      <c r="AF7" s="2357"/>
      <c r="AG7" s="2357"/>
      <c r="AH7" s="2357"/>
      <c r="AI7" s="2357"/>
      <c r="AJ7" s="2357"/>
      <c r="AK7" s="2357"/>
      <c r="AL7" s="2357"/>
      <c r="AM7" s="2357"/>
      <c r="AN7" s="2357"/>
      <c r="AO7" s="2357"/>
    </row>
    <row r="8" spans="1:41" s="2249" customFormat="1" ht="13.5" customHeight="1">
      <c r="A8" s="2271" t="s">
        <v>882</v>
      </c>
      <c r="B8" s="2272" t="s">
        <v>952</v>
      </c>
      <c r="C8" s="2273"/>
      <c r="D8" s="2273"/>
      <c r="E8" s="2273"/>
      <c r="F8" s="2273"/>
      <c r="G8" s="2273"/>
      <c r="H8" s="2273"/>
      <c r="I8" s="2273"/>
      <c r="J8" s="2273"/>
      <c r="K8" s="2339"/>
      <c r="AA8" s="2258"/>
      <c r="AB8" s="2258"/>
      <c r="AC8" s="2258"/>
      <c r="AD8" s="2258"/>
      <c r="AE8" s="2258"/>
      <c r="AF8" s="2258"/>
      <c r="AG8" s="2258"/>
      <c r="AH8" s="2258"/>
      <c r="AI8" s="2258"/>
      <c r="AJ8" s="2258"/>
      <c r="AK8" s="2258"/>
      <c r="AL8" s="2258"/>
      <c r="AM8" s="2258"/>
      <c r="AN8" s="2258"/>
      <c r="AO8" s="2258"/>
    </row>
    <row r="9" spans="1:41" s="2249" customFormat="1" ht="13.5" customHeight="1">
      <c r="A9" s="2271" t="s">
        <v>884</v>
      </c>
      <c r="B9" s="2272" t="s">
        <v>505</v>
      </c>
      <c r="C9" s="2274">
        <f>SUMIF('数据-汇总表'!$C19:$C33,'剩余法-现房'!C7,'数据-汇总表'!$E19:$E33)</f>
        <v>0</v>
      </c>
      <c r="D9" s="2274">
        <f>SUMIF('数据-汇总表'!$C19:$C33,'剩余法-现房'!D7,'数据-汇总表'!$E19:$E33)</f>
        <v>0</v>
      </c>
      <c r="E9" s="2274">
        <f>SUMIF('数据-汇总表'!$C19:$C33,'剩余法-现房'!E7,'数据-汇总表'!$E19:$E33)</f>
        <v>0</v>
      </c>
      <c r="F9" s="2274">
        <f>SUMIF('数据-汇总表'!$C19:$C33,'剩余法-现房'!F7,'数据-汇总表'!$E19:$E33)</f>
        <v>0</v>
      </c>
      <c r="G9" s="2274">
        <f>SUMIF('数据-汇总表'!$C19:$C33,'剩余法-现房'!G7,'数据-汇总表'!$E19:$E33)</f>
        <v>0</v>
      </c>
      <c r="H9" s="2274">
        <f>SUMIF('数据-汇总表'!$C19:$C33,'剩余法-现房'!H7,'数据-汇总表'!$E19:$E33)</f>
        <v>0</v>
      </c>
      <c r="I9" s="2274">
        <f>SUMIF('数据-汇总表'!$C19:$C33,'剩余法-现房'!I7,'数据-汇总表'!$E19:$E33)</f>
        <v>0</v>
      </c>
      <c r="J9" s="2274">
        <f>SUMIF('数据-汇总表'!$C19:$C33,'剩余法-现房'!J7,'数据-汇总表'!$E19:$E33)</f>
        <v>0</v>
      </c>
      <c r="K9" s="2340">
        <f>SUMIF('数据-汇总表'!$C19:$C33,'剩余法-现房'!K7,'数据-汇总表'!$E19:$E33)</f>
        <v>0</v>
      </c>
      <c r="AA9" s="2258"/>
      <c r="AB9" s="2258"/>
      <c r="AC9" s="2258"/>
      <c r="AD9" s="2258"/>
      <c r="AE9" s="2258"/>
      <c r="AF9" s="2258"/>
      <c r="AG9" s="2258"/>
      <c r="AH9" s="2258"/>
      <c r="AI9" s="2258"/>
      <c r="AJ9" s="2258"/>
      <c r="AK9" s="2258"/>
      <c r="AL9" s="2258"/>
      <c r="AM9" s="2258"/>
      <c r="AN9" s="2258"/>
      <c r="AO9" s="2258"/>
    </row>
    <row r="10" spans="1:41" s="2249" customFormat="1" ht="13.5" customHeight="1">
      <c r="A10" s="2275" t="s">
        <v>953</v>
      </c>
      <c r="B10" s="2276" t="s">
        <v>954</v>
      </c>
      <c r="C10" s="2277"/>
      <c r="D10" s="2277"/>
      <c r="E10" s="2277"/>
      <c r="F10" s="2278"/>
      <c r="G10" s="2278"/>
      <c r="H10" s="2278"/>
      <c r="I10" s="2278"/>
      <c r="J10" s="2278"/>
      <c r="K10" s="2341"/>
      <c r="AA10" s="2258"/>
      <c r="AB10" s="2258"/>
      <c r="AC10" s="2258"/>
      <c r="AD10" s="2258"/>
      <c r="AE10" s="2258"/>
      <c r="AF10" s="2258"/>
      <c r="AG10" s="2258"/>
      <c r="AH10" s="2258"/>
      <c r="AI10" s="2258"/>
      <c r="AJ10" s="2258"/>
      <c r="AK10" s="2258"/>
      <c r="AL10" s="2258"/>
      <c r="AM10" s="2258"/>
      <c r="AN10" s="2258"/>
      <c r="AO10" s="2258"/>
    </row>
    <row r="11" spans="1:41" s="2247" customFormat="1" ht="16.5" customHeight="1">
      <c r="A11" s="2279" t="s">
        <v>1012</v>
      </c>
      <c r="B11" s="2280"/>
      <c r="C11" s="2280"/>
      <c r="D11" s="2280"/>
      <c r="E11" s="2280"/>
      <c r="F11" s="2280"/>
      <c r="G11" s="2280"/>
      <c r="H11" s="2280"/>
      <c r="I11" s="2280"/>
      <c r="J11" s="2280"/>
      <c r="K11" s="2342"/>
      <c r="L11" s="2337"/>
      <c r="M11" s="2337"/>
      <c r="N11" s="2337"/>
      <c r="O11" s="2337"/>
      <c r="P11" s="2337"/>
      <c r="Q11" s="2337"/>
      <c r="R11" s="2337"/>
      <c r="S11" s="2337"/>
      <c r="T11" s="2337"/>
      <c r="U11" s="2337"/>
      <c r="V11" s="2337"/>
      <c r="W11" s="2337"/>
      <c r="X11" s="2337"/>
      <c r="Y11" s="2337"/>
      <c r="Z11" s="2337"/>
    </row>
    <row r="12" spans="1:41" s="1092" customFormat="1" ht="13.5" customHeight="1">
      <c r="A12" s="2267" t="s">
        <v>950</v>
      </c>
      <c r="B12" s="2281" t="s">
        <v>951</v>
      </c>
      <c r="C12" s="2282" t="s">
        <v>956</v>
      </c>
      <c r="D12" s="2283" t="s">
        <v>957</v>
      </c>
      <c r="E12" s="2283" t="s">
        <v>958</v>
      </c>
      <c r="F12" s="2283" t="s">
        <v>959</v>
      </c>
      <c r="G12" s="2281"/>
      <c r="H12" s="2284"/>
      <c r="I12" s="2284"/>
      <c r="J12" s="2284"/>
      <c r="K12" s="2343"/>
      <c r="L12" s="2344"/>
      <c r="M12" s="2344"/>
      <c r="N12" s="2344"/>
      <c r="O12" s="2344"/>
      <c r="P12" s="2344"/>
      <c r="Q12" s="2344"/>
      <c r="R12" s="2344"/>
      <c r="S12" s="2344"/>
      <c r="T12" s="2344"/>
      <c r="U12" s="2344"/>
      <c r="V12" s="2344"/>
      <c r="W12" s="2344"/>
      <c r="X12" s="2344"/>
      <c r="Y12" s="2344"/>
      <c r="Z12" s="2344"/>
    </row>
    <row r="13" spans="1:41" s="2250" customFormat="1" ht="13.5" customHeight="1">
      <c r="A13" s="2285" t="s">
        <v>907</v>
      </c>
      <c r="B13" s="2286" t="s">
        <v>960</v>
      </c>
      <c r="C13" s="2287">
        <f ca="1">IF(B1="",'数据-取费表'!M16,INDIRECT("'数据-取费表'!M"&amp;$K$1)+INDIRECT("'数据-取费表'!t"&amp;$K$1))</f>
        <v>13464</v>
      </c>
      <c r="D13" s="2288"/>
      <c r="E13" s="95"/>
      <c r="F13" s="2289"/>
      <c r="G13" s="2281"/>
      <c r="H13" s="2284"/>
      <c r="I13" s="2284"/>
      <c r="J13" s="2284"/>
      <c r="K13" s="2343"/>
      <c r="L13" s="2251"/>
      <c r="M13" s="2251"/>
      <c r="N13" s="2251"/>
      <c r="O13" s="2251"/>
      <c r="P13" s="2251"/>
      <c r="Q13" s="2251"/>
      <c r="R13" s="2251"/>
      <c r="S13" s="2251"/>
      <c r="T13" s="2251"/>
      <c r="U13" s="2251"/>
      <c r="V13" s="2251"/>
      <c r="W13" s="2251"/>
      <c r="X13" s="2251"/>
      <c r="Y13" s="2251"/>
      <c r="Z13" s="2251"/>
    </row>
    <row r="14" spans="1:41" s="2250" customFormat="1" ht="13.5" customHeight="1">
      <c r="A14" s="2285" t="s">
        <v>961</v>
      </c>
      <c r="B14" s="2286" t="s">
        <v>962</v>
      </c>
      <c r="C14" s="138">
        <f ca="1">ROUND(C13*F14,0)</f>
        <v>673</v>
      </c>
      <c r="D14" s="2288"/>
      <c r="E14" s="95"/>
      <c r="F14" s="2290">
        <f>'数据-取费表'!B33</f>
        <v>0.05</v>
      </c>
      <c r="G14" s="2281" t="s">
        <v>963</v>
      </c>
      <c r="H14" s="2284"/>
      <c r="I14" s="2284"/>
      <c r="J14" s="2284"/>
      <c r="K14" s="2343"/>
      <c r="L14" s="2251"/>
      <c r="M14" s="2251"/>
      <c r="N14" s="2251"/>
      <c r="O14" s="2251"/>
      <c r="P14" s="2251"/>
      <c r="Q14" s="2251"/>
      <c r="R14" s="2251"/>
      <c r="S14" s="2251"/>
      <c r="T14" s="2251"/>
      <c r="U14" s="2251"/>
      <c r="V14" s="2251"/>
      <c r="W14" s="2251"/>
      <c r="X14" s="2251"/>
      <c r="Y14" s="2251"/>
      <c r="Z14" s="2251"/>
    </row>
    <row r="15" spans="1:41" s="2250" customFormat="1" ht="13.5" customHeight="1">
      <c r="A15" s="2285" t="s">
        <v>964</v>
      </c>
      <c r="B15" s="2286" t="s">
        <v>965</v>
      </c>
      <c r="C15" s="138">
        <f ca="1">ROUND(IF(B1="",SUMIF('数据-取费表'!C:C,"住宅",'数据-取费表'!M:M)*F15,IF(INDIRECT("'数据-取费表'!c"&amp;$K$1)="住宅",INDIRECT("'数据-取费表'!M"&amp;$K$1)*F15,0)),0)</f>
        <v>0</v>
      </c>
      <c r="D15" s="2288"/>
      <c r="E15" s="95"/>
      <c r="F15" s="2290">
        <f>'数据-取费表'!B34</f>
        <v>0</v>
      </c>
      <c r="G15" s="2281" t="s">
        <v>963</v>
      </c>
      <c r="H15" s="2284"/>
      <c r="I15" s="2284"/>
      <c r="J15" s="2284"/>
      <c r="K15" s="2343"/>
      <c r="L15" s="2251"/>
      <c r="M15" s="2251"/>
      <c r="N15" s="2251"/>
      <c r="O15" s="2251"/>
      <c r="P15" s="2251"/>
      <c r="Q15" s="2251"/>
      <c r="R15" s="2251"/>
      <c r="S15" s="2251"/>
      <c r="T15" s="2251"/>
      <c r="U15" s="2251"/>
      <c r="V15" s="2251"/>
      <c r="W15" s="2251"/>
      <c r="X15" s="2251"/>
      <c r="Y15" s="2251"/>
      <c r="Z15" s="2251"/>
    </row>
    <row r="16" spans="1:41" s="2251" customFormat="1" ht="13.5" customHeight="1">
      <c r="A16" s="2285" t="s">
        <v>967</v>
      </c>
      <c r="B16" s="2286" t="s">
        <v>968</v>
      </c>
      <c r="C16" s="138">
        <f ca="1">ROUND(D16*E16/10000,0)</f>
        <v>1496</v>
      </c>
      <c r="D16" s="2288">
        <f ca="1">IF(B1="",'数据-汇总表'!E3,INDIRECT("'数据-取费表'!K"&amp;$K$1)+INDIRECT("'数据-取费表'!S"&amp;$K$1))</f>
        <v>74800</v>
      </c>
      <c r="E16" s="138">
        <f>'数据-取费表'!B35</f>
        <v>200</v>
      </c>
      <c r="F16" s="2291"/>
      <c r="G16" s="2281"/>
      <c r="H16" s="2284"/>
      <c r="I16" s="2284"/>
      <c r="J16" s="2284"/>
      <c r="K16" s="2343"/>
      <c r="AA16" s="2250"/>
      <c r="AB16" s="2250"/>
      <c r="AC16" s="2250"/>
      <c r="AD16" s="2250"/>
      <c r="AE16" s="2250"/>
      <c r="AF16" s="2250"/>
      <c r="AG16" s="2250"/>
      <c r="AH16" s="2250"/>
      <c r="AI16" s="2250"/>
      <c r="AJ16" s="2250"/>
      <c r="AK16" s="2250"/>
      <c r="AL16" s="2250"/>
      <c r="AM16" s="2250"/>
      <c r="AN16" s="2250"/>
      <c r="AO16" s="2250"/>
    </row>
    <row r="17" spans="1:26" s="2250" customFormat="1" ht="13.5" customHeight="1">
      <c r="A17" s="2285" t="s">
        <v>969</v>
      </c>
      <c r="B17" s="2286" t="s">
        <v>970</v>
      </c>
      <c r="C17" s="2292">
        <f ca="1">ROUND(C13*F17,0)</f>
        <v>269</v>
      </c>
      <c r="D17" s="2293"/>
      <c r="E17" s="2292"/>
      <c r="F17" s="2290">
        <f>'数据-取费表'!B36</f>
        <v>0.02</v>
      </c>
      <c r="G17" s="2281" t="s">
        <v>963</v>
      </c>
      <c r="H17" s="2294"/>
      <c r="I17" s="2294"/>
      <c r="J17" s="2294"/>
      <c r="K17" s="2345"/>
      <c r="L17" s="2251"/>
      <c r="M17" s="2251"/>
      <c r="N17" s="2251"/>
      <c r="O17" s="2251"/>
      <c r="P17" s="2251"/>
      <c r="Q17" s="2251"/>
      <c r="R17" s="2251"/>
      <c r="S17" s="2251"/>
      <c r="T17" s="2251"/>
      <c r="U17" s="2251"/>
      <c r="V17" s="2251"/>
      <c r="W17" s="2251"/>
      <c r="X17" s="2251"/>
      <c r="Y17" s="2251"/>
      <c r="Z17" s="2251"/>
    </row>
    <row r="18" spans="1:26" s="2252" customFormat="1" ht="13.5" customHeight="1">
      <c r="A18" s="2295" t="s">
        <v>972</v>
      </c>
      <c r="B18" s="2296" t="s">
        <v>973</v>
      </c>
      <c r="C18" s="2297">
        <f ca="1">SUM(C13:C17)</f>
        <v>15902</v>
      </c>
      <c r="D18" s="2298"/>
      <c r="E18" s="2299"/>
      <c r="F18" s="2299"/>
      <c r="G18" s="2300" t="s">
        <v>1013</v>
      </c>
      <c r="H18" s="2284"/>
      <c r="I18" s="2284"/>
      <c r="J18" s="2284"/>
      <c r="K18" s="2343"/>
      <c r="L18" s="2346"/>
      <c r="M18" s="2346"/>
      <c r="N18" s="2346"/>
      <c r="O18" s="2346"/>
      <c r="P18" s="2346"/>
      <c r="Q18" s="2346"/>
      <c r="R18" s="2346"/>
      <c r="S18" s="2346"/>
      <c r="T18" s="2346"/>
      <c r="U18" s="2346"/>
      <c r="V18" s="2346"/>
      <c r="W18" s="2346"/>
      <c r="X18" s="2346"/>
      <c r="Y18" s="2346"/>
      <c r="Z18" s="2346"/>
    </row>
    <row r="19" spans="1:26" s="2252" customFormat="1" ht="13.5" customHeight="1">
      <c r="A19" s="2295" t="s">
        <v>975</v>
      </c>
      <c r="B19" s="2296" t="s">
        <v>1014</v>
      </c>
      <c r="C19" s="2297">
        <f ca="1">ROUND(C18*F19,0)</f>
        <v>318</v>
      </c>
      <c r="D19" s="2298"/>
      <c r="E19" s="2299"/>
      <c r="F19" s="2301">
        <f>'数据-取费表'!B37</f>
        <v>0.02</v>
      </c>
      <c r="G19" s="2281" t="s">
        <v>1015</v>
      </c>
      <c r="H19" s="2284"/>
      <c r="I19" s="2284"/>
      <c r="J19" s="2284"/>
      <c r="K19" s="2343"/>
      <c r="L19" s="2347"/>
      <c r="M19" s="2347"/>
      <c r="N19" s="2347"/>
      <c r="O19" s="2346"/>
      <c r="P19" s="2346"/>
      <c r="Q19" s="2346"/>
      <c r="R19" s="2346"/>
      <c r="S19" s="2346"/>
      <c r="T19" s="2346"/>
      <c r="U19" s="2346"/>
      <c r="V19" s="2346"/>
      <c r="W19" s="2346"/>
      <c r="X19" s="2346"/>
      <c r="Y19" s="2346"/>
      <c r="Z19" s="2346"/>
    </row>
    <row r="20" spans="1:26" s="2253" customFormat="1" ht="13.5" customHeight="1">
      <c r="A20" s="2295" t="s">
        <v>978</v>
      </c>
      <c r="B20" s="2298" t="s">
        <v>1016</v>
      </c>
      <c r="C20" s="2302">
        <f ca="1">ROUND(IF('数据-取费表'!B22&lt;=1,(C18+C19)*F20*'数据-取费表'!B20/2,(C18+C19)*(POWER((1+F20),'数据-取费表'!B20/2)-1)),0)</f>
        <v>418</v>
      </c>
      <c r="D20" s="2299">
        <f ca="1">ROUND(((1+F20)^'数据-取费表'!B20)-1,4)</f>
        <v>5.2200000000000003E-2</v>
      </c>
      <c r="E20" s="2299"/>
      <c r="F20" s="2303">
        <f ca="1">'数据-取费表'!B40</f>
        <v>3.4500000000000003E-2</v>
      </c>
      <c r="G20" s="2300" t="str">
        <f>IF('数据-取费表'!B22&lt;=1,"单利计息。","复利计息。")&amp;"建造成本、管理费用产生的利息 / 地价及税费产生的利息。"</f>
        <v>复利计息。建造成本、管理费用产生的利息 / 地价及税费产生的利息。</v>
      </c>
      <c r="H20" s="2284"/>
      <c r="I20" s="2284"/>
      <c r="J20" s="2284"/>
      <c r="K20" s="2343"/>
      <c r="L20" s="2348" t="s">
        <v>1017</v>
      </c>
      <c r="M20" s="2349"/>
      <c r="N20" s="2349"/>
      <c r="O20" s="2349"/>
      <c r="P20" s="2349"/>
      <c r="Q20" s="2347"/>
      <c r="R20" s="2347"/>
      <c r="S20" s="2347"/>
      <c r="T20" s="2347"/>
      <c r="U20" s="2347"/>
      <c r="V20" s="2347"/>
      <c r="W20" s="2347"/>
      <c r="X20" s="2347"/>
      <c r="Y20" s="2347"/>
      <c r="Z20" s="2347"/>
    </row>
    <row r="21" spans="1:26" s="2254" customFormat="1" ht="13.5" customHeight="1">
      <c r="A21" s="2295" t="s">
        <v>1018</v>
      </c>
      <c r="B21" s="2304" t="s">
        <v>1005</v>
      </c>
      <c r="C21" s="2305">
        <f ca="1">ROUND((C18+C19)*F21,0)</f>
        <v>1298</v>
      </c>
      <c r="D21" s="2306"/>
      <c r="E21" s="2299"/>
      <c r="F21" s="2185">
        <f ca="1">IF(B1="",'数据-取费表'!Q16,INDIRECT("'数据-取费表'!q"&amp;$K$1))</f>
        <v>0.08</v>
      </c>
      <c r="G21" s="2281"/>
      <c r="H21" s="2284"/>
      <c r="I21" s="2284"/>
      <c r="J21" s="2284"/>
      <c r="K21" s="2343"/>
      <c r="L21" s="2350"/>
      <c r="M21" s="2350"/>
      <c r="N21" s="2350"/>
      <c r="O21" s="2350"/>
      <c r="P21" s="2350"/>
      <c r="Q21" s="2350"/>
      <c r="R21" s="2350"/>
      <c r="S21" s="2350"/>
      <c r="T21" s="2350"/>
      <c r="U21" s="2350"/>
      <c r="V21" s="2350"/>
      <c r="W21" s="2350"/>
      <c r="X21" s="2350"/>
      <c r="Y21" s="2350"/>
      <c r="Z21" s="2350"/>
    </row>
    <row r="22" spans="1:26" s="2253" customFormat="1" ht="13.5" customHeight="1">
      <c r="A22" s="2295" t="s">
        <v>987</v>
      </c>
      <c r="B22" s="2307" t="s">
        <v>1019</v>
      </c>
      <c r="C22" s="2308"/>
      <c r="D22" s="2308"/>
      <c r="E22" s="2309"/>
      <c r="F22" s="2310">
        <f ca="1">IF(B1="",'数据-取费表'!N16,INDIRECT("'数据-取费表'!N"&amp;$K$1))</f>
        <v>0</v>
      </c>
      <c r="G22" s="2281"/>
      <c r="H22" s="2284"/>
      <c r="I22" s="2284"/>
      <c r="J22" s="2284"/>
      <c r="K22" s="2343"/>
      <c r="L22" s="2347"/>
      <c r="M22" s="2347"/>
      <c r="N22" s="2347"/>
      <c r="O22" s="2347"/>
      <c r="P22" s="2347"/>
      <c r="Q22" s="2347"/>
      <c r="R22" s="2347"/>
      <c r="S22" s="2347"/>
      <c r="T22" s="2347"/>
      <c r="U22" s="2347"/>
      <c r="V22" s="2347"/>
      <c r="W22" s="2347"/>
      <c r="X22" s="2347"/>
      <c r="Y22" s="2347"/>
      <c r="Z22" s="2347"/>
    </row>
    <row r="23" spans="1:26" s="2253" customFormat="1" ht="13.5" customHeight="1">
      <c r="A23" s="2311" t="s">
        <v>990</v>
      </c>
      <c r="B23" s="2312" t="s">
        <v>1020</v>
      </c>
      <c r="C23" s="2313">
        <f ca="1">ROUND((C18+C19+C20+C21)*F22,0)</f>
        <v>0</v>
      </c>
      <c r="D23" s="2314"/>
      <c r="E23" s="2315"/>
      <c r="F23" s="2316"/>
      <c r="G23" s="2268"/>
      <c r="H23" s="2317"/>
      <c r="I23" s="2317"/>
      <c r="J23" s="2317"/>
      <c r="K23" s="2351"/>
      <c r="L23" s="2347"/>
      <c r="M23" s="2347"/>
      <c r="N23" s="2347"/>
      <c r="O23" s="2347"/>
      <c r="P23" s="2347"/>
      <c r="Q23" s="2347"/>
      <c r="R23" s="2347"/>
      <c r="S23" s="2347"/>
      <c r="T23" s="2347"/>
      <c r="U23" s="2347"/>
      <c r="V23" s="2347"/>
      <c r="W23" s="2347"/>
      <c r="X23" s="2347"/>
      <c r="Y23" s="2347"/>
      <c r="Z23" s="2347"/>
    </row>
    <row r="24" spans="1:26" s="2253" customFormat="1" ht="13.5" customHeight="1">
      <c r="A24" s="3819" t="s">
        <v>1021</v>
      </c>
      <c r="B24" s="3820"/>
      <c r="C24" s="2318">
        <f>ROUND(C6*F24/(1+'数据-取费表'!B42),0)</f>
        <v>0</v>
      </c>
      <c r="D24" s="2319"/>
      <c r="E24" s="2320"/>
      <c r="F24" s="2321">
        <f>'数据-取费表'!B41</f>
        <v>5.5E-2</v>
      </c>
      <c r="G24" s="2322"/>
      <c r="H24" s="2322"/>
      <c r="I24" s="2322"/>
      <c r="J24" s="2322"/>
      <c r="K24" s="2352"/>
      <c r="L24" s="2347"/>
      <c r="M24" s="2347"/>
      <c r="N24" s="2347"/>
      <c r="O24" s="2347"/>
      <c r="P24" s="2347"/>
      <c r="Q24" s="2347"/>
      <c r="R24" s="2347"/>
      <c r="S24" s="2347"/>
      <c r="T24" s="2347"/>
      <c r="U24" s="2347"/>
      <c r="V24" s="2347"/>
      <c r="W24" s="2347"/>
      <c r="X24" s="2347"/>
      <c r="Y24" s="2347"/>
      <c r="Z24" s="2347"/>
    </row>
    <row r="25" spans="1:26" s="2253" customFormat="1" ht="13.5" customHeight="1">
      <c r="A25" s="3819" t="s">
        <v>1022</v>
      </c>
      <c r="B25" s="3820"/>
      <c r="C25" s="2318">
        <f>ROUND(C6*F25,0)</f>
        <v>0</v>
      </c>
      <c r="D25" s="2319"/>
      <c r="E25" s="2320"/>
      <c r="F25" s="2323">
        <f>'数据-取费表'!B38</f>
        <v>0.02</v>
      </c>
      <c r="G25" s="2324"/>
      <c r="H25" s="2322"/>
      <c r="I25" s="2322"/>
      <c r="J25" s="2322"/>
      <c r="K25" s="2352"/>
      <c r="L25" s="2347"/>
      <c r="M25" s="2347"/>
      <c r="N25" s="2347"/>
      <c r="O25" s="2347"/>
      <c r="P25" s="2347"/>
      <c r="Q25" s="2347"/>
      <c r="R25" s="2347"/>
      <c r="S25" s="2347"/>
      <c r="T25" s="2347"/>
      <c r="U25" s="2347"/>
      <c r="V25" s="2347"/>
      <c r="W25" s="2347"/>
      <c r="X25" s="2347"/>
      <c r="Y25" s="2347"/>
      <c r="Z25" s="2347"/>
    </row>
    <row r="26" spans="1:26" s="2255" customFormat="1" ht="13.5" customHeight="1">
      <c r="A26" s="3819" t="s">
        <v>1023</v>
      </c>
      <c r="B26" s="3820"/>
      <c r="C26" s="2325"/>
      <c r="D26" s="2326"/>
      <c r="E26" s="2326"/>
      <c r="F26" s="2327">
        <f>'数据-取费表'!B48+'数据-取费表'!B49</f>
        <v>3.0499999999999999E-2</v>
      </c>
      <c r="G26" s="2328"/>
      <c r="H26" s="2328"/>
      <c r="I26" s="2328"/>
      <c r="J26" s="2353"/>
      <c r="K26" s="2354"/>
      <c r="L26" s="2355"/>
      <c r="M26" s="2355"/>
      <c r="N26" s="2355"/>
      <c r="O26" s="2355"/>
      <c r="P26" s="2355"/>
      <c r="Q26" s="2355"/>
      <c r="R26" s="2355"/>
      <c r="S26" s="2355"/>
      <c r="T26" s="2355"/>
      <c r="U26" s="2355"/>
      <c r="V26" s="2355"/>
      <c r="W26" s="2355"/>
      <c r="X26" s="2355"/>
      <c r="Y26" s="2355"/>
      <c r="Z26" s="2355"/>
    </row>
    <row r="27" spans="1:26" s="2256" customFormat="1" ht="13.5" customHeight="1">
      <c r="A27" s="3821" t="s">
        <v>1024</v>
      </c>
      <c r="B27" s="3822"/>
      <c r="C27" s="2329">
        <f ca="1">(C6-C23-C24-C25)/((1+F26)*(1+D20+F21))</f>
        <v>0</v>
      </c>
      <c r="D27" s="2330"/>
      <c r="E27" s="2330"/>
      <c r="F27" s="2330"/>
      <c r="G27" s="2331" t="s">
        <v>1025</v>
      </c>
      <c r="H27" s="2330"/>
      <c r="I27" s="2330"/>
      <c r="J27" s="2330"/>
      <c r="K27" s="2356"/>
    </row>
    <row r="28" spans="1:26" s="2249" customFormat="1">
      <c r="A28" s="2332"/>
      <c r="C28" s="2333"/>
      <c r="E28" s="2332"/>
    </row>
    <row r="29" spans="1:26" s="2249" customFormat="1" ht="12.75" customHeight="1">
      <c r="A29" s="2332"/>
      <c r="C29" s="2333"/>
      <c r="E29" s="2332"/>
    </row>
    <row r="30" spans="1:26" s="2249" customFormat="1">
      <c r="A30" s="2332"/>
      <c r="C30" s="2333"/>
      <c r="E30" s="2332"/>
    </row>
    <row r="31" spans="1:26" s="2249" customFormat="1">
      <c r="A31" s="2332"/>
      <c r="C31" s="2333"/>
      <c r="E31" s="2332"/>
    </row>
    <row r="32" spans="1:26" s="2249" customFormat="1">
      <c r="A32" s="2332"/>
      <c r="C32" s="2333"/>
      <c r="E32" s="2332"/>
    </row>
    <row r="33" spans="1:5" s="2249" customFormat="1">
      <c r="A33" s="2332"/>
      <c r="C33" s="2333"/>
      <c r="E33" s="2332"/>
    </row>
    <row r="34" spans="1:5" s="2249" customFormat="1">
      <c r="A34" s="2332"/>
      <c r="C34" s="2333"/>
      <c r="E34" s="2332"/>
    </row>
    <row r="35" spans="1:5" s="2249" customFormat="1">
      <c r="A35" s="2332"/>
      <c r="C35" s="2333"/>
      <c r="E35" s="2332"/>
    </row>
    <row r="36" spans="1:5" s="2249" customFormat="1">
      <c r="A36" s="2332"/>
      <c r="C36" s="2333"/>
      <c r="E36" s="2332"/>
    </row>
    <row r="37" spans="1:5" s="2249" customFormat="1">
      <c r="A37" s="2332"/>
      <c r="C37" s="2333"/>
      <c r="E37" s="2332"/>
    </row>
    <row r="38" spans="1:5" s="2249" customFormat="1">
      <c r="A38" s="2332"/>
      <c r="C38" s="2333"/>
      <c r="E38" s="2332"/>
    </row>
    <row r="39" spans="1:5" s="2249" customFormat="1">
      <c r="A39" s="2332"/>
      <c r="C39" s="2333"/>
      <c r="E39" s="2332"/>
    </row>
    <row r="40" spans="1:5" s="2249" customFormat="1">
      <c r="A40" s="2332"/>
      <c r="C40" s="2333"/>
      <c r="E40" s="2332"/>
    </row>
    <row r="41" spans="1:5" s="2249" customFormat="1">
      <c r="A41" s="2332"/>
      <c r="C41" s="2333"/>
      <c r="E41" s="2332"/>
    </row>
    <row r="42" spans="1:5" s="2249" customFormat="1">
      <c r="A42" s="2332"/>
      <c r="C42" s="2333"/>
      <c r="E42" s="2332"/>
    </row>
    <row r="43" spans="1:5" s="2249" customFormat="1">
      <c r="A43" s="2332"/>
      <c r="C43" s="2333"/>
      <c r="E43" s="2332"/>
    </row>
    <row r="44" spans="1:5" s="2249" customFormat="1">
      <c r="A44" s="2332"/>
      <c r="C44" s="2333"/>
      <c r="E44" s="2332"/>
    </row>
    <row r="45" spans="1:5" s="2249" customFormat="1">
      <c r="A45" s="2332"/>
      <c r="C45" s="2333"/>
      <c r="E45" s="2332"/>
    </row>
    <row r="46" spans="1:5" s="2249" customFormat="1">
      <c r="A46" s="2332"/>
      <c r="C46" s="2333"/>
      <c r="E46" s="2332"/>
    </row>
    <row r="47" spans="1:5" s="2249" customFormat="1">
      <c r="A47" s="2332"/>
      <c r="C47" s="2333"/>
      <c r="E47" s="2332"/>
    </row>
    <row r="48" spans="1:5" s="2249" customFormat="1">
      <c r="A48" s="2332"/>
      <c r="C48" s="2333"/>
      <c r="E48" s="2332"/>
    </row>
    <row r="49" spans="1:5" s="2249" customFormat="1">
      <c r="A49" s="2332"/>
      <c r="C49" s="2333"/>
      <c r="E49" s="2332"/>
    </row>
    <row r="50" spans="1:5" s="2249" customFormat="1">
      <c r="A50" s="2332"/>
      <c r="C50" s="2333"/>
      <c r="E50" s="2332"/>
    </row>
    <row r="51" spans="1:5" s="2249" customFormat="1">
      <c r="A51" s="2332"/>
      <c r="C51" s="2333"/>
      <c r="E51" s="2332"/>
    </row>
    <row r="52" spans="1:5" s="2249" customFormat="1">
      <c r="A52" s="2332"/>
      <c r="C52" s="2333"/>
      <c r="E52" s="2332"/>
    </row>
    <row r="53" spans="1:5" s="2249" customFormat="1">
      <c r="A53" s="2332"/>
      <c r="C53" s="2333"/>
      <c r="E53" s="2332"/>
    </row>
    <row r="54" spans="1:5" s="2249" customFormat="1">
      <c r="A54" s="2332"/>
      <c r="C54" s="2333"/>
      <c r="E54" s="2332"/>
    </row>
    <row r="55" spans="1:5" s="2249" customFormat="1">
      <c r="A55" s="2332"/>
      <c r="C55" s="2333"/>
      <c r="E55" s="2332"/>
    </row>
    <row r="56" spans="1:5" s="2249" customFormat="1">
      <c r="A56" s="2332"/>
      <c r="C56" s="2333"/>
      <c r="E56" s="2332"/>
    </row>
    <row r="57" spans="1:5" s="2249" customFormat="1">
      <c r="A57" s="2332"/>
      <c r="C57" s="2333"/>
      <c r="E57" s="2332"/>
    </row>
    <row r="58" spans="1:5" s="2249" customFormat="1">
      <c r="A58" s="2332"/>
      <c r="C58" s="2333"/>
      <c r="E58" s="2332"/>
    </row>
    <row r="59" spans="1:5" s="2249" customFormat="1">
      <c r="A59" s="2332"/>
      <c r="C59" s="2333"/>
      <c r="E59" s="2332"/>
    </row>
    <row r="60" spans="1:5" s="2249" customFormat="1">
      <c r="A60" s="2332"/>
      <c r="C60" s="2333"/>
      <c r="E60" s="2332"/>
    </row>
    <row r="61" spans="1:5" s="2249" customFormat="1">
      <c r="A61" s="2332"/>
      <c r="C61" s="2333"/>
      <c r="E61" s="2332"/>
    </row>
    <row r="62" spans="1:5" s="2249" customFormat="1">
      <c r="A62" s="2332"/>
      <c r="C62" s="2333"/>
      <c r="E62" s="2332"/>
    </row>
    <row r="63" spans="1:5" s="2249" customFormat="1">
      <c r="A63" s="2332"/>
      <c r="C63" s="2333"/>
      <c r="E63" s="2332"/>
    </row>
    <row r="64" spans="1:5" s="2249" customFormat="1">
      <c r="A64" s="2332"/>
      <c r="C64" s="2333"/>
      <c r="E64" s="2332"/>
    </row>
    <row r="65" spans="1:5" s="2249" customFormat="1">
      <c r="A65" s="2332"/>
      <c r="C65" s="2333"/>
      <c r="E65" s="2332"/>
    </row>
    <row r="66" spans="1:5" s="2249" customFormat="1">
      <c r="A66" s="2332"/>
      <c r="C66" s="2333"/>
      <c r="E66" s="2332"/>
    </row>
    <row r="67" spans="1:5" s="2249" customFormat="1">
      <c r="A67" s="2332"/>
      <c r="C67" s="2333"/>
      <c r="E67" s="2332"/>
    </row>
    <row r="68" spans="1:5" s="2249" customFormat="1">
      <c r="A68" s="2332"/>
      <c r="C68" s="2333"/>
      <c r="E68" s="2332"/>
    </row>
    <row r="69" spans="1:5" s="2249" customFormat="1">
      <c r="A69" s="2332"/>
      <c r="C69" s="2333"/>
      <c r="E69" s="2332"/>
    </row>
    <row r="70" spans="1:5" s="2249" customFormat="1">
      <c r="A70" s="2332"/>
      <c r="C70" s="2333"/>
      <c r="E70" s="2332"/>
    </row>
    <row r="71" spans="1:5" s="2249" customFormat="1">
      <c r="A71" s="2332"/>
      <c r="C71" s="2333"/>
      <c r="E71" s="2332"/>
    </row>
    <row r="72" spans="1:5" s="2249" customFormat="1">
      <c r="A72" s="2332"/>
      <c r="C72" s="2333"/>
      <c r="E72" s="2332"/>
    </row>
    <row r="73" spans="1:5" s="2249" customFormat="1">
      <c r="A73" s="2332"/>
      <c r="C73" s="2333"/>
      <c r="E73" s="2332"/>
    </row>
    <row r="74" spans="1:5" s="2249" customFormat="1">
      <c r="A74" s="2332"/>
      <c r="C74" s="2333"/>
      <c r="E74" s="2332"/>
    </row>
    <row r="75" spans="1:5" s="2249" customFormat="1">
      <c r="A75" s="2332"/>
      <c r="C75" s="2333"/>
      <c r="E75" s="2332"/>
    </row>
    <row r="76" spans="1:5" s="2249" customFormat="1">
      <c r="A76" s="2332"/>
      <c r="C76" s="2333"/>
      <c r="E76" s="2332"/>
    </row>
    <row r="77" spans="1:5" s="2249" customFormat="1">
      <c r="A77" s="2332"/>
      <c r="C77" s="2333"/>
      <c r="E77" s="2332"/>
    </row>
    <row r="78" spans="1:5" s="2249" customFormat="1">
      <c r="A78" s="2332"/>
      <c r="C78" s="2333"/>
      <c r="E78" s="2332"/>
    </row>
    <row r="79" spans="1:5" s="2249" customFormat="1">
      <c r="A79" s="2332"/>
      <c r="C79" s="2333"/>
      <c r="E79" s="2332"/>
    </row>
    <row r="80" spans="1:5" s="2249" customFormat="1">
      <c r="A80" s="2332"/>
      <c r="C80" s="2333"/>
      <c r="E80" s="2332"/>
    </row>
    <row r="81" spans="1:5" s="2249" customFormat="1">
      <c r="A81" s="2332"/>
      <c r="C81" s="2333"/>
      <c r="E81" s="2332"/>
    </row>
    <row r="82" spans="1:5" s="2249" customFormat="1">
      <c r="A82" s="2332"/>
      <c r="C82" s="2333"/>
      <c r="E82" s="2332"/>
    </row>
    <row r="83" spans="1:5" s="2249" customFormat="1">
      <c r="A83" s="2332"/>
      <c r="C83" s="2333"/>
      <c r="E83" s="2332"/>
    </row>
    <row r="84" spans="1:5" s="2249" customFormat="1">
      <c r="A84" s="2332"/>
      <c r="C84" s="2333"/>
      <c r="E84" s="2332"/>
    </row>
    <row r="85" spans="1:5" s="2249" customFormat="1">
      <c r="A85" s="2332"/>
      <c r="C85" s="2333"/>
      <c r="E85" s="2332"/>
    </row>
    <row r="86" spans="1:5" s="2249" customFormat="1">
      <c r="A86" s="2332"/>
      <c r="C86" s="2333"/>
      <c r="E86" s="2332"/>
    </row>
    <row r="87" spans="1:5" s="2249" customFormat="1">
      <c r="A87" s="2332"/>
      <c r="C87" s="2333"/>
      <c r="E87" s="2332"/>
    </row>
    <row r="88" spans="1:5" s="2249" customFormat="1">
      <c r="A88" s="2332"/>
      <c r="C88" s="2333"/>
      <c r="E88" s="2332"/>
    </row>
    <row r="89" spans="1:5" s="2249" customFormat="1">
      <c r="A89" s="2332"/>
      <c r="C89" s="2333"/>
      <c r="E89" s="2332"/>
    </row>
    <row r="90" spans="1:5" s="2249" customFormat="1">
      <c r="A90" s="2332"/>
      <c r="C90" s="2333"/>
      <c r="E90" s="2332"/>
    </row>
    <row r="91" spans="1:5" s="2249" customFormat="1">
      <c r="A91" s="2332"/>
      <c r="C91" s="2333"/>
      <c r="E91" s="2332"/>
    </row>
    <row r="92" spans="1:5" s="2249" customFormat="1">
      <c r="A92" s="2332"/>
      <c r="C92" s="2333"/>
      <c r="E92" s="2332"/>
    </row>
    <row r="93" spans="1:5" s="2249" customFormat="1">
      <c r="A93" s="2332"/>
      <c r="C93" s="2333"/>
      <c r="E93" s="2332"/>
    </row>
    <row r="94" spans="1:5" s="2249" customFormat="1">
      <c r="A94" s="2332"/>
      <c r="C94" s="2333"/>
      <c r="E94" s="2332"/>
    </row>
    <row r="95" spans="1:5" s="2249" customFormat="1">
      <c r="A95" s="2332"/>
      <c r="C95" s="2333"/>
      <c r="E95" s="2332"/>
    </row>
    <row r="96" spans="1:5" s="2249" customFormat="1">
      <c r="A96" s="2332"/>
      <c r="C96" s="2333"/>
      <c r="E96" s="2332"/>
    </row>
    <row r="97" spans="1:5" s="2249" customFormat="1">
      <c r="A97" s="2332"/>
      <c r="C97" s="2333"/>
      <c r="E97" s="2332"/>
    </row>
    <row r="98" spans="1:5" s="2249" customFormat="1">
      <c r="A98" s="2332"/>
      <c r="C98" s="2333"/>
      <c r="E98" s="2332"/>
    </row>
    <row r="99" spans="1:5" s="2249" customFormat="1">
      <c r="A99" s="2332"/>
      <c r="C99" s="2333"/>
      <c r="E99" s="2332"/>
    </row>
    <row r="100" spans="1:5" s="2249" customFormat="1">
      <c r="A100" s="2332"/>
      <c r="C100" s="2333"/>
      <c r="E100" s="2332"/>
    </row>
    <row r="101" spans="1:5" s="2249" customFormat="1">
      <c r="A101" s="2332"/>
      <c r="C101" s="2333"/>
      <c r="E101" s="2332"/>
    </row>
    <row r="102" spans="1:5" s="2249" customFormat="1">
      <c r="A102" s="2332"/>
      <c r="C102" s="2333"/>
      <c r="E102" s="2332"/>
    </row>
    <row r="103" spans="1:5" s="2249" customFormat="1">
      <c r="A103" s="2332"/>
      <c r="C103" s="2333"/>
      <c r="E103" s="2332"/>
    </row>
    <row r="104" spans="1:5" s="2249" customFormat="1">
      <c r="A104" s="2332"/>
      <c r="C104" s="2333"/>
      <c r="E104" s="2332"/>
    </row>
    <row r="105" spans="1:5" s="2249" customFormat="1">
      <c r="A105" s="2332"/>
      <c r="C105" s="2333"/>
      <c r="E105" s="2332"/>
    </row>
    <row r="106" spans="1:5" s="2249" customFormat="1">
      <c r="A106" s="2332"/>
      <c r="C106" s="2333"/>
      <c r="E106" s="2332"/>
    </row>
    <row r="107" spans="1:5" s="2249" customFormat="1">
      <c r="A107" s="2332"/>
      <c r="C107" s="2333"/>
      <c r="E107" s="2332"/>
    </row>
    <row r="108" spans="1:5" s="2249" customFormat="1">
      <c r="A108" s="2332"/>
      <c r="C108" s="2333"/>
      <c r="E108" s="2332"/>
    </row>
    <row r="109" spans="1:5" s="2249" customFormat="1">
      <c r="A109" s="2332"/>
      <c r="C109" s="2333"/>
      <c r="E109" s="2332"/>
    </row>
    <row r="110" spans="1:5" s="2249" customFormat="1">
      <c r="A110" s="2332"/>
      <c r="C110" s="2333"/>
      <c r="E110" s="2332"/>
    </row>
    <row r="111" spans="1:5" s="2249" customFormat="1">
      <c r="A111" s="2332"/>
      <c r="C111" s="2333"/>
      <c r="E111" s="2332"/>
    </row>
    <row r="112" spans="1:5" s="2249" customFormat="1">
      <c r="A112" s="2332"/>
      <c r="C112" s="2333"/>
      <c r="E112" s="2332"/>
    </row>
    <row r="113" spans="1:5" s="2249" customFormat="1">
      <c r="A113" s="2332"/>
      <c r="C113" s="2333"/>
      <c r="E113" s="2332"/>
    </row>
    <row r="114" spans="1:5" s="2249" customFormat="1">
      <c r="A114" s="2332"/>
      <c r="C114" s="2333"/>
      <c r="E114" s="2332"/>
    </row>
    <row r="115" spans="1:5" s="2249" customFormat="1">
      <c r="A115" s="2332"/>
      <c r="C115" s="2333"/>
      <c r="E115" s="2332"/>
    </row>
    <row r="116" spans="1:5" s="2249" customFormat="1">
      <c r="A116" s="2332"/>
      <c r="C116" s="2333"/>
      <c r="E116" s="2332"/>
    </row>
    <row r="117" spans="1:5" s="2249" customFormat="1">
      <c r="A117" s="2332"/>
      <c r="C117" s="2333"/>
      <c r="E117" s="2332"/>
    </row>
    <row r="118" spans="1:5" s="2249" customFormat="1">
      <c r="A118" s="2332"/>
      <c r="C118" s="2333"/>
      <c r="E118" s="2332"/>
    </row>
    <row r="119" spans="1:5" s="2249" customFormat="1">
      <c r="A119" s="2332"/>
      <c r="C119" s="2333"/>
      <c r="E119" s="2332"/>
    </row>
    <row r="120" spans="1:5" s="2249" customFormat="1">
      <c r="A120" s="2332"/>
      <c r="C120" s="2333"/>
      <c r="E120" s="2332"/>
    </row>
    <row r="121" spans="1:5" s="2249" customFormat="1">
      <c r="A121" s="2332"/>
      <c r="C121" s="2333"/>
      <c r="E121" s="2332"/>
    </row>
    <row r="122" spans="1:5" s="2249" customFormat="1">
      <c r="A122" s="2332"/>
      <c r="C122" s="2333"/>
      <c r="E122" s="2332"/>
    </row>
    <row r="123" spans="1:5" s="2249" customFormat="1">
      <c r="A123" s="2332"/>
      <c r="C123" s="2333"/>
      <c r="E123" s="2332"/>
    </row>
    <row r="124" spans="1:5" s="2249" customFormat="1">
      <c r="A124" s="2332"/>
      <c r="C124" s="2333"/>
      <c r="E124" s="2332"/>
    </row>
    <row r="125" spans="1:5" s="2249" customFormat="1">
      <c r="A125" s="2332"/>
      <c r="C125" s="2333"/>
      <c r="E125" s="2332"/>
    </row>
    <row r="126" spans="1:5" s="2249" customFormat="1">
      <c r="A126" s="2332"/>
      <c r="C126" s="2333"/>
      <c r="E126" s="2332"/>
    </row>
    <row r="127" spans="1:5" s="2249" customFormat="1">
      <c r="A127" s="2332"/>
      <c r="C127" s="2333"/>
      <c r="E127" s="2332"/>
    </row>
    <row r="128" spans="1:5" s="2249" customFormat="1">
      <c r="A128" s="2332"/>
      <c r="C128" s="2333"/>
      <c r="E128" s="2332"/>
    </row>
    <row r="129" spans="1:5" s="2249" customFormat="1">
      <c r="A129" s="2332"/>
      <c r="C129" s="2333"/>
      <c r="E129" s="2332"/>
    </row>
    <row r="130" spans="1:5" s="2249" customFormat="1">
      <c r="A130" s="2332"/>
      <c r="C130" s="2333"/>
      <c r="E130" s="2332"/>
    </row>
    <row r="131" spans="1:5" s="2249" customFormat="1">
      <c r="A131" s="2332"/>
      <c r="C131" s="2333"/>
      <c r="E131" s="2332"/>
    </row>
    <row r="132" spans="1:5" s="2249" customFormat="1">
      <c r="A132" s="2332"/>
      <c r="C132" s="2333"/>
      <c r="E132" s="2332"/>
    </row>
    <row r="133" spans="1:5" s="2249" customFormat="1">
      <c r="A133" s="2332"/>
      <c r="C133" s="2333"/>
      <c r="E133" s="2332"/>
    </row>
    <row r="134" spans="1:5" s="2249" customFormat="1">
      <c r="A134" s="2332"/>
      <c r="C134" s="2333"/>
      <c r="E134" s="2332"/>
    </row>
    <row r="135" spans="1:5" s="2249" customFormat="1">
      <c r="A135" s="2332"/>
      <c r="C135" s="2333"/>
      <c r="E135" s="2332"/>
    </row>
    <row r="136" spans="1:5" s="2249" customFormat="1">
      <c r="A136" s="2332"/>
      <c r="C136" s="2333"/>
      <c r="E136" s="2332"/>
    </row>
    <row r="137" spans="1:5" s="2249" customFormat="1">
      <c r="A137" s="2332"/>
      <c r="C137" s="2333"/>
      <c r="E137" s="2332"/>
    </row>
    <row r="138" spans="1:5" s="2249" customFormat="1">
      <c r="A138" s="2332"/>
      <c r="C138" s="2333"/>
      <c r="E138" s="2332"/>
    </row>
    <row r="139" spans="1:5" s="2249" customFormat="1">
      <c r="A139" s="2332"/>
      <c r="C139" s="2333"/>
      <c r="E139" s="2332"/>
    </row>
    <row r="140" spans="1:5" s="2249" customFormat="1">
      <c r="A140" s="2332"/>
      <c r="C140" s="2333"/>
      <c r="E140" s="2332"/>
    </row>
    <row r="141" spans="1:5" s="2249" customFormat="1">
      <c r="A141" s="2332"/>
      <c r="C141" s="2333"/>
      <c r="E141" s="2332"/>
    </row>
    <row r="142" spans="1:5" s="2249" customFormat="1">
      <c r="A142" s="2332"/>
      <c r="C142" s="2333"/>
      <c r="E142" s="2332"/>
    </row>
    <row r="143" spans="1:5" s="2249" customFormat="1">
      <c r="A143" s="2332"/>
      <c r="C143" s="2333"/>
      <c r="E143" s="2332"/>
    </row>
    <row r="144" spans="1:5" s="2249" customFormat="1">
      <c r="A144" s="2332"/>
      <c r="C144" s="2333"/>
      <c r="E144" s="2332"/>
    </row>
    <row r="145" spans="1:5" s="2249" customFormat="1">
      <c r="A145" s="2332"/>
      <c r="C145" s="2333"/>
      <c r="E145" s="2332"/>
    </row>
    <row r="146" spans="1:5" s="2249" customFormat="1">
      <c r="A146" s="2332"/>
      <c r="C146" s="2333"/>
      <c r="E146" s="2332"/>
    </row>
    <row r="147" spans="1:5" s="2249" customFormat="1">
      <c r="A147" s="2332"/>
      <c r="C147" s="2333"/>
      <c r="E147" s="2332"/>
    </row>
    <row r="148" spans="1:5" s="2249" customFormat="1">
      <c r="A148" s="2332"/>
      <c r="C148" s="2333"/>
      <c r="E148" s="2332"/>
    </row>
    <row r="149" spans="1:5" s="2249" customFormat="1">
      <c r="A149" s="2332"/>
      <c r="C149" s="2333"/>
      <c r="E149" s="2332"/>
    </row>
    <row r="150" spans="1:5" s="2249" customFormat="1">
      <c r="A150" s="2332"/>
      <c r="C150" s="2333"/>
      <c r="E150" s="2332"/>
    </row>
    <row r="151" spans="1:5" s="2249" customFormat="1">
      <c r="A151" s="2332"/>
      <c r="C151" s="2333"/>
      <c r="E151" s="2332"/>
    </row>
    <row r="152" spans="1:5" s="2249" customFormat="1">
      <c r="A152" s="2332"/>
      <c r="C152" s="2333"/>
      <c r="E152" s="2332"/>
    </row>
    <row r="153" spans="1:5" s="2249" customFormat="1">
      <c r="A153" s="2332"/>
      <c r="C153" s="2333"/>
      <c r="E153" s="2332"/>
    </row>
    <row r="154" spans="1:5" s="2249" customFormat="1">
      <c r="A154" s="2332"/>
      <c r="C154" s="2333"/>
      <c r="E154" s="2332"/>
    </row>
    <row r="155" spans="1:5" s="2249" customFormat="1">
      <c r="A155" s="2332"/>
      <c r="C155" s="2333"/>
      <c r="E155" s="2332"/>
    </row>
    <row r="156" spans="1:5" s="2249" customFormat="1">
      <c r="A156" s="2332"/>
      <c r="C156" s="2333"/>
      <c r="E156" s="2332"/>
    </row>
    <row r="157" spans="1:5" s="2249" customFormat="1">
      <c r="A157" s="2332"/>
      <c r="C157" s="2333"/>
      <c r="E157" s="2332"/>
    </row>
    <row r="158" spans="1:5" s="2249" customFormat="1">
      <c r="A158" s="2332"/>
      <c r="C158" s="2333"/>
      <c r="E158" s="2332"/>
    </row>
    <row r="159" spans="1:5" s="2249" customFormat="1">
      <c r="A159" s="2332"/>
      <c r="C159" s="2333"/>
      <c r="E159" s="2332"/>
    </row>
    <row r="160" spans="1:5" s="2249" customFormat="1">
      <c r="A160" s="2332"/>
      <c r="C160" s="2333"/>
      <c r="E160" s="2332"/>
    </row>
    <row r="161" spans="1:5" s="2249" customFormat="1">
      <c r="A161" s="2332"/>
      <c r="C161" s="2333"/>
      <c r="E161" s="2332"/>
    </row>
    <row r="162" spans="1:5" s="2249" customFormat="1">
      <c r="A162" s="2332"/>
      <c r="C162" s="2333"/>
      <c r="E162" s="2332"/>
    </row>
    <row r="163" spans="1:5" s="2249" customFormat="1">
      <c r="A163" s="2332"/>
      <c r="C163" s="2333"/>
      <c r="E163" s="2332"/>
    </row>
    <row r="164" spans="1:5" s="2249" customFormat="1">
      <c r="A164" s="2332"/>
      <c r="C164" s="2333"/>
      <c r="E164" s="2332"/>
    </row>
    <row r="165" spans="1:5" s="2249" customFormat="1">
      <c r="A165" s="2332"/>
      <c r="C165" s="2333"/>
      <c r="E165" s="2332"/>
    </row>
    <row r="166" spans="1:5" s="2249" customFormat="1">
      <c r="A166" s="2332"/>
      <c r="C166" s="2333"/>
      <c r="E166" s="2332"/>
    </row>
    <row r="167" spans="1:5" s="2249" customFormat="1">
      <c r="A167" s="2332"/>
      <c r="C167" s="2333"/>
      <c r="E167" s="2332"/>
    </row>
    <row r="168" spans="1:5" s="2249" customFormat="1">
      <c r="A168" s="2332"/>
      <c r="C168" s="2333"/>
      <c r="E168" s="2332"/>
    </row>
    <row r="169" spans="1:5" s="2249" customFormat="1">
      <c r="A169" s="2332"/>
      <c r="C169" s="2333"/>
      <c r="E169" s="2332"/>
    </row>
    <row r="170" spans="1:5" s="2249" customFormat="1">
      <c r="A170" s="2332"/>
      <c r="C170" s="2333"/>
      <c r="E170" s="2332"/>
    </row>
    <row r="171" spans="1:5" s="2249" customFormat="1">
      <c r="A171" s="2332"/>
      <c r="C171" s="2333"/>
      <c r="E171" s="2332"/>
    </row>
    <row r="172" spans="1:5" s="2249" customFormat="1">
      <c r="A172" s="2332"/>
      <c r="C172" s="2333"/>
      <c r="E172" s="2332"/>
    </row>
    <row r="173" spans="1:5" s="2249" customFormat="1">
      <c r="A173" s="2332"/>
      <c r="C173" s="2333"/>
      <c r="E173" s="2332"/>
    </row>
    <row r="174" spans="1:5" s="2249" customFormat="1">
      <c r="A174" s="2332"/>
      <c r="C174" s="2333"/>
      <c r="E174" s="2332"/>
    </row>
    <row r="175" spans="1:5" s="2249" customFormat="1">
      <c r="A175" s="2332"/>
      <c r="C175" s="2333"/>
      <c r="E175" s="2332"/>
    </row>
    <row r="176" spans="1:5" s="2249" customFormat="1">
      <c r="A176" s="2332"/>
      <c r="C176" s="2333"/>
      <c r="E176" s="2332"/>
    </row>
    <row r="177" spans="1:5" s="2249" customFormat="1">
      <c r="A177" s="2332"/>
      <c r="C177" s="2333"/>
      <c r="E177" s="2332"/>
    </row>
    <row r="178" spans="1:5" s="2249" customFormat="1">
      <c r="A178" s="2332"/>
      <c r="C178" s="2333"/>
      <c r="E178" s="2332"/>
    </row>
    <row r="179" spans="1:5" s="2249" customFormat="1">
      <c r="A179" s="2332"/>
      <c r="C179" s="2333"/>
      <c r="E179" s="2332"/>
    </row>
    <row r="180" spans="1:5" s="2249" customFormat="1">
      <c r="A180" s="2332"/>
      <c r="C180" s="2333"/>
      <c r="E180" s="2332"/>
    </row>
    <row r="181" spans="1:5" s="2249" customFormat="1">
      <c r="A181" s="2332"/>
      <c r="C181" s="2333"/>
      <c r="E181" s="2332"/>
    </row>
    <row r="182" spans="1:5" s="2249" customFormat="1">
      <c r="A182" s="2332"/>
      <c r="C182" s="2333"/>
      <c r="E182" s="2332"/>
    </row>
    <row r="183" spans="1:5" s="2249" customFormat="1">
      <c r="A183" s="2332"/>
      <c r="C183" s="2333"/>
      <c r="E183" s="2332"/>
    </row>
    <row r="184" spans="1:5" s="2249" customFormat="1">
      <c r="A184" s="2332"/>
      <c r="C184" s="2333"/>
      <c r="E184" s="2332"/>
    </row>
    <row r="185" spans="1:5" s="2249" customFormat="1">
      <c r="A185" s="2332"/>
      <c r="C185" s="2333"/>
      <c r="E185" s="2332"/>
    </row>
    <row r="186" spans="1:5" s="2249" customFormat="1">
      <c r="A186" s="2332"/>
      <c r="C186" s="2333"/>
      <c r="E186" s="2332"/>
    </row>
    <row r="187" spans="1:5" s="2249" customFormat="1">
      <c r="A187" s="2332"/>
      <c r="C187" s="2333"/>
      <c r="E187" s="2332"/>
    </row>
    <row r="188" spans="1:5" s="2249" customFormat="1">
      <c r="A188" s="2332"/>
      <c r="C188" s="2333"/>
      <c r="E188" s="2332"/>
    </row>
    <row r="189" spans="1:5" s="2249" customFormat="1">
      <c r="A189" s="2332"/>
      <c r="C189" s="2333"/>
      <c r="E189" s="2332"/>
    </row>
    <row r="190" spans="1:5" s="2249" customFormat="1">
      <c r="A190" s="2332"/>
      <c r="C190" s="2333"/>
      <c r="E190" s="2332"/>
    </row>
    <row r="191" spans="1:5" s="2249" customFormat="1">
      <c r="A191" s="2332"/>
      <c r="C191" s="2333"/>
      <c r="E191" s="2332"/>
    </row>
    <row r="192" spans="1:5" s="2249" customFormat="1">
      <c r="A192" s="2332"/>
      <c r="C192" s="2333"/>
      <c r="E192" s="2332"/>
    </row>
    <row r="193" spans="1:5" s="2249" customFormat="1">
      <c r="A193" s="2332"/>
      <c r="C193" s="2333"/>
      <c r="E193" s="2332"/>
    </row>
    <row r="194" spans="1:5" s="2249" customFormat="1">
      <c r="A194" s="2332"/>
      <c r="C194" s="2333"/>
      <c r="E194" s="2332"/>
    </row>
    <row r="195" spans="1:5" s="2249" customFormat="1">
      <c r="A195" s="2332"/>
      <c r="C195" s="2333"/>
      <c r="E195" s="2332"/>
    </row>
    <row r="196" spans="1:5" s="2249" customFormat="1">
      <c r="A196" s="2332"/>
      <c r="C196" s="2333"/>
      <c r="E196" s="2332"/>
    </row>
    <row r="197" spans="1:5" s="2249" customFormat="1">
      <c r="A197" s="2332"/>
      <c r="C197" s="2333"/>
      <c r="E197" s="2332"/>
    </row>
    <row r="198" spans="1:5" s="2249" customFormat="1">
      <c r="A198" s="2332"/>
      <c r="C198" s="2333"/>
      <c r="E198" s="2332"/>
    </row>
    <row r="199" spans="1:5" s="2249" customFormat="1">
      <c r="A199" s="2332"/>
      <c r="C199" s="2333"/>
      <c r="E199" s="2332"/>
    </row>
    <row r="200" spans="1:5" s="2249" customFormat="1">
      <c r="A200" s="2332"/>
      <c r="C200" s="2333"/>
      <c r="E200" s="2332"/>
    </row>
    <row r="201" spans="1:5" s="2249" customFormat="1">
      <c r="A201" s="2332"/>
      <c r="C201" s="2333"/>
      <c r="E201" s="2332"/>
    </row>
    <row r="202" spans="1:5" s="2249" customFormat="1">
      <c r="A202" s="2332"/>
      <c r="C202" s="2333"/>
      <c r="E202" s="2332"/>
    </row>
    <row r="203" spans="1:5" s="2249" customFormat="1">
      <c r="A203" s="2332"/>
      <c r="C203" s="2333"/>
      <c r="E203" s="2332"/>
    </row>
    <row r="204" spans="1:5" s="2249" customFormat="1">
      <c r="A204" s="2332"/>
      <c r="C204" s="2333"/>
      <c r="E204" s="2332"/>
    </row>
    <row r="205" spans="1:5" s="2249" customFormat="1">
      <c r="A205" s="2332"/>
      <c r="C205" s="2333"/>
      <c r="E205" s="2332"/>
    </row>
    <row r="206" spans="1:5" s="2249" customFormat="1">
      <c r="A206" s="2332"/>
      <c r="C206" s="2333"/>
      <c r="E206" s="2332"/>
    </row>
    <row r="207" spans="1:5" s="2249" customFormat="1">
      <c r="A207" s="2332"/>
      <c r="C207" s="2333"/>
      <c r="E207" s="2332"/>
    </row>
    <row r="208" spans="1:5" s="2249" customFormat="1">
      <c r="A208" s="2332"/>
      <c r="C208" s="2333"/>
      <c r="E208" s="2332"/>
    </row>
    <row r="209" spans="1:5" s="2249" customFormat="1">
      <c r="A209" s="2332"/>
      <c r="C209" s="2333"/>
      <c r="E209" s="2332"/>
    </row>
    <row r="210" spans="1:5" s="2249" customFormat="1">
      <c r="A210" s="2332"/>
      <c r="C210" s="2333"/>
      <c r="E210" s="2332"/>
    </row>
    <row r="211" spans="1:5" s="2249" customFormat="1">
      <c r="A211" s="2332"/>
      <c r="C211" s="2333"/>
      <c r="E211" s="2332"/>
    </row>
  </sheetData>
  <sheetProtection password="CEE9" sheet="1" objects="1" scenarios="1" formatCells="0" formatColumns="0" formatRows="0"/>
  <mergeCells count="4">
    <mergeCell ref="A24:B24"/>
    <mergeCell ref="A25:B25"/>
    <mergeCell ref="A26:B26"/>
    <mergeCell ref="A27:B27"/>
  </mergeCells>
  <phoneticPr fontId="254" type="noConversion"/>
  <dataValidations count="1">
    <dataValidation type="list" allowBlank="1" showInputMessage="1" showErrorMessage="1" sqref="B1 C7:K7">
      <formula1>项目类型</formula1>
    </dataValidation>
  </dataValidations>
  <pageMargins left="0.7" right="0.7" top="0.75" bottom="0.75" header="0.3" footer="0.3"/>
  <pageSetup paperSize="9" scale="70"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workbookViewId="0">
      <selection activeCell="B37" sqref="B37:I37"/>
    </sheetView>
  </sheetViews>
  <sheetFormatPr defaultColWidth="9" defaultRowHeight="13.5"/>
  <cols>
    <col min="1" max="1" width="3.5" style="3615" customWidth="1"/>
    <col min="2" max="2" width="10.75" style="3615" customWidth="1"/>
    <col min="3" max="4" width="11.625" style="3615" customWidth="1"/>
    <col min="5" max="5" width="6.625" style="3615" customWidth="1"/>
    <col min="6" max="16384" width="9" style="3615"/>
  </cols>
  <sheetData>
    <row r="36" spans="1:9">
      <c r="A36" s="3614" t="s">
        <v>75</v>
      </c>
      <c r="B36" s="3614" t="s">
        <v>76</v>
      </c>
    </row>
    <row r="37" spans="1:9" ht="28.5" customHeight="1">
      <c r="A37" s="3614"/>
      <c r="B37" s="3648" t="str">
        <f>项目基本情况!B1</f>
        <v>出让国有建设用地使用权抵押价格预评估</v>
      </c>
      <c r="C37" s="3648"/>
      <c r="D37" s="3648"/>
      <c r="E37" s="3648"/>
      <c r="F37" s="3648"/>
      <c r="G37" s="3648"/>
      <c r="H37" s="3648"/>
      <c r="I37" s="3648"/>
    </row>
    <row r="38" spans="1:9">
      <c r="A38" s="3616"/>
      <c r="B38" s="3616"/>
    </row>
    <row r="39" spans="1:9">
      <c r="A39" s="3614" t="s">
        <v>75</v>
      </c>
      <c r="B39" s="3614" t="s">
        <v>77</v>
      </c>
    </row>
    <row r="40" spans="1:9">
      <c r="A40" s="3614"/>
      <c r="B40" s="3614">
        <f>项目基本情况!B5</f>
        <v>0</v>
      </c>
    </row>
    <row r="41" spans="1:9">
      <c r="A41" s="3614"/>
      <c r="B41" s="3614"/>
    </row>
    <row r="42" spans="1:9">
      <c r="A42" s="3614" t="s">
        <v>75</v>
      </c>
      <c r="B42" s="3614" t="s">
        <v>78</v>
      </c>
    </row>
    <row r="43" spans="1:9">
      <c r="A43" s="3614"/>
      <c r="B43" s="3614" t="s">
        <v>79</v>
      </c>
    </row>
    <row r="44" spans="1:9">
      <c r="A44" s="3614"/>
      <c r="B44" s="3614"/>
    </row>
    <row r="45" spans="1:9">
      <c r="A45" s="3614" t="s">
        <v>75</v>
      </c>
      <c r="B45" s="3614" t="s">
        <v>80</v>
      </c>
    </row>
    <row r="46" spans="1:9" s="3614" customFormat="1" ht="12.75">
      <c r="B46" s="3614" t="str">
        <f>项目基本情况!K4</f>
        <v>土地估价师、土地估价师</v>
      </c>
    </row>
    <row r="47" spans="1:9">
      <c r="A47" s="3614"/>
      <c r="B47" s="3614"/>
    </row>
    <row r="48" spans="1:9">
      <c r="A48" s="3614" t="s">
        <v>75</v>
      </c>
      <c r="B48" s="3614" t="s">
        <v>81</v>
      </c>
    </row>
    <row r="49" spans="2:2">
      <c r="B49" s="3614" t="str">
        <f>"康正预评字"&amp;项目基本情况!B2&amp;"号"</f>
        <v>康正预评字号</v>
      </c>
    </row>
  </sheetData>
  <sheetProtection formatCells="0" formatRows="0"/>
  <mergeCells count="1">
    <mergeCell ref="B37:I37"/>
  </mergeCells>
  <phoneticPr fontId="254"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8"/>
  <sheetViews>
    <sheetView view="pageBreakPreview" topLeftCell="A22" zoomScale="60" zoomScaleNormal="95" workbookViewId="0">
      <selection activeCell="A62" sqref="A62:XFD62"/>
    </sheetView>
  </sheetViews>
  <sheetFormatPr defaultColWidth="9" defaultRowHeight="14.25"/>
  <cols>
    <col min="1" max="1" width="15.625" style="215" customWidth="1"/>
    <col min="2" max="2" width="15.75" style="215" customWidth="1"/>
    <col min="3" max="3" width="15.25" style="215" customWidth="1"/>
    <col min="4" max="4" width="12.25" style="215" customWidth="1"/>
    <col min="5" max="5" width="16.125" style="215" customWidth="1"/>
    <col min="6" max="6" width="12.25" style="215" customWidth="1"/>
    <col min="7" max="7" width="15.625" style="215" customWidth="1"/>
    <col min="8" max="8" width="12.25" style="215" customWidth="1"/>
    <col min="9" max="9" width="15.625" style="215" customWidth="1"/>
    <col min="10" max="10" width="12.25" style="215" customWidth="1"/>
    <col min="11" max="11" width="12.25" style="216" customWidth="1"/>
    <col min="12" max="12" width="12.25" style="217" customWidth="1"/>
    <col min="13" max="15" width="12.25" style="215" customWidth="1"/>
    <col min="16" max="16" width="4.75" style="215" customWidth="1"/>
    <col min="17" max="17" width="19.5" style="215" customWidth="1"/>
    <col min="18" max="22" width="6.125" style="215" customWidth="1"/>
    <col min="23" max="23" width="5.75" style="215" customWidth="1"/>
    <col min="24" max="24" width="4.25" style="215" customWidth="1"/>
    <col min="25" max="25" width="3.5" style="215" customWidth="1"/>
    <col min="26" max="26" width="19.75" style="215" customWidth="1"/>
    <col min="27" max="28" width="9.375" style="215" customWidth="1"/>
    <col min="29" max="16384" width="9" style="215"/>
  </cols>
  <sheetData>
    <row r="1" spans="1:30" s="209" customFormat="1" ht="28.5" customHeight="1">
      <c r="A1" s="218" t="s">
        <v>1026</v>
      </c>
      <c r="B1" s="553"/>
      <c r="C1" s="220" t="s">
        <v>1027</v>
      </c>
      <c r="D1" s="2097" t="s">
        <v>1028</v>
      </c>
      <c r="E1" s="222"/>
      <c r="F1" s="1240"/>
      <c r="G1" s="222"/>
      <c r="H1" s="222"/>
      <c r="I1" s="222"/>
      <c r="J1" s="222"/>
      <c r="K1" s="393"/>
      <c r="L1" s="394"/>
      <c r="M1" s="395"/>
      <c r="N1" s="395"/>
      <c r="O1" s="395"/>
      <c r="P1" s="396"/>
      <c r="Q1" s="396"/>
      <c r="R1" s="396"/>
      <c r="S1" s="396"/>
      <c r="T1" s="396"/>
      <c r="U1" s="396"/>
      <c r="V1" s="396"/>
      <c r="W1" s="396"/>
      <c r="X1" s="396"/>
      <c r="Y1" s="396"/>
      <c r="Z1" s="396"/>
      <c r="AA1" s="396"/>
      <c r="AB1" s="396"/>
      <c r="AC1" s="488"/>
      <c r="AD1" s="2228"/>
    </row>
    <row r="2" spans="1:30" s="209" customFormat="1" ht="28.5" customHeight="1">
      <c r="A2" s="225" t="s">
        <v>945</v>
      </c>
      <c r="B2" s="2099" t="e">
        <f>F67</f>
        <v>#DIV/0!</v>
      </c>
      <c r="C2" s="2206"/>
      <c r="D2" s="2206"/>
      <c r="E2" s="2100"/>
      <c r="F2" s="2101"/>
      <c r="G2" s="2100"/>
      <c r="H2" s="2100"/>
      <c r="I2" s="2100"/>
      <c r="J2" s="2100"/>
      <c r="K2" s="2164"/>
      <c r="L2" s="398"/>
      <c r="M2" s="396"/>
      <c r="N2" s="396"/>
      <c r="O2" s="396"/>
      <c r="P2" s="396"/>
      <c r="Q2" s="396"/>
      <c r="R2" s="396"/>
      <c r="S2" s="396"/>
      <c r="T2" s="396"/>
      <c r="U2" s="396"/>
      <c r="V2" s="396"/>
      <c r="W2" s="396"/>
      <c r="X2" s="396"/>
      <c r="Y2" s="396"/>
      <c r="Z2" s="396"/>
      <c r="AA2" s="396"/>
      <c r="AB2" s="396"/>
      <c r="AC2" s="488"/>
      <c r="AD2" s="2228"/>
    </row>
    <row r="3" spans="1:30" s="209" customFormat="1" ht="28.5" customHeight="1">
      <c r="A3" s="733" t="s">
        <v>946</v>
      </c>
      <c r="B3" s="231" t="e">
        <f>ROUND(B2*10000/'数据-汇总表'!E3,0)</f>
        <v>#DIV/0!</v>
      </c>
      <c r="C3" s="736"/>
      <c r="D3" s="2207"/>
      <c r="E3" s="736"/>
      <c r="F3" s="736"/>
      <c r="G3" s="2100"/>
      <c r="H3" s="2100"/>
      <c r="I3" s="2100"/>
      <c r="J3" s="2100"/>
      <c r="K3" s="2164"/>
      <c r="L3" s="398"/>
      <c r="M3" s="396"/>
      <c r="N3" s="396"/>
      <c r="O3" s="396"/>
      <c r="P3" s="396"/>
      <c r="Q3" s="396"/>
      <c r="R3" s="396"/>
      <c r="S3" s="396"/>
      <c r="T3" s="396"/>
      <c r="U3" s="396"/>
      <c r="V3" s="396"/>
      <c r="W3" s="396"/>
      <c r="X3" s="396"/>
      <c r="Y3" s="396"/>
      <c r="Z3" s="396"/>
      <c r="AA3" s="396"/>
      <c r="AB3" s="489"/>
      <c r="AC3" s="490"/>
    </row>
    <row r="4" spans="1:30" s="209" customFormat="1" ht="28.5" customHeight="1">
      <c r="A4" s="2103" t="s">
        <v>1029</v>
      </c>
      <c r="B4" s="735" t="e">
        <f>IF(B48="单位面积地价",C50,ROUND(B2*10000/'数据-汇总表'!D3,0))</f>
        <v>#DIV/0!</v>
      </c>
      <c r="C4" s="736"/>
      <c r="D4" s="2207"/>
      <c r="E4" s="736"/>
      <c r="F4" s="736"/>
      <c r="G4" s="2100"/>
      <c r="H4" s="2100"/>
      <c r="I4" s="2100"/>
      <c r="J4" s="2100"/>
      <c r="K4" s="2164"/>
      <c r="L4" s="398"/>
      <c r="M4" s="396"/>
      <c r="N4" s="396"/>
      <c r="O4" s="396"/>
      <c r="P4" s="396"/>
      <c r="Q4" s="396"/>
      <c r="R4" s="396"/>
      <c r="S4" s="396"/>
      <c r="T4" s="396"/>
      <c r="U4" s="396"/>
      <c r="V4" s="396"/>
      <c r="W4" s="396"/>
      <c r="X4" s="396"/>
      <c r="Y4" s="396"/>
      <c r="Z4" s="396"/>
      <c r="AA4" s="396"/>
      <c r="AB4" s="396"/>
      <c r="AC4" s="490"/>
    </row>
    <row r="5" spans="1:30" s="209" customFormat="1" ht="28.5" customHeight="1">
      <c r="A5" s="737"/>
      <c r="B5" s="738" t="e">
        <f>ROUND(B2/('数据-汇总表'!D3/666.67),0)</f>
        <v>#DIV/0!</v>
      </c>
      <c r="C5" s="739" t="s">
        <v>948</v>
      </c>
      <c r="D5" s="736"/>
      <c r="E5" s="736"/>
      <c r="F5" s="736"/>
      <c r="G5" s="2100"/>
      <c r="H5" s="2100"/>
      <c r="I5" s="2100"/>
      <c r="J5" s="2100"/>
      <c r="K5" s="2164"/>
      <c r="L5" s="398"/>
      <c r="M5" s="396"/>
      <c r="N5" s="396"/>
      <c r="O5" s="396"/>
      <c r="P5" s="396"/>
      <c r="Q5" s="396"/>
      <c r="R5" s="396"/>
      <c r="S5" s="396"/>
      <c r="T5" s="396"/>
      <c r="U5" s="396"/>
      <c r="V5" s="396"/>
      <c r="W5" s="396"/>
      <c r="X5" s="396"/>
      <c r="Y5" s="396"/>
      <c r="Z5" s="396"/>
      <c r="AA5" s="396"/>
      <c r="AB5" s="396"/>
      <c r="AC5" s="490"/>
    </row>
    <row r="6" spans="1:30" ht="20.25">
      <c r="A6" s="234" t="s">
        <v>1030</v>
      </c>
      <c r="B6" s="235"/>
      <c r="C6" s="3823" t="s">
        <v>1031</v>
      </c>
      <c r="D6" s="3824"/>
      <c r="E6" s="3823" t="s">
        <v>1032</v>
      </c>
      <c r="F6" s="3824"/>
      <c r="G6" s="3823" t="s">
        <v>1033</v>
      </c>
      <c r="H6" s="3824"/>
      <c r="I6" s="3823" t="s">
        <v>1034</v>
      </c>
      <c r="J6" s="3824"/>
      <c r="K6" s="399" t="s">
        <v>1035</v>
      </c>
      <c r="L6" s="400"/>
      <c r="M6" s="396"/>
      <c r="N6" s="396"/>
      <c r="O6" s="401"/>
      <c r="P6" s="3847" t="s">
        <v>1036</v>
      </c>
      <c r="Q6" s="3848"/>
      <c r="R6" s="3853" t="s">
        <v>1032</v>
      </c>
      <c r="S6" s="3854"/>
      <c r="T6" s="3853" t="s">
        <v>1033</v>
      </c>
      <c r="U6" s="3854"/>
      <c r="V6" s="3835" t="s">
        <v>1034</v>
      </c>
      <c r="W6" s="3835"/>
      <c r="X6" s="471"/>
      <c r="Y6" s="3853" t="s">
        <v>1036</v>
      </c>
      <c r="Z6" s="3854"/>
      <c r="AA6" s="3844" t="s">
        <v>1032</v>
      </c>
      <c r="AB6" s="3845" t="s">
        <v>1033</v>
      </c>
      <c r="AC6" s="3844" t="s">
        <v>1034</v>
      </c>
    </row>
    <row r="7" spans="1:30" ht="20.25">
      <c r="A7" s="236"/>
      <c r="B7" s="237"/>
      <c r="C7" s="3825" t="s">
        <v>1037</v>
      </c>
      <c r="D7" s="3826"/>
      <c r="E7" s="3825" t="s">
        <v>1038</v>
      </c>
      <c r="F7" s="3826"/>
      <c r="G7" s="3825" t="s">
        <v>1039</v>
      </c>
      <c r="H7" s="3826"/>
      <c r="I7" s="3825" t="s">
        <v>1040</v>
      </c>
      <c r="J7" s="3826"/>
      <c r="K7" s="399"/>
      <c r="L7" s="400"/>
      <c r="M7" s="396"/>
      <c r="N7" s="396"/>
      <c r="O7" s="401"/>
      <c r="P7" s="3849"/>
      <c r="Q7" s="3850"/>
      <c r="R7" s="3855"/>
      <c r="S7" s="3856"/>
      <c r="T7" s="3855"/>
      <c r="U7" s="3856"/>
      <c r="V7" s="3835"/>
      <c r="W7" s="3835"/>
      <c r="X7" s="471"/>
      <c r="Y7" s="3855"/>
      <c r="Z7" s="3856"/>
      <c r="AA7" s="3845"/>
      <c r="AB7" s="3845"/>
      <c r="AC7" s="3845"/>
    </row>
    <row r="8" spans="1:30" ht="20.25">
      <c r="A8" s="236"/>
      <c r="B8" s="237"/>
      <c r="C8" s="3827" t="s">
        <v>1041</v>
      </c>
      <c r="D8" s="3828"/>
      <c r="E8" s="3827" t="s">
        <v>1041</v>
      </c>
      <c r="F8" s="3828"/>
      <c r="G8" s="3829" t="s">
        <v>1041</v>
      </c>
      <c r="H8" s="3830"/>
      <c r="I8" s="3829" t="s">
        <v>1041</v>
      </c>
      <c r="J8" s="3830"/>
      <c r="K8" s="399" t="s">
        <v>1042</v>
      </c>
      <c r="L8" s="400"/>
      <c r="M8" s="396"/>
      <c r="N8" s="396"/>
      <c r="O8" s="401"/>
      <c r="P8" s="3851"/>
      <c r="Q8" s="3852"/>
      <c r="R8" s="3855"/>
      <c r="S8" s="3856"/>
      <c r="T8" s="3857"/>
      <c r="U8" s="3858"/>
      <c r="V8" s="3835"/>
      <c r="W8" s="3835"/>
      <c r="X8" s="471"/>
      <c r="Y8" s="3857"/>
      <c r="Z8" s="3858"/>
      <c r="AA8" s="3846"/>
      <c r="AB8" s="3846"/>
      <c r="AC8" s="3846"/>
    </row>
    <row r="9" spans="1:30" s="210" customFormat="1" ht="20.25">
      <c r="A9" s="240"/>
      <c r="B9" s="241" t="s">
        <v>1043</v>
      </c>
      <c r="C9" s="2208">
        <f>'数据-取费表'!B2</f>
        <v>45260</v>
      </c>
      <c r="D9" s="243">
        <v>100</v>
      </c>
      <c r="E9" s="244"/>
      <c r="F9" s="245">
        <f>SUMIF(71:71,YEAR(E9)&amp;"-"&amp;INT((MONTH(E9)+2)/3),72:72)</f>
        <v>0</v>
      </c>
      <c r="G9" s="246"/>
      <c r="H9" s="243">
        <f>SUMIF(71:71,YEAR(G9)&amp;"-"&amp;INT((MONTH(G9)+2)/3),72:72)</f>
        <v>0</v>
      </c>
      <c r="I9" s="246"/>
      <c r="J9" s="243">
        <f>SUMIF(71:71,YEAR(I9)&amp;"-"&amp;INT((MONTH(I9)+2)/3),72:72)</f>
        <v>0</v>
      </c>
      <c r="K9" s="402"/>
      <c r="L9" s="403"/>
      <c r="M9" s="396"/>
      <c r="N9" s="396"/>
      <c r="O9" s="404"/>
      <c r="P9" s="3831" t="s">
        <v>1044</v>
      </c>
      <c r="Q9" s="3832"/>
      <c r="R9" s="472" t="s">
        <v>1045</v>
      </c>
      <c r="S9" s="473">
        <f t="shared" ref="S9:S17" si="0">F9</f>
        <v>0</v>
      </c>
      <c r="T9" s="472" t="s">
        <v>1045</v>
      </c>
      <c r="U9" s="473">
        <f t="shared" ref="U9:U17" si="1">H9</f>
        <v>0</v>
      </c>
      <c r="V9" s="472" t="s">
        <v>1045</v>
      </c>
      <c r="W9" s="473">
        <f t="shared" ref="W9:W17" si="2">J9</f>
        <v>0</v>
      </c>
      <c r="X9" s="474"/>
      <c r="Y9" s="3831" t="s">
        <v>1044</v>
      </c>
      <c r="Z9" s="3833"/>
      <c r="AA9" s="491" t="e">
        <f>D9/F9</f>
        <v>#DIV/0!</v>
      </c>
      <c r="AB9" s="491" t="e">
        <f>D9/H9</f>
        <v>#DIV/0!</v>
      </c>
      <c r="AC9" s="491" t="e">
        <f>D9/J9</f>
        <v>#DIV/0!</v>
      </c>
    </row>
    <row r="10" spans="1:30" s="210" customFormat="1" ht="20.25">
      <c r="A10" s="247"/>
      <c r="B10" s="248" t="s">
        <v>1046</v>
      </c>
      <c r="C10" s="638" t="s">
        <v>1047</v>
      </c>
      <c r="D10" s="243">
        <v>100</v>
      </c>
      <c r="E10" s="249"/>
      <c r="F10" s="245">
        <f>SUMIF(74:74,E10,75:75)-SUMIF(74:74,C10,75:75)+100</f>
        <v>0</v>
      </c>
      <c r="G10" s="249"/>
      <c r="H10" s="243">
        <f>SUMIF(74:74,G10,75:75)-SUMIF(74:74,C10,75:75)+100</f>
        <v>0</v>
      </c>
      <c r="I10" s="249"/>
      <c r="J10" s="243">
        <f>SUMIF(74:74,I10,75:75)-SUMIF(74:74,C10,75:75)+100</f>
        <v>0</v>
      </c>
      <c r="K10" s="402"/>
      <c r="L10" s="403"/>
      <c r="M10" s="396"/>
      <c r="N10" s="396"/>
      <c r="O10" s="404"/>
      <c r="P10" s="3831" t="s">
        <v>1048</v>
      </c>
      <c r="Q10" s="3833"/>
      <c r="R10" s="472" t="s">
        <v>1045</v>
      </c>
      <c r="S10" s="473">
        <f t="shared" si="0"/>
        <v>0</v>
      </c>
      <c r="T10" s="472" t="s">
        <v>1045</v>
      </c>
      <c r="U10" s="473">
        <f t="shared" si="1"/>
        <v>0</v>
      </c>
      <c r="V10" s="472" t="s">
        <v>1045</v>
      </c>
      <c r="W10" s="473">
        <f t="shared" si="2"/>
        <v>0</v>
      </c>
      <c r="X10" s="474"/>
      <c r="Y10" s="3831" t="s">
        <v>1048</v>
      </c>
      <c r="Z10" s="3833"/>
      <c r="AA10" s="491" t="e">
        <f t="shared" ref="AA10:AA47" si="3">D10/F10</f>
        <v>#DIV/0!</v>
      </c>
      <c r="AB10" s="491" t="e">
        <f t="shared" ref="AB10:AB47" si="4">D10/H10</f>
        <v>#DIV/0!</v>
      </c>
      <c r="AC10" s="491" t="e">
        <f t="shared" ref="AC10:AC47" si="5">D10/J10</f>
        <v>#DIV/0!</v>
      </c>
    </row>
    <row r="11" spans="1:30" s="210" customFormat="1" ht="20.25">
      <c r="A11" s="250"/>
      <c r="B11" s="251" t="s">
        <v>1049</v>
      </c>
      <c r="C11" s="2209"/>
      <c r="D11" s="253">
        <v>100</v>
      </c>
      <c r="E11" s="2104"/>
      <c r="F11" s="253">
        <f>SUMIF(76:76,E11,77:77)-SUMIF(76:76,C11,77:77)+100</f>
        <v>100</v>
      </c>
      <c r="G11" s="2104"/>
      <c r="H11" s="253">
        <f>SUMIF(76:76,G11,77:77)-SUMIF(76:76,C11,77:77)+100</f>
        <v>100</v>
      </c>
      <c r="I11" s="2104"/>
      <c r="J11" s="253">
        <f>SUMIF(76:76,I11,77:77)-SUMIF(76:76,C11,77:77)+100</f>
        <v>100</v>
      </c>
      <c r="K11" s="402"/>
      <c r="L11" s="403"/>
      <c r="M11" s="396"/>
      <c r="N11" s="396"/>
      <c r="O11" s="405"/>
      <c r="P11" s="3834" t="s">
        <v>1050</v>
      </c>
      <c r="Q11" s="475" t="str">
        <f t="shared" ref="Q11:Q17" si="6">B11</f>
        <v>用途</v>
      </c>
      <c r="R11" s="472" t="s">
        <v>1045</v>
      </c>
      <c r="S11" s="473">
        <f t="shared" si="0"/>
        <v>100</v>
      </c>
      <c r="T11" s="472" t="s">
        <v>1045</v>
      </c>
      <c r="U11" s="473">
        <f t="shared" si="1"/>
        <v>100</v>
      </c>
      <c r="V11" s="472" t="s">
        <v>1045</v>
      </c>
      <c r="W11" s="473">
        <f t="shared" si="2"/>
        <v>100</v>
      </c>
      <c r="X11" s="474"/>
      <c r="Y11" s="3802" t="s">
        <v>1051</v>
      </c>
      <c r="Z11" s="492" t="str">
        <f t="shared" ref="Z11:Z17" si="7">Q11</f>
        <v>用途</v>
      </c>
      <c r="AA11" s="491">
        <f t="shared" si="3"/>
        <v>1</v>
      </c>
      <c r="AB11" s="491">
        <f t="shared" si="4"/>
        <v>1</v>
      </c>
      <c r="AC11" s="491">
        <f t="shared" si="5"/>
        <v>1</v>
      </c>
    </row>
    <row r="12" spans="1:30" s="211" customFormat="1" ht="27">
      <c r="A12" s="255"/>
      <c r="B12" s="248" t="s">
        <v>1052</v>
      </c>
      <c r="C12" s="589"/>
      <c r="D12" s="257">
        <v>100</v>
      </c>
      <c r="E12" s="642"/>
      <c r="F12" s="257">
        <f>ROUND(100/'数据-取费表'!G16,0)</f>
        <v>104</v>
      </c>
      <c r="G12" s="641"/>
      <c r="H12" s="257">
        <f>ROUND(100/'数据-取费表'!G16,0)</f>
        <v>104</v>
      </c>
      <c r="I12" s="641"/>
      <c r="J12" s="257">
        <f>ROUND(100/'数据-取费表'!G16,0)</f>
        <v>104</v>
      </c>
      <c r="K12" s="2165"/>
      <c r="L12" s="407"/>
      <c r="M12" s="396"/>
      <c r="N12" s="396"/>
      <c r="O12" s="409"/>
      <c r="P12" s="3834"/>
      <c r="Q12" s="475" t="str">
        <f t="shared" si="6"/>
        <v>土地使用年限（年）</v>
      </c>
      <c r="R12" s="472" t="s">
        <v>1045</v>
      </c>
      <c r="S12" s="473">
        <f t="shared" si="0"/>
        <v>104</v>
      </c>
      <c r="T12" s="472" t="s">
        <v>1045</v>
      </c>
      <c r="U12" s="473">
        <f t="shared" si="1"/>
        <v>104</v>
      </c>
      <c r="V12" s="472" t="s">
        <v>1045</v>
      </c>
      <c r="W12" s="473">
        <f t="shared" si="2"/>
        <v>104</v>
      </c>
      <c r="X12" s="474"/>
      <c r="Y12" s="3802"/>
      <c r="Z12" s="492" t="str">
        <f t="shared" si="7"/>
        <v>土地使用年限（年）</v>
      </c>
      <c r="AA12" s="491">
        <f t="shared" si="3"/>
        <v>0.96153846153846201</v>
      </c>
      <c r="AB12" s="491">
        <f t="shared" si="4"/>
        <v>0.96153846153846201</v>
      </c>
      <c r="AC12" s="491">
        <f t="shared" si="5"/>
        <v>0.96153846153846201</v>
      </c>
    </row>
    <row r="13" spans="1:30" ht="20.25">
      <c r="A13" s="554"/>
      <c r="B13" s="248" t="s">
        <v>1053</v>
      </c>
      <c r="C13" s="556"/>
      <c r="D13" s="257">
        <v>100</v>
      </c>
      <c r="E13" s="555"/>
      <c r="F13" s="257" t="e">
        <f>LOOKUP(E13,81:81,82:82)-LOOKUP(C13,81:81,82:82)+100</f>
        <v>#N/A</v>
      </c>
      <c r="G13" s="556"/>
      <c r="H13" s="257" t="e">
        <f>LOOKUP(G13,81:81,82:82)-LOOKUP(C13,81:81,82:82)+100</f>
        <v>#N/A</v>
      </c>
      <c r="I13" s="555"/>
      <c r="J13" s="257" t="e">
        <f>LOOKUP(I13,81:81,82:82)-LOOKUP(C13,81:81,82:82)+100</f>
        <v>#N/A</v>
      </c>
      <c r="K13" s="2166"/>
      <c r="L13" s="411"/>
      <c r="M13" s="396"/>
      <c r="N13" s="396"/>
      <c r="O13" s="412"/>
      <c r="P13" s="3834"/>
      <c r="Q13" s="475" t="str">
        <f t="shared" si="6"/>
        <v>容积率</v>
      </c>
      <c r="R13" s="472" t="s">
        <v>1045</v>
      </c>
      <c r="S13" s="473" t="e">
        <f t="shared" si="0"/>
        <v>#N/A</v>
      </c>
      <c r="T13" s="472" t="s">
        <v>1045</v>
      </c>
      <c r="U13" s="473" t="e">
        <f t="shared" si="1"/>
        <v>#N/A</v>
      </c>
      <c r="V13" s="472" t="s">
        <v>1045</v>
      </c>
      <c r="W13" s="473" t="e">
        <f t="shared" si="2"/>
        <v>#N/A</v>
      </c>
      <c r="X13" s="474"/>
      <c r="Y13" s="3802"/>
      <c r="Z13" s="492" t="str">
        <f t="shared" si="7"/>
        <v>容积率</v>
      </c>
      <c r="AA13" s="491" t="e">
        <f t="shared" si="3"/>
        <v>#N/A</v>
      </c>
      <c r="AB13" s="491" t="e">
        <f t="shared" si="4"/>
        <v>#N/A</v>
      </c>
      <c r="AC13" s="491" t="e">
        <f t="shared" si="5"/>
        <v>#N/A</v>
      </c>
    </row>
    <row r="14" spans="1:30" s="210" customFormat="1" ht="20.25">
      <c r="A14" s="247"/>
      <c r="B14" s="2210" t="s">
        <v>1054</v>
      </c>
      <c r="C14" s="2211"/>
      <c r="D14" s="263">
        <v>100</v>
      </c>
      <c r="E14" s="2212"/>
      <c r="F14" s="257">
        <f>SUMIF(83:83,E14,84:84)-SUMIF(83:83,C14,84:84)+100</f>
        <v>100</v>
      </c>
      <c r="G14" s="641"/>
      <c r="H14" s="257">
        <f>SUMIF(83:83,G14,84:84)-SUMIF(83:83,C14,84:84)+100</f>
        <v>100</v>
      </c>
      <c r="I14" s="642"/>
      <c r="J14" s="257">
        <f>SUMIF(83:83,I14,84:84)-SUMIF(83:83,C14,84:84)+100</f>
        <v>100</v>
      </c>
      <c r="K14" s="2165"/>
      <c r="L14" s="403"/>
      <c r="M14" s="396"/>
      <c r="N14" s="396"/>
      <c r="O14" s="405"/>
      <c r="P14" s="3834"/>
      <c r="Q14" s="475" t="str">
        <f t="shared" si="6"/>
        <v>配建</v>
      </c>
      <c r="R14" s="472" t="s">
        <v>1045</v>
      </c>
      <c r="S14" s="473">
        <f t="shared" si="0"/>
        <v>100</v>
      </c>
      <c r="T14" s="472" t="s">
        <v>1045</v>
      </c>
      <c r="U14" s="473">
        <f t="shared" si="1"/>
        <v>100</v>
      </c>
      <c r="V14" s="472" t="s">
        <v>1045</v>
      </c>
      <c r="W14" s="473">
        <f t="shared" si="2"/>
        <v>100</v>
      </c>
      <c r="X14" s="474"/>
      <c r="Y14" s="3802"/>
      <c r="Z14" s="492" t="str">
        <f t="shared" si="7"/>
        <v>配建</v>
      </c>
      <c r="AA14" s="491">
        <f t="shared" si="3"/>
        <v>1</v>
      </c>
      <c r="AB14" s="491">
        <f t="shared" si="4"/>
        <v>1</v>
      </c>
      <c r="AC14" s="491">
        <f t="shared" si="5"/>
        <v>1</v>
      </c>
    </row>
    <row r="15" spans="1:30" ht="20.25">
      <c r="A15" s="259"/>
      <c r="B15" s="260">
        <v>111</v>
      </c>
      <c r="C15" s="595"/>
      <c r="D15" s="267">
        <v>100</v>
      </c>
      <c r="E15" s="382"/>
      <c r="F15" s="257">
        <f>SUMIF(85:85,E15,86:86)-SUMIF(85:85,C15,86:86)+100</f>
        <v>100</v>
      </c>
      <c r="G15" s="2105"/>
      <c r="H15" s="267">
        <f>SUMIF(85:85,G15,86:86)-SUMIF(85:85,C15,86:86)+100</f>
        <v>100</v>
      </c>
      <c r="I15" s="2105"/>
      <c r="J15" s="267">
        <f>SUMIF(85:85,I15,86:86)-SUMIF(85:85,C15,86:86)+100</f>
        <v>100</v>
      </c>
      <c r="K15" s="2165"/>
      <c r="L15" s="413"/>
      <c r="M15" s="396"/>
      <c r="N15" s="396"/>
      <c r="O15" s="412"/>
      <c r="P15" s="3834"/>
      <c r="Q15" s="475">
        <f t="shared" si="6"/>
        <v>111</v>
      </c>
      <c r="R15" s="472" t="s">
        <v>1045</v>
      </c>
      <c r="S15" s="473">
        <f t="shared" si="0"/>
        <v>100</v>
      </c>
      <c r="T15" s="472" t="s">
        <v>1045</v>
      </c>
      <c r="U15" s="473">
        <f t="shared" si="1"/>
        <v>100</v>
      </c>
      <c r="V15" s="472" t="s">
        <v>1045</v>
      </c>
      <c r="W15" s="473">
        <f t="shared" si="2"/>
        <v>100</v>
      </c>
      <c r="X15" s="474"/>
      <c r="Y15" s="3802"/>
      <c r="Z15" s="492">
        <f t="shared" si="7"/>
        <v>111</v>
      </c>
      <c r="AA15" s="491">
        <f t="shared" si="3"/>
        <v>1</v>
      </c>
      <c r="AB15" s="491">
        <f t="shared" si="4"/>
        <v>1</v>
      </c>
      <c r="AC15" s="491">
        <f t="shared" si="5"/>
        <v>1</v>
      </c>
    </row>
    <row r="16" spans="1:30" ht="20.25">
      <c r="A16" s="264"/>
      <c r="B16" s="265">
        <v>111</v>
      </c>
      <c r="C16" s="600"/>
      <c r="D16" s="320">
        <v>100</v>
      </c>
      <c r="E16" s="382"/>
      <c r="F16" s="320">
        <f>SUMIF(87:87,E16,88:88)-SUMIF(87:87,C16,88:88)+100</f>
        <v>100</v>
      </c>
      <c r="G16" s="2105"/>
      <c r="H16" s="320">
        <f>SUMIF(87:87,G16,88:88)-SUMIF(87:87,C16,88:88)+100</f>
        <v>100</v>
      </c>
      <c r="I16" s="2105"/>
      <c r="J16" s="320">
        <f>SUMIF(87:87,I16,88:88)-SUMIF(87:87,C16,88:88)+100</f>
        <v>100</v>
      </c>
      <c r="K16" s="2165"/>
      <c r="L16" s="413"/>
      <c r="M16" s="396"/>
      <c r="N16" s="396"/>
      <c r="O16" s="412"/>
      <c r="P16" s="3834"/>
      <c r="Q16" s="475">
        <f t="shared" si="6"/>
        <v>111</v>
      </c>
      <c r="R16" s="472" t="s">
        <v>1045</v>
      </c>
      <c r="S16" s="473">
        <f t="shared" si="0"/>
        <v>100</v>
      </c>
      <c r="T16" s="472" t="s">
        <v>1045</v>
      </c>
      <c r="U16" s="473">
        <f t="shared" si="1"/>
        <v>100</v>
      </c>
      <c r="V16" s="472" t="s">
        <v>1045</v>
      </c>
      <c r="W16" s="473">
        <f t="shared" si="2"/>
        <v>100</v>
      </c>
      <c r="X16" s="474"/>
      <c r="Y16" s="3802"/>
      <c r="Z16" s="492">
        <f t="shared" si="7"/>
        <v>111</v>
      </c>
      <c r="AA16" s="491">
        <f t="shared" si="3"/>
        <v>1</v>
      </c>
      <c r="AB16" s="491">
        <f t="shared" si="4"/>
        <v>1</v>
      </c>
      <c r="AC16" s="491">
        <f t="shared" si="5"/>
        <v>1</v>
      </c>
    </row>
    <row r="17" spans="1:29" ht="99.75">
      <c r="A17" s="268" t="s">
        <v>1055</v>
      </c>
      <c r="B17" s="293" t="s">
        <v>223</v>
      </c>
      <c r="C17" s="590" t="str">
        <f>估价对象房地状况!C15</f>
        <v>估价对象周边居住用地比例、居住小区规模和社区发展完善程度，综合评价居住社区成熟度一般</v>
      </c>
      <c r="D17" s="273">
        <v>100</v>
      </c>
      <c r="E17" s="274"/>
      <c r="F17" s="271">
        <f>SUMIF(89:89,E18,90:90)-SUMIF(89:89,C18,90:90)+100</f>
        <v>100</v>
      </c>
      <c r="G17" s="272"/>
      <c r="H17" s="271">
        <f>SUMIF(89:89,G18,90:90)-SUMIF(89:89,C18,90:90)+100</f>
        <v>100</v>
      </c>
      <c r="I17" s="274"/>
      <c r="J17" s="271">
        <f>SUMIF(89:89,I18,90:90)-SUMIF(89:89,C18,90:90)+100</f>
        <v>100</v>
      </c>
      <c r="K17" s="2166"/>
      <c r="L17" s="413"/>
      <c r="M17" s="396"/>
      <c r="N17" s="396"/>
      <c r="O17" s="412"/>
      <c r="P17" s="3840" t="s">
        <v>1056</v>
      </c>
      <c r="Q17" s="406" t="str">
        <f t="shared" si="6"/>
        <v>居住社区成熟度</v>
      </c>
      <c r="R17" s="476" t="s">
        <v>1045</v>
      </c>
      <c r="S17" s="477">
        <f t="shared" si="0"/>
        <v>100</v>
      </c>
      <c r="T17" s="476" t="s">
        <v>1045</v>
      </c>
      <c r="U17" s="477">
        <f t="shared" si="1"/>
        <v>100</v>
      </c>
      <c r="V17" s="476" t="s">
        <v>1045</v>
      </c>
      <c r="W17" s="477">
        <f t="shared" si="2"/>
        <v>100</v>
      </c>
      <c r="X17" s="471"/>
      <c r="Y17" s="3840" t="s">
        <v>1056</v>
      </c>
      <c r="Z17" s="470" t="str">
        <f t="shared" si="7"/>
        <v>居住社区成熟度</v>
      </c>
      <c r="AA17" s="482">
        <f t="shared" si="3"/>
        <v>1</v>
      </c>
      <c r="AB17" s="482">
        <f t="shared" si="4"/>
        <v>1</v>
      </c>
      <c r="AC17" s="482">
        <f t="shared" si="5"/>
        <v>1</v>
      </c>
    </row>
    <row r="18" spans="1:29" ht="20.25">
      <c r="A18" s="275"/>
      <c r="B18" s="591"/>
      <c r="C18" s="592"/>
      <c r="D18" s="279"/>
      <c r="E18" s="561"/>
      <c r="F18" s="278"/>
      <c r="G18" s="560"/>
      <c r="H18" s="280"/>
      <c r="I18" s="561"/>
      <c r="J18" s="278"/>
      <c r="K18" s="2165"/>
      <c r="L18" s="413"/>
      <c r="M18" s="396"/>
      <c r="N18" s="396"/>
      <c r="O18" s="412"/>
      <c r="P18" s="3841"/>
      <c r="Q18" s="406"/>
      <c r="R18" s="476"/>
      <c r="S18" s="477"/>
      <c r="T18" s="476"/>
      <c r="U18" s="477"/>
      <c r="V18" s="476"/>
      <c r="W18" s="477"/>
      <c r="X18" s="471"/>
      <c r="Y18" s="3841"/>
      <c r="Z18" s="470"/>
      <c r="AA18" s="482">
        <v>1</v>
      </c>
      <c r="AB18" s="482">
        <v>1</v>
      </c>
      <c r="AC18" s="482">
        <v>1</v>
      </c>
    </row>
    <row r="19" spans="1:29" ht="71.25">
      <c r="A19" s="275"/>
      <c r="B19" s="524" t="s">
        <v>224</v>
      </c>
      <c r="C19" s="2213" t="str">
        <f>估价对象房地状况!C16</f>
        <v>估价对象位于XX商圈，周边商业氛围成熟，人流量大，商业繁华度好</v>
      </c>
      <c r="D19" s="291">
        <v>100</v>
      </c>
      <c r="E19" s="292"/>
      <c r="F19" s="280">
        <f>SUMIF(91:91,E20,92:92)-SUMIF(91:91,C20,92:92)+100</f>
        <v>100</v>
      </c>
      <c r="G19" s="290"/>
      <c r="H19" s="283">
        <f>SUMIF(91:91,G20,92:92)-SUMIF(91:91,C20,92:92)+100</f>
        <v>100</v>
      </c>
      <c r="I19" s="292"/>
      <c r="J19" s="283">
        <f>SUMIF(91:91,I20,92:92)-SUMIF(91:91,C20,92:92)+100</f>
        <v>100</v>
      </c>
      <c r="K19" s="2166"/>
      <c r="L19" s="413"/>
      <c r="M19" s="396"/>
      <c r="N19" s="396"/>
      <c r="O19" s="412"/>
      <c r="P19" s="3841"/>
      <c r="Q19" s="406" t="str">
        <f>B19</f>
        <v>商业繁华度</v>
      </c>
      <c r="R19" s="476" t="s">
        <v>1045</v>
      </c>
      <c r="S19" s="477">
        <f>F19</f>
        <v>100</v>
      </c>
      <c r="T19" s="476" t="s">
        <v>1045</v>
      </c>
      <c r="U19" s="477">
        <f>H19</f>
        <v>100</v>
      </c>
      <c r="V19" s="476" t="s">
        <v>1045</v>
      </c>
      <c r="W19" s="477">
        <f>J19</f>
        <v>100</v>
      </c>
      <c r="X19" s="471"/>
      <c r="Y19" s="3841"/>
      <c r="Z19" s="470" t="str">
        <f>Q19</f>
        <v>商业繁华度</v>
      </c>
      <c r="AA19" s="482">
        <f t="shared" si="3"/>
        <v>1</v>
      </c>
      <c r="AB19" s="482">
        <f t="shared" si="4"/>
        <v>1</v>
      </c>
      <c r="AC19" s="482">
        <f t="shared" si="5"/>
        <v>1</v>
      </c>
    </row>
    <row r="20" spans="1:29" ht="20.25">
      <c r="A20" s="275"/>
      <c r="B20" s="287"/>
      <c r="C20" s="594"/>
      <c r="D20" s="291"/>
      <c r="E20" s="559"/>
      <c r="F20" s="280"/>
      <c r="G20" s="558"/>
      <c r="H20" s="278"/>
      <c r="I20" s="559"/>
      <c r="J20" s="278"/>
      <c r="K20" s="2165"/>
      <c r="L20" s="413"/>
      <c r="M20" s="396"/>
      <c r="N20" s="396"/>
      <c r="O20" s="412"/>
      <c r="P20" s="3841"/>
      <c r="Q20" s="406"/>
      <c r="R20" s="476"/>
      <c r="S20" s="477"/>
      <c r="T20" s="476"/>
      <c r="U20" s="477"/>
      <c r="V20" s="476"/>
      <c r="W20" s="477"/>
      <c r="X20" s="471"/>
      <c r="Y20" s="3841"/>
      <c r="Z20" s="470"/>
      <c r="AA20" s="482">
        <v>1</v>
      </c>
      <c r="AB20" s="482">
        <v>1</v>
      </c>
      <c r="AC20" s="482">
        <v>1</v>
      </c>
    </row>
    <row r="21" spans="1:29" ht="71.25">
      <c r="A21" s="275"/>
      <c r="B21" s="524" t="s">
        <v>225</v>
      </c>
      <c r="C21" s="2213" t="str">
        <f>估价对象房地状况!C17</f>
        <v>估价对象位于XX商圈，周边办公楼项目较多，入驻率高，办公集聚程度较好</v>
      </c>
      <c r="D21" s="285">
        <v>100</v>
      </c>
      <c r="E21" s="286"/>
      <c r="F21" s="283">
        <f>SUMIF(93:93,E22,94:94)-SUMIF(93:93,C22,94:94)+100</f>
        <v>100</v>
      </c>
      <c r="G21" s="284"/>
      <c r="H21" s="280">
        <f>SUMIF(93:93,G22,94:94)-SUMIF(93:93,C22,94:94)+100</f>
        <v>100</v>
      </c>
      <c r="I21" s="286"/>
      <c r="J21" s="280">
        <f>SUMIF(93:93,I22,94:94)-SUMIF(93:93,C22,94:94)+100</f>
        <v>100</v>
      </c>
      <c r="K21" s="2166"/>
      <c r="L21" s="413"/>
      <c r="M21" s="396"/>
      <c r="N21" s="396"/>
      <c r="O21" s="412"/>
      <c r="P21" s="3841"/>
      <c r="Q21" s="406" t="str">
        <f>B21</f>
        <v>办公集聚程度</v>
      </c>
      <c r="R21" s="476" t="s">
        <v>1045</v>
      </c>
      <c r="S21" s="477">
        <f>F21</f>
        <v>100</v>
      </c>
      <c r="T21" s="476" t="s">
        <v>1045</v>
      </c>
      <c r="U21" s="477">
        <f>H21</f>
        <v>100</v>
      </c>
      <c r="V21" s="476" t="s">
        <v>1045</v>
      </c>
      <c r="W21" s="477">
        <f>J21</f>
        <v>100</v>
      </c>
      <c r="X21" s="471"/>
      <c r="Y21" s="3841"/>
      <c r="Z21" s="470" t="str">
        <f>Q21</f>
        <v>办公集聚程度</v>
      </c>
      <c r="AA21" s="482">
        <f t="shared" si="3"/>
        <v>1</v>
      </c>
      <c r="AB21" s="482">
        <f t="shared" si="4"/>
        <v>1</v>
      </c>
      <c r="AC21" s="482">
        <f t="shared" si="5"/>
        <v>1</v>
      </c>
    </row>
    <row r="22" spans="1:29" ht="20.25">
      <c r="A22" s="275"/>
      <c r="B22" s="287"/>
      <c r="C22" s="592"/>
      <c r="D22" s="279"/>
      <c r="E22" s="561"/>
      <c r="F22" s="278"/>
      <c r="G22" s="560"/>
      <c r="H22" s="278"/>
      <c r="I22" s="561"/>
      <c r="J22" s="278"/>
      <c r="K22" s="2165"/>
      <c r="L22" s="413"/>
      <c r="M22" s="396"/>
      <c r="N22" s="396"/>
      <c r="O22" s="412"/>
      <c r="P22" s="3841"/>
      <c r="Q22" s="406"/>
      <c r="R22" s="476"/>
      <c r="S22" s="477"/>
      <c r="T22" s="476"/>
      <c r="U22" s="477"/>
      <c r="V22" s="476"/>
      <c r="W22" s="477"/>
      <c r="X22" s="471"/>
      <c r="Y22" s="3841"/>
      <c r="Z22" s="470"/>
      <c r="AA22" s="482">
        <v>1</v>
      </c>
      <c r="AB22" s="482">
        <v>1</v>
      </c>
      <c r="AC22" s="482">
        <v>1</v>
      </c>
    </row>
    <row r="23" spans="1:29" ht="85.5">
      <c r="A23" s="275"/>
      <c r="B23" s="524" t="s">
        <v>227</v>
      </c>
      <c r="C23" s="593" t="str">
        <f>估价对象房地状况!C18</f>
        <v>估价对象周边道路状况、公共交通通达情况、停车便捷程度，综合评价交通便捷度较好</v>
      </c>
      <c r="D23" s="291">
        <v>100</v>
      </c>
      <c r="E23" s="292"/>
      <c r="F23" s="283">
        <f>SUMIF(95:95,E24,96:96)-SUMIF(95:95,C24,96:96)+100</f>
        <v>100</v>
      </c>
      <c r="G23" s="290"/>
      <c r="H23" s="280">
        <f>SUMIF(95:95,G24,96:96)-SUMIF(95:95,C24,96:96)+100</f>
        <v>100</v>
      </c>
      <c r="I23" s="292"/>
      <c r="J23" s="280">
        <f>SUMIF(95:95,I24,96:96)-SUMIF(95:95,C24,96:96)+100</f>
        <v>100</v>
      </c>
      <c r="K23" s="2166"/>
      <c r="L23" s="413"/>
      <c r="M23" s="396"/>
      <c r="N23" s="396"/>
      <c r="O23" s="412"/>
      <c r="P23" s="3841"/>
      <c r="Q23" s="406" t="str">
        <f>B23</f>
        <v>交通便捷度</v>
      </c>
      <c r="R23" s="476" t="s">
        <v>1045</v>
      </c>
      <c r="S23" s="477">
        <f>F23</f>
        <v>100</v>
      </c>
      <c r="T23" s="476" t="s">
        <v>1045</v>
      </c>
      <c r="U23" s="477">
        <f>H23</f>
        <v>100</v>
      </c>
      <c r="V23" s="476" t="s">
        <v>1045</v>
      </c>
      <c r="W23" s="477">
        <f>J23</f>
        <v>100</v>
      </c>
      <c r="X23" s="471"/>
      <c r="Y23" s="3841"/>
      <c r="Z23" s="470" t="str">
        <f>Q23</f>
        <v>交通便捷度</v>
      </c>
      <c r="AA23" s="482">
        <f t="shared" si="3"/>
        <v>1</v>
      </c>
      <c r="AB23" s="482">
        <f t="shared" si="4"/>
        <v>1</v>
      </c>
      <c r="AC23" s="482">
        <f t="shared" si="5"/>
        <v>1</v>
      </c>
    </row>
    <row r="24" spans="1:29" ht="20.25">
      <c r="A24" s="275"/>
      <c r="B24" s="293"/>
      <c r="C24" s="592"/>
      <c r="D24" s="279"/>
      <c r="E24" s="561"/>
      <c r="F24" s="278"/>
      <c r="G24" s="560"/>
      <c r="H24" s="278"/>
      <c r="I24" s="561"/>
      <c r="J24" s="278"/>
      <c r="K24" s="2165"/>
      <c r="L24" s="413"/>
      <c r="M24" s="396"/>
      <c r="N24" s="396"/>
      <c r="O24" s="412"/>
      <c r="P24" s="3841"/>
      <c r="Q24" s="406"/>
      <c r="R24" s="476"/>
      <c r="S24" s="477"/>
      <c r="T24" s="476"/>
      <c r="U24" s="477"/>
      <c r="V24" s="476"/>
      <c r="W24" s="477"/>
      <c r="X24" s="471"/>
      <c r="Y24" s="3841"/>
      <c r="Z24" s="470"/>
      <c r="AA24" s="482">
        <v>1</v>
      </c>
      <c r="AB24" s="482">
        <v>1</v>
      </c>
      <c r="AC24" s="482">
        <v>1</v>
      </c>
    </row>
    <row r="25" spans="1:29" ht="20.25">
      <c r="A25" s="236"/>
      <c r="B25" s="2214" t="s">
        <v>228</v>
      </c>
      <c r="C25" s="593">
        <f>估价对象房地状况!C19</f>
        <v>0</v>
      </c>
      <c r="D25" s="291">
        <v>100</v>
      </c>
      <c r="E25" s="292"/>
      <c r="F25" s="283">
        <f>SUMIF(97:97,E26,98:98)-SUMIF(97:97,C26,98:98)+100</f>
        <v>100</v>
      </c>
      <c r="G25" s="290"/>
      <c r="H25" s="280">
        <f>SUMIF(97:97,G26,98:98)-SUMIF(97:97,C26,98:98)+100</f>
        <v>100</v>
      </c>
      <c r="I25" s="292"/>
      <c r="J25" s="280">
        <f>SUMIF(97:97,I26,98:98)-SUMIF(97:97,C26,98:98)+100</f>
        <v>100</v>
      </c>
      <c r="K25" s="2166"/>
      <c r="L25" s="413"/>
      <c r="M25" s="396"/>
      <c r="N25" s="396"/>
      <c r="O25" s="412"/>
      <c r="P25" s="3841"/>
      <c r="Q25" s="406" t="str">
        <f t="shared" ref="Q25:Q40" si="8">B25</f>
        <v>区域土地利用方向</v>
      </c>
      <c r="R25" s="476" t="s">
        <v>1045</v>
      </c>
      <c r="S25" s="477">
        <f>F25</f>
        <v>100</v>
      </c>
      <c r="T25" s="476" t="s">
        <v>1045</v>
      </c>
      <c r="U25" s="477">
        <f>H25</f>
        <v>100</v>
      </c>
      <c r="V25" s="476" t="s">
        <v>1045</v>
      </c>
      <c r="W25" s="477">
        <f>J25</f>
        <v>100</v>
      </c>
      <c r="X25" s="471"/>
      <c r="Y25" s="3841"/>
      <c r="Z25" s="470" t="str">
        <f>Q25</f>
        <v>区域土地利用方向</v>
      </c>
      <c r="AA25" s="482">
        <f t="shared" si="3"/>
        <v>1</v>
      </c>
      <c r="AB25" s="482">
        <f t="shared" si="4"/>
        <v>1</v>
      </c>
      <c r="AC25" s="482">
        <f t="shared" si="5"/>
        <v>1</v>
      </c>
    </row>
    <row r="26" spans="1:29" ht="20.25">
      <c r="A26" s="236"/>
      <c r="B26" s="2215"/>
      <c r="C26" s="592"/>
      <c r="D26" s="279"/>
      <c r="E26" s="561"/>
      <c r="F26" s="278"/>
      <c r="G26" s="560"/>
      <c r="H26" s="278"/>
      <c r="I26" s="561"/>
      <c r="J26" s="278"/>
      <c r="K26" s="2165"/>
      <c r="L26" s="413"/>
      <c r="M26" s="396"/>
      <c r="N26" s="396"/>
      <c r="O26" s="412"/>
      <c r="P26" s="3841"/>
      <c r="Q26" s="406"/>
      <c r="R26" s="476"/>
      <c r="S26" s="477"/>
      <c r="T26" s="476"/>
      <c r="U26" s="477"/>
      <c r="V26" s="476"/>
      <c r="W26" s="477"/>
      <c r="X26" s="471"/>
      <c r="Y26" s="3841"/>
      <c r="Z26" s="470"/>
      <c r="AA26" s="482"/>
      <c r="AB26" s="482"/>
      <c r="AC26" s="482"/>
    </row>
    <row r="27" spans="1:29" ht="57">
      <c r="A27" s="236"/>
      <c r="B27" s="293" t="s">
        <v>1057</v>
      </c>
      <c r="C27" s="2213" t="str">
        <f>估价对象房地状况!C20</f>
        <v>区域自然环境：；人文环境；综合评价环境状况一般</v>
      </c>
      <c r="D27" s="291">
        <v>100</v>
      </c>
      <c r="E27" s="292"/>
      <c r="F27" s="280">
        <f>SUMIF(99:99,E28,100:100)-SUMIF(99:99,C28,100:100)+100</f>
        <v>100</v>
      </c>
      <c r="G27" s="290"/>
      <c r="H27" s="280">
        <f>SUMIF(99:99,G28,100:100)-SUMIF(99:99,C28,100:100)+100</f>
        <v>100</v>
      </c>
      <c r="I27" s="292"/>
      <c r="J27" s="280">
        <f>SUMIF(99:99,I28,100:100)-SUMIF(99:99,C28,100:100)+100</f>
        <v>100</v>
      </c>
      <c r="K27" s="2166"/>
      <c r="L27" s="413"/>
      <c r="M27" s="396"/>
      <c r="N27" s="396"/>
      <c r="O27" s="412"/>
      <c r="P27" s="3841"/>
      <c r="Q27" s="406" t="str">
        <f t="shared" si="8"/>
        <v>自然及人文环境状况</v>
      </c>
      <c r="R27" s="476" t="s">
        <v>1045</v>
      </c>
      <c r="S27" s="477">
        <f>F27</f>
        <v>100</v>
      </c>
      <c r="T27" s="476" t="s">
        <v>1045</v>
      </c>
      <c r="U27" s="477">
        <f>H27</f>
        <v>100</v>
      </c>
      <c r="V27" s="476" t="s">
        <v>1045</v>
      </c>
      <c r="W27" s="477">
        <f>J27</f>
        <v>100</v>
      </c>
      <c r="X27" s="471"/>
      <c r="Y27" s="3841"/>
      <c r="Z27" s="470" t="str">
        <f>Q27</f>
        <v>自然及人文环境状况</v>
      </c>
      <c r="AA27" s="482">
        <f t="shared" si="3"/>
        <v>1</v>
      </c>
      <c r="AB27" s="482">
        <f t="shared" si="4"/>
        <v>1</v>
      </c>
      <c r="AC27" s="482">
        <f t="shared" si="5"/>
        <v>1</v>
      </c>
    </row>
    <row r="28" spans="1:29" ht="20.25">
      <c r="A28" s="236"/>
      <c r="B28" s="287"/>
      <c r="C28" s="592"/>
      <c r="D28" s="279"/>
      <c r="E28" s="277"/>
      <c r="F28" s="278"/>
      <c r="G28" s="592"/>
      <c r="H28" s="278"/>
      <c r="I28" s="277"/>
      <c r="J28" s="278"/>
      <c r="K28" s="2165"/>
      <c r="L28" s="413"/>
      <c r="M28" s="396"/>
      <c r="N28" s="396"/>
      <c r="O28" s="412"/>
      <c r="P28" s="3841"/>
      <c r="Q28" s="406"/>
      <c r="R28" s="476"/>
      <c r="S28" s="477"/>
      <c r="T28" s="476"/>
      <c r="U28" s="477"/>
      <c r="V28" s="476"/>
      <c r="W28" s="477"/>
      <c r="X28" s="471"/>
      <c r="Y28" s="3841"/>
      <c r="Z28" s="470"/>
      <c r="AA28" s="482">
        <v>1</v>
      </c>
      <c r="AB28" s="482">
        <v>1</v>
      </c>
      <c r="AC28" s="482">
        <v>1</v>
      </c>
    </row>
    <row r="29" spans="1:29" s="210" customFormat="1" ht="42.75">
      <c r="A29" s="526"/>
      <c r="B29" s="289" t="s">
        <v>229</v>
      </c>
      <c r="C29" s="593" t="str">
        <f>估价对象房地状况!C21</f>
        <v>估价对象所在区域公共配套设施齐备情况</v>
      </c>
      <c r="D29" s="291">
        <v>100</v>
      </c>
      <c r="E29" s="292"/>
      <c r="F29" s="280">
        <f>SUMIF(101:101,E30,102:102)-SUMIF(101:101,C30,102:102)+100</f>
        <v>100</v>
      </c>
      <c r="G29" s="290"/>
      <c r="H29" s="280">
        <f>SUMIF(101:101,G30,102:102)-SUMIF(101:101,C30,102:102)+100</f>
        <v>100</v>
      </c>
      <c r="I29" s="292"/>
      <c r="J29" s="280">
        <f>SUMIF(101:101,I30,102:102)-SUMIF(101:101,C30,102:102)+100</f>
        <v>100</v>
      </c>
      <c r="K29" s="2166"/>
      <c r="L29" s="403"/>
      <c r="M29" s="396"/>
      <c r="N29" s="396"/>
      <c r="O29" s="405"/>
      <c r="P29" s="3841"/>
      <c r="Q29" s="475" t="str">
        <f t="shared" si="8"/>
        <v>公共配套设施</v>
      </c>
      <c r="R29" s="472" t="s">
        <v>1045</v>
      </c>
      <c r="S29" s="473">
        <f>F29</f>
        <v>100</v>
      </c>
      <c r="T29" s="472" t="s">
        <v>1045</v>
      </c>
      <c r="U29" s="473">
        <f>H29</f>
        <v>100</v>
      </c>
      <c r="V29" s="472" t="s">
        <v>1045</v>
      </c>
      <c r="W29" s="473">
        <f>J29</f>
        <v>100</v>
      </c>
      <c r="X29" s="474"/>
      <c r="Y29" s="3841"/>
      <c r="Z29" s="492" t="str">
        <f>Q29</f>
        <v>公共配套设施</v>
      </c>
      <c r="AA29" s="482">
        <f>D29/F29</f>
        <v>1</v>
      </c>
      <c r="AB29" s="482">
        <f>D29/H29</f>
        <v>1</v>
      </c>
      <c r="AC29" s="482">
        <f>D29/J29</f>
        <v>1</v>
      </c>
    </row>
    <row r="30" spans="1:29" s="210" customFormat="1" ht="20.25">
      <c r="A30" s="526"/>
      <c r="B30" s="287"/>
      <c r="C30" s="2107"/>
      <c r="D30" s="279"/>
      <c r="E30" s="277"/>
      <c r="F30" s="278"/>
      <c r="G30" s="592"/>
      <c r="H30" s="278"/>
      <c r="I30" s="277"/>
      <c r="J30" s="278"/>
      <c r="K30" s="2165"/>
      <c r="L30" s="403"/>
      <c r="M30" s="396"/>
      <c r="N30" s="396"/>
      <c r="O30" s="405"/>
      <c r="P30" s="3841"/>
      <c r="Q30" s="475"/>
      <c r="R30" s="472"/>
      <c r="S30" s="473"/>
      <c r="T30" s="472"/>
      <c r="U30" s="473"/>
      <c r="V30" s="472"/>
      <c r="W30" s="473"/>
      <c r="X30" s="474"/>
      <c r="Y30" s="3841"/>
      <c r="Z30" s="492"/>
      <c r="AA30" s="482">
        <v>1</v>
      </c>
      <c r="AB30" s="482">
        <v>1</v>
      </c>
      <c r="AC30" s="482">
        <v>1</v>
      </c>
    </row>
    <row r="31" spans="1:29" s="210" customFormat="1" ht="28.5">
      <c r="A31" s="526"/>
      <c r="B31" s="289" t="s">
        <v>230</v>
      </c>
      <c r="C31" s="593" t="str">
        <f>估价对象房地状况!C22</f>
        <v>估价对象所在区域基础设施水平</v>
      </c>
      <c r="D31" s="291">
        <v>100</v>
      </c>
      <c r="E31" s="292"/>
      <c r="F31" s="280">
        <f>SUMIF(103:103,E32,104:104)-SUMIF(103:103,C32,104:104)+100</f>
        <v>100</v>
      </c>
      <c r="G31" s="290"/>
      <c r="H31" s="280">
        <f>SUMIF(103:103,G32,104:104)-SUMIF(103:103,C32,104:104)+100</f>
        <v>100</v>
      </c>
      <c r="I31" s="292"/>
      <c r="J31" s="280">
        <f>SUMIF(103:103,I32,104:104)-SUMIF(103:103,C32,104:104)+100</f>
        <v>100</v>
      </c>
      <c r="K31" s="2166"/>
      <c r="L31" s="403"/>
      <c r="M31" s="396"/>
      <c r="N31" s="396"/>
      <c r="O31" s="405"/>
      <c r="P31" s="3841"/>
      <c r="Q31" s="475" t="str">
        <f>B31</f>
        <v>基础设施水平</v>
      </c>
      <c r="R31" s="472" t="s">
        <v>1045</v>
      </c>
      <c r="S31" s="473">
        <f>F31</f>
        <v>100</v>
      </c>
      <c r="T31" s="472" t="s">
        <v>1045</v>
      </c>
      <c r="U31" s="473">
        <f>H31</f>
        <v>100</v>
      </c>
      <c r="V31" s="472" t="s">
        <v>1045</v>
      </c>
      <c r="W31" s="473">
        <f>J31</f>
        <v>100</v>
      </c>
      <c r="X31" s="474"/>
      <c r="Y31" s="3841"/>
      <c r="Z31" s="492" t="str">
        <f>Q31</f>
        <v>基础设施水平</v>
      </c>
      <c r="AA31" s="482">
        <f>D31/F31</f>
        <v>1</v>
      </c>
      <c r="AB31" s="482">
        <f>D31/H31</f>
        <v>1</v>
      </c>
      <c r="AC31" s="482">
        <f>D31/J31</f>
        <v>1</v>
      </c>
    </row>
    <row r="32" spans="1:29" s="210" customFormat="1" ht="20.25">
      <c r="A32" s="526"/>
      <c r="B32" s="287"/>
      <c r="C32" s="2107"/>
      <c r="D32" s="279"/>
      <c r="E32" s="2106"/>
      <c r="F32" s="278"/>
      <c r="G32" s="2107"/>
      <c r="H32" s="278"/>
      <c r="I32" s="2107"/>
      <c r="J32" s="278"/>
      <c r="K32" s="2165"/>
      <c r="L32" s="403"/>
      <c r="M32" s="396"/>
      <c r="N32" s="396"/>
      <c r="O32" s="405"/>
      <c r="P32" s="3841"/>
      <c r="Q32" s="475"/>
      <c r="R32" s="472"/>
      <c r="S32" s="473"/>
      <c r="T32" s="472"/>
      <c r="U32" s="473"/>
      <c r="V32" s="472"/>
      <c r="W32" s="473"/>
      <c r="X32" s="474"/>
      <c r="Y32" s="3841"/>
      <c r="Z32" s="492"/>
      <c r="AA32" s="482">
        <v>1</v>
      </c>
      <c r="AB32" s="482">
        <v>1</v>
      </c>
      <c r="AC32" s="482">
        <v>1</v>
      </c>
    </row>
    <row r="33" spans="1:29" ht="20.25">
      <c r="A33" s="275"/>
      <c r="B33" s="287" t="s">
        <v>232</v>
      </c>
      <c r="C33" s="596"/>
      <c r="D33" s="297">
        <v>100</v>
      </c>
      <c r="E33" s="296"/>
      <c r="F33" s="267">
        <f>SUMIF(105:105,E33,106:106)-SUMIF(105:105,C33,106:106)+100</f>
        <v>100</v>
      </c>
      <c r="G33" s="596"/>
      <c r="H33" s="267">
        <f>SUMIF(105:105,G33,106:106)-SUMIF(105:105,C33,106:106)+100</f>
        <v>100</v>
      </c>
      <c r="I33" s="596"/>
      <c r="J33" s="267">
        <f>SUMIF(105:105,I33,106:106)-SUMIF(105:105,C33,106:106)+100</f>
        <v>100</v>
      </c>
      <c r="K33" s="2166"/>
      <c r="L33" s="413"/>
      <c r="M33" s="396"/>
      <c r="N33" s="396"/>
      <c r="O33" s="412"/>
      <c r="P33" s="3841"/>
      <c r="Q33" s="406" t="str">
        <f t="shared" si="8"/>
        <v>临街状况</v>
      </c>
      <c r="R33" s="476" t="s">
        <v>1045</v>
      </c>
      <c r="S33" s="477">
        <f t="shared" ref="S33:S47" si="9">F33</f>
        <v>100</v>
      </c>
      <c r="T33" s="476" t="s">
        <v>1045</v>
      </c>
      <c r="U33" s="477">
        <f t="shared" ref="U33:U47" si="10">H33</f>
        <v>100</v>
      </c>
      <c r="V33" s="476" t="s">
        <v>1045</v>
      </c>
      <c r="W33" s="477">
        <f t="shared" ref="W33:W47" si="11">J33</f>
        <v>100</v>
      </c>
      <c r="X33" s="471"/>
      <c r="Y33" s="3841"/>
      <c r="Z33" s="470" t="str">
        <f t="shared" ref="Z33:Z47" si="12">Q33</f>
        <v>临街状况</v>
      </c>
      <c r="AA33" s="482">
        <f t="shared" si="3"/>
        <v>1</v>
      </c>
      <c r="AB33" s="482">
        <f t="shared" si="4"/>
        <v>1</v>
      </c>
      <c r="AC33" s="482">
        <f t="shared" si="5"/>
        <v>1</v>
      </c>
    </row>
    <row r="34" spans="1:29" ht="27">
      <c r="A34" s="275"/>
      <c r="B34" s="293" t="s">
        <v>1058</v>
      </c>
      <c r="C34" s="290"/>
      <c r="D34" s="291">
        <v>100</v>
      </c>
      <c r="E34" s="292"/>
      <c r="F34" s="280">
        <f>SUMIF(107:107,E35,108:108)-SUMIF(107:107,C35,108:108)+100</f>
        <v>100</v>
      </c>
      <c r="G34" s="290"/>
      <c r="H34" s="280">
        <f>SUMIF(107:107,G35,108:108)-SUMIF(107:107,C35,108:108)+100</f>
        <v>100</v>
      </c>
      <c r="I34" s="292"/>
      <c r="J34" s="280">
        <f>SUMIF(107:107,I35,108:108)-SUMIF(107:107,C35,108:108)+100</f>
        <v>100</v>
      </c>
      <c r="K34" s="2166"/>
      <c r="L34" s="413"/>
      <c r="M34" s="396"/>
      <c r="N34" s="396"/>
      <c r="O34" s="412"/>
      <c r="P34" s="3841"/>
      <c r="Q34" s="406" t="str">
        <f t="shared" si="8"/>
        <v>毗邻道路的类型与等级</v>
      </c>
      <c r="R34" s="476" t="s">
        <v>1045</v>
      </c>
      <c r="S34" s="477">
        <f t="shared" si="9"/>
        <v>100</v>
      </c>
      <c r="T34" s="476" t="s">
        <v>1045</v>
      </c>
      <c r="U34" s="477">
        <f t="shared" si="10"/>
        <v>100</v>
      </c>
      <c r="V34" s="476" t="s">
        <v>1045</v>
      </c>
      <c r="W34" s="477">
        <f t="shared" si="11"/>
        <v>100</v>
      </c>
      <c r="X34" s="471"/>
      <c r="Y34" s="3841"/>
      <c r="Z34" s="470" t="str">
        <f t="shared" si="12"/>
        <v>毗邻道路的类型与等级</v>
      </c>
      <c r="AA34" s="482">
        <f t="shared" si="3"/>
        <v>1</v>
      </c>
      <c r="AB34" s="482">
        <f t="shared" si="4"/>
        <v>1</v>
      </c>
      <c r="AC34" s="482">
        <f t="shared" si="5"/>
        <v>1</v>
      </c>
    </row>
    <row r="35" spans="1:29" ht="20.25">
      <c r="A35" s="275"/>
      <c r="B35" s="287"/>
      <c r="C35" s="592"/>
      <c r="D35" s="279"/>
      <c r="E35" s="277"/>
      <c r="F35" s="278"/>
      <c r="G35" s="592"/>
      <c r="H35" s="278"/>
      <c r="I35" s="277"/>
      <c r="J35" s="278"/>
      <c r="K35" s="410"/>
      <c r="L35" s="413"/>
      <c r="M35" s="396"/>
      <c r="N35" s="396"/>
      <c r="O35" s="412"/>
      <c r="P35" s="3841"/>
      <c r="Q35" s="406"/>
      <c r="R35" s="476"/>
      <c r="S35" s="477"/>
      <c r="T35" s="476"/>
      <c r="U35" s="477"/>
      <c r="V35" s="476"/>
      <c r="W35" s="477"/>
      <c r="X35" s="471"/>
      <c r="Y35" s="3841"/>
      <c r="Z35" s="470"/>
      <c r="AA35" s="482">
        <v>1</v>
      </c>
      <c r="AB35" s="482">
        <v>1</v>
      </c>
      <c r="AC35" s="482">
        <v>1</v>
      </c>
    </row>
    <row r="36" spans="1:29" ht="20.25">
      <c r="A36" s="275"/>
      <c r="B36" s="534" t="s">
        <v>1059</v>
      </c>
      <c r="C36" s="596"/>
      <c r="D36" s="297">
        <v>100</v>
      </c>
      <c r="E36" s="296"/>
      <c r="F36" s="267">
        <f>SUMIF(109:109,E36,110:110)-SUMIF(109:109,C36,110:110)+100</f>
        <v>100</v>
      </c>
      <c r="G36" s="596"/>
      <c r="H36" s="267">
        <f>SUMIF(109:109,G36,110:110)-SUMIF(109:109,C36,110:110)+100</f>
        <v>100</v>
      </c>
      <c r="I36" s="296"/>
      <c r="J36" s="267">
        <f>SUMIF(109:109,I36,110:110)-SUMIF(109:109,C36,110:110)+100</f>
        <v>100</v>
      </c>
      <c r="K36" s="417"/>
      <c r="L36" s="413"/>
      <c r="M36" s="396"/>
      <c r="N36" s="396"/>
      <c r="O36" s="412"/>
      <c r="P36" s="3841"/>
      <c r="Q36" s="406" t="str">
        <f t="shared" si="8"/>
        <v>土地级别</v>
      </c>
      <c r="R36" s="476" t="s">
        <v>1045</v>
      </c>
      <c r="S36" s="477">
        <f t="shared" si="9"/>
        <v>100</v>
      </c>
      <c r="T36" s="476" t="s">
        <v>1045</v>
      </c>
      <c r="U36" s="477">
        <f t="shared" si="10"/>
        <v>100</v>
      </c>
      <c r="V36" s="476" t="s">
        <v>1045</v>
      </c>
      <c r="W36" s="477">
        <f t="shared" si="11"/>
        <v>100</v>
      </c>
      <c r="X36" s="471"/>
      <c r="Y36" s="3841"/>
      <c r="Z36" s="470" t="str">
        <f t="shared" si="12"/>
        <v>土地级别</v>
      </c>
      <c r="AA36" s="482">
        <f t="shared" si="3"/>
        <v>1</v>
      </c>
      <c r="AB36" s="482">
        <f t="shared" si="4"/>
        <v>1</v>
      </c>
      <c r="AC36" s="482">
        <f t="shared" si="5"/>
        <v>1</v>
      </c>
    </row>
    <row r="37" spans="1:29" ht="20.25">
      <c r="A37" s="236"/>
      <c r="B37" s="599">
        <v>111</v>
      </c>
      <c r="C37" s="658"/>
      <c r="D37" s="297">
        <v>100</v>
      </c>
      <c r="E37" s="2105"/>
      <c r="F37" s="267">
        <f>SUMIF(111:111,E37,112:112)-SUMIF(111:111,C37,112:112)+100</f>
        <v>100</v>
      </c>
      <c r="G37" s="658"/>
      <c r="H37" s="267">
        <f>SUMIF(111:111,G37,112:112)-SUMIF(111:111,C37,112:112)+100</f>
        <v>100</v>
      </c>
      <c r="I37" s="2105"/>
      <c r="J37" s="267">
        <f>SUMIF(111:111,I37,112:112)-SUMIF(111:111,C37,112:112)+100</f>
        <v>100</v>
      </c>
      <c r="K37" s="410"/>
      <c r="L37" s="413"/>
      <c r="M37" s="396"/>
      <c r="N37" s="396"/>
      <c r="O37" s="412"/>
      <c r="P37" s="3841"/>
      <c r="Q37" s="406">
        <f t="shared" si="8"/>
        <v>111</v>
      </c>
      <c r="R37" s="476" t="s">
        <v>1045</v>
      </c>
      <c r="S37" s="477">
        <f t="shared" si="9"/>
        <v>100</v>
      </c>
      <c r="T37" s="476" t="s">
        <v>1045</v>
      </c>
      <c r="U37" s="477">
        <f t="shared" si="10"/>
        <v>100</v>
      </c>
      <c r="V37" s="476" t="s">
        <v>1045</v>
      </c>
      <c r="W37" s="477">
        <f t="shared" si="11"/>
        <v>100</v>
      </c>
      <c r="X37" s="471"/>
      <c r="Y37" s="3841"/>
      <c r="Z37" s="470">
        <f t="shared" si="12"/>
        <v>111</v>
      </c>
      <c r="AA37" s="482">
        <f t="shared" si="3"/>
        <v>1</v>
      </c>
      <c r="AB37" s="482">
        <f t="shared" si="4"/>
        <v>1</v>
      </c>
      <c r="AC37" s="482">
        <f t="shared" si="5"/>
        <v>1</v>
      </c>
    </row>
    <row r="38" spans="1:29" ht="20.25">
      <c r="A38" s="2110"/>
      <c r="B38" s="2216">
        <v>111</v>
      </c>
      <c r="C38" s="658"/>
      <c r="D38" s="297">
        <v>100</v>
      </c>
      <c r="E38" s="2105"/>
      <c r="F38" s="267">
        <f>SUMIF(113:113,E39,114:114)-SUMIF(113:113,C39,114:114)+100</f>
        <v>100</v>
      </c>
      <c r="G38" s="658"/>
      <c r="H38" s="267">
        <f>SUMIF(113:113,G38,114:114)-SUMIF(113:113,C38,114:114)+100</f>
        <v>100</v>
      </c>
      <c r="I38" s="2105"/>
      <c r="J38" s="267">
        <f>SUMIF(113:113,I38,114:114)-SUMIF(113:113,C38,114:114)+100</f>
        <v>100</v>
      </c>
      <c r="K38" s="410"/>
      <c r="L38" s="413"/>
      <c r="M38" s="396"/>
      <c r="N38" s="396"/>
      <c r="O38" s="412"/>
      <c r="P38" s="3842" t="s">
        <v>1060</v>
      </c>
      <c r="Q38" s="406">
        <f t="shared" si="8"/>
        <v>111</v>
      </c>
      <c r="R38" s="476" t="s">
        <v>1045</v>
      </c>
      <c r="S38" s="477">
        <f t="shared" si="9"/>
        <v>100</v>
      </c>
      <c r="T38" s="476" t="s">
        <v>1045</v>
      </c>
      <c r="U38" s="477">
        <f t="shared" si="10"/>
        <v>100</v>
      </c>
      <c r="V38" s="476" t="s">
        <v>1045</v>
      </c>
      <c r="W38" s="477">
        <f t="shared" si="11"/>
        <v>100</v>
      </c>
      <c r="X38" s="471"/>
      <c r="Y38" s="3843" t="s">
        <v>1060</v>
      </c>
      <c r="Z38" s="470">
        <f t="shared" si="12"/>
        <v>111</v>
      </c>
      <c r="AA38" s="482">
        <f t="shared" si="3"/>
        <v>1</v>
      </c>
      <c r="AB38" s="482">
        <f t="shared" si="4"/>
        <v>1</v>
      </c>
      <c r="AC38" s="482">
        <f t="shared" si="5"/>
        <v>1</v>
      </c>
    </row>
    <row r="39" spans="1:29" s="212" customFormat="1" ht="20.25">
      <c r="A39" s="2112"/>
      <c r="B39" s="2217">
        <v>111</v>
      </c>
      <c r="C39" s="2218"/>
      <c r="D39" s="2219">
        <v>100</v>
      </c>
      <c r="E39" s="2114"/>
      <c r="F39" s="320">
        <f>SUMIF(115:115,E39,116:116)-SUMIF(115:115,C39,116:116)+100</f>
        <v>100</v>
      </c>
      <c r="G39" s="2116"/>
      <c r="H39" s="320">
        <f>SUMIF(115:115,G39,116:116)-SUMIF(115:115,C39,116:116)+100</f>
        <v>100</v>
      </c>
      <c r="I39" s="2114"/>
      <c r="J39" s="320">
        <f>SUMIF(115:115,I39,116:116)-SUMIF(115:115,C39,116:116)+100</f>
        <v>100</v>
      </c>
      <c r="K39" s="410"/>
      <c r="L39" s="411"/>
      <c r="M39" s="396"/>
      <c r="N39" s="396"/>
      <c r="O39" s="419"/>
      <c r="P39" s="3843"/>
      <c r="Q39" s="406">
        <f t="shared" si="8"/>
        <v>111</v>
      </c>
      <c r="R39" s="479" t="s">
        <v>1045</v>
      </c>
      <c r="S39" s="480">
        <f t="shared" si="9"/>
        <v>100</v>
      </c>
      <c r="T39" s="479" t="s">
        <v>1045</v>
      </c>
      <c r="U39" s="480">
        <f t="shared" si="10"/>
        <v>100</v>
      </c>
      <c r="V39" s="479" t="s">
        <v>1045</v>
      </c>
      <c r="W39" s="480">
        <f t="shared" si="11"/>
        <v>100</v>
      </c>
      <c r="X39" s="481"/>
      <c r="Y39" s="3843"/>
      <c r="Z39" s="493">
        <f t="shared" si="12"/>
        <v>111</v>
      </c>
      <c r="AA39" s="482">
        <f t="shared" si="3"/>
        <v>1</v>
      </c>
      <c r="AB39" s="482">
        <f t="shared" si="4"/>
        <v>1</v>
      </c>
      <c r="AC39" s="482">
        <f t="shared" si="5"/>
        <v>1</v>
      </c>
    </row>
    <row r="40" spans="1:29" ht="20.25">
      <c r="A40" s="303" t="s">
        <v>1061</v>
      </c>
      <c r="B40" s="295" t="s">
        <v>1062</v>
      </c>
      <c r="C40" s="2117"/>
      <c r="D40" s="306">
        <v>100</v>
      </c>
      <c r="E40" s="2117"/>
      <c r="F40" s="306" t="e">
        <f>LOOKUP(E40,118:118,119:119)-LOOKUP(C40,118:118,119:119)+100</f>
        <v>#N/A</v>
      </c>
      <c r="G40" s="2117"/>
      <c r="H40" s="306" t="e">
        <f>LOOKUP(G40,118:118,119:119)-LOOKUP(C40,118:118,119:119)+100</f>
        <v>#N/A</v>
      </c>
      <c r="I40" s="374"/>
      <c r="J40" s="306" t="e">
        <f>LOOKUP(I40,118:118,119:119)-LOOKUP(C40,118:118,119:119)+100</f>
        <v>#N/A</v>
      </c>
      <c r="K40" s="410"/>
      <c r="L40" s="413"/>
      <c r="M40" s="396"/>
      <c r="N40" s="396"/>
      <c r="O40" s="412"/>
      <c r="P40" s="3843"/>
      <c r="Q40" s="406" t="str">
        <f t="shared" si="8"/>
        <v>宗地面积</v>
      </c>
      <c r="R40" s="476" t="s">
        <v>1045</v>
      </c>
      <c r="S40" s="477" t="e">
        <f t="shared" si="9"/>
        <v>#N/A</v>
      </c>
      <c r="T40" s="476" t="s">
        <v>1045</v>
      </c>
      <c r="U40" s="477" t="e">
        <f t="shared" si="10"/>
        <v>#N/A</v>
      </c>
      <c r="V40" s="476" t="s">
        <v>1045</v>
      </c>
      <c r="W40" s="477" t="e">
        <f t="shared" si="11"/>
        <v>#N/A</v>
      </c>
      <c r="X40" s="471"/>
      <c r="Y40" s="3843"/>
      <c r="Z40" s="470" t="str">
        <f t="shared" si="12"/>
        <v>宗地面积</v>
      </c>
      <c r="AA40" s="482" t="e">
        <f t="shared" si="3"/>
        <v>#N/A</v>
      </c>
      <c r="AB40" s="482" t="e">
        <f t="shared" si="4"/>
        <v>#N/A</v>
      </c>
      <c r="AC40" s="482" t="e">
        <f t="shared" si="5"/>
        <v>#N/A</v>
      </c>
    </row>
    <row r="41" spans="1:29" ht="20.25">
      <c r="A41" s="313"/>
      <c r="B41" s="309" t="s">
        <v>1063</v>
      </c>
      <c r="C41" s="601"/>
      <c r="D41" s="267">
        <v>100</v>
      </c>
      <c r="E41" s="601"/>
      <c r="F41" s="267">
        <f>SUMIF(120:120,E41,121:121)-SUMIF(120:120,C41,121:121)+100</f>
        <v>100</v>
      </c>
      <c r="G41" s="601"/>
      <c r="H41" s="267">
        <f>SUMIF(120:120,G41,121:121)-SUMIF(120:120,C41,121:121)+100</f>
        <v>100</v>
      </c>
      <c r="I41" s="601"/>
      <c r="J41" s="267">
        <f>SUMIF(120:120,I41,121:121)-SUMIF(120:120,C41,121:121)+100</f>
        <v>100</v>
      </c>
      <c r="K41" s="417"/>
      <c r="L41" s="413"/>
      <c r="M41" s="396"/>
      <c r="N41" s="396"/>
      <c r="O41" s="412"/>
      <c r="P41" s="3843"/>
      <c r="Q41" s="406" t="str">
        <f t="shared" ref="Q41:Q47" si="13">B41</f>
        <v>宗地形状</v>
      </c>
      <c r="R41" s="476" t="s">
        <v>1045</v>
      </c>
      <c r="S41" s="477">
        <f t="shared" si="9"/>
        <v>100</v>
      </c>
      <c r="T41" s="476" t="s">
        <v>1045</v>
      </c>
      <c r="U41" s="477">
        <f t="shared" si="10"/>
        <v>100</v>
      </c>
      <c r="V41" s="476" t="s">
        <v>1045</v>
      </c>
      <c r="W41" s="477">
        <f t="shared" si="11"/>
        <v>100</v>
      </c>
      <c r="X41" s="471"/>
      <c r="Y41" s="3843"/>
      <c r="Z41" s="470" t="str">
        <f t="shared" si="12"/>
        <v>宗地形状</v>
      </c>
      <c r="AA41" s="482">
        <f t="shared" si="3"/>
        <v>1</v>
      </c>
      <c r="AB41" s="482">
        <f t="shared" si="4"/>
        <v>1</v>
      </c>
      <c r="AC41" s="482">
        <f t="shared" si="5"/>
        <v>1</v>
      </c>
    </row>
    <row r="42" spans="1:29" ht="20.25">
      <c r="A42" s="313"/>
      <c r="B42" s="309" t="s">
        <v>1064</v>
      </c>
      <c r="C42" s="601"/>
      <c r="D42" s="267">
        <v>100</v>
      </c>
      <c r="E42" s="601"/>
      <c r="F42" s="267">
        <f>SUMIF(122:122,E42,123:123)-SUMIF(122:122,C42,123:123)+100</f>
        <v>100</v>
      </c>
      <c r="G42" s="601"/>
      <c r="H42" s="267">
        <f>SUMIF(122:122,G42,123:123)-SUMIF(122:122,C42,123:123)+100</f>
        <v>100</v>
      </c>
      <c r="I42" s="601"/>
      <c r="J42" s="267">
        <f>SUMIF(122:122,I42,123:123)-SUMIF(122:122,C42,123:123)+100</f>
        <v>100</v>
      </c>
      <c r="K42" s="417"/>
      <c r="L42" s="413"/>
      <c r="M42" s="396"/>
      <c r="N42" s="396"/>
      <c r="O42" s="412"/>
      <c r="P42" s="3843"/>
      <c r="Q42" s="406" t="str">
        <f t="shared" si="13"/>
        <v>临街宽度及深度</v>
      </c>
      <c r="R42" s="476" t="s">
        <v>1045</v>
      </c>
      <c r="S42" s="477">
        <f t="shared" si="9"/>
        <v>100</v>
      </c>
      <c r="T42" s="476" t="s">
        <v>1045</v>
      </c>
      <c r="U42" s="477">
        <f t="shared" si="10"/>
        <v>100</v>
      </c>
      <c r="V42" s="476" t="s">
        <v>1045</v>
      </c>
      <c r="W42" s="477">
        <f t="shared" si="11"/>
        <v>100</v>
      </c>
      <c r="X42" s="471"/>
      <c r="Y42" s="3843"/>
      <c r="Z42" s="470" t="str">
        <f t="shared" si="12"/>
        <v>临街宽度及深度</v>
      </c>
      <c r="AA42" s="482">
        <f t="shared" si="3"/>
        <v>1</v>
      </c>
      <c r="AB42" s="482">
        <f t="shared" si="4"/>
        <v>1</v>
      </c>
      <c r="AC42" s="482">
        <f t="shared" si="5"/>
        <v>1</v>
      </c>
    </row>
    <row r="43" spans="1:29" s="210" customFormat="1" ht="20.25">
      <c r="A43" s="316"/>
      <c r="B43" s="568" t="s">
        <v>1065</v>
      </c>
      <c r="C43" s="2118"/>
      <c r="D43" s="257">
        <v>100</v>
      </c>
      <c r="E43" s="2118"/>
      <c r="F43" s="267">
        <f>SUMIF(124:124,E43,125:125)-SUMIF(124:124,C43,125:125)+100</f>
        <v>100</v>
      </c>
      <c r="G43" s="2118"/>
      <c r="H43" s="267">
        <f>SUMIF(124:124,G43,125:125)-SUMIF(124:124,C43,125:125)+100</f>
        <v>100</v>
      </c>
      <c r="I43" s="2118"/>
      <c r="J43" s="267">
        <f>SUMIF(124:124,I43,125:125)-SUMIF(124:124,C43,125:125)+100</f>
        <v>100</v>
      </c>
      <c r="K43" s="417"/>
      <c r="L43" s="403"/>
      <c r="M43" s="396"/>
      <c r="N43" s="396"/>
      <c r="O43" s="405"/>
      <c r="P43" s="3843"/>
      <c r="Q43" s="406" t="str">
        <f t="shared" si="13"/>
        <v>宗地开发程度</v>
      </c>
      <c r="R43" s="472" t="s">
        <v>1045</v>
      </c>
      <c r="S43" s="473">
        <f t="shared" si="9"/>
        <v>100</v>
      </c>
      <c r="T43" s="472" t="s">
        <v>1045</v>
      </c>
      <c r="U43" s="473">
        <f t="shared" si="10"/>
        <v>100</v>
      </c>
      <c r="V43" s="472" t="s">
        <v>1045</v>
      </c>
      <c r="W43" s="473">
        <f t="shared" si="11"/>
        <v>100</v>
      </c>
      <c r="X43" s="474"/>
      <c r="Y43" s="3843"/>
      <c r="Z43" s="492" t="str">
        <f t="shared" si="12"/>
        <v>宗地开发程度</v>
      </c>
      <c r="AA43" s="491">
        <f t="shared" si="3"/>
        <v>1</v>
      </c>
      <c r="AB43" s="491">
        <f t="shared" si="4"/>
        <v>1</v>
      </c>
      <c r="AC43" s="491">
        <f t="shared" si="5"/>
        <v>1</v>
      </c>
    </row>
    <row r="44" spans="1:29" ht="20.25">
      <c r="A44" s="313"/>
      <c r="B44" s="309" t="s">
        <v>1066</v>
      </c>
      <c r="C44" s="601"/>
      <c r="D44" s="267">
        <v>100</v>
      </c>
      <c r="E44" s="601"/>
      <c r="F44" s="267">
        <f>SUMIF(126:126,E44,127:127)-SUMIF(126:126,C44,127:127)+100</f>
        <v>100</v>
      </c>
      <c r="G44" s="601"/>
      <c r="H44" s="267">
        <f>SUMIF(126:126,G44,127:127)-SUMIF(126:126,C44,127:127)+100</f>
        <v>100</v>
      </c>
      <c r="I44" s="601"/>
      <c r="J44" s="267">
        <f>SUMIF(126:126,I44,127:127)-SUMIF(126:126,C44,127:127)+100</f>
        <v>100</v>
      </c>
      <c r="K44" s="417"/>
      <c r="L44" s="413"/>
      <c r="M44" s="396"/>
      <c r="N44" s="396"/>
      <c r="O44" s="412"/>
      <c r="P44" s="3843" t="s">
        <v>1060</v>
      </c>
      <c r="Q44" s="406" t="str">
        <f t="shared" si="13"/>
        <v>工程地质条件</v>
      </c>
      <c r="R44" s="476" t="s">
        <v>1045</v>
      </c>
      <c r="S44" s="477">
        <f t="shared" si="9"/>
        <v>100</v>
      </c>
      <c r="T44" s="476" t="s">
        <v>1045</v>
      </c>
      <c r="U44" s="477">
        <f t="shared" si="10"/>
        <v>100</v>
      </c>
      <c r="V44" s="476" t="s">
        <v>1045</v>
      </c>
      <c r="W44" s="477">
        <f t="shared" si="11"/>
        <v>100</v>
      </c>
      <c r="X44" s="471"/>
      <c r="Y44" s="3843" t="s">
        <v>1060</v>
      </c>
      <c r="Z44" s="470" t="str">
        <f t="shared" si="12"/>
        <v>工程地质条件</v>
      </c>
      <c r="AA44" s="482">
        <f t="shared" si="3"/>
        <v>1</v>
      </c>
      <c r="AB44" s="482">
        <f t="shared" si="4"/>
        <v>1</v>
      </c>
      <c r="AC44" s="482">
        <f t="shared" si="5"/>
        <v>1</v>
      </c>
    </row>
    <row r="45" spans="1:29" ht="20.25">
      <c r="A45" s="313"/>
      <c r="B45" s="2111">
        <v>111</v>
      </c>
      <c r="C45" s="2105"/>
      <c r="D45" s="267">
        <v>100</v>
      </c>
      <c r="E45" s="2105"/>
      <c r="F45" s="267">
        <f>SUMIF(128:128,E45,129:129)-SUMIF(128:128,C45,129:129)+100</f>
        <v>100</v>
      </c>
      <c r="G45" s="2105"/>
      <c r="H45" s="267">
        <f>SUMIF(128:128,G45,129:129)-SUMIF(128:128,C45,129:129)+100</f>
        <v>100</v>
      </c>
      <c r="I45" s="382"/>
      <c r="J45" s="267">
        <f>SUMIF(128:128,I45,129:129)-SUMIF(128:128,C45,129:129)+100</f>
        <v>100</v>
      </c>
      <c r="K45" s="410"/>
      <c r="L45" s="413"/>
      <c r="M45" s="396"/>
      <c r="N45" s="396"/>
      <c r="O45" s="412"/>
      <c r="P45" s="3843"/>
      <c r="Q45" s="406">
        <f t="shared" si="13"/>
        <v>111</v>
      </c>
      <c r="R45" s="476" t="s">
        <v>1045</v>
      </c>
      <c r="S45" s="477">
        <f t="shared" si="9"/>
        <v>100</v>
      </c>
      <c r="T45" s="476" t="s">
        <v>1045</v>
      </c>
      <c r="U45" s="477">
        <f t="shared" si="10"/>
        <v>100</v>
      </c>
      <c r="V45" s="476" t="s">
        <v>1045</v>
      </c>
      <c r="W45" s="477">
        <f t="shared" si="11"/>
        <v>100</v>
      </c>
      <c r="X45" s="471"/>
      <c r="Y45" s="3843"/>
      <c r="Z45" s="470">
        <f t="shared" si="12"/>
        <v>111</v>
      </c>
      <c r="AA45" s="482">
        <f t="shared" si="3"/>
        <v>1</v>
      </c>
      <c r="AB45" s="482">
        <f t="shared" si="4"/>
        <v>1</v>
      </c>
      <c r="AC45" s="482">
        <f t="shared" si="5"/>
        <v>1</v>
      </c>
    </row>
    <row r="46" spans="1:29" ht="20.25">
      <c r="A46" s="313"/>
      <c r="B46" s="2111">
        <v>111</v>
      </c>
      <c r="C46" s="2105"/>
      <c r="D46" s="267">
        <v>100</v>
      </c>
      <c r="E46" s="2105"/>
      <c r="F46" s="267">
        <f>SUMIF(130:130,E46,131:131)-SUMIF(130:130,C46,131:131)+100</f>
        <v>100</v>
      </c>
      <c r="G46" s="2105"/>
      <c r="H46" s="267">
        <f>SUMIF(130:130,G46,131:131)-SUMIF(130:130,C46,131:131)+100</f>
        <v>100</v>
      </c>
      <c r="I46" s="382"/>
      <c r="J46" s="267">
        <f>SUMIF(130:130,I46,131:131)-SUMIF(130:130,C46,131:131)+100</f>
        <v>100</v>
      </c>
      <c r="K46" s="410"/>
      <c r="L46" s="413"/>
      <c r="M46" s="396"/>
      <c r="N46" s="396"/>
      <c r="O46" s="412"/>
      <c r="P46" s="3843"/>
      <c r="Q46" s="406">
        <f t="shared" si="13"/>
        <v>111</v>
      </c>
      <c r="R46" s="476" t="s">
        <v>1045</v>
      </c>
      <c r="S46" s="477">
        <f t="shared" si="9"/>
        <v>100</v>
      </c>
      <c r="T46" s="476" t="s">
        <v>1045</v>
      </c>
      <c r="U46" s="477">
        <f t="shared" si="10"/>
        <v>100</v>
      </c>
      <c r="V46" s="476" t="s">
        <v>1045</v>
      </c>
      <c r="W46" s="477">
        <f t="shared" si="11"/>
        <v>100</v>
      </c>
      <c r="X46" s="471"/>
      <c r="Y46" s="3843"/>
      <c r="Z46" s="470">
        <f t="shared" si="12"/>
        <v>111</v>
      </c>
      <c r="AA46" s="482">
        <f t="shared" si="3"/>
        <v>1</v>
      </c>
      <c r="AB46" s="482">
        <f t="shared" si="4"/>
        <v>1</v>
      </c>
      <c r="AC46" s="482">
        <f t="shared" si="5"/>
        <v>1</v>
      </c>
    </row>
    <row r="47" spans="1:29" s="212" customFormat="1" ht="20.25">
      <c r="A47" s="308"/>
      <c r="B47" s="2111">
        <v>111</v>
      </c>
      <c r="C47" s="2119"/>
      <c r="D47" s="2220">
        <v>100</v>
      </c>
      <c r="E47" s="2105"/>
      <c r="F47" s="320">
        <f>SUMIF(132:132,E47,133:133)-SUMIF(132:132,C47,133:133)+100</f>
        <v>100</v>
      </c>
      <c r="G47" s="2105"/>
      <c r="H47" s="320">
        <f>SUMIF(132:132,G47,133:133)-SUMIF(132:132,C47,133:133)+100</f>
        <v>100</v>
      </c>
      <c r="I47" s="2105"/>
      <c r="J47" s="320">
        <f>SUMIF(132:132,I47,133:133)-SUMIF(132:132,C47,133:133)+100</f>
        <v>100</v>
      </c>
      <c r="K47" s="2169"/>
      <c r="L47" s="411"/>
      <c r="M47" s="396"/>
      <c r="N47" s="396"/>
      <c r="O47" s="419"/>
      <c r="P47" s="3843"/>
      <c r="Q47" s="406">
        <f t="shared" si="13"/>
        <v>111</v>
      </c>
      <c r="R47" s="479" t="s">
        <v>1045</v>
      </c>
      <c r="S47" s="480">
        <f t="shared" si="9"/>
        <v>100</v>
      </c>
      <c r="T47" s="479" t="s">
        <v>1045</v>
      </c>
      <c r="U47" s="480">
        <f t="shared" si="10"/>
        <v>100</v>
      </c>
      <c r="V47" s="479" t="s">
        <v>1045</v>
      </c>
      <c r="W47" s="480">
        <f t="shared" si="11"/>
        <v>100</v>
      </c>
      <c r="X47" s="481"/>
      <c r="Y47" s="3843"/>
      <c r="Z47" s="493">
        <f t="shared" si="12"/>
        <v>111</v>
      </c>
      <c r="AA47" s="482">
        <f t="shared" si="3"/>
        <v>1</v>
      </c>
      <c r="AB47" s="482">
        <f t="shared" si="4"/>
        <v>1</v>
      </c>
      <c r="AC47" s="482">
        <f t="shared" si="5"/>
        <v>1</v>
      </c>
    </row>
    <row r="48" spans="1:29" ht="20.25">
      <c r="A48" s="323" t="s">
        <v>1067</v>
      </c>
      <c r="B48" s="2120" t="s">
        <v>1068</v>
      </c>
      <c r="C48" s="2121" t="s">
        <v>138</v>
      </c>
      <c r="D48" s="2122"/>
      <c r="E48" s="2123"/>
      <c r="F48" s="2124"/>
      <c r="G48" s="2125"/>
      <c r="H48" s="2126"/>
      <c r="I48" s="2123"/>
      <c r="J48" s="2126"/>
      <c r="K48" s="2170"/>
      <c r="L48" s="421"/>
      <c r="M48" s="396"/>
      <c r="N48" s="396"/>
      <c r="O48" s="351"/>
      <c r="P48" s="3834" t="str">
        <f>A48</f>
        <v>成交单价</v>
      </c>
      <c r="Q48" s="3834"/>
      <c r="R48" s="3835">
        <f>E48</f>
        <v>0</v>
      </c>
      <c r="S48" s="3835"/>
      <c r="T48" s="3835">
        <f>G48</f>
        <v>0</v>
      </c>
      <c r="U48" s="3835"/>
      <c r="V48" s="3835">
        <f>I48</f>
        <v>0</v>
      </c>
      <c r="W48" s="3835"/>
      <c r="X48" s="353"/>
      <c r="Y48" s="494"/>
      <c r="Z48" s="353"/>
      <c r="AA48" s="353"/>
      <c r="AB48" s="353"/>
      <c r="AC48" s="353"/>
    </row>
    <row r="49" spans="1:29" ht="20.25">
      <c r="A49" s="331" t="s">
        <v>1069</v>
      </c>
      <c r="B49" s="2127"/>
      <c r="C49" s="2128" t="e">
        <f>R50</f>
        <v>#DIV/0!</v>
      </c>
      <c r="D49" s="334" t="s">
        <v>1070</v>
      </c>
      <c r="E49" s="2128" t="e">
        <f>R49</f>
        <v>#DIV/0!</v>
      </c>
      <c r="F49" s="336"/>
      <c r="G49" s="2129" t="e">
        <f>T49</f>
        <v>#DIV/0!</v>
      </c>
      <c r="H49" s="336"/>
      <c r="I49" s="2128" t="e">
        <f>V49</f>
        <v>#DIV/0!</v>
      </c>
      <c r="J49" s="336"/>
      <c r="K49" s="2171">
        <f>F49+H49+J49</f>
        <v>0</v>
      </c>
      <c r="L49" s="421"/>
      <c r="M49" s="396"/>
      <c r="N49" s="396"/>
      <c r="O49" s="351"/>
      <c r="P49" s="3834" t="str">
        <f>A49</f>
        <v>比较价格（元/平方米）</v>
      </c>
      <c r="Q49" s="3834"/>
      <c r="R49" s="3836" t="e">
        <f>ROUND(PRODUCT(R48,AA9:AA47),0)</f>
        <v>#DIV/0!</v>
      </c>
      <c r="S49" s="3836"/>
      <c r="T49" s="3836" t="e">
        <f>ROUND(PRODUCT(T48,AB9:AB47),0)</f>
        <v>#DIV/0!</v>
      </c>
      <c r="U49" s="3836"/>
      <c r="V49" s="3836" t="e">
        <f>ROUND(PRODUCT(V48,AC9:AC47),0)</f>
        <v>#DIV/0!</v>
      </c>
      <c r="W49" s="3836"/>
      <c r="X49" s="353"/>
      <c r="Y49" s="353"/>
      <c r="Z49" s="353"/>
      <c r="AA49" s="353"/>
      <c r="AB49" s="353"/>
      <c r="AC49" s="353"/>
    </row>
    <row r="50" spans="1:29" ht="20.25">
      <c r="A50" s="337" t="s">
        <v>1071</v>
      </c>
      <c r="B50" s="338"/>
      <c r="C50" s="2130" t="e">
        <f>R50</f>
        <v>#DIV/0!</v>
      </c>
      <c r="D50" s="2130"/>
      <c r="E50" s="2130"/>
      <c r="F50" s="2130"/>
      <c r="G50" s="2130"/>
      <c r="H50" s="2130"/>
      <c r="I50" s="2130"/>
      <c r="J50" s="2130"/>
      <c r="K50" s="2172"/>
      <c r="L50" s="421"/>
      <c r="M50" s="396"/>
      <c r="N50" s="396"/>
      <c r="O50" s="351"/>
      <c r="P50" s="3837" t="str">
        <f>A50</f>
        <v>估价对象XX用房的比较价格（楼面单价，元/平方米）</v>
      </c>
      <c r="Q50" s="3838"/>
      <c r="R50" s="3839" t="e">
        <f>ROUND(IF(D49="简单平均",AVERAGE(R49:W49),R49*F49+T49*H49+V49*J49),0)</f>
        <v>#DIV/0!</v>
      </c>
      <c r="S50" s="3839"/>
      <c r="T50" s="3839"/>
      <c r="U50" s="3839"/>
      <c r="V50" s="3839"/>
      <c r="W50" s="3839"/>
      <c r="X50" s="353"/>
      <c r="Y50" s="353"/>
      <c r="Z50" s="353"/>
      <c r="AA50" s="353"/>
      <c r="AB50" s="353"/>
      <c r="AC50" s="353"/>
    </row>
    <row r="51" spans="1:29" ht="20.25">
      <c r="A51" s="340"/>
      <c r="B51" s="340"/>
      <c r="C51" s="340"/>
      <c r="D51" s="340"/>
      <c r="E51" s="340"/>
      <c r="F51" s="340"/>
      <c r="G51" s="341"/>
      <c r="H51" s="340"/>
      <c r="I51" s="340"/>
      <c r="J51" s="340"/>
      <c r="K51" s="425"/>
      <c r="L51" s="426"/>
      <c r="M51" s="396"/>
      <c r="N51" s="396"/>
      <c r="O51" s="351"/>
      <c r="P51" s="351"/>
      <c r="Q51" s="351"/>
      <c r="R51" s="351"/>
      <c r="S51" s="351"/>
      <c r="T51" s="351"/>
      <c r="U51" s="351"/>
      <c r="V51" s="351"/>
      <c r="W51" s="351"/>
      <c r="X51" s="351"/>
      <c r="Y51" s="351"/>
      <c r="Z51" s="351"/>
      <c r="AA51" s="351"/>
      <c r="AB51" s="351"/>
      <c r="AC51" s="351"/>
    </row>
    <row r="52" spans="1:29" ht="20.25">
      <c r="A52" s="340"/>
      <c r="B52" s="340"/>
      <c r="C52" s="340"/>
      <c r="D52" s="340"/>
      <c r="E52" s="340"/>
      <c r="F52" s="340"/>
      <c r="G52" s="340"/>
      <c r="H52" s="340"/>
      <c r="I52" s="340"/>
      <c r="J52" s="340"/>
      <c r="K52" s="425"/>
      <c r="L52" s="426"/>
      <c r="M52" s="396"/>
      <c r="N52" s="396"/>
      <c r="O52" s="351"/>
      <c r="P52" s="351"/>
      <c r="Q52" s="351"/>
      <c r="R52" s="351"/>
      <c r="S52" s="351"/>
      <c r="T52" s="351"/>
      <c r="U52" s="351"/>
      <c r="V52" s="351"/>
      <c r="W52" s="351"/>
      <c r="X52" s="351"/>
      <c r="Y52" s="351"/>
      <c r="Z52" s="351"/>
      <c r="AA52" s="351"/>
      <c r="AB52" s="351"/>
      <c r="AC52" s="351"/>
    </row>
    <row r="53" spans="1:29" ht="13.5" customHeight="1">
      <c r="A53" s="340"/>
      <c r="B53" s="340"/>
      <c r="C53" s="342" t="s">
        <v>1072</v>
      </c>
      <c r="D53" s="343"/>
      <c r="E53" s="344" t="e">
        <f>IF(E48&lt;E49,E49/E48-1,E48/E49-1)</f>
        <v>#DIV/0!</v>
      </c>
      <c r="F53" s="345" t="e">
        <f>IF(OR(E53&gt;=0.3,E53&lt;=-0.3),"超过30%","")</f>
        <v>#DIV/0!</v>
      </c>
      <c r="G53" s="344" t="e">
        <f>IF(G48&lt;G49,G49/G48-1,G48/G49-1)</f>
        <v>#DIV/0!</v>
      </c>
      <c r="H53" s="345" t="e">
        <f>IF(OR(G53&gt;=0.3,G53&lt;=-0.3),"超过30%","")</f>
        <v>#DIV/0!</v>
      </c>
      <c r="I53" s="344" t="e">
        <f>IF(I48&lt;I49,I49/I48-1,I48/I49-1)</f>
        <v>#DIV/0!</v>
      </c>
      <c r="J53" s="345" t="e">
        <f>IF(OR(I53&gt;=0.3,I53&lt;=-0.3),"超过30%","")</f>
        <v>#DIV/0!</v>
      </c>
      <c r="K53" s="425"/>
      <c r="L53" s="426"/>
      <c r="M53" s="396"/>
      <c r="N53" s="396"/>
      <c r="O53" s="351"/>
      <c r="P53" s="351"/>
      <c r="Q53" s="351"/>
      <c r="R53" s="351"/>
      <c r="S53" s="351"/>
      <c r="T53" s="351"/>
      <c r="U53" s="351"/>
      <c r="V53" s="351"/>
      <c r="W53" s="351"/>
      <c r="X53" s="351"/>
      <c r="Y53" s="351"/>
      <c r="Z53" s="351"/>
      <c r="AA53" s="351"/>
      <c r="AB53" s="351"/>
      <c r="AC53" s="351"/>
    </row>
    <row r="54" spans="1:29" ht="13.5" customHeight="1">
      <c r="A54" s="340"/>
      <c r="B54" s="340"/>
      <c r="C54" s="342" t="s">
        <v>1073</v>
      </c>
      <c r="D54" s="346"/>
      <c r="E54" s="344" t="e">
        <f>IF(E49&lt;G49,G49/E49-1,E49/G49-1)</f>
        <v>#DIV/0!</v>
      </c>
      <c r="F54" s="345" t="e">
        <f>IF(OR(E54&gt;=0.2,E54&lt;=-0.2),"超过20%","")</f>
        <v>#DIV/0!</v>
      </c>
      <c r="G54" s="344" t="e">
        <f>IF(G49&lt;I49,I49/G49-1,G49/I49-1)</f>
        <v>#DIV/0!</v>
      </c>
      <c r="H54" s="345" t="e">
        <f>IF(OR(G54&gt;=0.2,G54&lt;=-0.2),"超过20%","")</f>
        <v>#DIV/0!</v>
      </c>
      <c r="I54" s="344" t="e">
        <f>IF(I49&lt;E49,E49/I49-1,I49/E49-1)</f>
        <v>#DIV/0!</v>
      </c>
      <c r="J54" s="345" t="e">
        <f>IF(OR(I54&gt;=0.2,I54&lt;=-0.2),"超过20%","")</f>
        <v>#DIV/0!</v>
      </c>
      <c r="K54" s="425"/>
      <c r="L54" s="426"/>
      <c r="M54" s="396"/>
      <c r="N54" s="396"/>
      <c r="O54" s="351"/>
      <c r="P54" s="351"/>
      <c r="Q54" s="351"/>
      <c r="R54" s="351"/>
      <c r="S54" s="351"/>
      <c r="T54" s="351"/>
      <c r="U54" s="351"/>
      <c r="V54" s="351"/>
      <c r="W54" s="351"/>
      <c r="X54" s="351"/>
      <c r="Y54" s="351"/>
      <c r="Z54" s="351"/>
      <c r="AA54" s="351"/>
      <c r="AB54" s="351"/>
      <c r="AC54" s="351"/>
    </row>
    <row r="55" spans="1:29" s="213" customFormat="1" ht="13.5" customHeight="1">
      <c r="A55" s="347"/>
      <c r="B55" s="347"/>
      <c r="C55" s="342" t="s">
        <v>1074</v>
      </c>
      <c r="D55" s="346"/>
      <c r="E55" s="344" t="e">
        <f>IF(E48&lt;G48,G48/E48-1,E48/G48-1)</f>
        <v>#DIV/0!</v>
      </c>
      <c r="F55" s="345" t="e">
        <f>IF(OR(E55&gt;=0.3,E55&lt;=-0.3),"超过30%","")</f>
        <v>#DIV/0!</v>
      </c>
      <c r="G55" s="344" t="e">
        <f>IF(G48&lt;I48,I48/G48-1,G48/I48-1)</f>
        <v>#DIV/0!</v>
      </c>
      <c r="H55" s="345" t="e">
        <f>IF(OR(G55&gt;=0.3,G55&lt;=-0.3),"超过30%","")</f>
        <v>#DIV/0!</v>
      </c>
      <c r="I55" s="344" t="e">
        <f>IF(I48&lt;E48,E48/I48-1,I48/E48-1)</f>
        <v>#DIV/0!</v>
      </c>
      <c r="J55" s="345" t="e">
        <f>IF(OR(I55&gt;=0.3,I55&lt;=-0.3),"超过30%","")</f>
        <v>#DIV/0!</v>
      </c>
      <c r="K55" s="427"/>
      <c r="L55" s="428"/>
      <c r="M55" s="396"/>
      <c r="N55" s="396"/>
      <c r="O55" s="348"/>
      <c r="P55" s="348"/>
      <c r="Q55" s="348"/>
      <c r="R55" s="348"/>
      <c r="S55" s="348"/>
      <c r="T55" s="348"/>
      <c r="U55" s="348"/>
      <c r="V55" s="348"/>
      <c r="W55" s="348"/>
      <c r="X55" s="348"/>
      <c r="Y55" s="348"/>
      <c r="Z55" s="348"/>
      <c r="AA55" s="348"/>
      <c r="AB55" s="348"/>
      <c r="AC55" s="348"/>
    </row>
    <row r="56" spans="1:29" s="213" customFormat="1" ht="20.25">
      <c r="A56" s="348"/>
      <c r="B56" s="349"/>
      <c r="C56" s="350"/>
      <c r="D56" s="348"/>
      <c r="E56" s="348"/>
      <c r="F56" s="348"/>
      <c r="G56" s="348"/>
      <c r="H56" s="348"/>
      <c r="I56" s="348"/>
      <c r="J56" s="348"/>
      <c r="K56" s="427"/>
      <c r="L56" s="428"/>
      <c r="M56" s="396"/>
      <c r="N56" s="396"/>
      <c r="O56" s="348"/>
      <c r="P56" s="348"/>
      <c r="Q56" s="348"/>
      <c r="R56" s="348"/>
      <c r="S56" s="348"/>
      <c r="T56" s="348"/>
      <c r="U56" s="348"/>
      <c r="V56" s="348"/>
      <c r="W56" s="348"/>
      <c r="X56" s="348"/>
      <c r="Y56" s="348"/>
      <c r="Z56" s="348"/>
      <c r="AA56" s="348"/>
      <c r="AB56" s="348"/>
      <c r="AC56" s="348"/>
    </row>
    <row r="57" spans="1:29" ht="26.25" customHeight="1">
      <c r="A57" s="2132" t="s">
        <v>1075</v>
      </c>
      <c r="B57" s="2133" t="s">
        <v>1076</v>
      </c>
      <c r="C57" s="2134" t="s">
        <v>1077</v>
      </c>
      <c r="D57" s="2135" t="s">
        <v>1078</v>
      </c>
      <c r="E57" s="2136" t="s">
        <v>1079</v>
      </c>
      <c r="F57" s="2221" t="s">
        <v>1080</v>
      </c>
      <c r="G57" s="3859" t="s">
        <v>1081</v>
      </c>
      <c r="H57" s="3860"/>
      <c r="I57" s="2174" t="s">
        <v>480</v>
      </c>
      <c r="J57" s="2174">
        <f>项目基本情况!F41</f>
        <v>0</v>
      </c>
      <c r="K57" s="2175" t="s">
        <v>1082</v>
      </c>
      <c r="L57" s="426"/>
      <c r="M57" s="351"/>
      <c r="N57" s="351"/>
      <c r="O57" s="351"/>
      <c r="P57" s="351"/>
      <c r="Q57" s="351"/>
      <c r="R57" s="351"/>
      <c r="S57" s="351"/>
      <c r="T57" s="351"/>
      <c r="U57" s="351"/>
      <c r="V57" s="351"/>
      <c r="W57" s="351"/>
      <c r="X57" s="351"/>
      <c r="Y57" s="351"/>
      <c r="Z57" s="351"/>
      <c r="AA57" s="351"/>
      <c r="AB57" s="351"/>
      <c r="AC57" s="351"/>
    </row>
    <row r="58" spans="1:29" s="2096" customFormat="1" ht="12.75">
      <c r="A58" s="2138" t="s">
        <v>1083</v>
      </c>
      <c r="B58" s="2139" t="e">
        <f>C50</f>
        <v>#DIV/0!</v>
      </c>
      <c r="C58" s="2140">
        <v>1</v>
      </c>
      <c r="D58" s="2141">
        <v>1</v>
      </c>
      <c r="E58" s="2140">
        <f>'数据-汇总表'!E8+'数据-汇总表'!E9</f>
        <v>74800</v>
      </c>
      <c r="F58" s="2222" t="e">
        <f t="shared" ref="F58:F66" si="14">ROUND(B58*E58/10000,0)</f>
        <v>#DIV/0!</v>
      </c>
      <c r="G58" s="3861"/>
      <c r="H58" s="3862"/>
      <c r="I58" s="2177">
        <v>1</v>
      </c>
      <c r="J58" s="2177">
        <v>1</v>
      </c>
      <c r="K58" s="2178"/>
      <c r="L58" s="2179"/>
      <c r="M58" s="2179"/>
      <c r="N58" s="2179"/>
      <c r="O58" s="2179"/>
      <c r="P58" s="2179"/>
      <c r="Q58" s="2179"/>
      <c r="R58" s="2179"/>
      <c r="S58" s="2179"/>
      <c r="T58" s="2179"/>
      <c r="U58" s="2179"/>
      <c r="V58" s="2179"/>
      <c r="W58" s="2179"/>
      <c r="X58" s="2179"/>
      <c r="Y58" s="2179"/>
      <c r="Z58" s="2179"/>
      <c r="AA58" s="2179"/>
      <c r="AB58" s="2179"/>
      <c r="AC58" s="2179"/>
    </row>
    <row r="59" spans="1:29" s="2096" customFormat="1" ht="12.75">
      <c r="A59" s="2143" t="s">
        <v>1084</v>
      </c>
      <c r="B59" s="2144" t="e">
        <f>ROUND($C$50*C59*D59,0)</f>
        <v>#DIV/0!</v>
      </c>
      <c r="C59" s="1876">
        <f t="shared" ref="C59:C66" si="15">IF($C$57="北京市系数",I59,J59)</f>
        <v>0</v>
      </c>
      <c r="D59" s="2145">
        <v>0.25</v>
      </c>
      <c r="E59" s="2146">
        <v>0</v>
      </c>
      <c r="F59" s="2222" t="e">
        <f t="shared" si="14"/>
        <v>#DIV/0!</v>
      </c>
      <c r="G59" s="2223" t="s">
        <v>1085</v>
      </c>
      <c r="H59" s="2224">
        <f>项目基本情况!B43</f>
        <v>0</v>
      </c>
      <c r="I59" s="2177">
        <f>SUMIF(修正!$A$57:$A$68,H59,修正!B57:B68)</f>
        <v>0</v>
      </c>
      <c r="J59" s="2180"/>
      <c r="K59" s="2178"/>
      <c r="L59" s="2179"/>
      <c r="M59" s="2179"/>
      <c r="N59" s="2179"/>
      <c r="O59" s="2179"/>
      <c r="P59" s="2179"/>
      <c r="Q59" s="2179"/>
      <c r="R59" s="2179"/>
      <c r="S59" s="2179"/>
      <c r="T59" s="2179"/>
      <c r="U59" s="2179"/>
      <c r="V59" s="2179"/>
      <c r="W59" s="2179"/>
      <c r="X59" s="2179"/>
      <c r="Y59" s="2179"/>
      <c r="Z59" s="2179"/>
      <c r="AA59" s="2179"/>
      <c r="AB59" s="2179"/>
      <c r="AC59" s="2179"/>
    </row>
    <row r="60" spans="1:29" s="2096" customFormat="1" ht="12.75">
      <c r="A60" s="2143" t="s">
        <v>1086</v>
      </c>
      <c r="B60" s="2144" t="e">
        <f t="shared" ref="B60:B66" si="16">ROUND($C$50*C60*D60,0)</f>
        <v>#DIV/0!</v>
      </c>
      <c r="C60" s="1876">
        <f t="shared" si="15"/>
        <v>0</v>
      </c>
      <c r="D60" s="2145">
        <v>0.25</v>
      </c>
      <c r="E60" s="2146">
        <v>0</v>
      </c>
      <c r="F60" s="2222" t="e">
        <f t="shared" si="14"/>
        <v>#DIV/0!</v>
      </c>
      <c r="G60" s="2225"/>
      <c r="H60" s="2224">
        <f>项目基本情况!B43</f>
        <v>0</v>
      </c>
      <c r="I60" s="2177">
        <f>SUMIF(修正!$A$57:$A$68,H60,修正!C57:C68)</f>
        <v>0</v>
      </c>
      <c r="J60" s="2180"/>
      <c r="K60" s="2178"/>
      <c r="L60" s="2179"/>
      <c r="M60" s="2179"/>
      <c r="N60" s="2179"/>
      <c r="O60" s="2179"/>
      <c r="P60" s="2179"/>
      <c r="Q60" s="2179"/>
      <c r="R60" s="2179"/>
      <c r="S60" s="2179"/>
      <c r="T60" s="2179"/>
      <c r="U60" s="2179"/>
      <c r="V60" s="2179"/>
      <c r="W60" s="2179"/>
      <c r="X60" s="2179"/>
      <c r="Y60" s="2179"/>
      <c r="Z60" s="2179"/>
      <c r="AA60" s="2179"/>
      <c r="AB60" s="2179"/>
      <c r="AC60" s="2179"/>
    </row>
    <row r="61" spans="1:29" s="2096" customFormat="1" ht="12.75">
      <c r="A61" s="2143" t="s">
        <v>1087</v>
      </c>
      <c r="B61" s="2144" t="e">
        <f t="shared" si="16"/>
        <v>#DIV/0!</v>
      </c>
      <c r="C61" s="1876">
        <f t="shared" si="15"/>
        <v>0</v>
      </c>
      <c r="D61" s="2145">
        <v>0.25</v>
      </c>
      <c r="E61" s="2146">
        <v>0</v>
      </c>
      <c r="F61" s="2222" t="e">
        <f t="shared" si="14"/>
        <v>#DIV/0!</v>
      </c>
      <c r="G61" s="2225"/>
      <c r="H61" s="2224">
        <f>项目基本情况!B43</f>
        <v>0</v>
      </c>
      <c r="I61" s="2177">
        <f>SUMIF(修正!$A$57:$A$68,H61,修正!D57:D68)</f>
        <v>0</v>
      </c>
      <c r="J61" s="2180"/>
      <c r="K61" s="2178"/>
      <c r="L61" s="2179"/>
      <c r="M61" s="2179"/>
      <c r="N61" s="2179"/>
      <c r="O61" s="2179"/>
      <c r="P61" s="2179"/>
      <c r="Q61" s="2179"/>
      <c r="R61" s="2179"/>
      <c r="S61" s="2179"/>
      <c r="T61" s="2179"/>
      <c r="U61" s="2179"/>
      <c r="V61" s="2179"/>
      <c r="W61" s="2179"/>
      <c r="X61" s="2179"/>
      <c r="Y61" s="2179"/>
      <c r="Z61" s="2179"/>
      <c r="AA61" s="2179"/>
      <c r="AB61" s="2179"/>
      <c r="AC61" s="2179"/>
    </row>
    <row r="62" spans="1:29" s="2096" customFormat="1" ht="12.75">
      <c r="A62" s="2151" t="s">
        <v>561</v>
      </c>
      <c r="B62" s="2144" t="e">
        <f t="shared" si="16"/>
        <v>#DIV/0!</v>
      </c>
      <c r="C62" s="1876">
        <f t="shared" si="15"/>
        <v>0</v>
      </c>
      <c r="D62" s="2145">
        <v>0.25</v>
      </c>
      <c r="E62" s="2152">
        <f>'数据-汇总表'!E11</f>
        <v>0</v>
      </c>
      <c r="F62" s="2222" t="e">
        <f t="shared" si="14"/>
        <v>#DIV/0!</v>
      </c>
      <c r="G62" s="2226" t="s">
        <v>1088</v>
      </c>
      <c r="H62" s="2224">
        <f>项目基本情况!C43</f>
        <v>0</v>
      </c>
      <c r="I62" s="2177">
        <f>SUMIF(修正!$A$57:$A$68,H62,修正!E57:E68)</f>
        <v>0</v>
      </c>
      <c r="J62" s="2180"/>
      <c r="K62" s="2178"/>
      <c r="L62" s="2179"/>
      <c r="M62" s="2179"/>
      <c r="N62" s="2179"/>
      <c r="O62" s="2179"/>
      <c r="P62" s="2179"/>
      <c r="Q62" s="2179"/>
      <c r="R62" s="2179"/>
      <c r="S62" s="2179"/>
      <c r="T62" s="2179"/>
      <c r="U62" s="2179"/>
      <c r="V62" s="2179"/>
      <c r="W62" s="2179"/>
      <c r="X62" s="2179"/>
      <c r="Y62" s="2179"/>
      <c r="Z62" s="2179"/>
      <c r="AA62" s="2179"/>
      <c r="AB62" s="2179"/>
      <c r="AC62" s="2179"/>
    </row>
    <row r="63" spans="1:29" s="2096" customFormat="1" ht="12.75">
      <c r="A63" s="2143" t="s">
        <v>1089</v>
      </c>
      <c r="B63" s="2144" t="e">
        <f t="shared" si="16"/>
        <v>#DIV/0!</v>
      </c>
      <c r="C63" s="1876">
        <f t="shared" si="15"/>
        <v>0</v>
      </c>
      <c r="D63" s="2145">
        <v>0.25</v>
      </c>
      <c r="E63" s="2152">
        <f>'数据-汇总表'!E12</f>
        <v>0</v>
      </c>
      <c r="F63" s="2222" t="e">
        <f t="shared" si="14"/>
        <v>#DIV/0!</v>
      </c>
      <c r="G63" s="2154" t="s">
        <v>438</v>
      </c>
      <c r="H63" s="2227">
        <f>IF(G63="商业",项目基本情况!B43,IF(G63="办公",项目基本情况!C43,IF(G63="住宅",项目基本情况!D43,项目基本情况!E43)))</f>
        <v>0</v>
      </c>
      <c r="I63" s="2177">
        <f>SUMIF(修正!$A$57:$A$68,H63,修正!F57:F68)</f>
        <v>0</v>
      </c>
      <c r="J63" s="2180"/>
      <c r="K63" s="2178"/>
      <c r="L63" s="2179"/>
      <c r="M63" s="2179"/>
      <c r="N63" s="2179"/>
      <c r="O63" s="2179"/>
      <c r="P63" s="2179"/>
      <c r="Q63" s="2179"/>
      <c r="R63" s="2179"/>
      <c r="S63" s="2179"/>
      <c r="T63" s="2179"/>
      <c r="U63" s="2179"/>
      <c r="V63" s="2179"/>
      <c r="W63" s="2179"/>
      <c r="X63" s="2179"/>
      <c r="Y63" s="2179"/>
      <c r="Z63" s="2179"/>
      <c r="AA63" s="2179"/>
      <c r="AB63" s="2179"/>
      <c r="AC63" s="2179"/>
    </row>
    <row r="64" spans="1:29" s="2096" customFormat="1" ht="12.75">
      <c r="A64" s="2143" t="s">
        <v>1090</v>
      </c>
      <c r="B64" s="2144" t="e">
        <f t="shared" si="16"/>
        <v>#DIV/0!</v>
      </c>
      <c r="C64" s="1876">
        <f t="shared" si="15"/>
        <v>0</v>
      </c>
      <c r="D64" s="2145">
        <v>0.25</v>
      </c>
      <c r="E64" s="2152">
        <f>'数据-汇总表'!E13</f>
        <v>0</v>
      </c>
      <c r="F64" s="2222" t="e">
        <f t="shared" si="14"/>
        <v>#DIV/0!</v>
      </c>
      <c r="G64" s="2154" t="s">
        <v>402</v>
      </c>
      <c r="H64" s="2227">
        <f>IF(G64="商业",项目基本情况!B43,IF(G64="办公",项目基本情况!C43,IF(G64="住宅",项目基本情况!D43,项目基本情况!E43)))</f>
        <v>0</v>
      </c>
      <c r="I64" s="2177">
        <f>SUMIF(修正!$A$57:$A$68,H64,修正!G57:G68)</f>
        <v>0</v>
      </c>
      <c r="J64" s="2180"/>
      <c r="K64" s="2178"/>
      <c r="L64" s="2179"/>
      <c r="M64" s="2179"/>
      <c r="N64" s="2179"/>
      <c r="O64" s="2179"/>
      <c r="P64" s="2179"/>
      <c r="Q64" s="2179"/>
      <c r="R64" s="2179"/>
      <c r="S64" s="2179"/>
      <c r="T64" s="2179"/>
      <c r="U64" s="2179"/>
      <c r="V64" s="2179"/>
      <c r="W64" s="2179"/>
      <c r="X64" s="2179"/>
      <c r="Y64" s="2179"/>
      <c r="Z64" s="2179"/>
      <c r="AA64" s="2179"/>
      <c r="AB64" s="2179"/>
      <c r="AC64" s="2179"/>
    </row>
    <row r="65" spans="1:29" s="2096" customFormat="1" ht="12.75">
      <c r="A65" s="2143" t="s">
        <v>1091</v>
      </c>
      <c r="B65" s="2144" t="e">
        <f t="shared" si="16"/>
        <v>#DIV/0!</v>
      </c>
      <c r="C65" s="1876">
        <f t="shared" si="15"/>
        <v>0</v>
      </c>
      <c r="D65" s="2145">
        <v>0.25</v>
      </c>
      <c r="E65" s="2152">
        <f>'数据-汇总表'!E14</f>
        <v>0</v>
      </c>
      <c r="F65" s="2222" t="e">
        <f t="shared" si="14"/>
        <v>#DIV/0!</v>
      </c>
      <c r="G65" s="2226" t="s">
        <v>1085</v>
      </c>
      <c r="H65" s="2224">
        <f>项目基本情况!B43</f>
        <v>0</v>
      </c>
      <c r="I65" s="2177">
        <f>SUMIF(修正!$A$57:$A$68,H65,修正!G57:G68)</f>
        <v>0</v>
      </c>
      <c r="J65" s="2180"/>
      <c r="K65" s="2178"/>
      <c r="L65" s="2179"/>
      <c r="M65" s="2179"/>
      <c r="N65" s="2179"/>
      <c r="O65" s="2179"/>
      <c r="P65" s="2179"/>
      <c r="Q65" s="2179"/>
      <c r="R65" s="2179"/>
      <c r="S65" s="2179"/>
      <c r="T65" s="2179"/>
      <c r="U65" s="2179"/>
      <c r="V65" s="2179"/>
      <c r="W65" s="2179"/>
      <c r="X65" s="2179"/>
      <c r="Y65" s="2179"/>
      <c r="Z65" s="2179"/>
      <c r="AA65" s="2179"/>
      <c r="AB65" s="2179"/>
      <c r="AC65" s="2179"/>
    </row>
    <row r="66" spans="1:29" s="2096" customFormat="1" ht="12.75">
      <c r="A66" s="2143" t="s">
        <v>1092</v>
      </c>
      <c r="B66" s="2144" t="e">
        <f t="shared" si="16"/>
        <v>#DIV/0!</v>
      </c>
      <c r="C66" s="1876">
        <f t="shared" si="15"/>
        <v>0</v>
      </c>
      <c r="D66" s="2145">
        <v>0.25</v>
      </c>
      <c r="E66" s="2152">
        <f>'数据-汇总表'!E15</f>
        <v>0</v>
      </c>
      <c r="F66" s="2222" t="e">
        <f t="shared" si="14"/>
        <v>#DIV/0!</v>
      </c>
      <c r="G66" s="2229" t="s">
        <v>1088</v>
      </c>
      <c r="H66" s="2230">
        <f>项目基本情况!C43</f>
        <v>0</v>
      </c>
      <c r="I66" s="2177">
        <f>SUMIF(修正!$A$57:$A$68,H66,修正!G57:G68)</f>
        <v>0</v>
      </c>
      <c r="J66" s="2180"/>
      <c r="K66" s="2178"/>
      <c r="L66" s="2179"/>
      <c r="M66" s="2179"/>
      <c r="N66" s="2179"/>
      <c r="O66" s="2179"/>
      <c r="P66" s="2179"/>
      <c r="Q66" s="2179"/>
      <c r="R66" s="2179"/>
      <c r="S66" s="2179"/>
      <c r="T66" s="2179"/>
      <c r="U66" s="2179"/>
      <c r="V66" s="2179"/>
      <c r="W66" s="2179"/>
      <c r="X66" s="2179"/>
      <c r="Y66" s="2179"/>
      <c r="Z66" s="2179"/>
      <c r="AA66" s="2179"/>
      <c r="AB66" s="2179"/>
      <c r="AC66" s="2179"/>
    </row>
    <row r="67" spans="1:29" s="2096" customFormat="1" ht="12.75">
      <c r="A67" s="2157" t="s">
        <v>1093</v>
      </c>
      <c r="B67" s="2158" t="s">
        <v>1094</v>
      </c>
      <c r="C67" s="2158" t="s">
        <v>1094</v>
      </c>
      <c r="D67" s="2158" t="s">
        <v>1094</v>
      </c>
      <c r="E67" s="2158">
        <f>IF(B48="楼面地价",SUM(E58:E66),'数据-汇总表'!D3)</f>
        <v>200000</v>
      </c>
      <c r="F67" s="2159" t="e">
        <f>IF(B48="楼面地价",SUM(F58:F66),ROUND(C50*E67/10000,0))</f>
        <v>#DIV/0!</v>
      </c>
      <c r="G67" s="2160"/>
      <c r="H67" s="2160"/>
      <c r="I67" s="2160"/>
      <c r="J67" s="2160"/>
      <c r="K67" s="2160"/>
      <c r="L67" s="2179"/>
      <c r="M67" s="2179"/>
      <c r="N67" s="2179"/>
      <c r="O67" s="2179"/>
      <c r="P67" s="2179"/>
      <c r="Q67" s="2179"/>
      <c r="R67" s="2179"/>
      <c r="S67" s="2179"/>
      <c r="T67" s="2179"/>
      <c r="U67" s="2179"/>
      <c r="V67" s="2179"/>
      <c r="W67" s="2179"/>
      <c r="X67" s="2179"/>
      <c r="Y67" s="2179"/>
      <c r="Z67" s="2179"/>
      <c r="AA67" s="2179"/>
      <c r="AB67" s="2179"/>
      <c r="AC67" s="2179"/>
    </row>
    <row r="68" spans="1:29">
      <c r="A68" s="351"/>
      <c r="B68" s="349"/>
      <c r="C68" s="350"/>
      <c r="D68" s="351"/>
      <c r="E68" s="351"/>
      <c r="F68" s="351"/>
      <c r="G68" s="351"/>
      <c r="H68" s="351"/>
      <c r="I68" s="351"/>
      <c r="J68" s="351"/>
      <c r="K68" s="430"/>
      <c r="L68" s="426"/>
      <c r="M68" s="351"/>
      <c r="N68" s="351"/>
      <c r="O68" s="351"/>
      <c r="P68" s="351"/>
      <c r="Q68" s="351"/>
      <c r="R68" s="351"/>
      <c r="S68" s="351"/>
      <c r="T68" s="351"/>
      <c r="U68" s="351"/>
      <c r="V68" s="351"/>
      <c r="W68" s="351"/>
      <c r="X68" s="351"/>
      <c r="Y68" s="351"/>
      <c r="Z68" s="351"/>
      <c r="AA68" s="351"/>
      <c r="AB68" s="351"/>
      <c r="AC68" s="351"/>
    </row>
    <row r="69" spans="1:29">
      <c r="A69" s="351"/>
      <c r="B69" s="349"/>
      <c r="C69" s="2162" t="str">
        <f>YEAR(C9)&amp;"-"&amp;MONTH(C9)&amp;"-1"</f>
        <v>2023-11-1</v>
      </c>
      <c r="D69" s="2162">
        <f>EDATE(C69,-3)</f>
        <v>45139</v>
      </c>
      <c r="E69" s="2162">
        <f t="shared" ref="E69:N69" si="17">EDATE(D69,-3)</f>
        <v>45047</v>
      </c>
      <c r="F69" s="2162">
        <f t="shared" si="17"/>
        <v>44958</v>
      </c>
      <c r="G69" s="2162">
        <f t="shared" si="17"/>
        <v>44866</v>
      </c>
      <c r="H69" s="2162">
        <f t="shared" si="17"/>
        <v>44774</v>
      </c>
      <c r="I69" s="2162">
        <f t="shared" si="17"/>
        <v>44682</v>
      </c>
      <c r="J69" s="2162">
        <f t="shared" si="17"/>
        <v>44593</v>
      </c>
      <c r="K69" s="2162">
        <f t="shared" si="17"/>
        <v>44501</v>
      </c>
      <c r="L69" s="2162">
        <f t="shared" si="17"/>
        <v>44409</v>
      </c>
      <c r="M69" s="2162">
        <f t="shared" si="17"/>
        <v>44317</v>
      </c>
      <c r="N69" s="2162">
        <f t="shared" si="17"/>
        <v>44228</v>
      </c>
      <c r="O69" s="351"/>
      <c r="P69" s="351"/>
      <c r="Q69" s="351"/>
      <c r="R69" s="351"/>
      <c r="S69" s="351"/>
      <c r="T69" s="351"/>
      <c r="U69" s="351"/>
      <c r="V69" s="351"/>
      <c r="W69" s="351"/>
      <c r="X69" s="351"/>
      <c r="Y69" s="351"/>
      <c r="Z69" s="351"/>
      <c r="AA69" s="351"/>
      <c r="AB69" s="351"/>
      <c r="AC69" s="351"/>
    </row>
    <row r="70" spans="1:29" ht="21">
      <c r="A70" s="352" t="s">
        <v>1095</v>
      </c>
      <c r="B70" s="353"/>
      <c r="C70" s="354"/>
      <c r="D70" s="354"/>
      <c r="E70" s="354"/>
      <c r="F70" s="355"/>
      <c r="G70" s="355"/>
      <c r="H70" s="354"/>
      <c r="I70" s="354"/>
      <c r="J70" s="354"/>
      <c r="K70" s="431"/>
      <c r="L70" s="432"/>
      <c r="M70" s="354"/>
      <c r="N70" s="354"/>
      <c r="O70" s="433"/>
      <c r="P70" s="433"/>
      <c r="Q70" s="437"/>
      <c r="R70" s="351"/>
      <c r="S70" s="351"/>
      <c r="T70" s="351"/>
      <c r="U70" s="351"/>
      <c r="V70" s="351"/>
      <c r="W70" s="351"/>
      <c r="X70" s="351"/>
      <c r="Y70" s="351"/>
      <c r="Z70" s="351"/>
      <c r="AA70" s="351"/>
      <c r="AB70" s="351"/>
      <c r="AC70" s="351"/>
    </row>
    <row r="71" spans="1:29" s="214" customFormat="1" ht="15">
      <c r="A71" s="2182" t="s">
        <v>1096</v>
      </c>
      <c r="B71" s="2231"/>
      <c r="C71" s="2183" t="str">
        <f>YEAR(C69)&amp;"-"&amp;ROUNDUP(MONTH(C69)/3,0)</f>
        <v>2023-4</v>
      </c>
      <c r="D71" s="2183" t="str">
        <f>YEAR(D69)&amp;"-"&amp;ROUNDUP(MONTH(D69)/3,0)</f>
        <v>2023-3</v>
      </c>
      <c r="E71" s="2183" t="str">
        <f t="shared" ref="E71:N71" si="18">YEAR(E69)&amp;"-"&amp;ROUNDUP(MONTH(E69)/3,0)</f>
        <v>2023-2</v>
      </c>
      <c r="F71" s="2183" t="str">
        <f t="shared" si="18"/>
        <v>2023-1</v>
      </c>
      <c r="G71" s="2183" t="str">
        <f t="shared" si="18"/>
        <v>2022-4</v>
      </c>
      <c r="H71" s="2183" t="str">
        <f t="shared" si="18"/>
        <v>2022-3</v>
      </c>
      <c r="I71" s="2183" t="str">
        <f t="shared" si="18"/>
        <v>2022-2</v>
      </c>
      <c r="J71" s="2183" t="str">
        <f t="shared" si="18"/>
        <v>2022-1</v>
      </c>
      <c r="K71" s="2183" t="str">
        <f t="shared" si="18"/>
        <v>2021-4</v>
      </c>
      <c r="L71" s="2183" t="str">
        <f t="shared" si="18"/>
        <v>2021-3</v>
      </c>
      <c r="M71" s="2183" t="str">
        <f t="shared" si="18"/>
        <v>2021-2</v>
      </c>
      <c r="N71" s="2183" t="str">
        <f t="shared" si="18"/>
        <v>2021-1</v>
      </c>
      <c r="O71" s="2194"/>
      <c r="P71" s="434"/>
      <c r="Q71" s="483"/>
      <c r="R71" s="483"/>
      <c r="S71" s="483"/>
      <c r="T71" s="483"/>
      <c r="U71" s="483"/>
      <c r="V71" s="483"/>
      <c r="W71" s="483"/>
      <c r="X71" s="483"/>
      <c r="Y71" s="483"/>
      <c r="Z71" s="483"/>
      <c r="AA71" s="483"/>
      <c r="AB71" s="483"/>
      <c r="AC71" s="483"/>
    </row>
    <row r="72" spans="1:29" s="210" customFormat="1" ht="27" customHeight="1">
      <c r="A72" s="2232" t="s">
        <v>1097</v>
      </c>
      <c r="B72" s="2185" t="str">
        <f>"北京市平均增长率"&amp;TEXT(SUMIF(基准地价!N25:N29,A72,基准地价!P25:P29),"0.00%")</f>
        <v>北京市平均增长率0.00%</v>
      </c>
      <c r="C72" s="499">
        <v>100</v>
      </c>
      <c r="D72" s="502"/>
      <c r="E72" s="502"/>
      <c r="F72" s="502"/>
      <c r="G72" s="502"/>
      <c r="H72" s="502"/>
      <c r="I72" s="502"/>
      <c r="J72" s="502"/>
      <c r="K72" s="502"/>
      <c r="L72" s="502"/>
      <c r="M72" s="2237"/>
      <c r="N72" s="2238"/>
      <c r="O72" s="442"/>
      <c r="P72" s="437"/>
      <c r="Q72" s="484"/>
      <c r="R72" s="484"/>
      <c r="S72" s="484"/>
      <c r="T72" s="484"/>
      <c r="U72" s="484"/>
      <c r="V72" s="484"/>
      <c r="W72" s="484"/>
      <c r="X72" s="484"/>
      <c r="Y72" s="484"/>
      <c r="Z72" s="484"/>
      <c r="AA72" s="484"/>
      <c r="AB72" s="484"/>
      <c r="AC72" s="484"/>
    </row>
    <row r="73" spans="1:29" s="210" customFormat="1" ht="15" customHeight="1">
      <c r="A73" s="2233" t="s">
        <v>1098</v>
      </c>
      <c r="B73" s="2234"/>
      <c r="C73" s="2186"/>
      <c r="D73" s="2187"/>
      <c r="E73" s="2187"/>
      <c r="F73" s="2187"/>
      <c r="G73" s="2187"/>
      <c r="H73" s="2187"/>
      <c r="I73" s="2187"/>
      <c r="J73" s="2187"/>
      <c r="K73" s="2187"/>
      <c r="L73" s="2187"/>
      <c r="M73" s="2187"/>
      <c r="N73" s="2187"/>
      <c r="O73" s="442"/>
      <c r="P73" s="437"/>
      <c r="Q73" s="437"/>
      <c r="R73" s="484"/>
      <c r="S73" s="484"/>
      <c r="T73" s="484"/>
      <c r="U73" s="484"/>
      <c r="V73" s="484"/>
      <c r="W73" s="484"/>
      <c r="X73" s="484"/>
      <c r="Y73" s="484"/>
      <c r="Z73" s="484"/>
      <c r="AA73" s="484"/>
      <c r="AB73" s="484"/>
      <c r="AC73" s="484"/>
    </row>
    <row r="74" spans="1:29" s="210" customFormat="1" ht="15">
      <c r="A74" s="368" t="s">
        <v>1046</v>
      </c>
      <c r="B74" s="361"/>
      <c r="C74" s="369" t="s">
        <v>1047</v>
      </c>
      <c r="D74" s="370"/>
      <c r="E74" s="370"/>
      <c r="F74" s="370"/>
      <c r="G74" s="370"/>
      <c r="H74" s="370"/>
      <c r="I74" s="370"/>
      <c r="J74" s="370"/>
      <c r="K74" s="370"/>
      <c r="L74" s="440"/>
      <c r="M74" s="441"/>
      <c r="N74" s="442"/>
      <c r="O74" s="442"/>
      <c r="P74" s="443"/>
      <c r="Q74" s="437"/>
      <c r="R74" s="484"/>
      <c r="S74" s="484"/>
      <c r="T74" s="484"/>
      <c r="U74" s="484"/>
      <c r="V74" s="484"/>
      <c r="W74" s="484"/>
      <c r="X74" s="484"/>
      <c r="Y74" s="484"/>
      <c r="Z74" s="484"/>
      <c r="AA74" s="484"/>
      <c r="AB74" s="484"/>
      <c r="AC74" s="484"/>
    </row>
    <row r="75" spans="1:29" s="210" customFormat="1" ht="15">
      <c r="A75" s="368"/>
      <c r="B75" s="361"/>
      <c r="C75" s="362">
        <v>100</v>
      </c>
      <c r="D75" s="363"/>
      <c r="E75" s="363"/>
      <c r="F75" s="363"/>
      <c r="G75" s="363"/>
      <c r="H75" s="363"/>
      <c r="I75" s="363"/>
      <c r="J75" s="363"/>
      <c r="K75" s="363"/>
      <c r="L75" s="363"/>
      <c r="M75" s="436"/>
      <c r="N75" s="442"/>
      <c r="O75" s="442"/>
      <c r="P75" s="437"/>
      <c r="Q75" s="437"/>
      <c r="R75" s="484"/>
      <c r="S75" s="484"/>
      <c r="T75" s="484"/>
      <c r="U75" s="484"/>
      <c r="V75" s="484"/>
      <c r="W75" s="484"/>
      <c r="X75" s="484"/>
      <c r="Y75" s="484"/>
      <c r="Z75" s="484"/>
      <c r="AA75" s="484"/>
      <c r="AB75" s="484"/>
      <c r="AC75" s="484"/>
    </row>
    <row r="76" spans="1:29">
      <c r="A76" s="371" t="s">
        <v>1099</v>
      </c>
      <c r="B76" s="372" t="s">
        <v>1100</v>
      </c>
      <c r="C76" s="374"/>
      <c r="D76" s="374"/>
      <c r="E76" s="374"/>
      <c r="F76" s="374"/>
      <c r="G76" s="374"/>
      <c r="H76" s="374"/>
      <c r="I76" s="374"/>
      <c r="J76" s="374"/>
      <c r="K76" s="444"/>
      <c r="L76" s="445"/>
      <c r="M76" s="446"/>
      <c r="N76" s="447"/>
      <c r="O76" s="447"/>
      <c r="P76" s="448"/>
      <c r="Q76" s="437"/>
      <c r="R76" s="351"/>
      <c r="S76" s="351"/>
      <c r="T76" s="351"/>
      <c r="U76" s="351"/>
      <c r="V76" s="351"/>
      <c r="W76" s="351"/>
      <c r="X76" s="351"/>
      <c r="Y76" s="351"/>
      <c r="Z76" s="351"/>
      <c r="AA76" s="351"/>
      <c r="AB76" s="351"/>
      <c r="AC76" s="351"/>
    </row>
    <row r="77" spans="1:29" ht="15">
      <c r="A77" s="375"/>
      <c r="B77" s="376"/>
      <c r="C77" s="377"/>
      <c r="D77" s="377"/>
      <c r="E77" s="377"/>
      <c r="F77" s="377"/>
      <c r="G77" s="377"/>
      <c r="H77" s="377"/>
      <c r="I77" s="377"/>
      <c r="J77" s="377"/>
      <c r="K77" s="377"/>
      <c r="L77" s="377"/>
      <c r="M77" s="449"/>
      <c r="N77" s="450"/>
      <c r="O77" s="450"/>
      <c r="P77" s="448"/>
      <c r="Q77" s="437"/>
      <c r="R77" s="351"/>
      <c r="S77" s="351"/>
      <c r="T77" s="351"/>
      <c r="U77" s="351"/>
      <c r="V77" s="351"/>
      <c r="W77" s="351"/>
      <c r="X77" s="351"/>
      <c r="Y77" s="351"/>
      <c r="Z77" s="351"/>
      <c r="AA77" s="351"/>
      <c r="AB77" s="351"/>
      <c r="AC77" s="351"/>
    </row>
    <row r="78" spans="1:29" ht="27">
      <c r="A78" s="375"/>
      <c r="B78" s="378" t="s">
        <v>1101</v>
      </c>
      <c r="C78" s="392"/>
      <c r="D78" s="392"/>
      <c r="E78" s="392"/>
      <c r="F78" s="392"/>
      <c r="G78" s="392"/>
      <c r="H78" s="392"/>
      <c r="I78" s="392"/>
      <c r="J78" s="392"/>
      <c r="K78" s="467"/>
      <c r="L78" s="468"/>
      <c r="M78" s="469"/>
      <c r="N78" s="447"/>
      <c r="O78" s="447"/>
      <c r="P78" s="448"/>
      <c r="Q78" s="437"/>
      <c r="R78" s="351"/>
      <c r="S78" s="351"/>
      <c r="T78" s="351"/>
      <c r="U78" s="351"/>
      <c r="V78" s="351"/>
      <c r="W78" s="351"/>
      <c r="X78" s="351"/>
      <c r="Y78" s="351"/>
      <c r="Z78" s="351"/>
      <c r="AA78" s="351"/>
      <c r="AB78" s="351"/>
      <c r="AC78" s="351"/>
    </row>
    <row r="79" spans="1:29" ht="15">
      <c r="A79" s="375"/>
      <c r="B79" s="380"/>
      <c r="C79" s="389"/>
      <c r="D79" s="389"/>
      <c r="E79" s="389"/>
      <c r="F79" s="389"/>
      <c r="G79" s="389"/>
      <c r="H79" s="389"/>
      <c r="I79" s="389"/>
      <c r="J79" s="389"/>
      <c r="K79" s="389"/>
      <c r="L79" s="389"/>
      <c r="M79" s="466"/>
      <c r="N79" s="450"/>
      <c r="O79" s="450"/>
      <c r="P79" s="448"/>
      <c r="Q79" s="437"/>
      <c r="R79" s="351"/>
      <c r="S79" s="351"/>
      <c r="T79" s="351"/>
      <c r="U79" s="351"/>
      <c r="V79" s="351"/>
      <c r="W79" s="351"/>
      <c r="X79" s="351"/>
      <c r="Y79" s="351"/>
      <c r="Z79" s="351"/>
      <c r="AA79" s="351"/>
      <c r="AB79" s="351"/>
      <c r="AC79" s="351"/>
    </row>
    <row r="80" spans="1:29" ht="15">
      <c r="A80" s="375"/>
      <c r="B80" s="497" t="s">
        <v>1102</v>
      </c>
      <c r="C80" s="569" t="str">
        <f>C81&amp;"（含）"&amp;"-"&amp;D81</f>
        <v>（含）-</v>
      </c>
      <c r="D80" s="569" t="str">
        <f t="shared" ref="D80:L80" si="19">D81&amp;"（含）"&amp;"-"&amp;E81</f>
        <v>（含）-</v>
      </c>
      <c r="E80" s="569" t="str">
        <f t="shared" si="19"/>
        <v>（含）-</v>
      </c>
      <c r="F80" s="569" t="str">
        <f t="shared" si="19"/>
        <v>（含）-</v>
      </c>
      <c r="G80" s="569" t="str">
        <f t="shared" si="19"/>
        <v>（含）-</v>
      </c>
      <c r="H80" s="569" t="str">
        <f t="shared" si="19"/>
        <v>（含）-</v>
      </c>
      <c r="I80" s="569" t="str">
        <f t="shared" si="19"/>
        <v>（含）-</v>
      </c>
      <c r="J80" s="569" t="str">
        <f t="shared" si="19"/>
        <v>（含）-</v>
      </c>
      <c r="K80" s="569" t="str">
        <f t="shared" si="19"/>
        <v>（含）-</v>
      </c>
      <c r="L80" s="569" t="str">
        <f t="shared" si="19"/>
        <v>（含）-</v>
      </c>
      <c r="M80" s="278" t="str">
        <f>M81&amp;"（含）"&amp;"-"&amp;P81</f>
        <v>（含）-</v>
      </c>
      <c r="N80" s="450"/>
      <c r="O80" s="450"/>
      <c r="P80" s="448"/>
      <c r="Q80" s="437"/>
      <c r="R80" s="351"/>
      <c r="S80" s="351"/>
      <c r="T80" s="351"/>
      <c r="U80" s="351"/>
      <c r="V80" s="351"/>
      <c r="W80" s="351"/>
      <c r="X80" s="351"/>
      <c r="Y80" s="351"/>
      <c r="Z80" s="351"/>
      <c r="AA80" s="351"/>
      <c r="AB80" s="351"/>
      <c r="AC80" s="351"/>
    </row>
    <row r="81" spans="1:29" ht="15">
      <c r="A81" s="375"/>
      <c r="B81" s="570"/>
      <c r="C81" s="382"/>
      <c r="D81" s="382"/>
      <c r="E81" s="382"/>
      <c r="F81" s="382"/>
      <c r="G81" s="382"/>
      <c r="H81" s="382"/>
      <c r="I81" s="382"/>
      <c r="J81" s="382"/>
      <c r="K81" s="454"/>
      <c r="L81" s="455"/>
      <c r="M81" s="456"/>
      <c r="N81" s="447"/>
      <c r="O81" s="447"/>
      <c r="P81" s="448"/>
      <c r="Q81" s="437"/>
      <c r="R81" s="351"/>
      <c r="S81" s="351"/>
      <c r="T81" s="351"/>
      <c r="U81" s="351"/>
      <c r="V81" s="351"/>
      <c r="W81" s="351"/>
      <c r="X81" s="351"/>
      <c r="Y81" s="351"/>
      <c r="Z81" s="351"/>
      <c r="AA81" s="351"/>
      <c r="AB81" s="351"/>
      <c r="AC81" s="351"/>
    </row>
    <row r="82" spans="1:29" ht="15">
      <c r="A82" s="375"/>
      <c r="B82" s="376"/>
      <c r="C82" s="389">
        <v>100</v>
      </c>
      <c r="D82" s="389">
        <f t="shared" ref="D82:M82" si="20">IF($B$48="单位面积地价",C82+$K13,C82-$K13)</f>
        <v>100</v>
      </c>
      <c r="E82" s="389">
        <f t="shared" si="20"/>
        <v>100</v>
      </c>
      <c r="F82" s="389">
        <f t="shared" si="20"/>
        <v>100</v>
      </c>
      <c r="G82" s="389">
        <f t="shared" si="20"/>
        <v>100</v>
      </c>
      <c r="H82" s="389">
        <f t="shared" si="20"/>
        <v>100</v>
      </c>
      <c r="I82" s="389">
        <f t="shared" si="20"/>
        <v>100</v>
      </c>
      <c r="J82" s="389">
        <f t="shared" si="20"/>
        <v>100</v>
      </c>
      <c r="K82" s="389">
        <f t="shared" si="20"/>
        <v>100</v>
      </c>
      <c r="L82" s="389">
        <f t="shared" si="20"/>
        <v>100</v>
      </c>
      <c r="M82" s="389">
        <f t="shared" si="20"/>
        <v>100</v>
      </c>
      <c r="N82" s="450"/>
      <c r="O82" s="450"/>
      <c r="P82" s="448"/>
      <c r="Q82" s="437"/>
      <c r="R82" s="351"/>
      <c r="S82" s="351"/>
      <c r="T82" s="351"/>
      <c r="U82" s="351"/>
      <c r="V82" s="351"/>
      <c r="W82" s="351"/>
      <c r="X82" s="351"/>
      <c r="Y82" s="351"/>
      <c r="Z82" s="351"/>
      <c r="AA82" s="351"/>
      <c r="AB82" s="351"/>
      <c r="AC82" s="351"/>
    </row>
    <row r="83" spans="1:29" s="212" customFormat="1" ht="15">
      <c r="A83" s="384"/>
      <c r="B83" s="378" t="str">
        <f>B14</f>
        <v>配建</v>
      </c>
      <c r="C83" s="385"/>
      <c r="D83" s="2235"/>
      <c r="E83" s="2236"/>
      <c r="F83" s="385"/>
      <c r="G83" s="385"/>
      <c r="H83" s="386"/>
      <c r="I83" s="386"/>
      <c r="J83" s="386"/>
      <c r="K83" s="386"/>
      <c r="L83" s="457"/>
      <c r="M83" s="458"/>
      <c r="N83" s="459"/>
      <c r="O83" s="459"/>
      <c r="P83" s="460"/>
      <c r="Q83" s="485"/>
      <c r="R83" s="486"/>
      <c r="S83" s="486"/>
      <c r="T83" s="486"/>
      <c r="U83" s="486"/>
      <c r="V83" s="486"/>
      <c r="W83" s="486"/>
      <c r="X83" s="486"/>
      <c r="Y83" s="486"/>
      <c r="Z83" s="486"/>
      <c r="AA83" s="486"/>
      <c r="AB83" s="486"/>
      <c r="AC83" s="486"/>
    </row>
    <row r="84" spans="1:29" s="212" customFormat="1" ht="15">
      <c r="A84" s="384"/>
      <c r="B84" s="380"/>
      <c r="C84" s="383"/>
      <c r="D84" s="377"/>
      <c r="E84" s="377"/>
      <c r="F84" s="377"/>
      <c r="G84" s="377"/>
      <c r="H84" s="377"/>
      <c r="I84" s="377"/>
      <c r="J84" s="377"/>
      <c r="K84" s="377"/>
      <c r="L84" s="377"/>
      <c r="M84" s="449"/>
      <c r="N84" s="450"/>
      <c r="O84" s="450"/>
      <c r="P84" s="460"/>
      <c r="Q84" s="485"/>
      <c r="R84" s="486"/>
      <c r="S84" s="486"/>
      <c r="T84" s="486"/>
      <c r="U84" s="486"/>
      <c r="V84" s="486"/>
      <c r="W84" s="486"/>
      <c r="X84" s="486"/>
      <c r="Y84" s="486"/>
      <c r="Z84" s="486"/>
      <c r="AA84" s="486"/>
      <c r="AB84" s="486"/>
      <c r="AC84" s="486"/>
    </row>
    <row r="85" spans="1:29" s="212" customFormat="1" ht="15">
      <c r="A85" s="384"/>
      <c r="B85" s="378">
        <f>B15</f>
        <v>111</v>
      </c>
      <c r="C85" s="385"/>
      <c r="D85" s="385"/>
      <c r="E85" s="385"/>
      <c r="F85" s="385"/>
      <c r="G85" s="385"/>
      <c r="H85" s="386"/>
      <c r="I85" s="386"/>
      <c r="J85" s="386"/>
      <c r="K85" s="386"/>
      <c r="L85" s="457"/>
      <c r="M85" s="458"/>
      <c r="N85" s="459"/>
      <c r="O85" s="459"/>
      <c r="P85" s="418"/>
      <c r="Q85" s="487"/>
      <c r="R85" s="486"/>
      <c r="S85" s="486"/>
      <c r="T85" s="486"/>
      <c r="U85" s="486"/>
      <c r="V85" s="486"/>
      <c r="W85" s="486"/>
      <c r="X85" s="486"/>
      <c r="Y85" s="486"/>
      <c r="Z85" s="486"/>
      <c r="AA85" s="486"/>
      <c r="AB85" s="486"/>
      <c r="AC85" s="486"/>
    </row>
    <row r="86" spans="1:29" s="212" customFormat="1" ht="15">
      <c r="A86" s="384"/>
      <c r="B86" s="380"/>
      <c r="C86" s="383"/>
      <c r="D86" s="383"/>
      <c r="E86" s="383"/>
      <c r="F86" s="383"/>
      <c r="G86" s="383"/>
      <c r="H86" s="387"/>
      <c r="I86" s="387"/>
      <c r="J86" s="387"/>
      <c r="K86" s="387"/>
      <c r="L86" s="387"/>
      <c r="M86" s="461"/>
      <c r="N86" s="459"/>
      <c r="O86" s="459"/>
      <c r="P86" s="460"/>
      <c r="Q86" s="485"/>
      <c r="R86" s="486"/>
      <c r="S86" s="486"/>
      <c r="T86" s="486"/>
      <c r="U86" s="486"/>
      <c r="V86" s="486"/>
      <c r="W86" s="486"/>
      <c r="X86" s="486"/>
      <c r="Y86" s="486"/>
      <c r="Z86" s="486"/>
      <c r="AA86" s="486"/>
      <c r="AB86" s="486"/>
      <c r="AC86" s="486"/>
    </row>
    <row r="87" spans="1:29" s="212" customFormat="1" ht="15">
      <c r="A87" s="384"/>
      <c r="B87" s="497">
        <f>B16</f>
        <v>111</v>
      </c>
      <c r="C87" s="370"/>
      <c r="D87" s="370"/>
      <c r="E87" s="370"/>
      <c r="F87" s="370"/>
      <c r="G87" s="370"/>
      <c r="H87" s="571"/>
      <c r="I87" s="571"/>
      <c r="J87" s="571"/>
      <c r="K87" s="571"/>
      <c r="L87" s="580"/>
      <c r="M87" s="581"/>
      <c r="N87" s="459"/>
      <c r="O87" s="459"/>
      <c r="P87" s="582"/>
      <c r="Q87" s="485"/>
      <c r="R87" s="486"/>
      <c r="S87" s="486"/>
      <c r="T87" s="486"/>
      <c r="U87" s="486"/>
      <c r="V87" s="486"/>
      <c r="W87" s="486"/>
      <c r="X87" s="486"/>
      <c r="Y87" s="486"/>
      <c r="Z87" s="486"/>
      <c r="AA87" s="486"/>
      <c r="AB87" s="486"/>
      <c r="AC87" s="486"/>
    </row>
    <row r="88" spans="1:29" s="212" customFormat="1" ht="15">
      <c r="A88" s="572"/>
      <c r="B88" s="573"/>
      <c r="C88" s="574"/>
      <c r="D88" s="574"/>
      <c r="E88" s="574"/>
      <c r="F88" s="574"/>
      <c r="G88" s="574"/>
      <c r="H88" s="575"/>
      <c r="I88" s="575"/>
      <c r="J88" s="575"/>
      <c r="K88" s="575"/>
      <c r="L88" s="575"/>
      <c r="M88" s="583"/>
      <c r="N88" s="459"/>
      <c r="O88" s="459"/>
      <c r="P88" s="460"/>
      <c r="Q88" s="485"/>
      <c r="R88" s="486"/>
      <c r="S88" s="486"/>
      <c r="T88" s="486"/>
      <c r="U88" s="486"/>
      <c r="V88" s="486"/>
      <c r="W88" s="486"/>
      <c r="X88" s="486"/>
      <c r="Y88" s="486"/>
      <c r="Z88" s="486"/>
      <c r="AA88" s="486"/>
      <c r="AB88" s="486"/>
      <c r="AC88" s="486"/>
    </row>
    <row r="89" spans="1:29">
      <c r="A89" s="371" t="s">
        <v>1103</v>
      </c>
      <c r="B89" s="372" t="s">
        <v>223</v>
      </c>
      <c r="C89" s="388" t="s">
        <v>244</v>
      </c>
      <c r="D89" s="388" t="s">
        <v>256</v>
      </c>
      <c r="E89" s="388" t="s">
        <v>267</v>
      </c>
      <c r="F89" s="388" t="s">
        <v>277</v>
      </c>
      <c r="G89" s="388" t="s">
        <v>285</v>
      </c>
      <c r="H89" s="373"/>
      <c r="I89" s="373"/>
      <c r="J89" s="373"/>
      <c r="K89" s="462"/>
      <c r="L89" s="463"/>
      <c r="M89" s="464"/>
      <c r="N89" s="447"/>
      <c r="O89" s="447"/>
      <c r="P89" s="465"/>
      <c r="Q89" s="437"/>
      <c r="R89" s="351"/>
      <c r="S89" s="351"/>
      <c r="T89" s="351"/>
      <c r="U89" s="351"/>
      <c r="V89" s="351"/>
      <c r="W89" s="351"/>
      <c r="X89" s="351"/>
      <c r="Y89" s="351"/>
      <c r="Z89" s="351"/>
      <c r="AA89" s="351"/>
      <c r="AB89" s="351"/>
      <c r="AC89" s="351"/>
    </row>
    <row r="90" spans="1:29" ht="15">
      <c r="A90" s="375"/>
      <c r="B90" s="380"/>
      <c r="C90" s="389">
        <v>100</v>
      </c>
      <c r="D90" s="389">
        <f>C90-$K17</f>
        <v>100</v>
      </c>
      <c r="E90" s="389">
        <f>D90-$K17</f>
        <v>100</v>
      </c>
      <c r="F90" s="389">
        <f>E90-$K17</f>
        <v>100</v>
      </c>
      <c r="G90" s="389">
        <f>F90-$K17</f>
        <v>100</v>
      </c>
      <c r="H90" s="389"/>
      <c r="I90" s="389"/>
      <c r="J90" s="389"/>
      <c r="K90" s="389"/>
      <c r="L90" s="389"/>
      <c r="M90" s="466"/>
      <c r="N90" s="450"/>
      <c r="O90" s="450"/>
      <c r="P90" s="448"/>
      <c r="Q90" s="437"/>
      <c r="R90" s="351"/>
      <c r="S90" s="351"/>
      <c r="T90" s="351"/>
      <c r="U90" s="351"/>
      <c r="V90" s="351"/>
      <c r="W90" s="351"/>
      <c r="X90" s="351"/>
      <c r="Y90" s="351"/>
      <c r="Z90" s="351"/>
      <c r="AA90" s="351"/>
      <c r="AB90" s="351"/>
      <c r="AC90" s="351"/>
    </row>
    <row r="91" spans="1:29" ht="15">
      <c r="A91" s="375"/>
      <c r="B91" s="378" t="s">
        <v>224</v>
      </c>
      <c r="C91" s="391" t="s">
        <v>244</v>
      </c>
      <c r="D91" s="391" t="s">
        <v>256</v>
      </c>
      <c r="E91" s="391" t="s">
        <v>267</v>
      </c>
      <c r="F91" s="391" t="s">
        <v>277</v>
      </c>
      <c r="G91" s="391" t="s">
        <v>285</v>
      </c>
      <c r="H91" s="392"/>
      <c r="I91" s="392"/>
      <c r="J91" s="392"/>
      <c r="K91" s="467"/>
      <c r="L91" s="468"/>
      <c r="M91" s="469"/>
      <c r="N91" s="447"/>
      <c r="O91" s="447"/>
      <c r="P91" s="448"/>
      <c r="Q91" s="437"/>
      <c r="R91" s="351"/>
      <c r="S91" s="351"/>
      <c r="T91" s="351"/>
      <c r="U91" s="351"/>
      <c r="V91" s="351"/>
      <c r="W91" s="351"/>
      <c r="X91" s="351"/>
      <c r="Y91" s="351"/>
      <c r="Z91" s="351"/>
      <c r="AA91" s="351"/>
      <c r="AB91" s="351"/>
      <c r="AC91" s="351"/>
    </row>
    <row r="92" spans="1:29" ht="15">
      <c r="A92" s="375"/>
      <c r="B92" s="380"/>
      <c r="C92" s="389">
        <v>100</v>
      </c>
      <c r="D92" s="389">
        <f>C92-$K19</f>
        <v>100</v>
      </c>
      <c r="E92" s="389">
        <f>D92-$K19</f>
        <v>100</v>
      </c>
      <c r="F92" s="389">
        <f>E92-$K19</f>
        <v>100</v>
      </c>
      <c r="G92" s="389">
        <f>F92-$K19</f>
        <v>100</v>
      </c>
      <c r="H92" s="389"/>
      <c r="I92" s="389"/>
      <c r="J92" s="389"/>
      <c r="K92" s="389"/>
      <c r="L92" s="389"/>
      <c r="M92" s="466"/>
      <c r="N92" s="450"/>
      <c r="O92" s="450"/>
      <c r="P92" s="448"/>
      <c r="Q92" s="437"/>
      <c r="R92" s="351"/>
      <c r="S92" s="351"/>
      <c r="T92" s="351"/>
      <c r="U92" s="351"/>
      <c r="V92" s="351"/>
      <c r="W92" s="351"/>
      <c r="X92" s="351"/>
      <c r="Y92" s="351"/>
      <c r="Z92" s="351"/>
      <c r="AA92" s="351"/>
      <c r="AB92" s="351"/>
      <c r="AC92" s="351"/>
    </row>
    <row r="93" spans="1:29" ht="15">
      <c r="A93" s="375"/>
      <c r="B93" s="378" t="s">
        <v>225</v>
      </c>
      <c r="C93" s="391" t="s">
        <v>244</v>
      </c>
      <c r="D93" s="391" t="s">
        <v>256</v>
      </c>
      <c r="E93" s="391" t="s">
        <v>267</v>
      </c>
      <c r="F93" s="391" t="s">
        <v>277</v>
      </c>
      <c r="G93" s="391" t="s">
        <v>285</v>
      </c>
      <c r="H93" s="392"/>
      <c r="I93" s="392"/>
      <c r="J93" s="392"/>
      <c r="K93" s="467"/>
      <c r="L93" s="468"/>
      <c r="M93" s="469"/>
      <c r="N93" s="447"/>
      <c r="O93" s="447"/>
      <c r="P93" s="448"/>
      <c r="Q93" s="437"/>
      <c r="R93" s="351"/>
      <c r="S93" s="351"/>
      <c r="T93" s="351"/>
      <c r="U93" s="351"/>
      <c r="V93" s="351"/>
      <c r="W93" s="351"/>
      <c r="X93" s="351"/>
      <c r="Y93" s="351"/>
      <c r="Z93" s="351"/>
      <c r="AA93" s="351"/>
      <c r="AB93" s="351"/>
      <c r="AC93" s="351"/>
    </row>
    <row r="94" spans="1:29" ht="15">
      <c r="A94" s="375"/>
      <c r="B94" s="380"/>
      <c r="C94" s="389">
        <v>100</v>
      </c>
      <c r="D94" s="389">
        <f>C94-$K21</f>
        <v>100</v>
      </c>
      <c r="E94" s="389">
        <f>D94-$K21</f>
        <v>100</v>
      </c>
      <c r="F94" s="389">
        <f>E94-$K21</f>
        <v>100</v>
      </c>
      <c r="G94" s="389">
        <f>F94-$K21</f>
        <v>100</v>
      </c>
      <c r="H94" s="389"/>
      <c r="I94" s="389"/>
      <c r="J94" s="389"/>
      <c r="K94" s="389"/>
      <c r="L94" s="389"/>
      <c r="M94" s="466"/>
      <c r="N94" s="450"/>
      <c r="O94" s="450"/>
      <c r="P94" s="448"/>
      <c r="Q94" s="437"/>
      <c r="R94" s="351"/>
      <c r="S94" s="351"/>
      <c r="T94" s="351"/>
      <c r="U94" s="351"/>
      <c r="V94" s="351"/>
      <c r="W94" s="351"/>
      <c r="X94" s="351"/>
      <c r="Y94" s="351"/>
      <c r="Z94" s="351"/>
      <c r="AA94" s="351"/>
      <c r="AB94" s="351"/>
      <c r="AC94" s="351"/>
    </row>
    <row r="95" spans="1:29" ht="15">
      <c r="A95" s="375"/>
      <c r="B95" s="378" t="s">
        <v>227</v>
      </c>
      <c r="C95" s="391" t="s">
        <v>244</v>
      </c>
      <c r="D95" s="391" t="s">
        <v>256</v>
      </c>
      <c r="E95" s="391" t="s">
        <v>267</v>
      </c>
      <c r="F95" s="391" t="s">
        <v>277</v>
      </c>
      <c r="G95" s="391" t="s">
        <v>285</v>
      </c>
      <c r="H95" s="392"/>
      <c r="I95" s="392"/>
      <c r="J95" s="392"/>
      <c r="K95" s="467"/>
      <c r="L95" s="468"/>
      <c r="M95" s="469"/>
      <c r="N95" s="447"/>
      <c r="O95" s="447"/>
      <c r="P95" s="448"/>
      <c r="Q95" s="437"/>
      <c r="R95" s="351"/>
      <c r="S95" s="351"/>
      <c r="T95" s="351"/>
      <c r="U95" s="351"/>
      <c r="V95" s="351"/>
      <c r="W95" s="351"/>
      <c r="X95" s="351"/>
      <c r="Y95" s="351"/>
      <c r="Z95" s="351"/>
      <c r="AA95" s="351"/>
      <c r="AB95" s="351"/>
      <c r="AC95" s="351"/>
    </row>
    <row r="96" spans="1:29" ht="15">
      <c r="A96" s="375"/>
      <c r="B96" s="380"/>
      <c r="C96" s="389">
        <v>100</v>
      </c>
      <c r="D96" s="389">
        <f>C96-$K23</f>
        <v>100</v>
      </c>
      <c r="E96" s="389">
        <f>D96-$K23</f>
        <v>100</v>
      </c>
      <c r="F96" s="389">
        <f>E96-$K23</f>
        <v>100</v>
      </c>
      <c r="G96" s="389">
        <f>F96-$K23</f>
        <v>100</v>
      </c>
      <c r="H96" s="389"/>
      <c r="I96" s="389"/>
      <c r="J96" s="389"/>
      <c r="K96" s="389"/>
      <c r="L96" s="389"/>
      <c r="M96" s="466"/>
      <c r="N96" s="450"/>
      <c r="O96" s="450"/>
      <c r="P96" s="448"/>
      <c r="Q96" s="437"/>
      <c r="R96" s="351"/>
      <c r="S96" s="351"/>
      <c r="T96" s="351"/>
      <c r="U96" s="351"/>
      <c r="V96" s="351"/>
      <c r="W96" s="351"/>
      <c r="X96" s="351"/>
      <c r="Y96" s="351"/>
      <c r="Z96" s="351"/>
      <c r="AA96" s="351"/>
      <c r="AB96" s="351"/>
      <c r="AC96" s="351"/>
    </row>
    <row r="97" spans="1:29" s="210" customFormat="1" ht="15">
      <c r="A97" s="498"/>
      <c r="B97" s="378" t="s">
        <v>228</v>
      </c>
      <c r="C97" s="391" t="s">
        <v>244</v>
      </c>
      <c r="D97" s="391" t="s">
        <v>256</v>
      </c>
      <c r="E97" s="391" t="s">
        <v>267</v>
      </c>
      <c r="F97" s="391" t="s">
        <v>277</v>
      </c>
      <c r="G97" s="391" t="s">
        <v>285</v>
      </c>
      <c r="H97" s="391"/>
      <c r="I97" s="391"/>
      <c r="J97" s="391"/>
      <c r="K97" s="391"/>
      <c r="L97" s="2199"/>
      <c r="M97" s="512"/>
      <c r="N97" s="442"/>
      <c r="O97" s="442"/>
      <c r="P97" s="448"/>
      <c r="Q97" s="437"/>
      <c r="R97" s="484"/>
      <c r="S97" s="484"/>
      <c r="T97" s="484"/>
      <c r="U97" s="484"/>
      <c r="V97" s="484"/>
      <c r="W97" s="484"/>
      <c r="X97" s="484"/>
      <c r="Y97" s="484"/>
      <c r="Z97" s="484"/>
      <c r="AA97" s="484"/>
      <c r="AB97" s="484"/>
      <c r="AC97" s="484"/>
    </row>
    <row r="98" spans="1:29" s="210" customFormat="1" ht="15">
      <c r="A98" s="498"/>
      <c r="B98" s="380"/>
      <c r="C98" s="500">
        <v>100</v>
      </c>
      <c r="D98" s="389">
        <f>C98-$K25</f>
        <v>100</v>
      </c>
      <c r="E98" s="389">
        <f>D98-$K25</f>
        <v>100</v>
      </c>
      <c r="F98" s="389">
        <f>E98-$K25</f>
        <v>100</v>
      </c>
      <c r="G98" s="389">
        <f>F98-$K25</f>
        <v>100</v>
      </c>
      <c r="H98" s="389"/>
      <c r="I98" s="389"/>
      <c r="J98" s="389"/>
      <c r="K98" s="389"/>
      <c r="L98" s="389"/>
      <c r="M98" s="466"/>
      <c r="N98" s="450"/>
      <c r="O98" s="450"/>
      <c r="P98" s="448"/>
      <c r="Q98" s="437"/>
      <c r="R98" s="484"/>
      <c r="S98" s="484"/>
      <c r="T98" s="484"/>
      <c r="U98" s="484"/>
      <c r="V98" s="484"/>
      <c r="W98" s="484"/>
      <c r="X98" s="484"/>
      <c r="Y98" s="484"/>
      <c r="Z98" s="484"/>
      <c r="AA98" s="484"/>
      <c r="AB98" s="484"/>
      <c r="AC98" s="484"/>
    </row>
    <row r="99" spans="1:29" s="210" customFormat="1" ht="27">
      <c r="A99" s="498"/>
      <c r="B99" s="378" t="s">
        <v>1057</v>
      </c>
      <c r="C99" s="388" t="s">
        <v>244</v>
      </c>
      <c r="D99" s="388" t="s">
        <v>256</v>
      </c>
      <c r="E99" s="388" t="s">
        <v>267</v>
      </c>
      <c r="F99" s="388" t="s">
        <v>277</v>
      </c>
      <c r="G99" s="388" t="s">
        <v>285</v>
      </c>
      <c r="H99" s="391"/>
      <c r="I99" s="391"/>
      <c r="J99" s="391"/>
      <c r="K99" s="391"/>
      <c r="L99" s="391"/>
      <c r="M99" s="512"/>
      <c r="N99" s="442"/>
      <c r="O99" s="442"/>
      <c r="P99" s="448"/>
      <c r="Q99" s="437"/>
      <c r="R99" s="484"/>
      <c r="S99" s="484"/>
      <c r="T99" s="484"/>
      <c r="U99" s="484"/>
      <c r="V99" s="484"/>
      <c r="W99" s="484"/>
      <c r="X99" s="484"/>
      <c r="Y99" s="484"/>
      <c r="Z99" s="484"/>
      <c r="AA99" s="484"/>
      <c r="AB99" s="484"/>
      <c r="AC99" s="484"/>
    </row>
    <row r="100" spans="1:29" s="210" customFormat="1" ht="15">
      <c r="A100" s="498"/>
      <c r="B100" s="380"/>
      <c r="C100" s="389">
        <v>100</v>
      </c>
      <c r="D100" s="389">
        <f>C100-$K27</f>
        <v>100</v>
      </c>
      <c r="E100" s="389">
        <f>D100-$K27</f>
        <v>100</v>
      </c>
      <c r="F100" s="389">
        <f>E100-$K27</f>
        <v>100</v>
      </c>
      <c r="G100" s="389">
        <f>F100-$K27</f>
        <v>100</v>
      </c>
      <c r="H100" s="389"/>
      <c r="I100" s="389"/>
      <c r="J100" s="389"/>
      <c r="K100" s="389"/>
      <c r="L100" s="389"/>
      <c r="M100" s="466"/>
      <c r="N100" s="450"/>
      <c r="O100" s="450"/>
      <c r="P100" s="448"/>
      <c r="Q100" s="437"/>
      <c r="R100" s="484"/>
      <c r="S100" s="484"/>
      <c r="T100" s="484"/>
      <c r="U100" s="484"/>
      <c r="V100" s="484"/>
      <c r="W100" s="484"/>
      <c r="X100" s="484"/>
      <c r="Y100" s="484"/>
      <c r="Z100" s="484"/>
      <c r="AA100" s="484"/>
      <c r="AB100" s="484"/>
      <c r="AC100" s="484"/>
    </row>
    <row r="101" spans="1:29" s="212" customFormat="1" ht="15">
      <c r="A101" s="384"/>
      <c r="B101" s="390" t="s">
        <v>229</v>
      </c>
      <c r="C101" s="388" t="s">
        <v>244</v>
      </c>
      <c r="D101" s="388" t="s">
        <v>256</v>
      </c>
      <c r="E101" s="388" t="s">
        <v>267</v>
      </c>
      <c r="F101" s="388" t="s">
        <v>277</v>
      </c>
      <c r="G101" s="388" t="s">
        <v>285</v>
      </c>
      <c r="H101" s="665"/>
      <c r="I101" s="665"/>
      <c r="J101" s="665"/>
      <c r="K101" s="665"/>
      <c r="L101" s="666"/>
      <c r="M101" s="667"/>
      <c r="N101" s="459"/>
      <c r="O101" s="459"/>
      <c r="P101" s="460"/>
      <c r="Q101" s="485"/>
      <c r="R101" s="486"/>
      <c r="S101" s="486"/>
      <c r="T101" s="486"/>
      <c r="U101" s="486"/>
      <c r="V101" s="486"/>
      <c r="W101" s="486"/>
      <c r="X101" s="486"/>
      <c r="Y101" s="486"/>
      <c r="Z101" s="486"/>
      <c r="AA101" s="486"/>
      <c r="AB101" s="486"/>
      <c r="AC101" s="486"/>
    </row>
    <row r="102" spans="1:29" s="212" customFormat="1" ht="15">
      <c r="A102" s="384"/>
      <c r="B102" s="380"/>
      <c r="C102" s="389">
        <v>100</v>
      </c>
      <c r="D102" s="389">
        <f>C102-$K29</f>
        <v>100</v>
      </c>
      <c r="E102" s="389">
        <f>D102-$K29</f>
        <v>100</v>
      </c>
      <c r="F102" s="389">
        <f>E102-$K29</f>
        <v>100</v>
      </c>
      <c r="G102" s="389">
        <f>F102-$K29</f>
        <v>100</v>
      </c>
      <c r="H102" s="671"/>
      <c r="I102" s="671"/>
      <c r="J102" s="671"/>
      <c r="K102" s="671"/>
      <c r="L102" s="671"/>
      <c r="M102" s="672"/>
      <c r="N102" s="459"/>
      <c r="O102" s="459"/>
      <c r="P102" s="460"/>
      <c r="Q102" s="485"/>
      <c r="R102" s="486"/>
      <c r="S102" s="486"/>
      <c r="T102" s="486"/>
      <c r="U102" s="486"/>
      <c r="V102" s="486"/>
      <c r="W102" s="486"/>
      <c r="X102" s="486"/>
      <c r="Y102" s="486"/>
      <c r="Z102" s="486"/>
      <c r="AA102" s="486"/>
      <c r="AB102" s="486"/>
      <c r="AC102" s="486"/>
    </row>
    <row r="103" spans="1:29" s="212" customFormat="1" ht="15">
      <c r="A103" s="384"/>
      <c r="B103" s="495" t="s">
        <v>230</v>
      </c>
      <c r="C103" s="496" t="s">
        <v>245</v>
      </c>
      <c r="D103" s="496" t="s">
        <v>257</v>
      </c>
      <c r="E103" s="496" t="s">
        <v>268</v>
      </c>
      <c r="F103" s="496" t="s">
        <v>278</v>
      </c>
      <c r="G103" s="496" t="s">
        <v>286</v>
      </c>
      <c r="H103" s="665"/>
      <c r="I103" s="665"/>
      <c r="J103" s="665"/>
      <c r="K103" s="665"/>
      <c r="L103" s="665"/>
      <c r="M103" s="667"/>
      <c r="N103" s="459"/>
      <c r="O103" s="459"/>
      <c r="P103" s="460"/>
      <c r="Q103" s="485"/>
      <c r="R103" s="486"/>
      <c r="S103" s="486"/>
      <c r="T103" s="486"/>
      <c r="U103" s="486"/>
      <c r="V103" s="486"/>
      <c r="W103" s="486"/>
      <c r="X103" s="486"/>
      <c r="Y103" s="486"/>
      <c r="Z103" s="486"/>
      <c r="AA103" s="486"/>
      <c r="AB103" s="486"/>
      <c r="AC103" s="486"/>
    </row>
    <row r="104" spans="1:29" s="212" customFormat="1" ht="15">
      <c r="A104" s="384"/>
      <c r="B104" s="497"/>
      <c r="C104" s="389">
        <v>100</v>
      </c>
      <c r="D104" s="389">
        <f>C104-$K31</f>
        <v>100</v>
      </c>
      <c r="E104" s="389">
        <f>D104-$K31</f>
        <v>100</v>
      </c>
      <c r="F104" s="389">
        <f>E104-$K31</f>
        <v>100</v>
      </c>
      <c r="G104" s="389">
        <f>F104-$K31</f>
        <v>100</v>
      </c>
      <c r="H104" s="570"/>
      <c r="I104" s="570"/>
      <c r="J104" s="570"/>
      <c r="K104" s="570"/>
      <c r="L104" s="570"/>
      <c r="M104" s="2200"/>
      <c r="N104" s="459"/>
      <c r="O104" s="459"/>
      <c r="P104" s="460"/>
      <c r="Q104" s="485"/>
      <c r="R104" s="486"/>
      <c r="S104" s="486"/>
      <c r="T104" s="486"/>
      <c r="U104" s="486"/>
      <c r="V104" s="486"/>
      <c r="W104" s="486"/>
      <c r="X104" s="486"/>
      <c r="Y104" s="486"/>
      <c r="Z104" s="486"/>
      <c r="AA104" s="486"/>
      <c r="AB104" s="486"/>
      <c r="AC104" s="486"/>
    </row>
    <row r="105" spans="1:29" ht="15">
      <c r="A105" s="375"/>
      <c r="B105" s="378" t="str">
        <f>B33</f>
        <v>临街状况</v>
      </c>
      <c r="C105" s="392" t="s">
        <v>1104</v>
      </c>
      <c r="D105" s="392" t="s">
        <v>1105</v>
      </c>
      <c r="E105" s="392" t="s">
        <v>1106</v>
      </c>
      <c r="F105" s="392" t="s">
        <v>1107</v>
      </c>
      <c r="G105" s="392"/>
      <c r="H105" s="392"/>
      <c r="I105" s="392"/>
      <c r="J105" s="392"/>
      <c r="K105" s="467"/>
      <c r="L105" s="468"/>
      <c r="M105" s="469"/>
      <c r="N105" s="447"/>
      <c r="O105" s="447"/>
      <c r="P105" s="448"/>
      <c r="Q105" s="437"/>
      <c r="R105" s="351"/>
      <c r="S105" s="351"/>
      <c r="T105" s="351"/>
      <c r="U105" s="351"/>
      <c r="V105" s="351"/>
      <c r="W105" s="351"/>
      <c r="X105" s="351"/>
      <c r="Y105" s="351"/>
      <c r="Z105" s="351"/>
      <c r="AA105" s="351"/>
      <c r="AB105" s="351"/>
      <c r="AC105" s="351"/>
    </row>
    <row r="106" spans="1:29" ht="15">
      <c r="A106" s="375"/>
      <c r="B106" s="380"/>
      <c r="C106" s="389">
        <v>100</v>
      </c>
      <c r="D106" s="389">
        <f t="shared" ref="D106:M106" si="21">C106-$K33</f>
        <v>100</v>
      </c>
      <c r="E106" s="389">
        <f t="shared" si="21"/>
        <v>100</v>
      </c>
      <c r="F106" s="389">
        <f t="shared" si="21"/>
        <v>100</v>
      </c>
      <c r="G106" s="389">
        <f t="shared" si="21"/>
        <v>100</v>
      </c>
      <c r="H106" s="389">
        <f t="shared" si="21"/>
        <v>100</v>
      </c>
      <c r="I106" s="389">
        <f t="shared" si="21"/>
        <v>100</v>
      </c>
      <c r="J106" s="389">
        <f t="shared" si="21"/>
        <v>100</v>
      </c>
      <c r="K106" s="389">
        <f t="shared" si="21"/>
        <v>100</v>
      </c>
      <c r="L106" s="389">
        <f t="shared" si="21"/>
        <v>100</v>
      </c>
      <c r="M106" s="389">
        <f t="shared" si="21"/>
        <v>100</v>
      </c>
      <c r="N106" s="450"/>
      <c r="O106" s="450"/>
      <c r="P106" s="448"/>
      <c r="Q106" s="437"/>
      <c r="R106" s="351"/>
      <c r="S106" s="351"/>
      <c r="T106" s="351"/>
      <c r="U106" s="351"/>
      <c r="V106" s="351"/>
      <c r="W106" s="351"/>
      <c r="X106" s="351"/>
      <c r="Y106" s="351"/>
      <c r="Z106" s="351"/>
      <c r="AA106" s="351"/>
      <c r="AB106" s="351"/>
      <c r="AC106" s="351"/>
    </row>
    <row r="107" spans="1:29" ht="27">
      <c r="A107" s="375"/>
      <c r="B107" s="378" t="s">
        <v>1058</v>
      </c>
      <c r="C107" s="385"/>
      <c r="D107" s="385"/>
      <c r="E107" s="385"/>
      <c r="F107" s="385"/>
      <c r="G107" s="385"/>
      <c r="H107" s="379"/>
      <c r="I107" s="379"/>
      <c r="J107" s="379"/>
      <c r="K107" s="451"/>
      <c r="L107" s="452"/>
      <c r="M107" s="453"/>
      <c r="N107" s="447"/>
      <c r="O107" s="447"/>
      <c r="P107" s="448"/>
      <c r="Q107" s="437"/>
      <c r="R107" s="351"/>
      <c r="S107" s="351"/>
      <c r="T107" s="351"/>
      <c r="U107" s="351"/>
      <c r="V107" s="351"/>
      <c r="W107" s="351"/>
      <c r="X107" s="351"/>
      <c r="Y107" s="351"/>
      <c r="Z107" s="351"/>
      <c r="AA107" s="351"/>
      <c r="AB107" s="351"/>
      <c r="AC107" s="351"/>
    </row>
    <row r="108" spans="1:29" ht="15">
      <c r="A108" s="375"/>
      <c r="B108" s="380"/>
      <c r="C108" s="389">
        <v>100</v>
      </c>
      <c r="D108" s="389">
        <f t="shared" ref="D108:M108" si="22">C108-$K34</f>
        <v>100</v>
      </c>
      <c r="E108" s="389">
        <f t="shared" si="22"/>
        <v>100</v>
      </c>
      <c r="F108" s="389">
        <f t="shared" si="22"/>
        <v>100</v>
      </c>
      <c r="G108" s="389">
        <f t="shared" si="22"/>
        <v>100</v>
      </c>
      <c r="H108" s="389">
        <f t="shared" si="22"/>
        <v>100</v>
      </c>
      <c r="I108" s="389">
        <f t="shared" si="22"/>
        <v>100</v>
      </c>
      <c r="J108" s="389">
        <f t="shared" si="22"/>
        <v>100</v>
      </c>
      <c r="K108" s="389">
        <f t="shared" si="22"/>
        <v>100</v>
      </c>
      <c r="L108" s="389">
        <f t="shared" si="22"/>
        <v>100</v>
      </c>
      <c r="M108" s="389">
        <f t="shared" si="22"/>
        <v>100</v>
      </c>
      <c r="N108" s="450"/>
      <c r="O108" s="450"/>
      <c r="P108" s="448"/>
      <c r="Q108" s="437"/>
      <c r="R108" s="351"/>
      <c r="S108" s="351"/>
      <c r="T108" s="351"/>
      <c r="U108" s="351"/>
      <c r="V108" s="351"/>
      <c r="W108" s="351"/>
      <c r="X108" s="351"/>
      <c r="Y108" s="351"/>
      <c r="Z108" s="351"/>
      <c r="AA108" s="351"/>
      <c r="AB108" s="351"/>
      <c r="AC108" s="351"/>
    </row>
    <row r="109" spans="1:29" ht="15">
      <c r="A109" s="375"/>
      <c r="B109" s="378" t="s">
        <v>1059</v>
      </c>
      <c r="C109" s="379"/>
      <c r="D109" s="379"/>
      <c r="E109" s="379"/>
      <c r="F109" s="379"/>
      <c r="G109" s="379"/>
      <c r="H109" s="379"/>
      <c r="I109" s="379"/>
      <c r="J109" s="379"/>
      <c r="K109" s="451"/>
      <c r="L109" s="452"/>
      <c r="M109" s="453"/>
      <c r="N109" s="447"/>
      <c r="O109" s="447"/>
      <c r="P109" s="448"/>
      <c r="Q109" s="437"/>
      <c r="R109" s="351"/>
      <c r="S109" s="351"/>
      <c r="T109" s="351"/>
      <c r="U109" s="351"/>
      <c r="V109" s="351"/>
      <c r="W109" s="351"/>
      <c r="X109" s="351"/>
      <c r="Y109" s="351"/>
      <c r="Z109" s="351"/>
      <c r="AA109" s="351"/>
      <c r="AB109" s="351"/>
      <c r="AC109" s="351"/>
    </row>
    <row r="110" spans="1:29" ht="15">
      <c r="A110" s="375"/>
      <c r="B110" s="380"/>
      <c r="C110" s="389">
        <v>100</v>
      </c>
      <c r="D110" s="389">
        <f t="shared" ref="D110:M110" si="23">C110-$K36</f>
        <v>100</v>
      </c>
      <c r="E110" s="389">
        <f t="shared" si="23"/>
        <v>100</v>
      </c>
      <c r="F110" s="389">
        <f t="shared" si="23"/>
        <v>100</v>
      </c>
      <c r="G110" s="389">
        <f t="shared" si="23"/>
        <v>100</v>
      </c>
      <c r="H110" s="389">
        <f t="shared" si="23"/>
        <v>100</v>
      </c>
      <c r="I110" s="389">
        <f t="shared" si="23"/>
        <v>100</v>
      </c>
      <c r="J110" s="389">
        <f t="shared" si="23"/>
        <v>100</v>
      </c>
      <c r="K110" s="389">
        <f t="shared" si="23"/>
        <v>100</v>
      </c>
      <c r="L110" s="389">
        <f t="shared" si="23"/>
        <v>100</v>
      </c>
      <c r="M110" s="389">
        <f t="shared" si="23"/>
        <v>100</v>
      </c>
      <c r="N110" s="450"/>
      <c r="O110" s="450"/>
      <c r="P110" s="448"/>
      <c r="Q110" s="437"/>
      <c r="R110" s="351"/>
      <c r="S110" s="351"/>
      <c r="T110" s="351"/>
      <c r="U110" s="351"/>
      <c r="V110" s="351"/>
      <c r="W110" s="351"/>
      <c r="X110" s="351"/>
      <c r="Y110" s="351"/>
      <c r="Z110" s="351"/>
      <c r="AA110" s="351"/>
      <c r="AB110" s="351"/>
      <c r="AC110" s="351"/>
    </row>
    <row r="111" spans="1:29" ht="15">
      <c r="A111" s="375"/>
      <c r="B111" s="497">
        <f>B37</f>
        <v>111</v>
      </c>
      <c r="C111" s="385"/>
      <c r="D111" s="385"/>
      <c r="E111" s="385"/>
      <c r="F111" s="385"/>
      <c r="G111" s="576"/>
      <c r="H111" s="576"/>
      <c r="I111" s="576"/>
      <c r="J111" s="576"/>
      <c r="K111" s="584"/>
      <c r="L111" s="585"/>
      <c r="M111" s="586"/>
      <c r="N111" s="447"/>
      <c r="O111" s="447"/>
      <c r="P111" s="448"/>
      <c r="Q111" s="437"/>
      <c r="R111" s="351"/>
      <c r="S111" s="351"/>
      <c r="T111" s="351"/>
      <c r="U111" s="351"/>
      <c r="V111" s="351"/>
      <c r="W111" s="351"/>
      <c r="X111" s="351"/>
      <c r="Y111" s="351"/>
      <c r="Z111" s="351"/>
      <c r="AA111" s="351"/>
      <c r="AB111" s="351"/>
      <c r="AC111" s="351"/>
    </row>
    <row r="112" spans="1:29" ht="15">
      <c r="A112" s="375"/>
      <c r="B112" s="573"/>
      <c r="C112" s="383"/>
      <c r="D112" s="383"/>
      <c r="E112" s="383"/>
      <c r="F112" s="383"/>
      <c r="G112" s="578"/>
      <c r="H112" s="578"/>
      <c r="I112" s="578"/>
      <c r="J112" s="578"/>
      <c r="K112" s="578"/>
      <c r="L112" s="578"/>
      <c r="M112" s="587"/>
      <c r="N112" s="450"/>
      <c r="O112" s="450"/>
      <c r="P112" s="448"/>
      <c r="Q112" s="437"/>
      <c r="R112" s="351"/>
      <c r="S112" s="351"/>
      <c r="T112" s="351"/>
      <c r="U112" s="351"/>
      <c r="V112" s="351"/>
      <c r="W112" s="351"/>
      <c r="X112" s="351"/>
      <c r="Y112" s="351"/>
      <c r="Z112" s="351"/>
      <c r="AA112" s="351"/>
      <c r="AB112" s="351"/>
      <c r="AC112" s="351"/>
    </row>
    <row r="113" spans="1:29">
      <c r="A113" s="2110"/>
      <c r="B113" s="378">
        <f>B38</f>
        <v>111</v>
      </c>
      <c r="C113" s="370"/>
      <c r="D113" s="370"/>
      <c r="E113" s="370"/>
      <c r="F113" s="370"/>
      <c r="G113" s="379"/>
      <c r="H113" s="379"/>
      <c r="I113" s="379"/>
      <c r="J113" s="379"/>
      <c r="K113" s="451"/>
      <c r="L113" s="452"/>
      <c r="M113" s="453"/>
      <c r="N113" s="447"/>
      <c r="O113" s="447"/>
      <c r="P113" s="448"/>
      <c r="Q113" s="437"/>
      <c r="R113" s="351"/>
      <c r="S113" s="351"/>
      <c r="T113" s="351"/>
      <c r="U113" s="351"/>
      <c r="V113" s="351"/>
      <c r="W113" s="351"/>
      <c r="X113" s="351"/>
      <c r="Y113" s="351"/>
      <c r="Z113" s="351"/>
      <c r="AA113" s="351"/>
      <c r="AB113" s="351"/>
      <c r="AC113" s="351"/>
    </row>
    <row r="114" spans="1:29" ht="15">
      <c r="A114" s="375"/>
      <c r="B114" s="380"/>
      <c r="C114" s="574"/>
      <c r="D114" s="574"/>
      <c r="E114" s="574"/>
      <c r="F114" s="574"/>
      <c r="G114" s="377"/>
      <c r="H114" s="377"/>
      <c r="I114" s="377"/>
      <c r="J114" s="377"/>
      <c r="K114" s="377"/>
      <c r="L114" s="377"/>
      <c r="M114" s="449"/>
      <c r="N114" s="450"/>
      <c r="O114" s="450"/>
      <c r="P114" s="448"/>
      <c r="Q114" s="437"/>
      <c r="R114" s="351"/>
      <c r="S114" s="351"/>
      <c r="T114" s="351"/>
      <c r="U114" s="351"/>
      <c r="V114" s="351"/>
      <c r="W114" s="351"/>
      <c r="X114" s="351"/>
      <c r="Y114" s="351"/>
      <c r="Z114" s="351"/>
      <c r="AA114" s="351"/>
      <c r="AB114" s="351"/>
      <c r="AC114" s="351"/>
    </row>
    <row r="115" spans="1:29" s="212" customFormat="1">
      <c r="A115" s="503"/>
      <c r="B115" s="579">
        <f>B39</f>
        <v>111</v>
      </c>
      <c r="C115" s="502"/>
      <c r="D115" s="502"/>
      <c r="E115" s="502"/>
      <c r="F115" s="502"/>
      <c r="G115" s="502"/>
      <c r="H115" s="502"/>
      <c r="I115" s="502"/>
      <c r="J115" s="513"/>
      <c r="K115" s="513"/>
      <c r="L115" s="514"/>
      <c r="M115" s="515"/>
      <c r="N115" s="459"/>
      <c r="O115" s="459"/>
      <c r="P115" s="460"/>
      <c r="Q115" s="485"/>
      <c r="R115" s="486"/>
      <c r="S115" s="486"/>
      <c r="T115" s="486"/>
      <c r="U115" s="486"/>
      <c r="V115" s="486"/>
      <c r="W115" s="486"/>
      <c r="X115" s="486"/>
      <c r="Y115" s="486"/>
      <c r="Z115" s="486"/>
      <c r="AA115" s="486"/>
      <c r="AB115" s="486"/>
      <c r="AC115" s="486"/>
    </row>
    <row r="116" spans="1:29" s="212" customFormat="1" ht="15">
      <c r="A116" s="384"/>
      <c r="B116" s="497"/>
      <c r="C116" s="363"/>
      <c r="D116" s="2188"/>
      <c r="E116" s="2188"/>
      <c r="F116" s="2188"/>
      <c r="G116" s="2188"/>
      <c r="H116" s="2188"/>
      <c r="I116" s="2188"/>
      <c r="J116" s="2188"/>
      <c r="K116" s="2188"/>
      <c r="L116" s="2188"/>
      <c r="M116" s="2201"/>
      <c r="N116" s="450"/>
      <c r="O116" s="450"/>
      <c r="P116" s="460"/>
      <c r="Q116" s="485"/>
      <c r="R116" s="486"/>
      <c r="S116" s="486"/>
      <c r="T116" s="486"/>
      <c r="U116" s="486"/>
      <c r="V116" s="486"/>
      <c r="W116" s="486"/>
      <c r="X116" s="486"/>
      <c r="Y116" s="486"/>
      <c r="Z116" s="486"/>
      <c r="AA116" s="486"/>
      <c r="AB116" s="486"/>
      <c r="AC116" s="486"/>
    </row>
    <row r="117" spans="1:29">
      <c r="A117" s="371" t="s">
        <v>1108</v>
      </c>
      <c r="B117" s="372" t="s">
        <v>1062</v>
      </c>
      <c r="C117" s="373" t="str">
        <f t="shared" ref="C117:L117" si="24">C118&amp;"(含)"&amp;"-"&amp;D118</f>
        <v>(含)-</v>
      </c>
      <c r="D117" s="373" t="str">
        <f t="shared" si="24"/>
        <v>(含)-</v>
      </c>
      <c r="E117" s="373" t="str">
        <f t="shared" si="24"/>
        <v>(含)-</v>
      </c>
      <c r="F117" s="373" t="str">
        <f t="shared" si="24"/>
        <v>(含)-</v>
      </c>
      <c r="G117" s="373" t="str">
        <f t="shared" si="24"/>
        <v>(含)-</v>
      </c>
      <c r="H117" s="373" t="str">
        <f t="shared" si="24"/>
        <v>(含)-</v>
      </c>
      <c r="I117" s="373" t="str">
        <f t="shared" si="24"/>
        <v>(含)-</v>
      </c>
      <c r="J117" s="2202" t="str">
        <f t="shared" si="24"/>
        <v>(含)-</v>
      </c>
      <c r="K117" s="2202" t="str">
        <f t="shared" si="24"/>
        <v>(含)-</v>
      </c>
      <c r="L117" s="2203" t="str">
        <f t="shared" si="24"/>
        <v>(含)-</v>
      </c>
      <c r="M117" s="2204" t="str">
        <f>M118&amp;"(含)"&amp;"-"&amp;P118</f>
        <v>(含)-</v>
      </c>
      <c r="N117" s="447"/>
      <c r="O117" s="447"/>
      <c r="P117" s="448"/>
      <c r="Q117" s="437"/>
      <c r="R117" s="351"/>
      <c r="S117" s="351"/>
      <c r="T117" s="351"/>
      <c r="U117" s="351"/>
      <c r="V117" s="351"/>
      <c r="W117" s="351"/>
      <c r="X117" s="351"/>
      <c r="Y117" s="351"/>
      <c r="Z117" s="351"/>
      <c r="AA117" s="351"/>
      <c r="AB117" s="351"/>
      <c r="AC117" s="351"/>
    </row>
    <row r="118" spans="1:29" ht="15">
      <c r="A118" s="375"/>
      <c r="B118" s="497"/>
      <c r="C118" s="502"/>
      <c r="D118" s="502"/>
      <c r="E118" s="502"/>
      <c r="F118" s="502"/>
      <c r="G118" s="502"/>
      <c r="H118" s="502"/>
      <c r="I118" s="502"/>
      <c r="J118" s="2239"/>
      <c r="K118" s="2239"/>
      <c r="L118" s="2240"/>
      <c r="M118" s="2241"/>
      <c r="N118" s="447"/>
      <c r="O118" s="447"/>
      <c r="P118" s="448"/>
      <c r="Q118" s="437"/>
      <c r="R118" s="351"/>
      <c r="S118" s="351"/>
      <c r="T118" s="351"/>
      <c r="U118" s="351"/>
      <c r="V118" s="351"/>
      <c r="W118" s="351"/>
      <c r="X118" s="351"/>
      <c r="Y118" s="351"/>
      <c r="Z118" s="351"/>
      <c r="AA118" s="351"/>
      <c r="AB118" s="351"/>
      <c r="AC118" s="351"/>
    </row>
    <row r="119" spans="1:29" ht="15">
      <c r="A119" s="375"/>
      <c r="B119" s="380"/>
      <c r="C119" s="574"/>
      <c r="D119" s="578"/>
      <c r="E119" s="578"/>
      <c r="F119" s="578"/>
      <c r="G119" s="578"/>
      <c r="H119" s="578"/>
      <c r="I119" s="578"/>
      <c r="J119" s="578"/>
      <c r="K119" s="578"/>
      <c r="L119" s="578"/>
      <c r="M119" s="587"/>
      <c r="N119" s="450"/>
      <c r="O119" s="450"/>
      <c r="P119" s="448"/>
      <c r="Q119" s="437"/>
      <c r="R119" s="351"/>
      <c r="S119" s="351"/>
      <c r="T119" s="351"/>
      <c r="U119" s="351"/>
      <c r="V119" s="351"/>
      <c r="W119" s="351"/>
      <c r="X119" s="351"/>
      <c r="Y119" s="351"/>
      <c r="Z119" s="351"/>
      <c r="AA119" s="351"/>
      <c r="AB119" s="351"/>
      <c r="AC119" s="351"/>
    </row>
    <row r="120" spans="1:29">
      <c r="A120" s="501"/>
      <c r="B120" s="378" t="s">
        <v>1063</v>
      </c>
      <c r="C120" s="379"/>
      <c r="D120" s="379"/>
      <c r="E120" s="379"/>
      <c r="F120" s="379"/>
      <c r="G120" s="379"/>
      <c r="H120" s="379"/>
      <c r="I120" s="379"/>
      <c r="J120" s="379"/>
      <c r="K120" s="451"/>
      <c r="L120" s="452"/>
      <c r="M120" s="453"/>
      <c r="N120" s="447"/>
      <c r="O120" s="447"/>
      <c r="P120" s="448"/>
      <c r="Q120" s="437"/>
      <c r="R120" s="351"/>
      <c r="S120" s="351"/>
      <c r="T120" s="351"/>
      <c r="U120" s="351"/>
      <c r="V120" s="351"/>
      <c r="W120" s="351"/>
      <c r="X120" s="351"/>
      <c r="Y120" s="351"/>
      <c r="Z120" s="351"/>
      <c r="AA120" s="351"/>
      <c r="AB120" s="351"/>
      <c r="AC120" s="351"/>
    </row>
    <row r="121" spans="1:29" ht="15">
      <c r="A121" s="375"/>
      <c r="B121" s="380"/>
      <c r="C121" s="389">
        <v>100</v>
      </c>
      <c r="D121" s="389">
        <f t="shared" ref="D121:M121" si="25">C121-$K41</f>
        <v>100</v>
      </c>
      <c r="E121" s="389">
        <f t="shared" si="25"/>
        <v>100</v>
      </c>
      <c r="F121" s="389">
        <f t="shared" si="25"/>
        <v>100</v>
      </c>
      <c r="G121" s="389">
        <f t="shared" si="25"/>
        <v>100</v>
      </c>
      <c r="H121" s="389">
        <f t="shared" si="25"/>
        <v>100</v>
      </c>
      <c r="I121" s="389">
        <f t="shared" si="25"/>
        <v>100</v>
      </c>
      <c r="J121" s="389">
        <f t="shared" si="25"/>
        <v>100</v>
      </c>
      <c r="K121" s="389">
        <f t="shared" si="25"/>
        <v>100</v>
      </c>
      <c r="L121" s="389">
        <f t="shared" si="25"/>
        <v>100</v>
      </c>
      <c r="M121" s="466">
        <f t="shared" si="25"/>
        <v>100</v>
      </c>
      <c r="N121" s="450"/>
      <c r="O121" s="450"/>
      <c r="P121" s="448"/>
      <c r="Q121" s="437"/>
      <c r="R121" s="351"/>
      <c r="S121" s="351"/>
      <c r="T121" s="351"/>
      <c r="U121" s="351"/>
      <c r="V121" s="351"/>
      <c r="W121" s="351"/>
      <c r="X121" s="351"/>
      <c r="Y121" s="351"/>
      <c r="Z121" s="351"/>
      <c r="AA121" s="351"/>
      <c r="AB121" s="351"/>
      <c r="AC121" s="351"/>
    </row>
    <row r="122" spans="1:29">
      <c r="A122" s="501"/>
      <c r="B122" s="378" t="s">
        <v>1064</v>
      </c>
      <c r="C122" s="385"/>
      <c r="D122" s="385"/>
      <c r="E122" s="385"/>
      <c r="F122" s="379"/>
      <c r="G122" s="379"/>
      <c r="H122" s="379"/>
      <c r="I122" s="379"/>
      <c r="J122" s="379"/>
      <c r="K122" s="451"/>
      <c r="L122" s="452"/>
      <c r="M122" s="453"/>
      <c r="N122" s="447"/>
      <c r="O122" s="447"/>
      <c r="P122" s="448"/>
      <c r="Q122" s="437"/>
      <c r="R122" s="351"/>
      <c r="S122" s="351"/>
      <c r="T122" s="351"/>
      <c r="U122" s="351"/>
      <c r="V122" s="351"/>
      <c r="W122" s="351"/>
      <c r="X122" s="351"/>
      <c r="Y122" s="351"/>
      <c r="Z122" s="351"/>
      <c r="AA122" s="351"/>
      <c r="AB122" s="351"/>
      <c r="AC122" s="351"/>
    </row>
    <row r="123" spans="1:29" ht="15">
      <c r="A123" s="375"/>
      <c r="B123" s="380"/>
      <c r="C123" s="389">
        <v>100</v>
      </c>
      <c r="D123" s="389">
        <f t="shared" ref="D123:M123" si="26">C123-$K42</f>
        <v>100</v>
      </c>
      <c r="E123" s="389">
        <f t="shared" si="26"/>
        <v>100</v>
      </c>
      <c r="F123" s="389">
        <f t="shared" si="26"/>
        <v>100</v>
      </c>
      <c r="G123" s="389">
        <f t="shared" si="26"/>
        <v>100</v>
      </c>
      <c r="H123" s="389">
        <f t="shared" si="26"/>
        <v>100</v>
      </c>
      <c r="I123" s="389">
        <f t="shared" si="26"/>
        <v>100</v>
      </c>
      <c r="J123" s="389">
        <f t="shared" si="26"/>
        <v>100</v>
      </c>
      <c r="K123" s="389">
        <f t="shared" si="26"/>
        <v>100</v>
      </c>
      <c r="L123" s="389">
        <f t="shared" si="26"/>
        <v>100</v>
      </c>
      <c r="M123" s="466">
        <f t="shared" si="26"/>
        <v>100</v>
      </c>
      <c r="N123" s="450"/>
      <c r="O123" s="450"/>
      <c r="P123" s="448"/>
      <c r="Q123" s="437"/>
      <c r="R123" s="351"/>
      <c r="S123" s="351"/>
      <c r="T123" s="351"/>
      <c r="U123" s="351"/>
      <c r="V123" s="351"/>
      <c r="W123" s="351"/>
      <c r="X123" s="351"/>
      <c r="Y123" s="351"/>
      <c r="Z123" s="351"/>
      <c r="AA123" s="351"/>
      <c r="AB123" s="351"/>
      <c r="AC123" s="351"/>
    </row>
    <row r="124" spans="1:29" s="212" customFormat="1">
      <c r="A124" s="503"/>
      <c r="B124" s="390" t="s">
        <v>1065</v>
      </c>
      <c r="C124" s="2235"/>
      <c r="D124" s="2235"/>
      <c r="E124" s="2235"/>
      <c r="F124" s="2235"/>
      <c r="G124" s="2235"/>
      <c r="H124" s="379"/>
      <c r="I124" s="379"/>
      <c r="J124" s="379"/>
      <c r="K124" s="451"/>
      <c r="L124" s="452"/>
      <c r="M124" s="453"/>
      <c r="N124" s="459"/>
      <c r="O124" s="459"/>
      <c r="P124" s="460"/>
      <c r="Q124" s="485"/>
      <c r="R124" s="486"/>
      <c r="S124" s="486"/>
      <c r="T124" s="486"/>
      <c r="U124" s="486"/>
      <c r="V124" s="486"/>
      <c r="W124" s="486"/>
      <c r="X124" s="486"/>
      <c r="Y124" s="486"/>
      <c r="Z124" s="486"/>
      <c r="AA124" s="486"/>
      <c r="AB124" s="486"/>
      <c r="AC124" s="486"/>
    </row>
    <row r="125" spans="1:29" s="212" customFormat="1" ht="15">
      <c r="A125" s="384"/>
      <c r="B125" s="380"/>
      <c r="C125" s="389">
        <v>100</v>
      </c>
      <c r="D125" s="389">
        <f t="shared" ref="D125:M125" si="27">C125-$K43</f>
        <v>100</v>
      </c>
      <c r="E125" s="389">
        <f t="shared" si="27"/>
        <v>100</v>
      </c>
      <c r="F125" s="389">
        <f t="shared" si="27"/>
        <v>100</v>
      </c>
      <c r="G125" s="389">
        <f t="shared" si="27"/>
        <v>100</v>
      </c>
      <c r="H125" s="389">
        <f t="shared" si="27"/>
        <v>100</v>
      </c>
      <c r="I125" s="389">
        <f t="shared" si="27"/>
        <v>100</v>
      </c>
      <c r="J125" s="389">
        <f t="shared" si="27"/>
        <v>100</v>
      </c>
      <c r="K125" s="389">
        <f t="shared" si="27"/>
        <v>100</v>
      </c>
      <c r="L125" s="389">
        <f t="shared" si="27"/>
        <v>100</v>
      </c>
      <c r="M125" s="466">
        <f t="shared" si="27"/>
        <v>100</v>
      </c>
      <c r="N125" s="459"/>
      <c r="O125" s="459"/>
      <c r="P125" s="460"/>
      <c r="Q125" s="485"/>
      <c r="R125" s="486"/>
      <c r="S125" s="486"/>
      <c r="T125" s="486"/>
      <c r="U125" s="486"/>
      <c r="V125" s="486"/>
      <c r="W125" s="486"/>
      <c r="X125" s="486"/>
      <c r="Y125" s="486"/>
      <c r="Z125" s="486"/>
      <c r="AA125" s="486"/>
      <c r="AB125" s="486"/>
      <c r="AC125" s="486"/>
    </row>
    <row r="126" spans="1:29">
      <c r="A126" s="501"/>
      <c r="B126" s="378" t="s">
        <v>1066</v>
      </c>
      <c r="C126" s="385"/>
      <c r="D126" s="385"/>
      <c r="E126" s="379"/>
      <c r="F126" s="379"/>
      <c r="G126" s="379"/>
      <c r="H126" s="379"/>
      <c r="I126" s="379"/>
      <c r="J126" s="379"/>
      <c r="K126" s="451"/>
      <c r="L126" s="452"/>
      <c r="M126" s="453"/>
      <c r="N126" s="447"/>
      <c r="O126" s="447"/>
      <c r="P126" s="448"/>
      <c r="Q126" s="437"/>
      <c r="R126" s="351"/>
      <c r="S126" s="351"/>
      <c r="T126" s="351"/>
      <c r="U126" s="351"/>
      <c r="V126" s="351"/>
      <c r="W126" s="351"/>
      <c r="X126" s="351"/>
      <c r="Y126" s="351"/>
      <c r="Z126" s="351"/>
      <c r="AA126" s="351"/>
      <c r="AB126" s="351"/>
      <c r="AC126" s="351"/>
    </row>
    <row r="127" spans="1:29" ht="15">
      <c r="A127" s="375"/>
      <c r="B127" s="380"/>
      <c r="C127" s="389">
        <v>100</v>
      </c>
      <c r="D127" s="389">
        <f t="shared" ref="D127:M127" si="28">C127-$K44</f>
        <v>100</v>
      </c>
      <c r="E127" s="389">
        <f t="shared" si="28"/>
        <v>100</v>
      </c>
      <c r="F127" s="389">
        <f t="shared" si="28"/>
        <v>100</v>
      </c>
      <c r="G127" s="389">
        <f t="shared" si="28"/>
        <v>100</v>
      </c>
      <c r="H127" s="389">
        <f t="shared" si="28"/>
        <v>100</v>
      </c>
      <c r="I127" s="389">
        <f t="shared" si="28"/>
        <v>100</v>
      </c>
      <c r="J127" s="389">
        <f t="shared" si="28"/>
        <v>100</v>
      </c>
      <c r="K127" s="389">
        <f t="shared" si="28"/>
        <v>100</v>
      </c>
      <c r="L127" s="389">
        <f t="shared" si="28"/>
        <v>100</v>
      </c>
      <c r="M127" s="466">
        <f t="shared" si="28"/>
        <v>100</v>
      </c>
      <c r="N127" s="450"/>
      <c r="O127" s="450"/>
      <c r="P127" s="448"/>
      <c r="Q127" s="437"/>
      <c r="R127" s="351"/>
      <c r="S127" s="351"/>
      <c r="T127" s="351"/>
      <c r="U127" s="351"/>
      <c r="V127" s="351"/>
      <c r="W127" s="351"/>
      <c r="X127" s="351"/>
      <c r="Y127" s="351"/>
      <c r="Z127" s="351"/>
      <c r="AA127" s="351"/>
      <c r="AB127" s="351"/>
      <c r="AC127" s="351"/>
    </row>
    <row r="128" spans="1:29">
      <c r="A128" s="501"/>
      <c r="B128" s="378">
        <f>B45</f>
        <v>111</v>
      </c>
      <c r="C128" s="385"/>
      <c r="D128" s="385"/>
      <c r="E128" s="385"/>
      <c r="F128" s="385"/>
      <c r="G128" s="385"/>
      <c r="H128" s="379"/>
      <c r="I128" s="379"/>
      <c r="J128" s="379"/>
      <c r="K128" s="451"/>
      <c r="L128" s="452"/>
      <c r="M128" s="453"/>
      <c r="N128" s="447"/>
      <c r="O128" s="447"/>
      <c r="P128" s="448"/>
      <c r="Q128" s="437"/>
      <c r="R128" s="351"/>
      <c r="S128" s="351"/>
      <c r="T128" s="351"/>
      <c r="U128" s="351"/>
      <c r="V128" s="351"/>
      <c r="W128" s="351"/>
      <c r="X128" s="351"/>
      <c r="Y128" s="351"/>
      <c r="Z128" s="351"/>
      <c r="AA128" s="351"/>
      <c r="AB128" s="351"/>
      <c r="AC128" s="351"/>
    </row>
    <row r="129" spans="1:29" ht="15">
      <c r="A129" s="375"/>
      <c r="B129" s="380"/>
      <c r="C129" s="383"/>
      <c r="D129" s="383"/>
      <c r="E129" s="383"/>
      <c r="F129" s="383"/>
      <c r="G129" s="377"/>
      <c r="H129" s="377"/>
      <c r="I129" s="377"/>
      <c r="J129" s="377"/>
      <c r="K129" s="377"/>
      <c r="L129" s="377"/>
      <c r="M129" s="449"/>
      <c r="N129" s="450"/>
      <c r="O129" s="450"/>
      <c r="P129" s="448"/>
      <c r="Q129" s="437"/>
      <c r="R129" s="351"/>
      <c r="S129" s="351"/>
      <c r="T129" s="351"/>
      <c r="U129" s="351"/>
      <c r="V129" s="351"/>
      <c r="W129" s="351"/>
      <c r="X129" s="351"/>
      <c r="Y129" s="351"/>
      <c r="Z129" s="351"/>
      <c r="AA129" s="351"/>
      <c r="AB129" s="351"/>
      <c r="AC129" s="351"/>
    </row>
    <row r="130" spans="1:29">
      <c r="A130" s="501"/>
      <c r="B130" s="378">
        <f>B46</f>
        <v>111</v>
      </c>
      <c r="C130" s="370"/>
      <c r="D130" s="370"/>
      <c r="E130" s="370"/>
      <c r="F130" s="370"/>
      <c r="G130" s="379"/>
      <c r="H130" s="379"/>
      <c r="I130" s="379"/>
      <c r="J130" s="379"/>
      <c r="K130" s="451"/>
      <c r="L130" s="452"/>
      <c r="M130" s="453"/>
      <c r="N130" s="447"/>
      <c r="O130" s="447"/>
      <c r="P130" s="448"/>
      <c r="Q130" s="437"/>
      <c r="R130" s="351"/>
      <c r="S130" s="351"/>
      <c r="T130" s="351"/>
      <c r="U130" s="351"/>
      <c r="V130" s="351"/>
      <c r="W130" s="351"/>
      <c r="X130" s="351"/>
      <c r="Y130" s="351"/>
      <c r="Z130" s="351"/>
      <c r="AA130" s="351"/>
      <c r="AB130" s="351"/>
      <c r="AC130" s="351"/>
    </row>
    <row r="131" spans="1:29" ht="15">
      <c r="A131" s="375"/>
      <c r="B131" s="380"/>
      <c r="C131" s="574"/>
      <c r="D131" s="574"/>
      <c r="E131" s="574"/>
      <c r="F131" s="574"/>
      <c r="G131" s="377"/>
      <c r="H131" s="377"/>
      <c r="I131" s="377"/>
      <c r="J131" s="377"/>
      <c r="K131" s="377"/>
      <c r="L131" s="377"/>
      <c r="M131" s="449"/>
      <c r="N131" s="450"/>
      <c r="O131" s="450"/>
      <c r="P131" s="448"/>
      <c r="Q131" s="437"/>
      <c r="R131" s="351"/>
      <c r="S131" s="351"/>
      <c r="T131" s="351"/>
      <c r="U131" s="351"/>
      <c r="V131" s="351"/>
      <c r="W131" s="351"/>
      <c r="X131" s="351"/>
      <c r="Y131" s="351"/>
      <c r="Z131" s="351"/>
      <c r="AA131" s="351"/>
      <c r="AB131" s="351"/>
      <c r="AC131" s="351"/>
    </row>
    <row r="132" spans="1:29" s="212" customFormat="1">
      <c r="A132" s="503"/>
      <c r="B132" s="378">
        <f>B47</f>
        <v>111</v>
      </c>
      <c r="C132" s="370"/>
      <c r="D132" s="370"/>
      <c r="E132" s="370"/>
      <c r="F132" s="370"/>
      <c r="G132" s="386"/>
      <c r="H132" s="386"/>
      <c r="I132" s="386"/>
      <c r="J132" s="386"/>
      <c r="K132" s="386"/>
      <c r="L132" s="457"/>
      <c r="M132" s="458"/>
      <c r="N132" s="459"/>
      <c r="O132" s="459"/>
      <c r="P132" s="460"/>
      <c r="Q132" s="485"/>
      <c r="R132" s="486"/>
      <c r="S132" s="486"/>
      <c r="T132" s="486"/>
      <c r="U132" s="486"/>
      <c r="V132" s="486"/>
      <c r="W132" s="486"/>
      <c r="X132" s="486"/>
      <c r="Y132" s="486"/>
      <c r="Z132" s="486"/>
      <c r="AA132" s="486"/>
      <c r="AB132" s="486"/>
      <c r="AC132" s="486"/>
    </row>
    <row r="133" spans="1:29" s="212" customFormat="1" ht="15">
      <c r="A133" s="572"/>
      <c r="B133" s="2193"/>
      <c r="C133" s="574"/>
      <c r="D133" s="574"/>
      <c r="E133" s="574"/>
      <c r="F133" s="574"/>
      <c r="G133" s="578"/>
      <c r="H133" s="578"/>
      <c r="I133" s="578"/>
      <c r="J133" s="578"/>
      <c r="K133" s="578"/>
      <c r="L133" s="578"/>
      <c r="M133" s="587"/>
      <c r="N133" s="459"/>
      <c r="O133" s="459"/>
      <c r="P133" s="460"/>
      <c r="Q133" s="485"/>
      <c r="R133" s="486"/>
      <c r="S133" s="486"/>
      <c r="T133" s="486"/>
      <c r="U133" s="486"/>
      <c r="V133" s="486"/>
      <c r="W133" s="486"/>
      <c r="X133" s="486"/>
      <c r="Y133" s="486"/>
      <c r="Z133" s="486"/>
      <c r="AA133" s="486"/>
      <c r="AB133" s="486"/>
      <c r="AC133" s="486"/>
    </row>
    <row r="134" spans="1:29" s="2205" customFormat="1">
      <c r="A134" s="2242"/>
      <c r="B134" s="2242"/>
      <c r="C134" s="2242"/>
      <c r="D134" s="2242"/>
      <c r="E134" s="2242"/>
      <c r="F134" s="2242"/>
      <c r="G134" s="2242"/>
      <c r="H134" s="2242"/>
      <c r="I134" s="2242"/>
      <c r="J134" s="2242"/>
      <c r="K134" s="2243"/>
      <c r="L134" s="2244"/>
      <c r="M134" s="2242"/>
      <c r="N134" s="2242"/>
      <c r="O134" s="2242"/>
      <c r="P134" s="2242"/>
      <c r="Q134" s="2242"/>
      <c r="R134" s="2242"/>
      <c r="S134" s="2242"/>
      <c r="T134" s="2242"/>
      <c r="U134" s="2242"/>
      <c r="V134" s="2242"/>
      <c r="W134" s="2242"/>
      <c r="X134" s="2242"/>
      <c r="Y134" s="2242"/>
      <c r="Z134" s="2242"/>
      <c r="AA134" s="2242"/>
      <c r="AB134" s="2242"/>
      <c r="AC134" s="2242"/>
    </row>
    <row r="135" spans="1:29" s="2205" customFormat="1">
      <c r="A135" s="2242"/>
      <c r="B135" s="2242"/>
      <c r="C135" s="2242"/>
      <c r="D135" s="2242"/>
      <c r="E135" s="2242"/>
      <c r="F135" s="2242"/>
      <c r="G135" s="2242"/>
      <c r="H135" s="2242"/>
      <c r="I135" s="2242"/>
      <c r="J135" s="2242"/>
      <c r="K135" s="2243"/>
      <c r="L135" s="2244"/>
      <c r="M135" s="2242"/>
      <c r="N135" s="2242"/>
      <c r="O135" s="2242"/>
      <c r="P135" s="2242"/>
      <c r="Q135" s="2242"/>
      <c r="R135" s="2242"/>
      <c r="S135" s="2242"/>
      <c r="T135" s="2242"/>
      <c r="U135" s="2242"/>
      <c r="V135" s="2242"/>
      <c r="W135" s="2242"/>
      <c r="X135" s="2242"/>
      <c r="Y135" s="2242"/>
      <c r="Z135" s="2242"/>
      <c r="AA135" s="2242"/>
      <c r="AB135" s="2242"/>
      <c r="AC135" s="2242"/>
    </row>
    <row r="136" spans="1:29" s="2205" customFormat="1">
      <c r="A136" s="2242"/>
      <c r="B136" s="2242"/>
      <c r="C136" s="2242"/>
      <c r="D136" s="2242"/>
      <c r="E136" s="2242"/>
      <c r="F136" s="2242"/>
      <c r="G136" s="2242"/>
      <c r="H136" s="2242"/>
      <c r="I136" s="2242"/>
      <c r="J136" s="2242"/>
      <c r="K136" s="2243"/>
      <c r="L136" s="2244"/>
      <c r="M136" s="2242"/>
      <c r="N136" s="2242"/>
      <c r="O136" s="2242"/>
      <c r="P136" s="2242"/>
      <c r="Q136" s="2242"/>
      <c r="R136" s="2242"/>
      <c r="S136" s="2242"/>
      <c r="T136" s="2242"/>
      <c r="U136" s="2242"/>
      <c r="V136" s="2242"/>
      <c r="W136" s="2242"/>
      <c r="X136" s="2242"/>
      <c r="Y136" s="2242"/>
      <c r="Z136" s="2242"/>
      <c r="AA136" s="2242"/>
      <c r="AB136" s="2242"/>
      <c r="AC136" s="2242"/>
    </row>
    <row r="137" spans="1:29" s="2205" customFormat="1">
      <c r="A137" s="2242"/>
      <c r="B137" s="2242"/>
      <c r="C137" s="2242"/>
      <c r="D137" s="2242"/>
      <c r="E137" s="2242"/>
      <c r="F137" s="2242"/>
      <c r="G137" s="2242"/>
      <c r="H137" s="2242"/>
      <c r="I137" s="2242"/>
      <c r="J137" s="2242"/>
      <c r="K137" s="2243"/>
      <c r="L137" s="2244"/>
      <c r="M137" s="2242"/>
      <c r="N137" s="2242"/>
      <c r="O137" s="2242"/>
      <c r="P137" s="2242"/>
      <c r="Q137" s="2242"/>
      <c r="R137" s="2242"/>
      <c r="S137" s="2242"/>
      <c r="T137" s="2242"/>
      <c r="U137" s="2242"/>
      <c r="V137" s="2242"/>
      <c r="W137" s="2242"/>
      <c r="X137" s="2242"/>
      <c r="Y137" s="2242"/>
      <c r="Z137" s="2242"/>
      <c r="AA137" s="2242"/>
      <c r="AB137" s="2242"/>
      <c r="AC137" s="2242"/>
    </row>
    <row r="138" spans="1:29" s="2205" customFormat="1">
      <c r="A138" s="2242"/>
      <c r="B138" s="2242"/>
      <c r="C138" s="2242"/>
      <c r="D138" s="2242"/>
      <c r="E138" s="2242"/>
      <c r="F138" s="2242"/>
      <c r="G138" s="2242"/>
      <c r="H138" s="2242"/>
      <c r="I138" s="2242"/>
      <c r="J138" s="2242"/>
      <c r="K138" s="2243"/>
      <c r="L138" s="2244"/>
      <c r="M138" s="2242"/>
      <c r="N138" s="2242"/>
      <c r="O138" s="2242"/>
      <c r="P138" s="2242"/>
      <c r="Q138" s="2242"/>
      <c r="R138" s="2242"/>
      <c r="S138" s="2242"/>
      <c r="T138" s="2242"/>
      <c r="U138" s="2242"/>
      <c r="V138" s="2242"/>
      <c r="W138" s="2242"/>
      <c r="X138" s="2242"/>
      <c r="Y138" s="2242"/>
      <c r="Z138" s="2242"/>
      <c r="AA138" s="2242"/>
      <c r="AB138" s="2242"/>
      <c r="AC138" s="2242"/>
    </row>
    <row r="139" spans="1:29" s="2205" customFormat="1">
      <c r="A139" s="2242"/>
      <c r="B139" s="2242"/>
      <c r="C139" s="2242"/>
      <c r="D139" s="2242"/>
      <c r="E139" s="2242"/>
      <c r="F139" s="2242"/>
      <c r="G139" s="2242"/>
      <c r="H139" s="2242"/>
      <c r="I139" s="2242"/>
      <c r="J139" s="2242"/>
      <c r="K139" s="2243"/>
      <c r="L139" s="2244"/>
      <c r="M139" s="2242"/>
      <c r="N139" s="2242"/>
      <c r="O139" s="2242"/>
      <c r="P139" s="2242"/>
      <c r="Q139" s="2242"/>
      <c r="R139" s="2242"/>
      <c r="S139" s="2242"/>
      <c r="T139" s="2242"/>
      <c r="U139" s="2242"/>
      <c r="V139" s="2242"/>
      <c r="W139" s="2242"/>
      <c r="X139" s="2242"/>
      <c r="Y139" s="2242"/>
      <c r="Z139" s="2242"/>
      <c r="AA139" s="2242"/>
      <c r="AB139" s="2242"/>
      <c r="AC139" s="2242"/>
    </row>
    <row r="140" spans="1:29" s="2205" customFormat="1">
      <c r="A140" s="2242"/>
      <c r="B140" s="2242"/>
      <c r="C140" s="2242"/>
      <c r="D140" s="2242"/>
      <c r="E140" s="2242"/>
      <c r="F140" s="2242"/>
      <c r="G140" s="2242"/>
      <c r="H140" s="2242"/>
      <c r="I140" s="2242"/>
      <c r="J140" s="2242"/>
      <c r="K140" s="2243"/>
      <c r="L140" s="2244"/>
      <c r="M140" s="2242"/>
      <c r="N140" s="2242"/>
      <c r="O140" s="2242"/>
      <c r="P140" s="2242"/>
      <c r="Q140" s="2242"/>
      <c r="R140" s="2242"/>
      <c r="S140" s="2242"/>
      <c r="T140" s="2242"/>
      <c r="U140" s="2242"/>
      <c r="V140" s="2242"/>
      <c r="W140" s="2242"/>
      <c r="X140" s="2242"/>
      <c r="Y140" s="2242"/>
      <c r="Z140" s="2242"/>
      <c r="AA140" s="2242"/>
      <c r="AB140" s="2242"/>
      <c r="AC140" s="2242"/>
    </row>
    <row r="141" spans="1:29" s="2205" customFormat="1">
      <c r="A141" s="2242"/>
      <c r="B141" s="2242"/>
      <c r="C141" s="2242"/>
      <c r="D141" s="2242"/>
      <c r="E141" s="2242"/>
      <c r="F141" s="2242"/>
      <c r="G141" s="2242"/>
      <c r="H141" s="2242"/>
      <c r="I141" s="2242"/>
      <c r="J141" s="2242"/>
      <c r="K141" s="2243"/>
      <c r="L141" s="2244"/>
      <c r="M141" s="2242"/>
      <c r="N141" s="2242"/>
      <c r="O141" s="2242"/>
      <c r="P141" s="2242"/>
      <c r="Q141" s="2242"/>
      <c r="R141" s="2242"/>
      <c r="S141" s="2242"/>
      <c r="T141" s="2242"/>
      <c r="U141" s="2242"/>
      <c r="V141" s="2242"/>
      <c r="W141" s="2242"/>
      <c r="X141" s="2242"/>
      <c r="Y141" s="2242"/>
      <c r="Z141" s="2242"/>
      <c r="AA141" s="2242"/>
      <c r="AB141" s="2242"/>
      <c r="AC141" s="2242"/>
    </row>
    <row r="142" spans="1:29" s="2205" customFormat="1">
      <c r="A142" s="2242"/>
      <c r="B142" s="2242"/>
      <c r="C142" s="2242"/>
      <c r="D142" s="2242"/>
      <c r="E142" s="2242"/>
      <c r="F142" s="2242"/>
      <c r="G142" s="2242"/>
      <c r="H142" s="2242"/>
      <c r="I142" s="2242"/>
      <c r="J142" s="2242"/>
      <c r="K142" s="2243"/>
      <c r="L142" s="2244"/>
      <c r="M142" s="2242"/>
      <c r="N142" s="2242"/>
      <c r="O142" s="2242"/>
      <c r="P142" s="2242"/>
      <c r="Q142" s="2242"/>
      <c r="R142" s="2242"/>
      <c r="S142" s="2242"/>
      <c r="T142" s="2242"/>
      <c r="U142" s="2242"/>
      <c r="V142" s="2242"/>
      <c r="W142" s="2242"/>
      <c r="X142" s="2242"/>
      <c r="Y142" s="2242"/>
      <c r="Z142" s="2242"/>
      <c r="AA142" s="2242"/>
      <c r="AB142" s="2242"/>
      <c r="AC142" s="2242"/>
    </row>
    <row r="143" spans="1:29" s="2205" customFormat="1">
      <c r="A143" s="2242"/>
      <c r="B143" s="2242"/>
      <c r="C143" s="2242"/>
      <c r="D143" s="2242"/>
      <c r="E143" s="2242"/>
      <c r="F143" s="2242"/>
      <c r="G143" s="2242"/>
      <c r="H143" s="2242"/>
      <c r="I143" s="2242"/>
      <c r="J143" s="2242"/>
      <c r="K143" s="2243"/>
      <c r="L143" s="2244"/>
      <c r="M143" s="2242"/>
      <c r="N143" s="2242"/>
      <c r="O143" s="2242"/>
      <c r="P143" s="2242"/>
      <c r="Q143" s="2242"/>
      <c r="R143" s="2242"/>
      <c r="S143" s="2242"/>
      <c r="T143" s="2242"/>
      <c r="U143" s="2242"/>
      <c r="V143" s="2242"/>
      <c r="W143" s="2242"/>
      <c r="X143" s="2242"/>
      <c r="Y143" s="2242"/>
      <c r="Z143" s="2242"/>
      <c r="AA143" s="2242"/>
      <c r="AB143" s="2242"/>
      <c r="AC143" s="2242"/>
    </row>
    <row r="144" spans="1:29" s="2205" customFormat="1">
      <c r="A144" s="2242"/>
      <c r="B144" s="2242"/>
      <c r="C144" s="2242"/>
      <c r="D144" s="2242"/>
      <c r="E144" s="2242"/>
      <c r="F144" s="2242"/>
      <c r="G144" s="2242"/>
      <c r="H144" s="2242"/>
      <c r="I144" s="2242"/>
      <c r="J144" s="2242"/>
      <c r="K144" s="2243"/>
      <c r="L144" s="2244"/>
      <c r="M144" s="2242"/>
      <c r="N144" s="2242"/>
      <c r="O144" s="2242"/>
      <c r="P144" s="2242"/>
      <c r="Q144" s="2242"/>
      <c r="R144" s="2242"/>
      <c r="S144" s="2242"/>
      <c r="T144" s="2242"/>
      <c r="U144" s="2242"/>
      <c r="V144" s="2242"/>
      <c r="W144" s="2242"/>
      <c r="X144" s="2242"/>
      <c r="Y144" s="2242"/>
      <c r="Z144" s="2242"/>
      <c r="AA144" s="2242"/>
      <c r="AB144" s="2242"/>
      <c r="AC144" s="2242"/>
    </row>
    <row r="145" spans="1:29" s="2205" customFormat="1">
      <c r="A145" s="2242"/>
      <c r="B145" s="2242"/>
      <c r="C145" s="2242"/>
      <c r="D145" s="2242"/>
      <c r="E145" s="2242"/>
      <c r="F145" s="2242"/>
      <c r="G145" s="2242"/>
      <c r="H145" s="2242"/>
      <c r="I145" s="2242"/>
      <c r="J145" s="2242"/>
      <c r="K145" s="2243"/>
      <c r="L145" s="2244"/>
      <c r="M145" s="2242"/>
      <c r="N145" s="2242"/>
      <c r="O145" s="2242"/>
      <c r="P145" s="2242"/>
      <c r="Q145" s="2242"/>
      <c r="R145" s="2242"/>
      <c r="S145" s="2242"/>
      <c r="T145" s="2242"/>
      <c r="U145" s="2242"/>
      <c r="V145" s="2242"/>
      <c r="W145" s="2242"/>
      <c r="X145" s="2242"/>
      <c r="Y145" s="2242"/>
      <c r="Z145" s="2242"/>
      <c r="AA145" s="2242"/>
      <c r="AB145" s="2242"/>
      <c r="AC145" s="2242"/>
    </row>
    <row r="146" spans="1:29" s="2205" customFormat="1">
      <c r="A146" s="2242"/>
      <c r="B146" s="2242"/>
      <c r="C146" s="2242"/>
      <c r="D146" s="2242"/>
      <c r="E146" s="2242"/>
      <c r="F146" s="2242"/>
      <c r="G146" s="2242"/>
      <c r="H146" s="2242"/>
      <c r="I146" s="2242"/>
      <c r="J146" s="2242"/>
      <c r="K146" s="2243"/>
      <c r="L146" s="2244"/>
      <c r="M146" s="2242"/>
      <c r="N146" s="2242"/>
      <c r="O146" s="2242"/>
      <c r="P146" s="2242"/>
      <c r="Q146" s="2242"/>
      <c r="R146" s="2242"/>
      <c r="S146" s="2242"/>
      <c r="T146" s="2242"/>
      <c r="U146" s="2242"/>
      <c r="V146" s="2242"/>
      <c r="W146" s="2242"/>
      <c r="X146" s="2242"/>
      <c r="Y146" s="2242"/>
      <c r="Z146" s="2242"/>
      <c r="AA146" s="2242"/>
      <c r="AB146" s="2242"/>
      <c r="AC146" s="2242"/>
    </row>
    <row r="147" spans="1:29" s="2205" customFormat="1">
      <c r="A147" s="2242"/>
      <c r="B147" s="2242"/>
      <c r="C147" s="2242"/>
      <c r="D147" s="2242"/>
      <c r="E147" s="2242"/>
      <c r="F147" s="2242"/>
      <c r="G147" s="2242"/>
      <c r="H147" s="2242"/>
      <c r="I147" s="2242"/>
      <c r="J147" s="2242"/>
      <c r="K147" s="2243"/>
      <c r="L147" s="2244"/>
      <c r="M147" s="2242"/>
      <c r="N147" s="2242"/>
      <c r="O147" s="2242"/>
      <c r="P147" s="2242"/>
      <c r="Q147" s="2242"/>
      <c r="R147" s="2242"/>
      <c r="S147" s="2242"/>
      <c r="T147" s="2242"/>
      <c r="U147" s="2242"/>
      <c r="V147" s="2242"/>
      <c r="W147" s="2242"/>
      <c r="X147" s="2242"/>
      <c r="Y147" s="2242"/>
      <c r="Z147" s="2242"/>
      <c r="AA147" s="2242"/>
      <c r="AB147" s="2242"/>
      <c r="AC147" s="2242"/>
    </row>
    <row r="148" spans="1:29" s="2205" customFormat="1">
      <c r="A148" s="2242"/>
      <c r="B148" s="2242"/>
      <c r="C148" s="2242"/>
      <c r="D148" s="2242"/>
      <c r="E148" s="2242"/>
      <c r="F148" s="2242"/>
      <c r="G148" s="2242"/>
      <c r="H148" s="2242"/>
      <c r="I148" s="2242"/>
      <c r="J148" s="2242"/>
      <c r="K148" s="2243"/>
      <c r="L148" s="2244"/>
      <c r="M148" s="2242"/>
      <c r="N148" s="2242"/>
      <c r="O148" s="2242"/>
      <c r="P148" s="2242"/>
      <c r="Q148" s="2242"/>
      <c r="R148" s="2242"/>
      <c r="S148" s="2242"/>
      <c r="T148" s="2242"/>
      <c r="U148" s="2242"/>
      <c r="V148" s="2242"/>
      <c r="W148" s="2242"/>
      <c r="X148" s="2242"/>
      <c r="Y148" s="2242"/>
      <c r="Z148" s="2242"/>
      <c r="AA148" s="2242"/>
      <c r="AB148" s="2242"/>
      <c r="AC148" s="2242"/>
    </row>
    <row r="149" spans="1:29" s="2205" customFormat="1">
      <c r="A149" s="2242"/>
      <c r="B149" s="2242"/>
      <c r="C149" s="2242"/>
      <c r="D149" s="2242"/>
      <c r="E149" s="2242"/>
      <c r="F149" s="2242"/>
      <c r="G149" s="2242"/>
      <c r="H149" s="2242"/>
      <c r="I149" s="2242"/>
      <c r="J149" s="2242"/>
      <c r="K149" s="2243"/>
      <c r="L149" s="2244"/>
      <c r="M149" s="2242"/>
      <c r="N149" s="2242"/>
      <c r="O149" s="2242"/>
      <c r="P149" s="2242"/>
      <c r="Q149" s="2242"/>
      <c r="R149" s="2242"/>
      <c r="S149" s="2242"/>
      <c r="T149" s="2242"/>
      <c r="U149" s="2242"/>
      <c r="V149" s="2242"/>
      <c r="W149" s="2242"/>
      <c r="X149" s="2242"/>
      <c r="Y149" s="2242"/>
      <c r="Z149" s="2242"/>
      <c r="AA149" s="2242"/>
      <c r="AB149" s="2242"/>
      <c r="AC149" s="2242"/>
    </row>
    <row r="150" spans="1:29" s="2205" customFormat="1">
      <c r="A150" s="2242"/>
      <c r="B150" s="2242"/>
      <c r="C150" s="2242"/>
      <c r="D150" s="2242"/>
      <c r="E150" s="2242"/>
      <c r="F150" s="2242"/>
      <c r="G150" s="2242"/>
      <c r="H150" s="2242"/>
      <c r="I150" s="2242"/>
      <c r="J150" s="2242"/>
      <c r="K150" s="2243"/>
      <c r="L150" s="2244"/>
      <c r="M150" s="2242"/>
      <c r="N150" s="2242"/>
      <c r="O150" s="2242"/>
      <c r="P150" s="2242"/>
      <c r="Q150" s="2242"/>
      <c r="R150" s="2242"/>
      <c r="S150" s="2242"/>
      <c r="T150" s="2242"/>
      <c r="U150" s="2242"/>
      <c r="V150" s="2242"/>
      <c r="W150" s="2242"/>
      <c r="X150" s="2242"/>
      <c r="Y150" s="2242"/>
      <c r="Z150" s="2242"/>
      <c r="AA150" s="2242"/>
      <c r="AB150" s="2242"/>
      <c r="AC150" s="2242"/>
    </row>
    <row r="151" spans="1:29" s="2205" customFormat="1">
      <c r="A151" s="2242"/>
      <c r="B151" s="2242"/>
      <c r="C151" s="2242"/>
      <c r="D151" s="2242"/>
      <c r="E151" s="2242"/>
      <c r="F151" s="2242"/>
      <c r="G151" s="2242"/>
      <c r="H151" s="2242"/>
      <c r="I151" s="2242"/>
      <c r="J151" s="2242"/>
      <c r="K151" s="2243"/>
      <c r="L151" s="2244"/>
      <c r="M151" s="2242"/>
      <c r="N151" s="2242"/>
      <c r="O151" s="2242"/>
      <c r="P151" s="2242"/>
      <c r="Q151" s="2242"/>
      <c r="R151" s="2242"/>
      <c r="S151" s="2242"/>
      <c r="T151" s="2242"/>
      <c r="U151" s="2242"/>
      <c r="V151" s="2242"/>
      <c r="W151" s="2242"/>
      <c r="X151" s="2242"/>
      <c r="Y151" s="2242"/>
      <c r="Z151" s="2242"/>
      <c r="AA151" s="2242"/>
      <c r="AB151" s="2242"/>
      <c r="AC151" s="2242"/>
    </row>
    <row r="152" spans="1:29" s="2205" customFormat="1">
      <c r="A152" s="2242"/>
      <c r="B152" s="2242"/>
      <c r="C152" s="2242"/>
      <c r="D152" s="2242"/>
      <c r="E152" s="2242"/>
      <c r="F152" s="2242"/>
      <c r="G152" s="2242"/>
      <c r="H152" s="2242"/>
      <c r="I152" s="2242"/>
      <c r="J152" s="2242"/>
      <c r="K152" s="2243"/>
      <c r="L152" s="2244"/>
      <c r="M152" s="2242"/>
      <c r="N152" s="2242"/>
      <c r="O152" s="2242"/>
      <c r="P152" s="2242"/>
      <c r="Q152" s="2242"/>
      <c r="R152" s="2242"/>
      <c r="S152" s="2242"/>
      <c r="T152" s="2242"/>
      <c r="U152" s="2242"/>
      <c r="V152" s="2242"/>
      <c r="W152" s="2242"/>
      <c r="X152" s="2242"/>
      <c r="Y152" s="2242"/>
      <c r="Z152" s="2242"/>
      <c r="AA152" s="2242"/>
      <c r="AB152" s="2242"/>
      <c r="AC152" s="2242"/>
    </row>
    <row r="153" spans="1:29" s="2205" customFormat="1">
      <c r="A153" s="2242"/>
      <c r="B153" s="2242"/>
      <c r="C153" s="2242"/>
      <c r="D153" s="2242"/>
      <c r="E153" s="2242"/>
      <c r="F153" s="2242"/>
      <c r="G153" s="2242"/>
      <c r="H153" s="2242"/>
      <c r="I153" s="2242"/>
      <c r="J153" s="2242"/>
      <c r="K153" s="2243"/>
      <c r="L153" s="2244"/>
      <c r="M153" s="2242"/>
      <c r="N153" s="2242"/>
      <c r="O153" s="2242"/>
      <c r="P153" s="2242"/>
      <c r="Q153" s="2242"/>
      <c r="R153" s="2242"/>
      <c r="S153" s="2242"/>
      <c r="T153" s="2242"/>
      <c r="U153" s="2242"/>
      <c r="V153" s="2242"/>
      <c r="W153" s="2242"/>
      <c r="X153" s="2242"/>
      <c r="Y153" s="2242"/>
      <c r="Z153" s="2242"/>
      <c r="AA153" s="2242"/>
      <c r="AB153" s="2242"/>
      <c r="AC153" s="2242"/>
    </row>
    <row r="154" spans="1:29" s="2205" customFormat="1">
      <c r="A154" s="2242"/>
      <c r="B154" s="2242"/>
      <c r="C154" s="2242"/>
      <c r="D154" s="2242"/>
      <c r="E154" s="2242"/>
      <c r="F154" s="2242"/>
      <c r="G154" s="2242"/>
      <c r="H154" s="2242"/>
      <c r="I154" s="2242"/>
      <c r="J154" s="2242"/>
      <c r="K154" s="2243"/>
      <c r="L154" s="2244"/>
      <c r="M154" s="2242"/>
      <c r="N154" s="2242"/>
      <c r="O154" s="2242"/>
      <c r="P154" s="2242"/>
      <c r="Q154" s="2242"/>
      <c r="R154" s="2242"/>
      <c r="S154" s="2242"/>
      <c r="T154" s="2242"/>
      <c r="U154" s="2242"/>
      <c r="V154" s="2242"/>
      <c r="W154" s="2242"/>
      <c r="X154" s="2242"/>
      <c r="Y154" s="2242"/>
      <c r="Z154" s="2242"/>
      <c r="AA154" s="2242"/>
      <c r="AB154" s="2242"/>
      <c r="AC154" s="2242"/>
    </row>
    <row r="155" spans="1:29" s="2205" customFormat="1">
      <c r="A155" s="2242"/>
      <c r="B155" s="2242"/>
      <c r="C155" s="2242"/>
      <c r="D155" s="2242"/>
      <c r="E155" s="2242"/>
      <c r="F155" s="2242"/>
      <c r="G155" s="2242"/>
      <c r="H155" s="2242"/>
      <c r="I155" s="2242"/>
      <c r="J155" s="2242"/>
      <c r="K155" s="2243"/>
      <c r="L155" s="2244"/>
      <c r="M155" s="2242"/>
      <c r="N155" s="2242"/>
      <c r="O155" s="2242"/>
      <c r="P155" s="2242"/>
      <c r="Q155" s="2242"/>
      <c r="R155" s="2242"/>
      <c r="S155" s="2242"/>
      <c r="T155" s="2242"/>
      <c r="U155" s="2242"/>
      <c r="V155" s="2242"/>
      <c r="W155" s="2242"/>
      <c r="X155" s="2242"/>
      <c r="Y155" s="2242"/>
      <c r="Z155" s="2242"/>
      <c r="AA155" s="2242"/>
      <c r="AB155" s="2242"/>
      <c r="AC155" s="2242"/>
    </row>
    <row r="156" spans="1:29" s="2205" customFormat="1">
      <c r="A156" s="2242"/>
      <c r="B156" s="2242"/>
      <c r="C156" s="2242"/>
      <c r="D156" s="2242"/>
      <c r="E156" s="2242"/>
      <c r="F156" s="2242"/>
      <c r="G156" s="2242"/>
      <c r="H156" s="2242"/>
      <c r="I156" s="2242"/>
      <c r="J156" s="2242"/>
      <c r="K156" s="2243"/>
      <c r="L156" s="2244"/>
      <c r="M156" s="2242"/>
      <c r="N156" s="2242"/>
      <c r="O156" s="2242"/>
      <c r="P156" s="2242"/>
      <c r="Q156" s="2242"/>
      <c r="R156" s="2242"/>
      <c r="S156" s="2242"/>
      <c r="T156" s="2242"/>
      <c r="U156" s="2242"/>
      <c r="V156" s="2242"/>
      <c r="W156" s="2242"/>
      <c r="X156" s="2242"/>
      <c r="Y156" s="2242"/>
      <c r="Z156" s="2242"/>
      <c r="AA156" s="2242"/>
      <c r="AB156" s="2242"/>
      <c r="AC156" s="2242"/>
    </row>
    <row r="157" spans="1:29" s="2205" customFormat="1">
      <c r="A157" s="2242"/>
      <c r="B157" s="2242"/>
      <c r="C157" s="2242"/>
      <c r="D157" s="2242"/>
      <c r="E157" s="2242"/>
      <c r="F157" s="2242"/>
      <c r="G157" s="2242"/>
      <c r="H157" s="2242"/>
      <c r="I157" s="2242"/>
      <c r="J157" s="2242"/>
      <c r="K157" s="2243"/>
      <c r="L157" s="2244"/>
      <c r="M157" s="2242"/>
      <c r="N157" s="2242"/>
      <c r="O157" s="2242"/>
      <c r="P157" s="2242"/>
      <c r="Q157" s="2242"/>
      <c r="R157" s="2242"/>
      <c r="S157" s="2242"/>
      <c r="T157" s="2242"/>
      <c r="U157" s="2242"/>
      <c r="V157" s="2242"/>
      <c r="W157" s="2242"/>
      <c r="X157" s="2242"/>
      <c r="Y157" s="2242"/>
      <c r="Z157" s="2242"/>
      <c r="AA157" s="2242"/>
      <c r="AB157" s="2242"/>
      <c r="AC157" s="2242"/>
    </row>
    <row r="158" spans="1:29" s="2205" customFormat="1">
      <c r="A158" s="2242"/>
      <c r="B158" s="2242"/>
      <c r="C158" s="2242"/>
      <c r="D158" s="2242"/>
      <c r="E158" s="2242"/>
      <c r="F158" s="2242"/>
      <c r="G158" s="2242"/>
      <c r="H158" s="2242"/>
      <c r="I158" s="2242"/>
      <c r="J158" s="2242"/>
      <c r="K158" s="2243"/>
      <c r="L158" s="2244"/>
      <c r="M158" s="2242"/>
      <c r="N158" s="2242"/>
      <c r="O158" s="2242"/>
      <c r="P158" s="2242"/>
      <c r="Q158" s="2242"/>
      <c r="R158" s="2242"/>
      <c r="S158" s="2242"/>
      <c r="T158" s="2242"/>
      <c r="U158" s="2242"/>
      <c r="V158" s="2242"/>
      <c r="W158" s="2242"/>
      <c r="X158" s="2242"/>
      <c r="Y158" s="2242"/>
      <c r="Z158" s="2242"/>
      <c r="AA158" s="2242"/>
      <c r="AB158" s="2242"/>
      <c r="AC158" s="2242"/>
    </row>
    <row r="159" spans="1:29" s="2205" customFormat="1">
      <c r="A159" s="2242"/>
      <c r="B159" s="2242"/>
      <c r="C159" s="2242"/>
      <c r="D159" s="2242"/>
      <c r="E159" s="2242"/>
      <c r="F159" s="2242"/>
      <c r="G159" s="2242"/>
      <c r="H159" s="2242"/>
      <c r="I159" s="2242"/>
      <c r="J159" s="2242"/>
      <c r="K159" s="2243"/>
      <c r="L159" s="2244"/>
      <c r="M159" s="2242"/>
      <c r="N159" s="2242"/>
      <c r="O159" s="2242"/>
      <c r="P159" s="2242"/>
      <c r="Q159" s="2242"/>
      <c r="R159" s="2242"/>
      <c r="S159" s="2242"/>
      <c r="T159" s="2242"/>
      <c r="U159" s="2242"/>
      <c r="V159" s="2242"/>
      <c r="W159" s="2242"/>
      <c r="X159" s="2242"/>
      <c r="Y159" s="2242"/>
      <c r="Z159" s="2242"/>
      <c r="AA159" s="2242"/>
      <c r="AB159" s="2242"/>
      <c r="AC159" s="2242"/>
    </row>
    <row r="160" spans="1:29" s="2205" customFormat="1">
      <c r="A160" s="2242"/>
      <c r="B160" s="2242"/>
      <c r="C160" s="2242"/>
      <c r="D160" s="2242"/>
      <c r="E160" s="2242"/>
      <c r="F160" s="2242"/>
      <c r="G160" s="2242"/>
      <c r="H160" s="2242"/>
      <c r="I160" s="2242"/>
      <c r="J160" s="2242"/>
      <c r="K160" s="2243"/>
      <c r="L160" s="2244"/>
      <c r="M160" s="2242"/>
      <c r="N160" s="2242"/>
      <c r="O160" s="2242"/>
      <c r="P160" s="2242"/>
      <c r="Q160" s="2242"/>
      <c r="R160" s="2242"/>
      <c r="S160" s="2242"/>
      <c r="T160" s="2242"/>
      <c r="U160" s="2242"/>
      <c r="V160" s="2242"/>
      <c r="W160" s="2242"/>
      <c r="X160" s="2242"/>
      <c r="Y160" s="2242"/>
      <c r="Z160" s="2242"/>
      <c r="AA160" s="2242"/>
      <c r="AB160" s="2242"/>
      <c r="AC160" s="2242"/>
    </row>
    <row r="161" spans="1:29" s="2205" customFormat="1">
      <c r="A161" s="2242"/>
      <c r="B161" s="2242"/>
      <c r="C161" s="2242"/>
      <c r="D161" s="2242"/>
      <c r="E161" s="2242"/>
      <c r="F161" s="2242"/>
      <c r="G161" s="2242"/>
      <c r="H161" s="2242"/>
      <c r="I161" s="2242"/>
      <c r="J161" s="2242"/>
      <c r="K161" s="2243"/>
      <c r="L161" s="2244"/>
      <c r="M161" s="2242"/>
      <c r="N161" s="2242"/>
      <c r="O161" s="2242"/>
      <c r="P161" s="2242"/>
      <c r="Q161" s="2242"/>
      <c r="R161" s="2242"/>
      <c r="S161" s="2242"/>
      <c r="T161" s="2242"/>
      <c r="U161" s="2242"/>
      <c r="V161" s="2242"/>
      <c r="W161" s="2242"/>
      <c r="X161" s="2242"/>
      <c r="Y161" s="2242"/>
      <c r="Z161" s="2242"/>
      <c r="AA161" s="2242"/>
      <c r="AB161" s="2242"/>
      <c r="AC161" s="2242"/>
    </row>
    <row r="162" spans="1:29" s="2205" customFormat="1">
      <c r="A162" s="2242"/>
      <c r="B162" s="2242"/>
      <c r="C162" s="2242"/>
      <c r="D162" s="2242"/>
      <c r="E162" s="2242"/>
      <c r="F162" s="2242"/>
      <c r="G162" s="2242"/>
      <c r="H162" s="2242"/>
      <c r="I162" s="2242"/>
      <c r="J162" s="2242"/>
      <c r="K162" s="2243"/>
      <c r="L162" s="2244"/>
      <c r="M162" s="2242"/>
      <c r="N162" s="2242"/>
      <c r="O162" s="2242"/>
      <c r="P162" s="2242"/>
      <c r="Q162" s="2242"/>
      <c r="R162" s="2242"/>
      <c r="S162" s="2242"/>
      <c r="T162" s="2242"/>
      <c r="U162" s="2242"/>
      <c r="V162" s="2242"/>
      <c r="W162" s="2242"/>
      <c r="X162" s="2242"/>
      <c r="Y162" s="2242"/>
      <c r="Z162" s="2242"/>
      <c r="AA162" s="2242"/>
      <c r="AB162" s="2242"/>
      <c r="AC162" s="2242"/>
    </row>
    <row r="163" spans="1:29" s="2205" customFormat="1">
      <c r="A163" s="2242"/>
      <c r="B163" s="2242"/>
      <c r="C163" s="2242"/>
      <c r="D163" s="2242"/>
      <c r="E163" s="2242"/>
      <c r="F163" s="2242"/>
      <c r="G163" s="2242"/>
      <c r="H163" s="2242"/>
      <c r="I163" s="2242"/>
      <c r="J163" s="2242"/>
      <c r="K163" s="2243"/>
      <c r="L163" s="2244"/>
      <c r="M163" s="2242"/>
      <c r="N163" s="2242"/>
      <c r="O163" s="2242"/>
      <c r="P163" s="2242"/>
      <c r="Q163" s="2242"/>
      <c r="R163" s="2242"/>
      <c r="S163" s="2242"/>
      <c r="T163" s="2242"/>
      <c r="U163" s="2242"/>
      <c r="V163" s="2242"/>
      <c r="W163" s="2242"/>
      <c r="X163" s="2242"/>
      <c r="Y163" s="2242"/>
      <c r="Z163" s="2242"/>
      <c r="AA163" s="2242"/>
      <c r="AB163" s="2242"/>
      <c r="AC163" s="2242"/>
    </row>
    <row r="164" spans="1:29" s="2205" customFormat="1">
      <c r="A164" s="2242"/>
      <c r="B164" s="2242"/>
      <c r="C164" s="2242"/>
      <c r="D164" s="2242"/>
      <c r="E164" s="2242"/>
      <c r="F164" s="2242"/>
      <c r="G164" s="2242"/>
      <c r="H164" s="2242"/>
      <c r="I164" s="2242"/>
      <c r="J164" s="2242"/>
      <c r="K164" s="2243"/>
      <c r="L164" s="2244"/>
      <c r="M164" s="2242"/>
      <c r="N164" s="2242"/>
      <c r="O164" s="2242"/>
      <c r="P164" s="2242"/>
      <c r="Q164" s="2242"/>
      <c r="R164" s="2242"/>
      <c r="S164" s="2242"/>
      <c r="T164" s="2242"/>
      <c r="U164" s="2242"/>
      <c r="V164" s="2242"/>
      <c r="W164" s="2242"/>
      <c r="X164" s="2242"/>
      <c r="Y164" s="2242"/>
      <c r="Z164" s="2242"/>
      <c r="AA164" s="2242"/>
      <c r="AB164" s="2242"/>
      <c r="AC164" s="2242"/>
    </row>
    <row r="165" spans="1:29" s="2205" customFormat="1">
      <c r="A165" s="2242"/>
      <c r="B165" s="2242"/>
      <c r="C165" s="2242"/>
      <c r="D165" s="2242"/>
      <c r="E165" s="2242"/>
      <c r="F165" s="2242"/>
      <c r="G165" s="2242"/>
      <c r="H165" s="2242"/>
      <c r="I165" s="2242"/>
      <c r="J165" s="2242"/>
      <c r="K165" s="2243"/>
      <c r="L165" s="2244"/>
      <c r="M165" s="2242"/>
      <c r="N165" s="2242"/>
      <c r="O165" s="2242"/>
      <c r="P165" s="2242"/>
      <c r="Q165" s="2242"/>
      <c r="R165" s="2242"/>
      <c r="S165" s="2242"/>
      <c r="T165" s="2242"/>
      <c r="U165" s="2242"/>
      <c r="V165" s="2242"/>
      <c r="W165" s="2242"/>
      <c r="X165" s="2242"/>
      <c r="Y165" s="2242"/>
      <c r="Z165" s="2242"/>
      <c r="AA165" s="2242"/>
      <c r="AB165" s="2242"/>
      <c r="AC165" s="2242"/>
    </row>
    <row r="166" spans="1:29" s="2205" customFormat="1">
      <c r="A166" s="2242"/>
      <c r="B166" s="2242"/>
      <c r="C166" s="2242"/>
      <c r="D166" s="2242"/>
      <c r="E166" s="2242"/>
      <c r="F166" s="2242"/>
      <c r="G166" s="2242"/>
      <c r="H166" s="2242"/>
      <c r="I166" s="2242"/>
      <c r="J166" s="2242"/>
      <c r="K166" s="2243"/>
      <c r="L166" s="2244"/>
      <c r="M166" s="2242"/>
      <c r="N166" s="2242"/>
      <c r="O166" s="2242"/>
      <c r="P166" s="2242"/>
      <c r="Q166" s="2242"/>
      <c r="R166" s="2242"/>
      <c r="S166" s="2242"/>
      <c r="T166" s="2242"/>
      <c r="U166" s="2242"/>
      <c r="V166" s="2242"/>
      <c r="W166" s="2242"/>
      <c r="X166" s="2242"/>
      <c r="Y166" s="2242"/>
      <c r="Z166" s="2242"/>
      <c r="AA166" s="2242"/>
      <c r="AB166" s="2242"/>
      <c r="AC166" s="2242"/>
    </row>
    <row r="167" spans="1:29" s="2205" customFormat="1">
      <c r="A167" s="2242"/>
      <c r="B167" s="2242"/>
      <c r="C167" s="2242"/>
      <c r="D167" s="2242"/>
      <c r="E167" s="2242"/>
      <c r="F167" s="2242"/>
      <c r="G167" s="2242"/>
      <c r="H167" s="2242"/>
      <c r="I167" s="2242"/>
      <c r="J167" s="2242"/>
      <c r="K167" s="2243"/>
      <c r="L167" s="2244"/>
      <c r="M167" s="2242"/>
      <c r="N167" s="2242"/>
      <c r="O167" s="2242"/>
      <c r="P167" s="2242"/>
      <c r="Q167" s="2242"/>
      <c r="R167" s="2242"/>
      <c r="S167" s="2242"/>
      <c r="T167" s="2242"/>
      <c r="U167" s="2242"/>
      <c r="V167" s="2242"/>
      <c r="W167" s="2242"/>
      <c r="X167" s="2242"/>
      <c r="Y167" s="2242"/>
      <c r="Z167" s="2242"/>
      <c r="AA167" s="2242"/>
      <c r="AB167" s="2242"/>
      <c r="AC167" s="2242"/>
    </row>
    <row r="168" spans="1:29" s="2205" customFormat="1">
      <c r="A168" s="2242"/>
      <c r="B168" s="2242"/>
      <c r="C168" s="2242"/>
      <c r="D168" s="2242"/>
      <c r="E168" s="2242"/>
      <c r="F168" s="2242"/>
      <c r="G168" s="2242"/>
      <c r="H168" s="2242"/>
      <c r="I168" s="2242"/>
      <c r="J168" s="2242"/>
      <c r="K168" s="2243"/>
      <c r="L168" s="2244"/>
      <c r="M168" s="2242"/>
      <c r="N168" s="2242"/>
      <c r="O168" s="2242"/>
      <c r="P168" s="2242"/>
      <c r="Q168" s="2242"/>
      <c r="R168" s="2242"/>
      <c r="S168" s="2242"/>
      <c r="T168" s="2242"/>
      <c r="U168" s="2242"/>
      <c r="V168" s="2242"/>
      <c r="W168" s="2242"/>
      <c r="X168" s="2242"/>
      <c r="Y168" s="2242"/>
      <c r="Z168" s="2242"/>
      <c r="AA168" s="2242"/>
      <c r="AB168" s="2242"/>
      <c r="AC168" s="2242"/>
    </row>
    <row r="169" spans="1:29" s="2205" customFormat="1">
      <c r="A169" s="2242"/>
      <c r="B169" s="2242"/>
      <c r="C169" s="2242"/>
      <c r="D169" s="2242"/>
      <c r="E169" s="2242"/>
      <c r="F169" s="2242"/>
      <c r="G169" s="2242"/>
      <c r="H169" s="2242"/>
      <c r="I169" s="2242"/>
      <c r="J169" s="2242"/>
      <c r="K169" s="2243"/>
      <c r="L169" s="2244"/>
      <c r="M169" s="2242"/>
      <c r="N169" s="2242"/>
      <c r="O169" s="2242"/>
      <c r="P169" s="2242"/>
      <c r="Q169" s="2242"/>
      <c r="R169" s="2242"/>
      <c r="S169" s="2242"/>
      <c r="T169" s="2242"/>
      <c r="U169" s="2242"/>
      <c r="V169" s="2242"/>
      <c r="W169" s="2242"/>
      <c r="X169" s="2242"/>
      <c r="Y169" s="2242"/>
      <c r="Z169" s="2242"/>
      <c r="AA169" s="2242"/>
      <c r="AB169" s="2242"/>
      <c r="AC169" s="2242"/>
    </row>
    <row r="170" spans="1:29" s="2205" customFormat="1">
      <c r="A170" s="2242"/>
      <c r="B170" s="2242"/>
      <c r="C170" s="2242"/>
      <c r="D170" s="2242"/>
      <c r="E170" s="2242"/>
      <c r="F170" s="2242"/>
      <c r="G170" s="2242"/>
      <c r="H170" s="2242"/>
      <c r="I170" s="2242"/>
      <c r="J170" s="2242"/>
      <c r="K170" s="2243"/>
      <c r="L170" s="2244"/>
      <c r="M170" s="2242"/>
      <c r="N170" s="2242"/>
      <c r="O170" s="2242"/>
      <c r="P170" s="2242"/>
      <c r="Q170" s="2242"/>
      <c r="R170" s="2242"/>
      <c r="S170" s="2242"/>
      <c r="T170" s="2242"/>
      <c r="U170" s="2242"/>
      <c r="V170" s="2242"/>
      <c r="W170" s="2242"/>
      <c r="X170" s="2242"/>
      <c r="Y170" s="2242"/>
      <c r="Z170" s="2242"/>
      <c r="AA170" s="2242"/>
      <c r="AB170" s="2242"/>
      <c r="AC170" s="2242"/>
    </row>
    <row r="171" spans="1:29" s="2205" customFormat="1">
      <c r="A171" s="2242"/>
      <c r="B171" s="2242"/>
      <c r="C171" s="2242"/>
      <c r="D171" s="2242"/>
      <c r="E171" s="2242"/>
      <c r="F171" s="2242"/>
      <c r="G171" s="2242"/>
      <c r="H171" s="2242"/>
      <c r="I171" s="2242"/>
      <c r="J171" s="2242"/>
      <c r="K171" s="2243"/>
      <c r="L171" s="2244"/>
      <c r="M171" s="2242"/>
      <c r="N171" s="2242"/>
      <c r="O171" s="2242"/>
      <c r="P171" s="2242"/>
      <c r="Q171" s="2242"/>
      <c r="R171" s="2242"/>
      <c r="S171" s="2242"/>
      <c r="T171" s="2242"/>
      <c r="U171" s="2242"/>
      <c r="V171" s="2242"/>
      <c r="W171" s="2242"/>
      <c r="X171" s="2242"/>
      <c r="Y171" s="2242"/>
      <c r="Z171" s="2242"/>
      <c r="AA171" s="2242"/>
      <c r="AB171" s="2242"/>
      <c r="AC171" s="2242"/>
    </row>
    <row r="172" spans="1:29" s="2205" customFormat="1">
      <c r="A172" s="2242"/>
      <c r="B172" s="2242"/>
      <c r="C172" s="2242"/>
      <c r="D172" s="2242"/>
      <c r="E172" s="2242"/>
      <c r="F172" s="2242"/>
      <c r="G172" s="2242"/>
      <c r="H172" s="2242"/>
      <c r="I172" s="2242"/>
      <c r="J172" s="2242"/>
      <c r="K172" s="2243"/>
      <c r="L172" s="2244"/>
      <c r="M172" s="2242"/>
      <c r="N172" s="2242"/>
      <c r="O172" s="2242"/>
      <c r="P172" s="2242"/>
      <c r="Q172" s="2242"/>
      <c r="R172" s="2242"/>
      <c r="S172" s="2242"/>
      <c r="T172" s="2242"/>
      <c r="U172" s="2242"/>
      <c r="V172" s="2242"/>
      <c r="W172" s="2242"/>
      <c r="X172" s="2242"/>
      <c r="Y172" s="2242"/>
      <c r="Z172" s="2242"/>
      <c r="AA172" s="2242"/>
      <c r="AB172" s="2242"/>
      <c r="AC172" s="2242"/>
    </row>
    <row r="173" spans="1:29" s="2205" customFormat="1">
      <c r="A173" s="2242"/>
      <c r="B173" s="2242"/>
      <c r="C173" s="2242"/>
      <c r="D173" s="2242"/>
      <c r="E173" s="2242"/>
      <c r="F173" s="2242"/>
      <c r="G173" s="2242"/>
      <c r="H173" s="2242"/>
      <c r="I173" s="2242"/>
      <c r="J173" s="2242"/>
      <c r="K173" s="2243"/>
      <c r="L173" s="2244"/>
      <c r="M173" s="2242"/>
      <c r="N173" s="2242"/>
      <c r="O173" s="2242"/>
      <c r="P173" s="2242"/>
      <c r="Q173" s="2242"/>
      <c r="R173" s="2242"/>
      <c r="S173" s="2242"/>
      <c r="T173" s="2242"/>
      <c r="U173" s="2242"/>
      <c r="V173" s="2242"/>
      <c r="W173" s="2242"/>
      <c r="X173" s="2242"/>
      <c r="Y173" s="2242"/>
      <c r="Z173" s="2242"/>
      <c r="AA173" s="2242"/>
      <c r="AB173" s="2242"/>
      <c r="AC173" s="2242"/>
    </row>
    <row r="174" spans="1:29" s="2205" customFormat="1">
      <c r="A174" s="2242"/>
      <c r="B174" s="2242"/>
      <c r="C174" s="2242"/>
      <c r="D174" s="2242"/>
      <c r="E174" s="2242"/>
      <c r="F174" s="2242"/>
      <c r="G174" s="2242"/>
      <c r="H174" s="2242"/>
      <c r="I174" s="2242"/>
      <c r="J174" s="2242"/>
      <c r="K174" s="2243"/>
      <c r="L174" s="2244"/>
      <c r="M174" s="2242"/>
      <c r="N174" s="2242"/>
      <c r="O174" s="2242"/>
      <c r="P174" s="2242"/>
      <c r="Q174" s="2242"/>
      <c r="R174" s="2242"/>
      <c r="S174" s="2242"/>
      <c r="T174" s="2242"/>
      <c r="U174" s="2242"/>
      <c r="V174" s="2242"/>
      <c r="W174" s="2242"/>
      <c r="X174" s="2242"/>
      <c r="Y174" s="2242"/>
      <c r="Z174" s="2242"/>
      <c r="AA174" s="2242"/>
      <c r="AB174" s="2242"/>
      <c r="AC174" s="2242"/>
    </row>
    <row r="175" spans="1:29" s="2205" customFormat="1">
      <c r="A175" s="2242"/>
      <c r="B175" s="2242"/>
      <c r="C175" s="2242"/>
      <c r="D175" s="2242"/>
      <c r="E175" s="2242"/>
      <c r="F175" s="2242"/>
      <c r="G175" s="2242"/>
      <c r="H175" s="2242"/>
      <c r="I175" s="2242"/>
      <c r="J175" s="2242"/>
      <c r="K175" s="2243"/>
      <c r="L175" s="2244"/>
      <c r="M175" s="2242"/>
      <c r="N175" s="2242"/>
      <c r="O175" s="2242"/>
      <c r="P175" s="2242"/>
      <c r="Q175" s="2242"/>
      <c r="R175" s="2242"/>
      <c r="S175" s="2242"/>
      <c r="T175" s="2242"/>
      <c r="U175" s="2242"/>
      <c r="V175" s="2242"/>
      <c r="W175" s="2242"/>
      <c r="X175" s="2242"/>
      <c r="Y175" s="2242"/>
      <c r="Z175" s="2242"/>
      <c r="AA175" s="2242"/>
      <c r="AB175" s="2242"/>
      <c r="AC175" s="2242"/>
    </row>
    <row r="176" spans="1:29" s="2205" customFormat="1">
      <c r="A176" s="2242"/>
      <c r="B176" s="2242"/>
      <c r="C176" s="2242"/>
      <c r="D176" s="2242"/>
      <c r="E176" s="2242"/>
      <c r="F176" s="2242"/>
      <c r="G176" s="2242"/>
      <c r="H176" s="2242"/>
      <c r="I176" s="2242"/>
      <c r="J176" s="2242"/>
      <c r="K176" s="2243"/>
      <c r="L176" s="2244"/>
      <c r="M176" s="2242"/>
      <c r="N176" s="2242"/>
      <c r="O176" s="2242"/>
      <c r="P176" s="2242"/>
      <c r="Q176" s="2242"/>
      <c r="R176" s="2242"/>
      <c r="S176" s="2242"/>
      <c r="T176" s="2242"/>
      <c r="U176" s="2242"/>
      <c r="V176" s="2242"/>
      <c r="W176" s="2242"/>
      <c r="X176" s="2242"/>
      <c r="Y176" s="2242"/>
      <c r="Z176" s="2242"/>
      <c r="AA176" s="2242"/>
      <c r="AB176" s="2242"/>
      <c r="AC176" s="2242"/>
    </row>
    <row r="177" spans="1:29" s="2205" customFormat="1">
      <c r="A177" s="2242"/>
      <c r="B177" s="2242"/>
      <c r="C177" s="2242"/>
      <c r="D177" s="2242"/>
      <c r="E177" s="2242"/>
      <c r="F177" s="2242"/>
      <c r="G177" s="2242"/>
      <c r="H177" s="2242"/>
      <c r="I177" s="2242"/>
      <c r="J177" s="2242"/>
      <c r="K177" s="2243"/>
      <c r="L177" s="2244"/>
      <c r="M177" s="2242"/>
      <c r="N177" s="2242"/>
      <c r="O177" s="2242"/>
      <c r="P177" s="2242"/>
      <c r="Q177" s="2242"/>
      <c r="R177" s="2242"/>
      <c r="S177" s="2242"/>
      <c r="T177" s="2242"/>
      <c r="U177" s="2242"/>
      <c r="V177" s="2242"/>
      <c r="W177" s="2242"/>
      <c r="X177" s="2242"/>
      <c r="Y177" s="2242"/>
      <c r="Z177" s="2242"/>
      <c r="AA177" s="2242"/>
      <c r="AB177" s="2242"/>
      <c r="AC177" s="2242"/>
    </row>
    <row r="178" spans="1:29" s="2205" customFormat="1">
      <c r="A178" s="2242"/>
      <c r="B178" s="2242"/>
      <c r="C178" s="2242"/>
      <c r="D178" s="2242"/>
      <c r="E178" s="2242"/>
      <c r="F178" s="2242"/>
      <c r="G178" s="2242"/>
      <c r="H178" s="2242"/>
      <c r="I178" s="2242"/>
      <c r="J178" s="2242"/>
      <c r="K178" s="2243"/>
      <c r="L178" s="2244"/>
      <c r="M178" s="2242"/>
      <c r="N178" s="2242"/>
      <c r="O178" s="2242"/>
      <c r="P178" s="2242"/>
      <c r="Q178" s="2242"/>
      <c r="R178" s="2242"/>
      <c r="S178" s="2242"/>
      <c r="T178" s="2242"/>
      <c r="U178" s="2242"/>
      <c r="V178" s="2242"/>
      <c r="W178" s="2242"/>
      <c r="X178" s="2242"/>
      <c r="Y178" s="2242"/>
      <c r="Z178" s="2242"/>
      <c r="AA178" s="2242"/>
      <c r="AB178" s="2242"/>
      <c r="AC178" s="2242"/>
    </row>
    <row r="179" spans="1:29" s="2205" customFormat="1">
      <c r="A179" s="2242"/>
      <c r="B179" s="2242"/>
      <c r="C179" s="2242"/>
      <c r="D179" s="2242"/>
      <c r="E179" s="2242"/>
      <c r="F179" s="2242"/>
      <c r="G179" s="2242"/>
      <c r="H179" s="2242"/>
      <c r="I179" s="2242"/>
      <c r="J179" s="2242"/>
      <c r="K179" s="2243"/>
      <c r="L179" s="2244"/>
      <c r="M179" s="2242"/>
      <c r="N179" s="2242"/>
      <c r="O179" s="2242"/>
      <c r="P179" s="2242"/>
      <c r="Q179" s="2242"/>
      <c r="R179" s="2242"/>
      <c r="S179" s="2242"/>
      <c r="T179" s="2242"/>
      <c r="U179" s="2242"/>
      <c r="V179" s="2242"/>
      <c r="W179" s="2242"/>
      <c r="X179" s="2242"/>
      <c r="Y179" s="2242"/>
      <c r="Z179" s="2242"/>
      <c r="AA179" s="2242"/>
      <c r="AB179" s="2242"/>
      <c r="AC179" s="2242"/>
    </row>
    <row r="180" spans="1:29" s="2205" customFormat="1">
      <c r="A180" s="2242"/>
      <c r="B180" s="2242"/>
      <c r="C180" s="2242"/>
      <c r="D180" s="2242"/>
      <c r="E180" s="2242"/>
      <c r="F180" s="2242"/>
      <c r="G180" s="2242"/>
      <c r="H180" s="2242"/>
      <c r="I180" s="2242"/>
      <c r="J180" s="2242"/>
      <c r="K180" s="2243"/>
      <c r="L180" s="2244"/>
      <c r="M180" s="2242"/>
      <c r="N180" s="2242"/>
      <c r="O180" s="2242"/>
      <c r="P180" s="2242"/>
      <c r="Q180" s="2242"/>
      <c r="R180" s="2242"/>
      <c r="S180" s="2242"/>
      <c r="T180" s="2242"/>
      <c r="U180" s="2242"/>
      <c r="V180" s="2242"/>
      <c r="W180" s="2242"/>
      <c r="X180" s="2242"/>
      <c r="Y180" s="2242"/>
      <c r="Z180" s="2242"/>
      <c r="AA180" s="2242"/>
      <c r="AB180" s="2242"/>
      <c r="AC180" s="2242"/>
    </row>
    <row r="181" spans="1:29" s="2205" customFormat="1">
      <c r="A181" s="2242"/>
      <c r="B181" s="2242"/>
      <c r="C181" s="2242"/>
      <c r="D181" s="2242"/>
      <c r="E181" s="2242"/>
      <c r="F181" s="2242"/>
      <c r="G181" s="2242"/>
      <c r="H181" s="2242"/>
      <c r="I181" s="2242"/>
      <c r="J181" s="2242"/>
      <c r="K181" s="2243"/>
      <c r="L181" s="2244"/>
      <c r="M181" s="2242"/>
      <c r="N181" s="2242"/>
      <c r="O181" s="2242"/>
      <c r="P181" s="2242"/>
      <c r="Q181" s="2242"/>
      <c r="R181" s="2242"/>
      <c r="S181" s="2242"/>
      <c r="T181" s="2242"/>
      <c r="U181" s="2242"/>
      <c r="V181" s="2242"/>
      <c r="W181" s="2242"/>
      <c r="X181" s="2242"/>
      <c r="Y181" s="2242"/>
      <c r="Z181" s="2242"/>
      <c r="AA181" s="2242"/>
      <c r="AB181" s="2242"/>
      <c r="AC181" s="2242"/>
    </row>
    <row r="182" spans="1:29" s="2205" customFormat="1">
      <c r="A182" s="2242"/>
      <c r="B182" s="2242"/>
      <c r="C182" s="2242"/>
      <c r="D182" s="2242"/>
      <c r="E182" s="2242"/>
      <c r="F182" s="2242"/>
      <c r="G182" s="2242"/>
      <c r="H182" s="2242"/>
      <c r="I182" s="2242"/>
      <c r="J182" s="2242"/>
      <c r="K182" s="2243"/>
      <c r="L182" s="2244"/>
      <c r="M182" s="2242"/>
      <c r="N182" s="2242"/>
      <c r="O182" s="2242"/>
      <c r="P182" s="2242"/>
      <c r="Q182" s="2242"/>
      <c r="R182" s="2242"/>
      <c r="S182" s="2242"/>
      <c r="T182" s="2242"/>
      <c r="U182" s="2242"/>
      <c r="V182" s="2242"/>
      <c r="W182" s="2242"/>
      <c r="X182" s="2242"/>
      <c r="Y182" s="2242"/>
      <c r="Z182" s="2242"/>
      <c r="AA182" s="2242"/>
      <c r="AB182" s="2242"/>
      <c r="AC182" s="2242"/>
    </row>
    <row r="183" spans="1:29" s="2205" customFormat="1">
      <c r="A183" s="2242"/>
      <c r="B183" s="2242"/>
      <c r="C183" s="2242"/>
      <c r="D183" s="2242"/>
      <c r="E183" s="2242"/>
      <c r="F183" s="2242"/>
      <c r="G183" s="2242"/>
      <c r="H183" s="2242"/>
      <c r="I183" s="2242"/>
      <c r="J183" s="2242"/>
      <c r="K183" s="2243"/>
      <c r="L183" s="2244"/>
      <c r="M183" s="2242"/>
      <c r="N183" s="2242"/>
      <c r="O183" s="2242"/>
      <c r="P183" s="2242"/>
      <c r="Q183" s="2242"/>
      <c r="R183" s="2242"/>
      <c r="S183" s="2242"/>
      <c r="T183" s="2242"/>
      <c r="U183" s="2242"/>
      <c r="V183" s="2242"/>
      <c r="W183" s="2242"/>
      <c r="X183" s="2242"/>
      <c r="Y183" s="2242"/>
      <c r="Z183" s="2242"/>
      <c r="AA183" s="2242"/>
      <c r="AB183" s="2242"/>
      <c r="AC183" s="2242"/>
    </row>
    <row r="184" spans="1:29" s="2205" customFormat="1">
      <c r="A184" s="2242"/>
      <c r="B184" s="2242"/>
      <c r="C184" s="2242"/>
      <c r="D184" s="2242"/>
      <c r="E184" s="2242"/>
      <c r="F184" s="2242"/>
      <c r="G184" s="2242"/>
      <c r="H184" s="2242"/>
      <c r="I184" s="2242"/>
      <c r="J184" s="2242"/>
      <c r="K184" s="2243"/>
      <c r="L184" s="2244"/>
      <c r="M184" s="2242"/>
      <c r="N184" s="2242"/>
      <c r="O184" s="2242"/>
      <c r="P184" s="2242"/>
      <c r="Q184" s="2242"/>
      <c r="R184" s="2242"/>
      <c r="S184" s="2242"/>
      <c r="T184" s="2242"/>
      <c r="U184" s="2242"/>
      <c r="V184" s="2242"/>
      <c r="W184" s="2242"/>
      <c r="X184" s="2242"/>
      <c r="Y184" s="2242"/>
      <c r="Z184" s="2242"/>
      <c r="AA184" s="2242"/>
      <c r="AB184" s="2242"/>
      <c r="AC184" s="2242"/>
    </row>
    <row r="185" spans="1:29" s="2205" customFormat="1">
      <c r="A185" s="2242"/>
      <c r="B185" s="2242"/>
      <c r="C185" s="2242"/>
      <c r="D185" s="2242"/>
      <c r="E185" s="2242"/>
      <c r="F185" s="2242"/>
      <c r="G185" s="2242"/>
      <c r="H185" s="2242"/>
      <c r="I185" s="2242"/>
      <c r="J185" s="2242"/>
      <c r="K185" s="2243"/>
      <c r="L185" s="2244"/>
      <c r="M185" s="2242"/>
      <c r="N185" s="2242"/>
      <c r="O185" s="2242"/>
      <c r="P185" s="2242"/>
      <c r="Q185" s="2242"/>
      <c r="R185" s="2242"/>
      <c r="S185" s="2242"/>
      <c r="T185" s="2242"/>
      <c r="U185" s="2242"/>
      <c r="V185" s="2242"/>
      <c r="W185" s="2242"/>
      <c r="X185" s="2242"/>
      <c r="Y185" s="2242"/>
      <c r="Z185" s="2242"/>
      <c r="AA185" s="2242"/>
      <c r="AB185" s="2242"/>
      <c r="AC185" s="2242"/>
    </row>
    <row r="186" spans="1:29" s="2205" customFormat="1">
      <c r="A186" s="2242"/>
      <c r="B186" s="2242"/>
      <c r="C186" s="2242"/>
      <c r="D186" s="2242"/>
      <c r="E186" s="2242"/>
      <c r="F186" s="2242"/>
      <c r="G186" s="2242"/>
      <c r="H186" s="2242"/>
      <c r="I186" s="2242"/>
      <c r="J186" s="2242"/>
      <c r="K186" s="2243"/>
      <c r="L186" s="2244"/>
      <c r="M186" s="2242"/>
      <c r="N186" s="2242"/>
      <c r="O186" s="2242"/>
      <c r="P186" s="2242"/>
      <c r="Q186" s="2242"/>
      <c r="R186" s="2242"/>
      <c r="S186" s="2242"/>
      <c r="T186" s="2242"/>
      <c r="U186" s="2242"/>
      <c r="V186" s="2242"/>
      <c r="W186" s="2242"/>
      <c r="X186" s="2242"/>
      <c r="Y186" s="2242"/>
      <c r="Z186" s="2242"/>
      <c r="AA186" s="2242"/>
      <c r="AB186" s="2242"/>
      <c r="AC186" s="2242"/>
    </row>
    <row r="187" spans="1:29" s="2205" customFormat="1">
      <c r="A187" s="2242"/>
      <c r="B187" s="2242"/>
      <c r="C187" s="2242"/>
      <c r="D187" s="2242"/>
      <c r="E187" s="2242"/>
      <c r="F187" s="2242"/>
      <c r="G187" s="2242"/>
      <c r="H187" s="2242"/>
      <c r="I187" s="2242"/>
      <c r="J187" s="2242"/>
      <c r="K187" s="2243"/>
      <c r="L187" s="2244"/>
      <c r="M187" s="2242"/>
      <c r="N187" s="2242"/>
      <c r="O187" s="2242"/>
      <c r="P187" s="2242"/>
      <c r="Q187" s="2242"/>
      <c r="R187" s="2242"/>
      <c r="S187" s="2242"/>
      <c r="T187" s="2242"/>
      <c r="U187" s="2242"/>
      <c r="V187" s="2242"/>
      <c r="W187" s="2242"/>
      <c r="X187" s="2242"/>
      <c r="Y187" s="2242"/>
      <c r="Z187" s="2242"/>
      <c r="AA187" s="2242"/>
      <c r="AB187" s="2242"/>
      <c r="AC187" s="2242"/>
    </row>
    <row r="188" spans="1:29" s="2205" customFormat="1">
      <c r="A188" s="2242"/>
      <c r="B188" s="2242"/>
      <c r="C188" s="2242"/>
      <c r="D188" s="2242"/>
      <c r="E188" s="2242"/>
      <c r="F188" s="2242"/>
      <c r="G188" s="2242"/>
      <c r="H188" s="2242"/>
      <c r="I188" s="2242"/>
      <c r="J188" s="2242"/>
      <c r="K188" s="2243"/>
      <c r="L188" s="2244"/>
      <c r="M188" s="2242"/>
      <c r="N188" s="2242"/>
      <c r="O188" s="2242"/>
      <c r="P188" s="2242"/>
      <c r="Q188" s="2242"/>
      <c r="R188" s="2242"/>
      <c r="S188" s="2242"/>
      <c r="T188" s="2242"/>
      <c r="U188" s="2242"/>
      <c r="V188" s="2242"/>
      <c r="W188" s="2242"/>
      <c r="X188" s="2242"/>
      <c r="Y188" s="2242"/>
      <c r="Z188" s="2242"/>
      <c r="AA188" s="2242"/>
      <c r="AB188" s="2242"/>
      <c r="AC188" s="2242"/>
    </row>
    <row r="189" spans="1:29" s="2205" customFormat="1">
      <c r="A189" s="2242"/>
      <c r="B189" s="2242"/>
      <c r="C189" s="2242"/>
      <c r="D189" s="2242"/>
      <c r="E189" s="2242"/>
      <c r="F189" s="2242"/>
      <c r="G189" s="2242"/>
      <c r="H189" s="2242"/>
      <c r="I189" s="2242"/>
      <c r="J189" s="2242"/>
      <c r="K189" s="2243"/>
      <c r="L189" s="2244"/>
      <c r="M189" s="2242"/>
      <c r="N189" s="2242"/>
      <c r="O189" s="2242"/>
      <c r="P189" s="2242"/>
      <c r="Q189" s="2242"/>
      <c r="R189" s="2242"/>
      <c r="S189" s="2242"/>
      <c r="T189" s="2242"/>
      <c r="U189" s="2242"/>
      <c r="V189" s="2242"/>
      <c r="W189" s="2242"/>
      <c r="X189" s="2242"/>
      <c r="Y189" s="2242"/>
      <c r="Z189" s="2242"/>
      <c r="AA189" s="2242"/>
      <c r="AB189" s="2242"/>
      <c r="AC189" s="2242"/>
    </row>
    <row r="190" spans="1:29" s="2205" customFormat="1">
      <c r="A190" s="2242"/>
      <c r="B190" s="2242"/>
      <c r="C190" s="2242"/>
      <c r="D190" s="2242"/>
      <c r="E190" s="2242"/>
      <c r="F190" s="2242"/>
      <c r="G190" s="2242"/>
      <c r="H190" s="2242"/>
      <c r="I190" s="2242"/>
      <c r="J190" s="2242"/>
      <c r="K190" s="2243"/>
      <c r="L190" s="2244"/>
      <c r="M190" s="2242"/>
      <c r="N190" s="2242"/>
      <c r="O190" s="2242"/>
      <c r="P190" s="2242"/>
      <c r="Q190" s="2242"/>
      <c r="R190" s="2242"/>
      <c r="S190" s="2242"/>
      <c r="T190" s="2242"/>
      <c r="U190" s="2242"/>
      <c r="V190" s="2242"/>
      <c r="W190" s="2242"/>
      <c r="X190" s="2242"/>
      <c r="Y190" s="2242"/>
      <c r="Z190" s="2242"/>
      <c r="AA190" s="2242"/>
      <c r="AB190" s="2242"/>
      <c r="AC190" s="2242"/>
    </row>
    <row r="191" spans="1:29" s="2205" customFormat="1">
      <c r="A191" s="2242"/>
      <c r="B191" s="2242"/>
      <c r="C191" s="2242"/>
      <c r="D191" s="2242"/>
      <c r="E191" s="2242"/>
      <c r="F191" s="2242"/>
      <c r="G191" s="2242"/>
      <c r="H191" s="2242"/>
      <c r="I191" s="2242"/>
      <c r="J191" s="2242"/>
      <c r="K191" s="2243"/>
      <c r="L191" s="2244"/>
      <c r="M191" s="2242"/>
      <c r="N191" s="2242"/>
      <c r="O191" s="2242"/>
      <c r="P191" s="2242"/>
      <c r="Q191" s="2242"/>
      <c r="R191" s="2242"/>
      <c r="S191" s="2242"/>
      <c r="T191" s="2242"/>
      <c r="U191" s="2242"/>
      <c r="V191" s="2242"/>
      <c r="W191" s="2242"/>
      <c r="X191" s="2242"/>
      <c r="Y191" s="2242"/>
      <c r="Z191" s="2242"/>
      <c r="AA191" s="2242"/>
      <c r="AB191" s="2242"/>
      <c r="AC191" s="2242"/>
    </row>
    <row r="192" spans="1:29" s="2205" customFormat="1">
      <c r="A192" s="2242"/>
      <c r="B192" s="2242"/>
      <c r="C192" s="2242"/>
      <c r="D192" s="2242"/>
      <c r="E192" s="2242"/>
      <c r="F192" s="2242"/>
      <c r="G192" s="2242"/>
      <c r="H192" s="2242"/>
      <c r="I192" s="2242"/>
      <c r="J192" s="2242"/>
      <c r="K192" s="2243"/>
      <c r="L192" s="2244"/>
      <c r="M192" s="2242"/>
      <c r="N192" s="2242"/>
      <c r="O192" s="2242"/>
      <c r="P192" s="2242"/>
      <c r="Q192" s="2242"/>
      <c r="R192" s="2242"/>
      <c r="S192" s="2242"/>
      <c r="T192" s="2242"/>
      <c r="U192" s="2242"/>
      <c r="V192" s="2242"/>
      <c r="W192" s="2242"/>
      <c r="X192" s="2242"/>
      <c r="Y192" s="2242"/>
      <c r="Z192" s="2242"/>
      <c r="AA192" s="2242"/>
      <c r="AB192" s="2242"/>
      <c r="AC192" s="2242"/>
    </row>
    <row r="193" spans="1:29" s="2205" customFormat="1">
      <c r="A193" s="2242"/>
      <c r="B193" s="2242"/>
      <c r="C193" s="2242"/>
      <c r="D193" s="2242"/>
      <c r="E193" s="2242"/>
      <c r="F193" s="2242"/>
      <c r="G193" s="2242"/>
      <c r="H193" s="2242"/>
      <c r="I193" s="2242"/>
      <c r="J193" s="2242"/>
      <c r="K193" s="2243"/>
      <c r="L193" s="2244"/>
      <c r="M193" s="2242"/>
      <c r="N193" s="2242"/>
      <c r="O193" s="2242"/>
      <c r="P193" s="2242"/>
      <c r="Q193" s="2242"/>
      <c r="R193" s="2242"/>
      <c r="S193" s="2242"/>
      <c r="T193" s="2242"/>
      <c r="U193" s="2242"/>
      <c r="V193" s="2242"/>
      <c r="W193" s="2242"/>
      <c r="X193" s="2242"/>
      <c r="Y193" s="2242"/>
      <c r="Z193" s="2242"/>
      <c r="AA193" s="2242"/>
      <c r="AB193" s="2242"/>
      <c r="AC193" s="2242"/>
    </row>
    <row r="194" spans="1:29" s="2205" customFormat="1">
      <c r="A194" s="2242"/>
      <c r="B194" s="2242"/>
      <c r="C194" s="2242"/>
      <c r="D194" s="2242"/>
      <c r="E194" s="2242"/>
      <c r="F194" s="2242"/>
      <c r="G194" s="2242"/>
      <c r="H194" s="2242"/>
      <c r="I194" s="2242"/>
      <c r="J194" s="2242"/>
      <c r="K194" s="2243"/>
      <c r="L194" s="2244"/>
      <c r="M194" s="2242"/>
      <c r="N194" s="2242"/>
      <c r="O194" s="2242"/>
      <c r="P194" s="2242"/>
      <c r="Q194" s="2242"/>
      <c r="R194" s="2242"/>
      <c r="S194" s="2242"/>
      <c r="T194" s="2242"/>
      <c r="U194" s="2242"/>
      <c r="V194" s="2242"/>
      <c r="W194" s="2242"/>
      <c r="X194" s="2242"/>
      <c r="Y194" s="2242"/>
      <c r="Z194" s="2242"/>
      <c r="AA194" s="2242"/>
      <c r="AB194" s="2242"/>
      <c r="AC194" s="2242"/>
    </row>
    <row r="195" spans="1:29" s="2205" customFormat="1">
      <c r="A195" s="2242"/>
      <c r="B195" s="2242"/>
      <c r="C195" s="2242"/>
      <c r="D195" s="2242"/>
      <c r="E195" s="2242"/>
      <c r="F195" s="2242"/>
      <c r="G195" s="2242"/>
      <c r="H195" s="2242"/>
      <c r="I195" s="2242"/>
      <c r="J195" s="2242"/>
      <c r="K195" s="2243"/>
      <c r="L195" s="2244"/>
      <c r="M195" s="2242"/>
      <c r="N195" s="2242"/>
      <c r="O195" s="2242"/>
      <c r="P195" s="2242"/>
      <c r="Q195" s="2242"/>
      <c r="R195" s="2242"/>
      <c r="S195" s="2242"/>
      <c r="T195" s="2242"/>
      <c r="U195" s="2242"/>
      <c r="V195" s="2242"/>
      <c r="W195" s="2242"/>
      <c r="X195" s="2242"/>
      <c r="Y195" s="2242"/>
      <c r="Z195" s="2242"/>
      <c r="AA195" s="2242"/>
      <c r="AB195" s="2242"/>
      <c r="AC195" s="2242"/>
    </row>
    <row r="196" spans="1:29" s="2205" customFormat="1">
      <c r="A196" s="2242"/>
      <c r="B196" s="2242"/>
      <c r="C196" s="2242"/>
      <c r="D196" s="2242"/>
      <c r="E196" s="2242"/>
      <c r="F196" s="2242"/>
      <c r="G196" s="2242"/>
      <c r="H196" s="2242"/>
      <c r="I196" s="2242"/>
      <c r="J196" s="2242"/>
      <c r="K196" s="2243"/>
      <c r="L196" s="2244"/>
      <c r="M196" s="2242"/>
      <c r="N196" s="2242"/>
      <c r="O196" s="2242"/>
      <c r="P196" s="2242"/>
      <c r="Q196" s="2242"/>
      <c r="R196" s="2242"/>
      <c r="S196" s="2242"/>
      <c r="T196" s="2242"/>
      <c r="U196" s="2242"/>
      <c r="V196" s="2242"/>
      <c r="W196" s="2242"/>
      <c r="X196" s="2242"/>
      <c r="Y196" s="2242"/>
      <c r="Z196" s="2242"/>
      <c r="AA196" s="2242"/>
      <c r="AB196" s="2242"/>
      <c r="AC196" s="2242"/>
    </row>
    <row r="197" spans="1:29" s="2205" customFormat="1">
      <c r="A197" s="2242"/>
      <c r="B197" s="2242"/>
      <c r="C197" s="2242"/>
      <c r="D197" s="2242"/>
      <c r="E197" s="2242"/>
      <c r="F197" s="2242"/>
      <c r="G197" s="2242"/>
      <c r="H197" s="2242"/>
      <c r="I197" s="2242"/>
      <c r="J197" s="2242"/>
      <c r="K197" s="2243"/>
      <c r="L197" s="2244"/>
      <c r="M197" s="2242"/>
      <c r="N197" s="2242"/>
      <c r="O197" s="2242"/>
      <c r="P197" s="2242"/>
      <c r="Q197" s="2242"/>
      <c r="R197" s="2242"/>
      <c r="S197" s="2242"/>
      <c r="T197" s="2242"/>
      <c r="U197" s="2242"/>
      <c r="V197" s="2242"/>
      <c r="W197" s="2242"/>
      <c r="X197" s="2242"/>
      <c r="Y197" s="2242"/>
      <c r="Z197" s="2242"/>
      <c r="AA197" s="2242"/>
      <c r="AB197" s="2242"/>
      <c r="AC197" s="2242"/>
    </row>
    <row r="198" spans="1:29" s="2205" customFormat="1">
      <c r="A198" s="2242"/>
      <c r="B198" s="2242"/>
      <c r="C198" s="2242"/>
      <c r="D198" s="2242"/>
      <c r="E198" s="2242"/>
      <c r="F198" s="2242"/>
      <c r="G198" s="2242"/>
      <c r="H198" s="2242"/>
      <c r="I198" s="2242"/>
      <c r="J198" s="2242"/>
      <c r="K198" s="2243"/>
      <c r="L198" s="2244"/>
      <c r="M198" s="2242"/>
      <c r="N198" s="2242"/>
      <c r="O198" s="2242"/>
      <c r="P198" s="2242"/>
      <c r="Q198" s="2242"/>
      <c r="R198" s="2242"/>
      <c r="S198" s="2242"/>
      <c r="T198" s="2242"/>
      <c r="U198" s="2242"/>
      <c r="V198" s="2242"/>
      <c r="W198" s="2242"/>
      <c r="X198" s="2242"/>
      <c r="Y198" s="2242"/>
      <c r="Z198" s="2242"/>
      <c r="AA198" s="2242"/>
      <c r="AB198" s="2242"/>
      <c r="AC198" s="2242"/>
    </row>
    <row r="199" spans="1:29" s="2205" customFormat="1">
      <c r="A199" s="2242"/>
      <c r="B199" s="2242"/>
      <c r="C199" s="2242"/>
      <c r="D199" s="2242"/>
      <c r="E199" s="2242"/>
      <c r="F199" s="2242"/>
      <c r="G199" s="2242"/>
      <c r="H199" s="2242"/>
      <c r="I199" s="2242"/>
      <c r="J199" s="2242"/>
      <c r="K199" s="2243"/>
      <c r="L199" s="2244"/>
      <c r="M199" s="2242"/>
      <c r="N199" s="2242"/>
      <c r="O199" s="2242"/>
      <c r="P199" s="2242"/>
      <c r="Q199" s="2242"/>
      <c r="R199" s="2242"/>
      <c r="S199" s="2242"/>
      <c r="T199" s="2242"/>
      <c r="U199" s="2242"/>
      <c r="V199" s="2242"/>
      <c r="W199" s="2242"/>
      <c r="X199" s="2242"/>
      <c r="Y199" s="2242"/>
      <c r="Z199" s="2242"/>
      <c r="AA199" s="2242"/>
      <c r="AB199" s="2242"/>
      <c r="AC199" s="2242"/>
    </row>
    <row r="200" spans="1:29" s="2205" customFormat="1">
      <c r="A200" s="2242"/>
      <c r="B200" s="2242"/>
      <c r="C200" s="2242"/>
      <c r="D200" s="2242"/>
      <c r="E200" s="2242"/>
      <c r="F200" s="2242"/>
      <c r="G200" s="2242"/>
      <c r="H200" s="2242"/>
      <c r="I200" s="2242"/>
      <c r="J200" s="2242"/>
      <c r="K200" s="2243"/>
      <c r="L200" s="2244"/>
      <c r="M200" s="2242"/>
      <c r="N200" s="2242"/>
      <c r="O200" s="2242"/>
      <c r="P200" s="2242"/>
      <c r="Q200" s="2242"/>
      <c r="R200" s="2242"/>
      <c r="S200" s="2242"/>
      <c r="T200" s="2242"/>
      <c r="U200" s="2242"/>
      <c r="V200" s="2242"/>
      <c r="W200" s="2242"/>
      <c r="X200" s="2242"/>
      <c r="Y200" s="2242"/>
      <c r="Z200" s="2242"/>
      <c r="AA200" s="2242"/>
      <c r="AB200" s="2242"/>
      <c r="AC200" s="2242"/>
    </row>
    <row r="201" spans="1:29" s="2205" customFormat="1">
      <c r="A201" s="2242"/>
      <c r="B201" s="2242"/>
      <c r="C201" s="2242"/>
      <c r="D201" s="2242"/>
      <c r="E201" s="2242"/>
      <c r="F201" s="2242"/>
      <c r="G201" s="2242"/>
      <c r="H201" s="2242"/>
      <c r="I201" s="2242"/>
      <c r="J201" s="2242"/>
      <c r="K201" s="2243"/>
      <c r="L201" s="2244"/>
      <c r="M201" s="2242"/>
      <c r="N201" s="2242"/>
      <c r="O201" s="2242"/>
      <c r="P201" s="2242"/>
      <c r="Q201" s="2242"/>
      <c r="R201" s="2242"/>
      <c r="S201" s="2242"/>
      <c r="T201" s="2242"/>
      <c r="U201" s="2242"/>
      <c r="V201" s="2242"/>
      <c r="W201" s="2242"/>
      <c r="X201" s="2242"/>
      <c r="Y201" s="2242"/>
      <c r="Z201" s="2242"/>
      <c r="AA201" s="2242"/>
      <c r="AB201" s="2242"/>
      <c r="AC201" s="2242"/>
    </row>
    <row r="202" spans="1:29" s="2205" customFormat="1">
      <c r="A202" s="2242"/>
      <c r="B202" s="2242"/>
      <c r="C202" s="2242"/>
      <c r="D202" s="2242"/>
      <c r="E202" s="2242"/>
      <c r="F202" s="2242"/>
      <c r="G202" s="2242"/>
      <c r="H202" s="2242"/>
      <c r="I202" s="2242"/>
      <c r="J202" s="2242"/>
      <c r="K202" s="2243"/>
      <c r="L202" s="2244"/>
      <c r="M202" s="2242"/>
      <c r="N202" s="2242"/>
      <c r="O202" s="2242"/>
      <c r="P202" s="2242"/>
      <c r="Q202" s="2242"/>
      <c r="R202" s="2242"/>
      <c r="S202" s="2242"/>
      <c r="T202" s="2242"/>
      <c r="U202" s="2242"/>
      <c r="V202" s="2242"/>
      <c r="W202" s="2242"/>
      <c r="X202" s="2242"/>
      <c r="Y202" s="2242"/>
      <c r="Z202" s="2242"/>
      <c r="AA202" s="2242"/>
      <c r="AB202" s="2242"/>
      <c r="AC202" s="2242"/>
    </row>
    <row r="203" spans="1:29" s="2205" customFormat="1">
      <c r="A203" s="2242"/>
      <c r="B203" s="2242"/>
      <c r="C203" s="2242"/>
      <c r="D203" s="2242"/>
      <c r="E203" s="2242"/>
      <c r="F203" s="2242"/>
      <c r="G203" s="2242"/>
      <c r="H203" s="2242"/>
      <c r="I203" s="2242"/>
      <c r="J203" s="2242"/>
      <c r="K203" s="2243"/>
      <c r="L203" s="2244"/>
      <c r="M203" s="2242"/>
      <c r="N203" s="2242"/>
      <c r="O203" s="2242"/>
      <c r="P203" s="2242"/>
      <c r="Q203" s="2242"/>
      <c r="R203" s="2242"/>
      <c r="S203" s="2242"/>
      <c r="T203" s="2242"/>
      <c r="U203" s="2242"/>
      <c r="V203" s="2242"/>
      <c r="W203" s="2242"/>
      <c r="X203" s="2242"/>
      <c r="Y203" s="2242"/>
      <c r="Z203" s="2242"/>
      <c r="AA203" s="2242"/>
      <c r="AB203" s="2242"/>
      <c r="AC203" s="2242"/>
    </row>
    <row r="204" spans="1:29" s="2205" customFormat="1">
      <c r="A204" s="2242"/>
      <c r="B204" s="2242"/>
      <c r="C204" s="2242"/>
      <c r="D204" s="2242"/>
      <c r="E204" s="2242"/>
      <c r="F204" s="2242"/>
      <c r="G204" s="2242"/>
      <c r="H204" s="2242"/>
      <c r="I204" s="2242"/>
      <c r="J204" s="2242"/>
      <c r="K204" s="2243"/>
      <c r="L204" s="2244"/>
      <c r="M204" s="2242"/>
      <c r="N204" s="2242"/>
      <c r="O204" s="2242"/>
      <c r="P204" s="2242"/>
      <c r="Q204" s="2242"/>
      <c r="R204" s="2242"/>
      <c r="S204" s="2242"/>
      <c r="T204" s="2242"/>
      <c r="U204" s="2242"/>
      <c r="V204" s="2242"/>
      <c r="W204" s="2242"/>
      <c r="X204" s="2242"/>
      <c r="Y204" s="2242"/>
      <c r="Z204" s="2242"/>
      <c r="AA204" s="2242"/>
      <c r="AB204" s="2242"/>
      <c r="AC204" s="2242"/>
    </row>
    <row r="205" spans="1:29" s="2205" customFormat="1">
      <c r="A205" s="2242"/>
      <c r="B205" s="2242"/>
      <c r="C205" s="2242"/>
      <c r="D205" s="2242"/>
      <c r="E205" s="2242"/>
      <c r="F205" s="2242"/>
      <c r="G205" s="2242"/>
      <c r="H205" s="2242"/>
      <c r="I205" s="2242"/>
      <c r="J205" s="2242"/>
      <c r="K205" s="2243"/>
      <c r="L205" s="2244"/>
      <c r="M205" s="2242"/>
      <c r="N205" s="2242"/>
      <c r="O205" s="2242"/>
      <c r="P205" s="2242"/>
      <c r="Q205" s="2242"/>
      <c r="R205" s="2242"/>
      <c r="S205" s="2242"/>
      <c r="T205" s="2242"/>
      <c r="U205" s="2242"/>
      <c r="V205" s="2242"/>
      <c r="W205" s="2242"/>
      <c r="X205" s="2242"/>
      <c r="Y205" s="2242"/>
      <c r="Z205" s="2242"/>
      <c r="AA205" s="2242"/>
      <c r="AB205" s="2242"/>
      <c r="AC205" s="2242"/>
    </row>
    <row r="206" spans="1:29" s="2205" customFormat="1">
      <c r="A206" s="2242"/>
      <c r="B206" s="2242"/>
      <c r="C206" s="2242"/>
      <c r="D206" s="2242"/>
      <c r="E206" s="2242"/>
      <c r="F206" s="2242"/>
      <c r="G206" s="2242"/>
      <c r="H206" s="2242"/>
      <c r="I206" s="2242"/>
      <c r="J206" s="2242"/>
      <c r="K206" s="2243"/>
      <c r="L206" s="2244"/>
      <c r="M206" s="2242"/>
      <c r="N206" s="2242"/>
      <c r="O206" s="2242"/>
      <c r="P206" s="2242"/>
      <c r="Q206" s="2242"/>
      <c r="R206" s="2242"/>
      <c r="S206" s="2242"/>
      <c r="T206" s="2242"/>
      <c r="U206" s="2242"/>
      <c r="V206" s="2242"/>
      <c r="W206" s="2242"/>
      <c r="X206" s="2242"/>
      <c r="Y206" s="2242"/>
      <c r="Z206" s="2242"/>
      <c r="AA206" s="2242"/>
      <c r="AB206" s="2242"/>
      <c r="AC206" s="2242"/>
    </row>
    <row r="207" spans="1:29" s="2205" customFormat="1">
      <c r="A207" s="2242"/>
      <c r="B207" s="2242"/>
      <c r="C207" s="2242"/>
      <c r="D207" s="2242"/>
      <c r="E207" s="2242"/>
      <c r="F207" s="2242"/>
      <c r="G207" s="2242"/>
      <c r="H207" s="2242"/>
      <c r="I207" s="2242"/>
      <c r="J207" s="2242"/>
      <c r="K207" s="2243"/>
      <c r="L207" s="2244"/>
      <c r="M207" s="2242"/>
      <c r="N207" s="2242"/>
      <c r="O207" s="2242"/>
      <c r="P207" s="2242"/>
      <c r="Q207" s="2242"/>
      <c r="R207" s="2242"/>
      <c r="S207" s="2242"/>
      <c r="T207" s="2242"/>
      <c r="U207" s="2242"/>
      <c r="V207" s="2242"/>
      <c r="W207" s="2242"/>
      <c r="X207" s="2242"/>
      <c r="Y207" s="2242"/>
      <c r="Z207" s="2242"/>
      <c r="AA207" s="2242"/>
      <c r="AB207" s="2242"/>
      <c r="AC207" s="2242"/>
    </row>
    <row r="208" spans="1:29" s="2205" customFormat="1">
      <c r="A208" s="2242"/>
      <c r="B208" s="2242"/>
      <c r="C208" s="2242"/>
      <c r="D208" s="2242"/>
      <c r="E208" s="2242"/>
      <c r="F208" s="2242"/>
      <c r="G208" s="2242"/>
      <c r="H208" s="2242"/>
      <c r="I208" s="2242"/>
      <c r="J208" s="2242"/>
      <c r="K208" s="2243"/>
      <c r="L208" s="2244"/>
      <c r="M208" s="2242"/>
      <c r="N208" s="2242"/>
      <c r="O208" s="2242"/>
      <c r="P208" s="2242"/>
      <c r="Q208" s="2242"/>
      <c r="R208" s="2242"/>
      <c r="S208" s="2242"/>
      <c r="T208" s="2242"/>
      <c r="U208" s="2242"/>
      <c r="V208" s="2242"/>
      <c r="W208" s="2242"/>
      <c r="X208" s="2242"/>
      <c r="Y208" s="2242"/>
      <c r="Z208" s="2242"/>
      <c r="AA208" s="2242"/>
      <c r="AB208" s="2242"/>
      <c r="AC208" s="2242"/>
    </row>
    <row r="209" spans="1:29" s="2205" customFormat="1">
      <c r="A209" s="2242"/>
      <c r="B209" s="2242"/>
      <c r="C209" s="2242"/>
      <c r="D209" s="2242"/>
      <c r="E209" s="2242"/>
      <c r="F209" s="2242"/>
      <c r="G209" s="2242"/>
      <c r="H209" s="2242"/>
      <c r="I209" s="2242"/>
      <c r="J209" s="2242"/>
      <c r="K209" s="2243"/>
      <c r="L209" s="2244"/>
      <c r="M209" s="2242"/>
      <c r="N209" s="2242"/>
      <c r="O209" s="2242"/>
      <c r="P209" s="2242"/>
      <c r="Q209" s="2242"/>
      <c r="R209" s="2242"/>
      <c r="S209" s="2242"/>
      <c r="T209" s="2242"/>
      <c r="U209" s="2242"/>
      <c r="V209" s="2242"/>
      <c r="W209" s="2242"/>
      <c r="X209" s="2242"/>
      <c r="Y209" s="2242"/>
      <c r="Z209" s="2242"/>
      <c r="AA209" s="2242"/>
      <c r="AB209" s="2242"/>
      <c r="AC209" s="2242"/>
    </row>
    <row r="210" spans="1:29" s="2205" customFormat="1">
      <c r="A210" s="2242"/>
      <c r="B210" s="2242"/>
      <c r="C210" s="2242"/>
      <c r="D210" s="2242"/>
      <c r="E210" s="2242"/>
      <c r="F210" s="2242"/>
      <c r="G210" s="2242"/>
      <c r="H210" s="2242"/>
      <c r="I210" s="2242"/>
      <c r="J210" s="2242"/>
      <c r="K210" s="2243"/>
      <c r="L210" s="2244"/>
      <c r="M210" s="2242"/>
      <c r="N210" s="2242"/>
      <c r="O210" s="2242"/>
      <c r="P210" s="2242"/>
      <c r="Q210" s="2242"/>
      <c r="R210" s="2242"/>
      <c r="S210" s="2242"/>
      <c r="T210" s="2242"/>
      <c r="U210" s="2242"/>
      <c r="V210" s="2242"/>
      <c r="W210" s="2242"/>
      <c r="X210" s="2242"/>
      <c r="Y210" s="2242"/>
      <c r="Z210" s="2242"/>
      <c r="AA210" s="2242"/>
      <c r="AB210" s="2242"/>
      <c r="AC210" s="2242"/>
    </row>
    <row r="211" spans="1:29" s="2205" customFormat="1">
      <c r="A211" s="2242"/>
      <c r="B211" s="2242"/>
      <c r="C211" s="2242"/>
      <c r="D211" s="2242"/>
      <c r="E211" s="2242"/>
      <c r="F211" s="2242"/>
      <c r="G211" s="2242"/>
      <c r="H211" s="2242"/>
      <c r="I211" s="2242"/>
      <c r="J211" s="2242"/>
      <c r="K211" s="2243"/>
      <c r="L211" s="2244"/>
      <c r="M211" s="2242"/>
      <c r="N211" s="2242"/>
      <c r="O211" s="2242"/>
      <c r="P211" s="2242"/>
      <c r="Q211" s="2242"/>
      <c r="R211" s="2242"/>
      <c r="S211" s="2242"/>
      <c r="T211" s="2242"/>
      <c r="U211" s="2242"/>
      <c r="V211" s="2242"/>
      <c r="W211" s="2242"/>
      <c r="X211" s="2242"/>
      <c r="Y211" s="2242"/>
      <c r="Z211" s="2242"/>
      <c r="AA211" s="2242"/>
      <c r="AB211" s="2242"/>
      <c r="AC211" s="2242"/>
    </row>
    <row r="212" spans="1:29" s="2205" customFormat="1">
      <c r="A212" s="2242"/>
      <c r="B212" s="2242"/>
      <c r="C212" s="2242"/>
      <c r="D212" s="2242"/>
      <c r="E212" s="2242"/>
      <c r="F212" s="2242"/>
      <c r="G212" s="2242"/>
      <c r="H212" s="2242"/>
      <c r="I212" s="2242"/>
      <c r="J212" s="2242"/>
      <c r="K212" s="2243"/>
      <c r="L212" s="2244"/>
      <c r="M212" s="2242"/>
      <c r="N212" s="2242"/>
      <c r="O212" s="2242"/>
      <c r="P212" s="2242"/>
      <c r="Q212" s="2242"/>
      <c r="R212" s="2242"/>
      <c r="S212" s="2242"/>
      <c r="T212" s="2242"/>
      <c r="U212" s="2242"/>
      <c r="V212" s="2242"/>
      <c r="W212" s="2242"/>
      <c r="X212" s="2242"/>
      <c r="Y212" s="2242"/>
      <c r="Z212" s="2242"/>
      <c r="AA212" s="2242"/>
      <c r="AB212" s="2242"/>
      <c r="AC212" s="2242"/>
    </row>
    <row r="213" spans="1:29" s="2205" customFormat="1">
      <c r="A213" s="2242"/>
      <c r="B213" s="2242"/>
      <c r="C213" s="2242"/>
      <c r="D213" s="2242"/>
      <c r="E213" s="2242"/>
      <c r="F213" s="2242"/>
      <c r="G213" s="2242"/>
      <c r="H213" s="2242"/>
      <c r="I213" s="2242"/>
      <c r="J213" s="2242"/>
      <c r="K213" s="2243"/>
      <c r="L213" s="2244"/>
      <c r="M213" s="2242"/>
      <c r="N213" s="2242"/>
      <c r="O213" s="2242"/>
      <c r="P213" s="2242"/>
      <c r="Q213" s="2242"/>
      <c r="R213" s="2242"/>
      <c r="S213" s="2242"/>
      <c r="T213" s="2242"/>
      <c r="U213" s="2242"/>
      <c r="V213" s="2242"/>
      <c r="W213" s="2242"/>
      <c r="X213" s="2242"/>
      <c r="Y213" s="2242"/>
      <c r="Z213" s="2242"/>
      <c r="AA213" s="2242"/>
      <c r="AB213" s="2242"/>
      <c r="AC213" s="2242"/>
    </row>
    <row r="214" spans="1:29" s="2205" customFormat="1">
      <c r="A214" s="2242"/>
      <c r="B214" s="2242"/>
      <c r="C214" s="2242"/>
      <c r="D214" s="2242"/>
      <c r="E214" s="2242"/>
      <c r="F214" s="2242"/>
      <c r="G214" s="2242"/>
      <c r="H214" s="2242"/>
      <c r="I214" s="2242"/>
      <c r="J214" s="2242"/>
      <c r="K214" s="2243"/>
      <c r="L214" s="2244"/>
      <c r="M214" s="2242"/>
      <c r="N214" s="2242"/>
      <c r="O214" s="2242"/>
      <c r="P214" s="2242"/>
      <c r="Q214" s="2242"/>
      <c r="R214" s="2242"/>
      <c r="S214" s="2242"/>
      <c r="T214" s="2242"/>
      <c r="U214" s="2242"/>
      <c r="V214" s="2242"/>
      <c r="W214" s="2242"/>
      <c r="X214" s="2242"/>
      <c r="Y214" s="2242"/>
      <c r="Z214" s="2242"/>
      <c r="AA214" s="2242"/>
      <c r="AB214" s="2242"/>
      <c r="AC214" s="2242"/>
    </row>
    <row r="215" spans="1:29" s="2205" customFormat="1">
      <c r="A215" s="2242"/>
      <c r="B215" s="2242"/>
      <c r="C215" s="2242"/>
      <c r="D215" s="2242"/>
      <c r="E215" s="2242"/>
      <c r="F215" s="2242"/>
      <c r="G215" s="2242"/>
      <c r="H215" s="2242"/>
      <c r="I215" s="2242"/>
      <c r="J215" s="2242"/>
      <c r="K215" s="2243"/>
      <c r="L215" s="2244"/>
      <c r="M215" s="2242"/>
      <c r="N215" s="2242"/>
      <c r="O215" s="2242"/>
      <c r="P215" s="2242"/>
      <c r="Q215" s="2242"/>
      <c r="R215" s="2242"/>
      <c r="S215" s="2242"/>
      <c r="T215" s="2242"/>
      <c r="U215" s="2242"/>
      <c r="V215" s="2242"/>
      <c r="W215" s="2242"/>
      <c r="X215" s="2242"/>
      <c r="Y215" s="2242"/>
      <c r="Z215" s="2242"/>
      <c r="AA215" s="2242"/>
      <c r="AB215" s="2242"/>
      <c r="AC215" s="2242"/>
    </row>
    <row r="216" spans="1:29" s="2205" customFormat="1">
      <c r="A216" s="2242"/>
      <c r="B216" s="2242"/>
      <c r="C216" s="2242"/>
      <c r="D216" s="2242"/>
      <c r="E216" s="2242"/>
      <c r="F216" s="2242"/>
      <c r="G216" s="2242"/>
      <c r="H216" s="2242"/>
      <c r="I216" s="2242"/>
      <c r="J216" s="2242"/>
      <c r="K216" s="2243"/>
      <c r="L216" s="2244"/>
      <c r="M216" s="2242"/>
      <c r="N216" s="2242"/>
      <c r="O216" s="2242"/>
      <c r="P216" s="2242"/>
      <c r="Q216" s="2242"/>
      <c r="R216" s="2242"/>
      <c r="S216" s="2242"/>
      <c r="T216" s="2242"/>
      <c r="U216" s="2242"/>
      <c r="V216" s="2242"/>
      <c r="W216" s="2242"/>
      <c r="X216" s="2242"/>
      <c r="Y216" s="2242"/>
      <c r="Z216" s="2242"/>
      <c r="AA216" s="2242"/>
      <c r="AB216" s="2242"/>
      <c r="AC216" s="2242"/>
    </row>
    <row r="217" spans="1:29" s="2205" customFormat="1">
      <c r="A217" s="2242"/>
      <c r="B217" s="2242"/>
      <c r="C217" s="2242"/>
      <c r="D217" s="2242"/>
      <c r="E217" s="2242"/>
      <c r="F217" s="2242"/>
      <c r="G217" s="2242"/>
      <c r="H217" s="2242"/>
      <c r="I217" s="2242"/>
      <c r="J217" s="2242"/>
      <c r="K217" s="2243"/>
      <c r="L217" s="2244"/>
      <c r="M217" s="2242"/>
      <c r="N217" s="2242"/>
      <c r="O217" s="2242"/>
      <c r="P217" s="2242"/>
      <c r="Q217" s="2242"/>
      <c r="R217" s="2242"/>
      <c r="S217" s="2242"/>
      <c r="T217" s="2242"/>
      <c r="U217" s="2242"/>
      <c r="V217" s="2242"/>
      <c r="W217" s="2242"/>
      <c r="X217" s="2242"/>
      <c r="Y217" s="2242"/>
      <c r="Z217" s="2242"/>
      <c r="AA217" s="2242"/>
      <c r="AB217" s="2242"/>
      <c r="AC217" s="2242"/>
    </row>
    <row r="218" spans="1:29" s="2205" customFormat="1">
      <c r="A218" s="2242"/>
      <c r="B218" s="2242"/>
      <c r="C218" s="2242"/>
      <c r="D218" s="2242"/>
      <c r="E218" s="2242"/>
      <c r="F218" s="2242"/>
      <c r="G218" s="2242"/>
      <c r="H218" s="2242"/>
      <c r="I218" s="2242"/>
      <c r="J218" s="2242"/>
      <c r="K218" s="2243"/>
      <c r="L218" s="2244"/>
      <c r="M218" s="2242"/>
      <c r="N218" s="2242"/>
      <c r="O218" s="2242"/>
      <c r="P218" s="2242"/>
      <c r="Q218" s="2242"/>
      <c r="R218" s="2242"/>
      <c r="S218" s="2242"/>
      <c r="T218" s="2242"/>
      <c r="U218" s="2242"/>
      <c r="V218" s="2242"/>
      <c r="W218" s="2242"/>
      <c r="X218" s="2242"/>
      <c r="Y218" s="2242"/>
      <c r="Z218" s="2242"/>
      <c r="AA218" s="2242"/>
      <c r="AB218" s="2242"/>
      <c r="AC218" s="2242"/>
    </row>
    <row r="219" spans="1:29" s="2205" customFormat="1">
      <c r="A219" s="2242"/>
      <c r="B219" s="2242"/>
      <c r="C219" s="2242"/>
      <c r="D219" s="2242"/>
      <c r="E219" s="2242"/>
      <c r="F219" s="2242"/>
      <c r="G219" s="2242"/>
      <c r="H219" s="2242"/>
      <c r="I219" s="2242"/>
      <c r="J219" s="2242"/>
      <c r="K219" s="2243"/>
      <c r="L219" s="2244"/>
      <c r="M219" s="2242"/>
      <c r="N219" s="2242"/>
      <c r="O219" s="2242"/>
      <c r="P219" s="2242"/>
      <c r="Q219" s="2242"/>
      <c r="R219" s="2242"/>
      <c r="S219" s="2242"/>
      <c r="T219" s="2242"/>
      <c r="U219" s="2242"/>
      <c r="V219" s="2242"/>
      <c r="W219" s="2242"/>
      <c r="X219" s="2242"/>
      <c r="Y219" s="2242"/>
      <c r="Z219" s="2242"/>
      <c r="AA219" s="2242"/>
      <c r="AB219" s="2242"/>
      <c r="AC219" s="2242"/>
    </row>
    <row r="220" spans="1:29" s="2205" customFormat="1">
      <c r="A220" s="2242"/>
      <c r="B220" s="2242"/>
      <c r="C220" s="2242"/>
      <c r="D220" s="2242"/>
      <c r="E220" s="2242"/>
      <c r="F220" s="2242"/>
      <c r="G220" s="2242"/>
      <c r="H220" s="2242"/>
      <c r="I220" s="2242"/>
      <c r="J220" s="2242"/>
      <c r="K220" s="2243"/>
      <c r="L220" s="2244"/>
      <c r="M220" s="2242"/>
      <c r="N220" s="2242"/>
      <c r="O220" s="2242"/>
      <c r="P220" s="2242"/>
      <c r="Q220" s="2242"/>
      <c r="R220" s="2242"/>
      <c r="S220" s="2242"/>
      <c r="T220" s="2242"/>
      <c r="U220" s="2242"/>
      <c r="V220" s="2242"/>
      <c r="W220" s="2242"/>
      <c r="X220" s="2242"/>
      <c r="Y220" s="2242"/>
      <c r="Z220" s="2242"/>
      <c r="AA220" s="2242"/>
      <c r="AB220" s="2242"/>
      <c r="AC220" s="2242"/>
    </row>
    <row r="221" spans="1:29" s="2205" customFormat="1">
      <c r="A221" s="2242"/>
      <c r="B221" s="2242"/>
      <c r="C221" s="2242"/>
      <c r="D221" s="2242"/>
      <c r="E221" s="2242"/>
      <c r="F221" s="2242"/>
      <c r="G221" s="2242"/>
      <c r="H221" s="2242"/>
      <c r="I221" s="2242"/>
      <c r="J221" s="2242"/>
      <c r="K221" s="2243"/>
      <c r="L221" s="2244"/>
      <c r="M221" s="2242"/>
      <c r="N221" s="2242"/>
      <c r="O221" s="2242"/>
      <c r="P221" s="2242"/>
      <c r="Q221" s="2242"/>
      <c r="R221" s="2242"/>
      <c r="S221" s="2242"/>
      <c r="T221" s="2242"/>
      <c r="U221" s="2242"/>
      <c r="V221" s="2242"/>
      <c r="W221" s="2242"/>
      <c r="X221" s="2242"/>
      <c r="Y221" s="2242"/>
      <c r="Z221" s="2242"/>
      <c r="AA221" s="2242"/>
      <c r="AB221" s="2242"/>
      <c r="AC221" s="2242"/>
    </row>
    <row r="222" spans="1:29" s="2205" customFormat="1">
      <c r="A222" s="2242"/>
      <c r="B222" s="2242"/>
      <c r="C222" s="2242"/>
      <c r="D222" s="2242"/>
      <c r="E222" s="2242"/>
      <c r="F222" s="2242"/>
      <c r="G222" s="2242"/>
      <c r="H222" s="2242"/>
      <c r="I222" s="2242"/>
      <c r="J222" s="2242"/>
      <c r="K222" s="2243"/>
      <c r="L222" s="2244"/>
      <c r="M222" s="2242"/>
      <c r="N222" s="2242"/>
      <c r="O222" s="2242"/>
      <c r="P222" s="2242"/>
      <c r="Q222" s="2242"/>
      <c r="R222" s="2242"/>
      <c r="S222" s="2242"/>
      <c r="T222" s="2242"/>
      <c r="U222" s="2242"/>
      <c r="V222" s="2242"/>
      <c r="W222" s="2242"/>
      <c r="X222" s="2242"/>
      <c r="Y222" s="2242"/>
      <c r="Z222" s="2242"/>
      <c r="AA222" s="2242"/>
      <c r="AB222" s="2242"/>
      <c r="AC222" s="2242"/>
    </row>
    <row r="223" spans="1:29" s="2205" customFormat="1">
      <c r="A223" s="2242"/>
      <c r="B223" s="2242"/>
      <c r="C223" s="2242"/>
      <c r="D223" s="2242"/>
      <c r="E223" s="2242"/>
      <c r="F223" s="2242"/>
      <c r="G223" s="2242"/>
      <c r="H223" s="2242"/>
      <c r="I223" s="2242"/>
      <c r="J223" s="2242"/>
      <c r="K223" s="2243"/>
      <c r="L223" s="2244"/>
      <c r="M223" s="2242"/>
      <c r="N223" s="2242"/>
      <c r="O223" s="2242"/>
      <c r="P223" s="2242"/>
      <c r="Q223" s="2242"/>
      <c r="R223" s="2242"/>
      <c r="S223" s="2242"/>
      <c r="T223" s="2242"/>
      <c r="U223" s="2242"/>
      <c r="V223" s="2242"/>
      <c r="W223" s="2242"/>
      <c r="X223" s="2242"/>
      <c r="Y223" s="2242"/>
      <c r="Z223" s="2242"/>
      <c r="AA223" s="2242"/>
      <c r="AB223" s="2242"/>
      <c r="AC223" s="2242"/>
    </row>
    <row r="224" spans="1:29" s="2205" customFormat="1">
      <c r="A224" s="2242"/>
      <c r="B224" s="2242"/>
      <c r="C224" s="2242"/>
      <c r="D224" s="2242"/>
      <c r="E224" s="2242"/>
      <c r="F224" s="2242"/>
      <c r="G224" s="2242"/>
      <c r="H224" s="2242"/>
      <c r="I224" s="2242"/>
      <c r="J224" s="2242"/>
      <c r="K224" s="2243"/>
      <c r="L224" s="2244"/>
      <c r="M224" s="2242"/>
      <c r="N224" s="2242"/>
      <c r="O224" s="2242"/>
      <c r="P224" s="2242"/>
      <c r="Q224" s="2242"/>
      <c r="R224" s="2242"/>
      <c r="S224" s="2242"/>
      <c r="T224" s="2242"/>
      <c r="U224" s="2242"/>
      <c r="V224" s="2242"/>
      <c r="W224" s="2242"/>
      <c r="X224" s="2242"/>
      <c r="Y224" s="2242"/>
      <c r="Z224" s="2242"/>
      <c r="AA224" s="2242"/>
      <c r="AB224" s="2242"/>
      <c r="AC224" s="2242"/>
    </row>
    <row r="225" spans="1:29" s="2205" customFormat="1">
      <c r="A225" s="2242"/>
      <c r="B225" s="2242"/>
      <c r="C225" s="2242"/>
      <c r="D225" s="2242"/>
      <c r="E225" s="2242"/>
      <c r="F225" s="2242"/>
      <c r="G225" s="2242"/>
      <c r="H225" s="2242"/>
      <c r="I225" s="2242"/>
      <c r="J225" s="2242"/>
      <c r="K225" s="2243"/>
      <c r="L225" s="2244"/>
      <c r="M225" s="2242"/>
      <c r="N225" s="2242"/>
      <c r="O225" s="2242"/>
      <c r="P225" s="2242"/>
      <c r="Q225" s="2242"/>
      <c r="R225" s="2242"/>
      <c r="S225" s="2242"/>
      <c r="T225" s="2242"/>
      <c r="U225" s="2242"/>
      <c r="V225" s="2242"/>
      <c r="W225" s="2242"/>
      <c r="X225" s="2242"/>
      <c r="Y225" s="2242"/>
      <c r="Z225" s="2242"/>
      <c r="AA225" s="2242"/>
      <c r="AB225" s="2242"/>
      <c r="AC225" s="2242"/>
    </row>
    <row r="226" spans="1:29" s="2205" customFormat="1">
      <c r="A226" s="2242"/>
      <c r="B226" s="2242"/>
      <c r="C226" s="2242"/>
      <c r="D226" s="2242"/>
      <c r="E226" s="2242"/>
      <c r="F226" s="2242"/>
      <c r="G226" s="2242"/>
      <c r="H226" s="2242"/>
      <c r="I226" s="2242"/>
      <c r="J226" s="2242"/>
      <c r="K226" s="2243"/>
      <c r="L226" s="2244"/>
      <c r="M226" s="2242"/>
      <c r="N226" s="2242"/>
      <c r="O226" s="2242"/>
      <c r="P226" s="2242"/>
      <c r="Q226" s="2242"/>
      <c r="R226" s="2242"/>
      <c r="S226" s="2242"/>
      <c r="T226" s="2242"/>
      <c r="U226" s="2242"/>
      <c r="V226" s="2242"/>
      <c r="W226" s="2242"/>
      <c r="X226" s="2242"/>
      <c r="Y226" s="2242"/>
      <c r="Z226" s="2242"/>
      <c r="AA226" s="2242"/>
      <c r="AB226" s="2242"/>
      <c r="AC226" s="2242"/>
    </row>
    <row r="227" spans="1:29" s="2205" customFormat="1">
      <c r="A227" s="2242"/>
      <c r="B227" s="2242"/>
      <c r="C227" s="2242"/>
      <c r="D227" s="2242"/>
      <c r="E227" s="2242"/>
      <c r="F227" s="2242"/>
      <c r="G227" s="2242"/>
      <c r="H227" s="2242"/>
      <c r="I227" s="2242"/>
      <c r="J227" s="2242"/>
      <c r="K227" s="2243"/>
      <c r="L227" s="2244"/>
      <c r="M227" s="2242"/>
      <c r="N227" s="2242"/>
      <c r="O227" s="2242"/>
      <c r="P227" s="2242"/>
      <c r="Q227" s="2242"/>
      <c r="R227" s="2242"/>
      <c r="S227" s="2242"/>
      <c r="T227" s="2242"/>
      <c r="U227" s="2242"/>
      <c r="V227" s="2242"/>
      <c r="W227" s="2242"/>
      <c r="X227" s="2242"/>
      <c r="Y227" s="2242"/>
      <c r="Z227" s="2242"/>
      <c r="AA227" s="2242"/>
      <c r="AB227" s="2242"/>
      <c r="AC227" s="2242"/>
    </row>
    <row r="228" spans="1:29" s="2205" customFormat="1">
      <c r="A228" s="2242"/>
      <c r="B228" s="2242"/>
      <c r="C228" s="2242"/>
      <c r="D228" s="2242"/>
      <c r="E228" s="2242"/>
      <c r="F228" s="2242"/>
      <c r="G228" s="2242"/>
      <c r="H228" s="2242"/>
      <c r="I228" s="2242"/>
      <c r="J228" s="2242"/>
      <c r="K228" s="2243"/>
      <c r="L228" s="2244"/>
      <c r="M228" s="2242"/>
      <c r="N228" s="2242"/>
      <c r="O228" s="2242"/>
      <c r="P228" s="2242"/>
      <c r="Q228" s="2242"/>
      <c r="R228" s="2242"/>
      <c r="S228" s="2242"/>
      <c r="T228" s="2242"/>
      <c r="U228" s="2242"/>
      <c r="V228" s="2242"/>
      <c r="W228" s="2242"/>
      <c r="X228" s="2242"/>
      <c r="Y228" s="2242"/>
      <c r="Z228" s="2242"/>
      <c r="AA228" s="2242"/>
      <c r="AB228" s="2242"/>
      <c r="AC228" s="2242"/>
    </row>
    <row r="229" spans="1:29" s="2205" customFormat="1">
      <c r="A229" s="2242"/>
      <c r="B229" s="2242"/>
      <c r="C229" s="2242"/>
      <c r="D229" s="2242"/>
      <c r="E229" s="2242"/>
      <c r="F229" s="2242"/>
      <c r="G229" s="2242"/>
      <c r="H229" s="2242"/>
      <c r="I229" s="2242"/>
      <c r="J229" s="2242"/>
      <c r="K229" s="2243"/>
      <c r="L229" s="2244"/>
      <c r="M229" s="2242"/>
      <c r="N229" s="2242"/>
      <c r="O229" s="2242"/>
      <c r="P229" s="2242"/>
      <c r="Q229" s="2242"/>
      <c r="R229" s="2242"/>
      <c r="S229" s="2242"/>
      <c r="T229" s="2242"/>
      <c r="U229" s="2242"/>
      <c r="V229" s="2242"/>
      <c r="W229" s="2242"/>
      <c r="X229" s="2242"/>
      <c r="Y229" s="2242"/>
      <c r="Z229" s="2242"/>
      <c r="AA229" s="2242"/>
      <c r="AB229" s="2242"/>
      <c r="AC229" s="2242"/>
    </row>
    <row r="230" spans="1:29" s="2205" customFormat="1">
      <c r="A230" s="2242"/>
      <c r="B230" s="2242"/>
      <c r="C230" s="2242"/>
      <c r="D230" s="2242"/>
      <c r="E230" s="2242"/>
      <c r="F230" s="2242"/>
      <c r="G230" s="2242"/>
      <c r="H230" s="2242"/>
      <c r="I230" s="2242"/>
      <c r="J230" s="2242"/>
      <c r="K230" s="2243"/>
      <c r="L230" s="2244"/>
      <c r="M230" s="2242"/>
      <c r="N230" s="2242"/>
      <c r="O230" s="2242"/>
      <c r="P230" s="2242"/>
      <c r="Q230" s="2242"/>
      <c r="R230" s="2242"/>
      <c r="S230" s="2242"/>
      <c r="T230" s="2242"/>
      <c r="U230" s="2242"/>
      <c r="V230" s="2242"/>
      <c r="W230" s="2242"/>
      <c r="X230" s="2242"/>
      <c r="Y230" s="2242"/>
      <c r="Z230" s="2242"/>
      <c r="AA230" s="2242"/>
      <c r="AB230" s="2242"/>
      <c r="AC230" s="2242"/>
    </row>
    <row r="231" spans="1:29" s="2205" customFormat="1">
      <c r="A231" s="2242"/>
      <c r="B231" s="2242"/>
      <c r="C231" s="2242"/>
      <c r="D231" s="2242"/>
      <c r="E231" s="2242"/>
      <c r="F231" s="2242"/>
      <c r="G231" s="2242"/>
      <c r="H231" s="2242"/>
      <c r="I231" s="2242"/>
      <c r="J231" s="2242"/>
      <c r="K231" s="2243"/>
      <c r="L231" s="2244"/>
      <c r="M231" s="2242"/>
      <c r="N231" s="2242"/>
      <c r="O231" s="2242"/>
      <c r="P231" s="2242"/>
      <c r="Q231" s="2242"/>
      <c r="R231" s="2242"/>
      <c r="S231" s="2242"/>
      <c r="T231" s="2242"/>
      <c r="U231" s="2242"/>
      <c r="V231" s="2242"/>
      <c r="W231" s="2242"/>
      <c r="X231" s="2242"/>
      <c r="Y231" s="2242"/>
      <c r="Z231" s="2242"/>
      <c r="AA231" s="2242"/>
      <c r="AB231" s="2242"/>
      <c r="AC231" s="2242"/>
    </row>
    <row r="232" spans="1:29" s="2205" customFormat="1">
      <c r="A232" s="2242"/>
      <c r="B232" s="2242"/>
      <c r="C232" s="2242"/>
      <c r="D232" s="2242"/>
      <c r="E232" s="2242"/>
      <c r="F232" s="2242"/>
      <c r="G232" s="2242"/>
      <c r="H232" s="2242"/>
      <c r="I232" s="2242"/>
      <c r="J232" s="2242"/>
      <c r="K232" s="2243"/>
      <c r="L232" s="2244"/>
      <c r="M232" s="2242"/>
      <c r="N232" s="2242"/>
      <c r="O232" s="2242"/>
      <c r="P232" s="2242"/>
      <c r="Q232" s="2242"/>
      <c r="R232" s="2242"/>
      <c r="S232" s="2242"/>
      <c r="T232" s="2242"/>
      <c r="U232" s="2242"/>
      <c r="V232" s="2242"/>
      <c r="W232" s="2242"/>
      <c r="X232" s="2242"/>
      <c r="Y232" s="2242"/>
      <c r="Z232" s="2242"/>
      <c r="AA232" s="2242"/>
      <c r="AB232" s="2242"/>
      <c r="AC232" s="2242"/>
    </row>
    <row r="233" spans="1:29" s="2205" customFormat="1">
      <c r="A233" s="2242"/>
      <c r="B233" s="2242"/>
      <c r="C233" s="2242"/>
      <c r="D233" s="2242"/>
      <c r="E233" s="2242"/>
      <c r="F233" s="2242"/>
      <c r="G233" s="2242"/>
      <c r="H233" s="2242"/>
      <c r="I233" s="2242"/>
      <c r="J233" s="2242"/>
      <c r="K233" s="2243"/>
      <c r="L233" s="2244"/>
      <c r="M233" s="2242"/>
      <c r="N233" s="2242"/>
      <c r="O233" s="2242"/>
      <c r="P233" s="2242"/>
      <c r="Q233" s="2242"/>
      <c r="R233" s="2242"/>
      <c r="S233" s="2242"/>
      <c r="T233" s="2242"/>
      <c r="U233" s="2242"/>
      <c r="V233" s="2242"/>
      <c r="W233" s="2242"/>
      <c r="X233" s="2242"/>
      <c r="Y233" s="2242"/>
      <c r="Z233" s="2242"/>
      <c r="AA233" s="2242"/>
      <c r="AB233" s="2242"/>
      <c r="AC233" s="2242"/>
    </row>
    <row r="234" spans="1:29" s="2205" customFormat="1">
      <c r="A234" s="2242"/>
      <c r="B234" s="2242"/>
      <c r="C234" s="2242"/>
      <c r="D234" s="2242"/>
      <c r="E234" s="2242"/>
      <c r="F234" s="2242"/>
      <c r="G234" s="2242"/>
      <c r="H234" s="2242"/>
      <c r="I234" s="2242"/>
      <c r="J234" s="2242"/>
      <c r="K234" s="2243"/>
      <c r="L234" s="2244"/>
      <c r="M234" s="2242"/>
      <c r="N234" s="2242"/>
      <c r="O234" s="2242"/>
      <c r="P234" s="2242"/>
      <c r="Q234" s="2242"/>
      <c r="R234" s="2242"/>
      <c r="S234" s="2242"/>
      <c r="T234" s="2242"/>
      <c r="U234" s="2242"/>
      <c r="V234" s="2242"/>
      <c r="W234" s="2242"/>
      <c r="X234" s="2242"/>
      <c r="Y234" s="2242"/>
      <c r="Z234" s="2242"/>
      <c r="AA234" s="2242"/>
      <c r="AB234" s="2242"/>
      <c r="AC234" s="2242"/>
    </row>
    <row r="235" spans="1:29" s="2205" customFormat="1">
      <c r="A235" s="2242"/>
      <c r="B235" s="2242"/>
      <c r="C235" s="2242"/>
      <c r="D235" s="2242"/>
      <c r="E235" s="2242"/>
      <c r="F235" s="2242"/>
      <c r="G235" s="2242"/>
      <c r="H235" s="2242"/>
      <c r="I235" s="2242"/>
      <c r="J235" s="2242"/>
      <c r="K235" s="2243"/>
      <c r="L235" s="2244"/>
      <c r="M235" s="2242"/>
      <c r="N235" s="2242"/>
      <c r="O235" s="2242"/>
      <c r="P235" s="2242"/>
      <c r="Q235" s="2242"/>
      <c r="R235" s="2242"/>
      <c r="S235" s="2242"/>
      <c r="T235" s="2242"/>
      <c r="U235" s="2242"/>
      <c r="V235" s="2242"/>
      <c r="W235" s="2242"/>
      <c r="X235" s="2242"/>
      <c r="Y235" s="2242"/>
      <c r="Z235" s="2242"/>
      <c r="AA235" s="2242"/>
      <c r="AB235" s="2242"/>
      <c r="AC235" s="2242"/>
    </row>
    <row r="236" spans="1:29" s="2205" customFormat="1">
      <c r="A236" s="2242"/>
      <c r="B236" s="2242"/>
      <c r="C236" s="2242"/>
      <c r="D236" s="2242"/>
      <c r="E236" s="2242"/>
      <c r="F236" s="2242"/>
      <c r="G236" s="2242"/>
      <c r="H236" s="2242"/>
      <c r="I236" s="2242"/>
      <c r="J236" s="2242"/>
      <c r="K236" s="2243"/>
      <c r="L236" s="2244"/>
      <c r="M236" s="2242"/>
      <c r="N236" s="2242"/>
      <c r="O236" s="2242"/>
      <c r="P236" s="2242"/>
      <c r="Q236" s="2242"/>
      <c r="R236" s="2242"/>
      <c r="S236" s="2242"/>
      <c r="T236" s="2242"/>
      <c r="U236" s="2242"/>
      <c r="V236" s="2242"/>
      <c r="W236" s="2242"/>
      <c r="X236" s="2242"/>
      <c r="Y236" s="2242"/>
      <c r="Z236" s="2242"/>
      <c r="AA236" s="2242"/>
      <c r="AB236" s="2242"/>
      <c r="AC236" s="2242"/>
    </row>
    <row r="237" spans="1:29" s="2205" customFormat="1">
      <c r="A237" s="2242"/>
      <c r="B237" s="2242"/>
      <c r="C237" s="2242"/>
      <c r="D237" s="2242"/>
      <c r="E237" s="2242"/>
      <c r="F237" s="2242"/>
      <c r="G237" s="2242"/>
      <c r="H237" s="2242"/>
      <c r="I237" s="2242"/>
      <c r="J237" s="2242"/>
      <c r="K237" s="2243"/>
      <c r="L237" s="2244"/>
      <c r="M237" s="2242"/>
      <c r="N237" s="2242"/>
      <c r="O237" s="2242"/>
      <c r="P237" s="2242"/>
      <c r="Q237" s="2242"/>
      <c r="R237" s="2242"/>
      <c r="S237" s="2242"/>
      <c r="T237" s="2242"/>
      <c r="U237" s="2242"/>
      <c r="V237" s="2242"/>
      <c r="W237" s="2242"/>
      <c r="X237" s="2242"/>
      <c r="Y237" s="2242"/>
      <c r="Z237" s="2242"/>
      <c r="AA237" s="2242"/>
      <c r="AB237" s="2242"/>
      <c r="AC237" s="2242"/>
    </row>
    <row r="238" spans="1:29" s="2205" customFormat="1">
      <c r="A238" s="2242"/>
      <c r="B238" s="2242"/>
      <c r="C238" s="2242"/>
      <c r="D238" s="2242"/>
      <c r="E238" s="2242"/>
      <c r="F238" s="2242"/>
      <c r="G238" s="2242"/>
      <c r="H238" s="2242"/>
      <c r="I238" s="2242"/>
      <c r="J238" s="2242"/>
      <c r="K238" s="2243"/>
      <c r="L238" s="2244"/>
      <c r="M238" s="2242"/>
      <c r="N238" s="2242"/>
      <c r="O238" s="2242"/>
      <c r="P238" s="2242"/>
      <c r="Q238" s="2242"/>
      <c r="R238" s="2242"/>
      <c r="S238" s="2242"/>
      <c r="T238" s="2242"/>
      <c r="U238" s="2242"/>
      <c r="V238" s="2242"/>
      <c r="W238" s="2242"/>
      <c r="X238" s="2242"/>
      <c r="Y238" s="2242"/>
      <c r="Z238" s="2242"/>
      <c r="AA238" s="2242"/>
      <c r="AB238" s="2242"/>
      <c r="AC238" s="2242"/>
    </row>
    <row r="239" spans="1:29" s="2205" customFormat="1">
      <c r="A239" s="2242"/>
      <c r="B239" s="2242"/>
      <c r="C239" s="2242"/>
      <c r="D239" s="2242"/>
      <c r="E239" s="2242"/>
      <c r="F239" s="2242"/>
      <c r="G239" s="2242"/>
      <c r="H239" s="2242"/>
      <c r="I239" s="2242"/>
      <c r="J239" s="2242"/>
      <c r="K239" s="2243"/>
      <c r="L239" s="2244"/>
      <c r="M239" s="2242"/>
      <c r="N239" s="2242"/>
      <c r="O239" s="2242"/>
      <c r="P239" s="2242"/>
      <c r="Q239" s="2242"/>
      <c r="R239" s="2242"/>
      <c r="S239" s="2242"/>
      <c r="T239" s="2242"/>
      <c r="U239" s="2242"/>
      <c r="V239" s="2242"/>
      <c r="W239" s="2242"/>
      <c r="X239" s="2242"/>
      <c r="Y239" s="2242"/>
      <c r="Z239" s="2242"/>
      <c r="AA239" s="2242"/>
      <c r="AB239" s="2242"/>
      <c r="AC239" s="2242"/>
    </row>
    <row r="240" spans="1:29" s="2205" customFormat="1">
      <c r="A240" s="2242"/>
      <c r="B240" s="2242"/>
      <c r="C240" s="2242"/>
      <c r="D240" s="2242"/>
      <c r="E240" s="2242"/>
      <c r="F240" s="2242"/>
      <c r="G240" s="2242"/>
      <c r="H240" s="2242"/>
      <c r="I240" s="2242"/>
      <c r="J240" s="2242"/>
      <c r="K240" s="2243"/>
      <c r="L240" s="2244"/>
      <c r="M240" s="2242"/>
      <c r="N240" s="2242"/>
      <c r="O240" s="2242"/>
      <c r="P240" s="2242"/>
      <c r="Q240" s="2242"/>
      <c r="R240" s="2242"/>
      <c r="S240" s="2242"/>
      <c r="T240" s="2242"/>
      <c r="U240" s="2242"/>
      <c r="V240" s="2242"/>
      <c r="W240" s="2242"/>
      <c r="X240" s="2242"/>
      <c r="Y240" s="2242"/>
      <c r="Z240" s="2242"/>
      <c r="AA240" s="2242"/>
      <c r="AB240" s="2242"/>
      <c r="AC240" s="2242"/>
    </row>
    <row r="241" spans="1:29" s="2205" customFormat="1">
      <c r="A241" s="2242"/>
      <c r="B241" s="2242"/>
      <c r="C241" s="2242"/>
      <c r="D241" s="2242"/>
      <c r="E241" s="2242"/>
      <c r="F241" s="2242"/>
      <c r="G241" s="2242"/>
      <c r="H241" s="2242"/>
      <c r="I241" s="2242"/>
      <c r="J241" s="2242"/>
      <c r="K241" s="2243"/>
      <c r="L241" s="2244"/>
      <c r="M241" s="2242"/>
      <c r="N241" s="2242"/>
      <c r="O241" s="2242"/>
      <c r="P241" s="2242"/>
      <c r="Q241" s="2242"/>
      <c r="R241" s="2242"/>
      <c r="S241" s="2242"/>
      <c r="T241" s="2242"/>
      <c r="U241" s="2242"/>
      <c r="V241" s="2242"/>
      <c r="W241" s="2242"/>
      <c r="X241" s="2242"/>
      <c r="Y241" s="2242"/>
      <c r="Z241" s="2242"/>
      <c r="AA241" s="2242"/>
      <c r="AB241" s="2242"/>
      <c r="AC241" s="2242"/>
    </row>
    <row r="242" spans="1:29" s="2205" customFormat="1">
      <c r="A242" s="2242"/>
      <c r="B242" s="2242"/>
      <c r="C242" s="2242"/>
      <c r="D242" s="2242"/>
      <c r="E242" s="2242"/>
      <c r="F242" s="2242"/>
      <c r="G242" s="2242"/>
      <c r="H242" s="2242"/>
      <c r="I242" s="2242"/>
      <c r="J242" s="2242"/>
      <c r="K242" s="2243"/>
      <c r="L242" s="2244"/>
      <c r="M242" s="2242"/>
      <c r="N242" s="2242"/>
      <c r="O242" s="2242"/>
      <c r="P242" s="2242"/>
      <c r="Q242" s="2242"/>
      <c r="R242" s="2242"/>
      <c r="S242" s="2242"/>
      <c r="T242" s="2242"/>
      <c r="U242" s="2242"/>
      <c r="V242" s="2242"/>
      <c r="W242" s="2242"/>
      <c r="X242" s="2242"/>
      <c r="Y242" s="2242"/>
      <c r="Z242" s="2242"/>
      <c r="AA242" s="2242"/>
      <c r="AB242" s="2242"/>
      <c r="AC242" s="2242"/>
    </row>
    <row r="243" spans="1:29" s="2205" customFormat="1">
      <c r="A243" s="2242"/>
      <c r="B243" s="2242"/>
      <c r="C243" s="2242"/>
      <c r="D243" s="2242"/>
      <c r="E243" s="2242"/>
      <c r="F243" s="2242"/>
      <c r="G243" s="2242"/>
      <c r="H243" s="2242"/>
      <c r="I243" s="2242"/>
      <c r="J243" s="2242"/>
      <c r="K243" s="2243"/>
      <c r="L243" s="2244"/>
      <c r="M243" s="2242"/>
      <c r="N243" s="2242"/>
      <c r="O243" s="2242"/>
      <c r="P243" s="2242"/>
      <c r="Q243" s="2242"/>
      <c r="R243" s="2242"/>
      <c r="S243" s="2242"/>
      <c r="T243" s="2242"/>
      <c r="U243" s="2242"/>
      <c r="V243" s="2242"/>
      <c r="W243" s="2242"/>
      <c r="X243" s="2242"/>
      <c r="Y243" s="2242"/>
      <c r="Z243" s="2242"/>
      <c r="AA243" s="2242"/>
      <c r="AB243" s="2242"/>
      <c r="AC243" s="2242"/>
    </row>
    <row r="244" spans="1:29" s="2205" customFormat="1">
      <c r="A244" s="2242"/>
      <c r="B244" s="2242"/>
      <c r="C244" s="2242"/>
      <c r="D244" s="2242"/>
      <c r="E244" s="2242"/>
      <c r="F244" s="2242"/>
      <c r="G244" s="2242"/>
      <c r="H244" s="2242"/>
      <c r="I244" s="2242"/>
      <c r="J244" s="2242"/>
      <c r="K244" s="2243"/>
      <c r="L244" s="2244"/>
      <c r="M244" s="2242"/>
      <c r="N244" s="2242"/>
      <c r="O244" s="2242"/>
      <c r="P244" s="2242"/>
      <c r="Q244" s="2242"/>
      <c r="R244" s="2242"/>
      <c r="S244" s="2242"/>
      <c r="T244" s="2242"/>
      <c r="U244" s="2242"/>
      <c r="V244" s="2242"/>
      <c r="W244" s="2242"/>
      <c r="X244" s="2242"/>
      <c r="Y244" s="2242"/>
      <c r="Z244" s="2242"/>
      <c r="AA244" s="2242"/>
      <c r="AB244" s="2242"/>
      <c r="AC244" s="2242"/>
    </row>
    <row r="245" spans="1:29" s="2205" customFormat="1">
      <c r="A245" s="2242"/>
      <c r="B245" s="2242"/>
      <c r="C245" s="2242"/>
      <c r="D245" s="2242"/>
      <c r="E245" s="2242"/>
      <c r="F245" s="2242"/>
      <c r="G245" s="2242"/>
      <c r="H245" s="2242"/>
      <c r="I245" s="2242"/>
      <c r="J245" s="2242"/>
      <c r="K245" s="2243"/>
      <c r="L245" s="2244"/>
      <c r="M245" s="2242"/>
      <c r="N245" s="2242"/>
      <c r="O245" s="2242"/>
      <c r="P245" s="2242"/>
      <c r="Q245" s="2242"/>
      <c r="R245" s="2242"/>
      <c r="S245" s="2242"/>
      <c r="T245" s="2242"/>
      <c r="U245" s="2242"/>
      <c r="V245" s="2242"/>
      <c r="W245" s="2242"/>
      <c r="X245" s="2242"/>
      <c r="Y245" s="2242"/>
      <c r="Z245" s="2242"/>
      <c r="AA245" s="2242"/>
      <c r="AB245" s="2242"/>
      <c r="AC245" s="2242"/>
    </row>
    <row r="246" spans="1:29" s="2205" customFormat="1">
      <c r="A246" s="2242"/>
      <c r="B246" s="2242"/>
      <c r="C246" s="2242"/>
      <c r="D246" s="2242"/>
      <c r="E246" s="2242"/>
      <c r="F246" s="2242"/>
      <c r="G246" s="2242"/>
      <c r="H246" s="2242"/>
      <c r="I246" s="2242"/>
      <c r="J246" s="2242"/>
      <c r="K246" s="2243"/>
      <c r="L246" s="2244"/>
      <c r="M246" s="2242"/>
      <c r="N246" s="2242"/>
      <c r="O246" s="2242"/>
      <c r="P246" s="2242"/>
      <c r="Q246" s="2242"/>
      <c r="R246" s="2242"/>
      <c r="S246" s="2242"/>
      <c r="T246" s="2242"/>
      <c r="U246" s="2242"/>
      <c r="V246" s="2242"/>
      <c r="W246" s="2242"/>
      <c r="X246" s="2242"/>
      <c r="Y246" s="2242"/>
      <c r="Z246" s="2242"/>
      <c r="AA246" s="2242"/>
      <c r="AB246" s="2242"/>
      <c r="AC246" s="2242"/>
    </row>
    <row r="247" spans="1:29" s="2205" customFormat="1">
      <c r="A247" s="2242"/>
      <c r="B247" s="2242"/>
      <c r="C247" s="2242"/>
      <c r="D247" s="2242"/>
      <c r="E247" s="2242"/>
      <c r="F247" s="2242"/>
      <c r="G247" s="2242"/>
      <c r="H247" s="2242"/>
      <c r="I247" s="2242"/>
      <c r="J247" s="2242"/>
      <c r="K247" s="2243"/>
      <c r="L247" s="2244"/>
      <c r="M247" s="2242"/>
      <c r="N247" s="2242"/>
      <c r="O247" s="2242"/>
      <c r="P247" s="2242"/>
      <c r="Q247" s="2242"/>
      <c r="R247" s="2242"/>
      <c r="S247" s="2242"/>
      <c r="T247" s="2242"/>
      <c r="U247" s="2242"/>
      <c r="V247" s="2242"/>
      <c r="W247" s="2242"/>
      <c r="X247" s="2242"/>
      <c r="Y247" s="2242"/>
      <c r="Z247" s="2242"/>
      <c r="AA247" s="2242"/>
      <c r="AB247" s="2242"/>
      <c r="AC247" s="2242"/>
    </row>
    <row r="248" spans="1:29" s="2205" customFormat="1">
      <c r="A248" s="2242"/>
      <c r="B248" s="2242"/>
      <c r="C248" s="2242"/>
      <c r="D248" s="2242"/>
      <c r="E248" s="2242"/>
      <c r="F248" s="2242"/>
      <c r="G248" s="2242"/>
      <c r="H248" s="2242"/>
      <c r="I248" s="2242"/>
      <c r="J248" s="2242"/>
      <c r="K248" s="2243"/>
      <c r="L248" s="2244"/>
      <c r="M248" s="2242"/>
      <c r="N248" s="2242"/>
      <c r="O248" s="2242"/>
      <c r="P248" s="2242"/>
      <c r="Q248" s="2242"/>
      <c r="R248" s="2242"/>
      <c r="S248" s="2242"/>
      <c r="T248" s="2242"/>
      <c r="U248" s="2242"/>
      <c r="V248" s="2242"/>
      <c r="W248" s="2242"/>
      <c r="X248" s="2242"/>
      <c r="Y248" s="2242"/>
      <c r="Z248" s="2242"/>
      <c r="AA248" s="2242"/>
      <c r="AB248" s="2242"/>
      <c r="AC248" s="2242"/>
    </row>
    <row r="249" spans="1:29" s="2205" customFormat="1">
      <c r="A249" s="2242"/>
      <c r="B249" s="2242"/>
      <c r="C249" s="2242"/>
      <c r="D249" s="2242"/>
      <c r="E249" s="2242"/>
      <c r="F249" s="2242"/>
      <c r="G249" s="2242"/>
      <c r="H249" s="2242"/>
      <c r="I249" s="2242"/>
      <c r="J249" s="2242"/>
      <c r="K249" s="2243"/>
      <c r="L249" s="2244"/>
      <c r="M249" s="2242"/>
      <c r="N249" s="2242"/>
      <c r="O249" s="2242"/>
      <c r="P249" s="2242"/>
      <c r="Q249" s="2242"/>
      <c r="R249" s="2242"/>
      <c r="S249" s="2242"/>
      <c r="T249" s="2242"/>
      <c r="U249" s="2242"/>
      <c r="V249" s="2242"/>
      <c r="W249" s="2242"/>
      <c r="X249" s="2242"/>
      <c r="Y249" s="2242"/>
      <c r="Z249" s="2242"/>
      <c r="AA249" s="2242"/>
      <c r="AB249" s="2242"/>
      <c r="AC249" s="2242"/>
    </row>
    <row r="250" spans="1:29" s="2205" customFormat="1">
      <c r="A250" s="2242"/>
      <c r="B250" s="2242"/>
      <c r="C250" s="2242"/>
      <c r="D250" s="2242"/>
      <c r="E250" s="2242"/>
      <c r="F250" s="2242"/>
      <c r="G250" s="2242"/>
      <c r="H250" s="2242"/>
      <c r="I250" s="2242"/>
      <c r="J250" s="2242"/>
      <c r="K250" s="2243"/>
      <c r="L250" s="2244"/>
      <c r="M250" s="2242"/>
      <c r="N250" s="2242"/>
      <c r="O250" s="2242"/>
      <c r="P250" s="2242"/>
      <c r="Q250" s="2242"/>
      <c r="R250" s="2242"/>
      <c r="S250" s="2242"/>
      <c r="T250" s="2242"/>
      <c r="U250" s="2242"/>
      <c r="V250" s="2242"/>
      <c r="W250" s="2242"/>
      <c r="X250" s="2242"/>
      <c r="Y250" s="2242"/>
      <c r="Z250" s="2242"/>
      <c r="AA250" s="2242"/>
      <c r="AB250" s="2242"/>
      <c r="AC250" s="2242"/>
    </row>
    <row r="251" spans="1:29" s="2205" customFormat="1">
      <c r="A251" s="2242"/>
      <c r="B251" s="2242"/>
      <c r="C251" s="2242"/>
      <c r="D251" s="2242"/>
      <c r="E251" s="2242"/>
      <c r="F251" s="2242"/>
      <c r="G251" s="2242"/>
      <c r="H251" s="2242"/>
      <c r="I251" s="2242"/>
      <c r="J251" s="2242"/>
      <c r="K251" s="2243"/>
      <c r="L251" s="2244"/>
      <c r="M251" s="2242"/>
      <c r="N251" s="2242"/>
      <c r="O251" s="2242"/>
      <c r="P251" s="2242"/>
      <c r="Q251" s="2242"/>
      <c r="R251" s="2242"/>
      <c r="S251" s="2242"/>
      <c r="T251" s="2242"/>
      <c r="U251" s="2242"/>
      <c r="V251" s="2242"/>
      <c r="W251" s="2242"/>
      <c r="X251" s="2242"/>
      <c r="Y251" s="2242"/>
      <c r="Z251" s="2242"/>
      <c r="AA251" s="2242"/>
      <c r="AB251" s="2242"/>
      <c r="AC251" s="2242"/>
    </row>
    <row r="252" spans="1:29" s="2205" customFormat="1">
      <c r="A252" s="2242"/>
      <c r="B252" s="2242"/>
      <c r="C252" s="2242"/>
      <c r="D252" s="2242"/>
      <c r="E252" s="2242"/>
      <c r="F252" s="2242"/>
      <c r="G252" s="2242"/>
      <c r="H252" s="2242"/>
      <c r="I252" s="2242"/>
      <c r="J252" s="2242"/>
      <c r="K252" s="2243"/>
      <c r="L252" s="2244"/>
      <c r="M252" s="2242"/>
      <c r="N252" s="2242"/>
      <c r="O252" s="2242"/>
      <c r="P252" s="2242"/>
      <c r="Q252" s="2242"/>
      <c r="R252" s="2242"/>
      <c r="S252" s="2242"/>
      <c r="T252" s="2242"/>
      <c r="U252" s="2242"/>
      <c r="V252" s="2242"/>
      <c r="W252" s="2242"/>
      <c r="X252" s="2242"/>
      <c r="Y252" s="2242"/>
      <c r="Z252" s="2242"/>
      <c r="AA252" s="2242"/>
      <c r="AB252" s="2242"/>
      <c r="AC252" s="2242"/>
    </row>
    <row r="253" spans="1:29" s="2205" customFormat="1">
      <c r="A253" s="2242"/>
      <c r="B253" s="2242"/>
      <c r="C253" s="2242"/>
      <c r="D253" s="2242"/>
      <c r="E253" s="2242"/>
      <c r="F253" s="2242"/>
      <c r="G253" s="2242"/>
      <c r="H253" s="2242"/>
      <c r="I253" s="2242"/>
      <c r="J253" s="2242"/>
      <c r="K253" s="2243"/>
      <c r="L253" s="2244"/>
      <c r="M253" s="2242"/>
      <c r="N253" s="2242"/>
      <c r="O253" s="2242"/>
      <c r="P253" s="2242"/>
      <c r="Q253" s="2242"/>
      <c r="R253" s="2242"/>
      <c r="S253" s="2242"/>
      <c r="T253" s="2242"/>
      <c r="U253" s="2242"/>
      <c r="V253" s="2242"/>
      <c r="W253" s="2242"/>
      <c r="X253" s="2242"/>
      <c r="Y253" s="2242"/>
      <c r="Z253" s="2242"/>
      <c r="AA253" s="2242"/>
      <c r="AB253" s="2242"/>
      <c r="AC253" s="2242"/>
    </row>
    <row r="254" spans="1:29" s="2205" customFormat="1">
      <c r="A254" s="2242"/>
      <c r="B254" s="2242"/>
      <c r="C254" s="2242"/>
      <c r="D254" s="2242"/>
      <c r="E254" s="2242"/>
      <c r="F254" s="2242"/>
      <c r="G254" s="2242"/>
      <c r="H254" s="2242"/>
      <c r="I254" s="2242"/>
      <c r="J254" s="2242"/>
      <c r="K254" s="2243"/>
      <c r="L254" s="2244"/>
      <c r="M254" s="2242"/>
      <c r="N254" s="2242"/>
      <c r="O254" s="2242"/>
      <c r="P254" s="2242"/>
      <c r="Q254" s="2242"/>
      <c r="R254" s="2242"/>
      <c r="S254" s="2242"/>
      <c r="T254" s="2242"/>
      <c r="U254" s="2242"/>
      <c r="V254" s="2242"/>
      <c r="W254" s="2242"/>
      <c r="X254" s="2242"/>
      <c r="Y254" s="2242"/>
      <c r="Z254" s="2242"/>
      <c r="AA254" s="2242"/>
      <c r="AB254" s="2242"/>
      <c r="AC254" s="2242"/>
    </row>
    <row r="255" spans="1:29" s="2205" customFormat="1">
      <c r="K255" s="2245"/>
      <c r="L255" s="2246"/>
    </row>
    <row r="256" spans="1:29" s="2205" customFormat="1">
      <c r="K256" s="2245"/>
      <c r="L256" s="2246"/>
    </row>
    <row r="257" spans="11:12" s="2205" customFormat="1">
      <c r="K257" s="2245"/>
      <c r="L257" s="2246"/>
    </row>
    <row r="258" spans="11:12" s="2205" customFormat="1">
      <c r="K258" s="2245"/>
      <c r="L258" s="2246"/>
    </row>
  </sheetData>
  <sheetProtection password="CEE9" sheet="1" objects="1" scenarios="1" formatCells="0" formatColumns="0" formatRows="0"/>
  <mergeCells count="41">
    <mergeCell ref="G57:H58"/>
    <mergeCell ref="Y6:Z8"/>
    <mergeCell ref="AA6:AA8"/>
    <mergeCell ref="AB6:AB8"/>
    <mergeCell ref="AC6:AC8"/>
    <mergeCell ref="P6:Q8"/>
    <mergeCell ref="R6:S8"/>
    <mergeCell ref="T6:U8"/>
    <mergeCell ref="V6:W8"/>
    <mergeCell ref="P49:Q49"/>
    <mergeCell ref="R49:S49"/>
    <mergeCell ref="T49:U49"/>
    <mergeCell ref="V49:W49"/>
    <mergeCell ref="P50:Q50"/>
    <mergeCell ref="R50:W50"/>
    <mergeCell ref="Y9:Z9"/>
    <mergeCell ref="P10:Q10"/>
    <mergeCell ref="Y10:Z10"/>
    <mergeCell ref="P48:Q48"/>
    <mergeCell ref="R48:S48"/>
    <mergeCell ref="T48:U48"/>
    <mergeCell ref="V48:W48"/>
    <mergeCell ref="P11:P16"/>
    <mergeCell ref="P17:P37"/>
    <mergeCell ref="P38:P47"/>
    <mergeCell ref="Y11:Y16"/>
    <mergeCell ref="Y17:Y37"/>
    <mergeCell ref="Y38:Y47"/>
    <mergeCell ref="C8:D8"/>
    <mergeCell ref="E8:F8"/>
    <mergeCell ref="G8:H8"/>
    <mergeCell ref="I8:J8"/>
    <mergeCell ref="P9:Q9"/>
    <mergeCell ref="C6:D6"/>
    <mergeCell ref="E6:F6"/>
    <mergeCell ref="G6:H6"/>
    <mergeCell ref="I6:J6"/>
    <mergeCell ref="C7:D7"/>
    <mergeCell ref="E7:F7"/>
    <mergeCell ref="G7:H7"/>
    <mergeCell ref="I7:J7"/>
  </mergeCells>
  <phoneticPr fontId="254" type="noConversion"/>
  <conditionalFormatting sqref="F49">
    <cfRule type="expression" dxfId="168" priority="4">
      <formula>$D$49="简单平均"</formula>
    </cfRule>
  </conditionalFormatting>
  <conditionalFormatting sqref="H49">
    <cfRule type="expression" dxfId="167" priority="3">
      <formula>$D$49="简单平均"</formula>
    </cfRule>
  </conditionalFormatting>
  <conditionalFormatting sqref="J49">
    <cfRule type="expression" dxfId="166" priority="2">
      <formula>$D$49="简单平均"</formula>
    </cfRule>
  </conditionalFormatting>
  <conditionalFormatting sqref="E53">
    <cfRule type="expression" dxfId="165" priority="13" stopIfTrue="1">
      <formula>$F$53="超过30%"</formula>
    </cfRule>
  </conditionalFormatting>
  <conditionalFormatting sqref="G53">
    <cfRule type="expression" dxfId="164" priority="9" stopIfTrue="1">
      <formula>$H$55+$H$53="超过30%"</formula>
    </cfRule>
  </conditionalFormatting>
  <conditionalFormatting sqref="I53">
    <cfRule type="expression" dxfId="163" priority="7" stopIfTrue="1">
      <formula>$J$53="超过30%"</formula>
    </cfRule>
  </conditionalFormatting>
  <conditionalFormatting sqref="E54">
    <cfRule type="expression" dxfId="162" priority="11" stopIfTrue="1">
      <formula>$F$54="超过20%"</formula>
    </cfRule>
  </conditionalFormatting>
  <conditionalFormatting sqref="G54">
    <cfRule type="expression" dxfId="161" priority="8" stopIfTrue="1">
      <formula>$H$54="超过20%"</formula>
    </cfRule>
  </conditionalFormatting>
  <conditionalFormatting sqref="I54">
    <cfRule type="expression" dxfId="160" priority="6" stopIfTrue="1">
      <formula>$J$54="超过20%"</formula>
    </cfRule>
  </conditionalFormatting>
  <conditionalFormatting sqref="E55">
    <cfRule type="expression" dxfId="159" priority="10" stopIfTrue="1">
      <formula>$F$55="超过30%"</formula>
    </cfRule>
  </conditionalFormatting>
  <conditionalFormatting sqref="F55">
    <cfRule type="containsText" dxfId="158" priority="15" stopIfTrue="1" operator="containsText" text="超过">
      <formula>NOT(ISERROR(SEARCH("超过",F55)))</formula>
    </cfRule>
  </conditionalFormatting>
  <conditionalFormatting sqref="G55">
    <cfRule type="expression" dxfId="157" priority="12" stopIfTrue="1">
      <formula>$H$55="超过30%"</formula>
    </cfRule>
  </conditionalFormatting>
  <conditionalFormatting sqref="H55">
    <cfRule type="containsText" dxfId="156" priority="16" stopIfTrue="1" operator="containsText" text="超过">
      <formula>NOT(ISERROR(SEARCH("超过",H55)))</formula>
    </cfRule>
  </conditionalFormatting>
  <conditionalFormatting sqref="I55">
    <cfRule type="expression" dxfId="155" priority="5" stopIfTrue="1">
      <formula>$J$55="超过30%"</formula>
    </cfRule>
  </conditionalFormatting>
  <conditionalFormatting sqref="J55">
    <cfRule type="containsText" dxfId="154" priority="17" stopIfTrue="1" operator="containsText" text="超过">
      <formula>NOT(ISERROR(SEARCH("超过",J55)))</formula>
    </cfRule>
  </conditionalFormatting>
  <conditionalFormatting sqref="F9:F47 H9:H47 J9:J47">
    <cfRule type="cellIs" dxfId="153" priority="1" operator="notEqual">
      <formula>100</formula>
    </cfRule>
  </conditionalFormatting>
  <conditionalFormatting sqref="F53 H53 J53">
    <cfRule type="containsText" dxfId="152" priority="18" stopIfTrue="1" operator="containsText" text="超过">
      <formula>NOT(ISERROR(SEARCH("超过",F53)))</formula>
    </cfRule>
  </conditionalFormatting>
  <conditionalFormatting sqref="F54 H54 J54">
    <cfRule type="containsText" dxfId="151" priority="14" stopIfTrue="1" operator="containsText"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05" right="0.70866141732283505" top="1.0629921259842501" bottom="0.94488188976377996" header="0.31496062992126" footer="0.31496062992126"/>
  <pageSetup paperSize="9" scale="46"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1"/>
  <sheetViews>
    <sheetView view="pageBreakPreview" zoomScale="60" zoomScaleNormal="50" workbookViewId="0">
      <selection activeCell="F134" sqref="F134"/>
    </sheetView>
  </sheetViews>
  <sheetFormatPr defaultColWidth="9" defaultRowHeight="14.25"/>
  <cols>
    <col min="1" max="1" width="13.375" style="215" customWidth="1"/>
    <col min="2" max="2" width="15.75" style="215" customWidth="1"/>
    <col min="3" max="3" width="14.375" style="215" customWidth="1"/>
    <col min="4" max="4" width="12.25" style="215" customWidth="1"/>
    <col min="5" max="5" width="14.375" style="215" customWidth="1"/>
    <col min="6" max="6" width="12.25" style="215" customWidth="1"/>
    <col min="7" max="7" width="14.5" style="215" customWidth="1"/>
    <col min="8" max="8" width="12.25" style="215" customWidth="1"/>
    <col min="9" max="9" width="14.5" style="215" customWidth="1"/>
    <col min="10" max="10" width="12.25" style="215" customWidth="1"/>
    <col min="11" max="11" width="12.25" style="216" customWidth="1"/>
    <col min="12" max="12" width="12.25" style="217" customWidth="1"/>
    <col min="13" max="15" width="12.25" style="215" customWidth="1"/>
    <col min="16" max="16" width="4.75" style="215" customWidth="1"/>
    <col min="17" max="17" width="19.5" style="215" customWidth="1"/>
    <col min="18" max="22" width="6.125" style="215" customWidth="1"/>
    <col min="23" max="23" width="5.75" style="215" customWidth="1"/>
    <col min="24" max="24" width="4.25" style="215" customWidth="1"/>
    <col min="25" max="25" width="3.5" style="215" customWidth="1"/>
    <col min="26" max="26" width="19.75" style="215" customWidth="1"/>
    <col min="27" max="28" width="9.375" style="215" customWidth="1"/>
    <col min="29" max="16384" width="9" style="215"/>
  </cols>
  <sheetData>
    <row r="1" spans="1:29" s="209" customFormat="1" ht="28.5" customHeight="1">
      <c r="A1" s="218" t="s">
        <v>1026</v>
      </c>
      <c r="B1" s="553"/>
      <c r="C1" s="220" t="s">
        <v>1109</v>
      </c>
      <c r="D1" s="2097" t="s">
        <v>1028</v>
      </c>
      <c r="E1" s="2098"/>
      <c r="F1" s="967"/>
      <c r="G1" s="2098"/>
      <c r="H1" s="2098"/>
      <c r="I1" s="2098"/>
      <c r="J1" s="2098"/>
      <c r="K1" s="2163"/>
      <c r="L1" s="394"/>
      <c r="M1" s="395"/>
      <c r="N1" s="395"/>
      <c r="O1" s="395"/>
      <c r="P1" s="396"/>
      <c r="Q1" s="396"/>
      <c r="R1" s="396"/>
      <c r="S1" s="396"/>
      <c r="T1" s="396"/>
      <c r="U1" s="396"/>
      <c r="V1" s="396"/>
      <c r="W1" s="396"/>
      <c r="X1" s="396"/>
      <c r="Y1" s="396"/>
      <c r="Z1" s="396"/>
      <c r="AA1" s="396"/>
      <c r="AB1" s="396"/>
      <c r="AC1" s="488"/>
    </row>
    <row r="2" spans="1:29" s="209" customFormat="1" ht="28.5" customHeight="1">
      <c r="A2" s="225" t="s">
        <v>945</v>
      </c>
      <c r="B2" s="2099">
        <f>F62</f>
        <v>2800</v>
      </c>
      <c r="C2" s="2100"/>
      <c r="D2" s="2100"/>
      <c r="E2" s="2100"/>
      <c r="F2" s="2101"/>
      <c r="G2" s="2100"/>
      <c r="H2" s="2100"/>
      <c r="I2" s="2100"/>
      <c r="J2" s="2100"/>
      <c r="K2" s="2164"/>
      <c r="L2" s="398"/>
      <c r="M2" s="396"/>
      <c r="N2" s="396"/>
      <c r="O2" s="396"/>
      <c r="P2" s="396"/>
      <c r="Q2" s="396"/>
      <c r="R2" s="396"/>
      <c r="S2" s="396"/>
      <c r="T2" s="396"/>
      <c r="U2" s="396"/>
      <c r="V2" s="396"/>
      <c r="W2" s="396"/>
      <c r="X2" s="396"/>
      <c r="Y2" s="396"/>
      <c r="Z2" s="396"/>
      <c r="AA2" s="396"/>
      <c r="AB2" s="396"/>
      <c r="AC2" s="488"/>
    </row>
    <row r="3" spans="1:29" s="209" customFormat="1" ht="28.5" customHeight="1">
      <c r="A3" s="2102" t="s">
        <v>946</v>
      </c>
      <c r="B3" s="231">
        <f>ROUND(B2*10000/'数据-汇总表'!E3,0)</f>
        <v>374</v>
      </c>
      <c r="C3" s="736"/>
      <c r="D3" s="736"/>
      <c r="E3" s="736"/>
      <c r="F3" s="736"/>
      <c r="G3" s="2100"/>
      <c r="H3" s="2100"/>
      <c r="I3" s="2100"/>
      <c r="J3" s="2100"/>
      <c r="K3" s="2164"/>
      <c r="L3" s="398"/>
      <c r="M3" s="396"/>
      <c r="N3" s="396"/>
      <c r="O3" s="396"/>
      <c r="P3" s="396"/>
      <c r="Q3" s="396"/>
      <c r="R3" s="396"/>
      <c r="S3" s="396"/>
      <c r="T3" s="396"/>
      <c r="U3" s="396"/>
      <c r="V3" s="396"/>
      <c r="W3" s="396"/>
      <c r="X3" s="396"/>
      <c r="Y3" s="396"/>
      <c r="Z3" s="396"/>
      <c r="AA3" s="396"/>
      <c r="AB3" s="490"/>
      <c r="AC3" s="490"/>
    </row>
    <row r="4" spans="1:29" s="209" customFormat="1" ht="28.5" customHeight="1">
      <c r="A4" s="2103" t="s">
        <v>1029</v>
      </c>
      <c r="B4" s="735">
        <f>IF(B43="单位面积地价",C45,ROUND(B2*10000/'数据-汇总表'!D3,0))</f>
        <v>140</v>
      </c>
      <c r="C4" s="736"/>
      <c r="D4" s="736"/>
      <c r="E4" s="736"/>
      <c r="F4" s="736"/>
      <c r="G4" s="2100"/>
      <c r="H4" s="2100"/>
      <c r="I4" s="2100"/>
      <c r="J4" s="2100"/>
      <c r="K4" s="2164"/>
      <c r="L4" s="398"/>
      <c r="M4" s="396"/>
      <c r="N4" s="396"/>
      <c r="O4" s="396"/>
      <c r="P4" s="396"/>
      <c r="Q4" s="396"/>
      <c r="R4" s="396"/>
      <c r="S4" s="396"/>
      <c r="T4" s="396"/>
      <c r="U4" s="396"/>
      <c r="V4" s="396"/>
      <c r="W4" s="396"/>
      <c r="X4" s="396"/>
      <c r="Y4" s="396"/>
      <c r="Z4" s="396"/>
      <c r="AA4" s="396"/>
      <c r="AB4" s="396"/>
      <c r="AC4" s="490"/>
    </row>
    <row r="5" spans="1:29" s="209" customFormat="1" ht="28.5" customHeight="1">
      <c r="A5" s="737"/>
      <c r="B5" s="738">
        <f>ROUND(B2/('数据-汇总表'!D3/666.67),0)</f>
        <v>9</v>
      </c>
      <c r="C5" s="739" t="s">
        <v>948</v>
      </c>
      <c r="D5" s="736"/>
      <c r="E5" s="736"/>
      <c r="F5" s="736"/>
      <c r="G5" s="2100"/>
      <c r="H5" s="2100"/>
      <c r="I5" s="2100"/>
      <c r="J5" s="2100"/>
      <c r="K5" s="2164"/>
      <c r="L5" s="398"/>
      <c r="M5" s="396"/>
      <c r="N5" s="396"/>
      <c r="O5" s="396"/>
      <c r="P5" s="396"/>
      <c r="Q5" s="396"/>
      <c r="R5" s="396"/>
      <c r="S5" s="396"/>
      <c r="T5" s="396"/>
      <c r="U5" s="396"/>
      <c r="V5" s="396"/>
      <c r="W5" s="396"/>
      <c r="X5" s="396"/>
      <c r="Y5" s="396"/>
      <c r="Z5" s="396"/>
      <c r="AA5" s="396"/>
      <c r="AB5" s="489"/>
      <c r="AC5" s="490"/>
    </row>
    <row r="6" spans="1:29" ht="15">
      <c r="A6" s="234" t="s">
        <v>1030</v>
      </c>
      <c r="B6" s="235"/>
      <c r="C6" s="3823" t="s">
        <v>1031</v>
      </c>
      <c r="D6" s="3824"/>
      <c r="E6" s="3863" t="s">
        <v>1032</v>
      </c>
      <c r="F6" s="3864"/>
      <c r="G6" s="3823" t="s">
        <v>1033</v>
      </c>
      <c r="H6" s="3824"/>
      <c r="I6" s="3823" t="s">
        <v>1034</v>
      </c>
      <c r="J6" s="3824"/>
      <c r="K6" s="399" t="s">
        <v>1035</v>
      </c>
      <c r="L6" s="400"/>
      <c r="M6" s="401"/>
      <c r="N6" s="401"/>
      <c r="O6" s="401"/>
      <c r="P6" s="3847" t="s">
        <v>1036</v>
      </c>
      <c r="Q6" s="3848"/>
      <c r="R6" s="3853" t="s">
        <v>1032</v>
      </c>
      <c r="S6" s="3854"/>
      <c r="T6" s="3853" t="s">
        <v>1033</v>
      </c>
      <c r="U6" s="3854"/>
      <c r="V6" s="3835" t="s">
        <v>1034</v>
      </c>
      <c r="W6" s="3835"/>
      <c r="X6" s="471"/>
      <c r="Y6" s="3853" t="s">
        <v>1036</v>
      </c>
      <c r="Z6" s="3854"/>
      <c r="AA6" s="3844" t="s">
        <v>1032</v>
      </c>
      <c r="AB6" s="3845" t="s">
        <v>1033</v>
      </c>
      <c r="AC6" s="3844" t="s">
        <v>1034</v>
      </c>
    </row>
    <row r="7" spans="1:29" ht="15">
      <c r="A7" s="236"/>
      <c r="B7" s="237"/>
      <c r="C7" s="3825" t="s">
        <v>1037</v>
      </c>
      <c r="D7" s="3826"/>
      <c r="E7" s="3865" t="str">
        <f>土地案例!A15</f>
        <v>河北乐亭经济开发区河北将派模架科技有限公司北侧、国有建设用地西侧</v>
      </c>
      <c r="F7" s="3866"/>
      <c r="G7" s="3825" t="str">
        <f>土地案例!A16</f>
        <v>河北乐亭经济开发区北海路南侧、秦皇岛道西侧</v>
      </c>
      <c r="H7" s="3826"/>
      <c r="I7" s="3825" t="str">
        <f>土地案例!A17</f>
        <v>河北乐亭经济开发区北海路东侧、秦皇岛道北侧</v>
      </c>
      <c r="J7" s="3826"/>
      <c r="K7" s="399"/>
      <c r="L7" s="400"/>
      <c r="M7" s="401"/>
      <c r="N7" s="401"/>
      <c r="O7" s="401"/>
      <c r="P7" s="3849"/>
      <c r="Q7" s="3850"/>
      <c r="R7" s="3855"/>
      <c r="S7" s="3856"/>
      <c r="T7" s="3855"/>
      <c r="U7" s="3856"/>
      <c r="V7" s="3835"/>
      <c r="W7" s="3835"/>
      <c r="X7" s="471"/>
      <c r="Y7" s="3855"/>
      <c r="Z7" s="3856"/>
      <c r="AA7" s="3845"/>
      <c r="AB7" s="3845"/>
      <c r="AC7" s="3845"/>
    </row>
    <row r="8" spans="1:29" ht="15">
      <c r="A8" s="238"/>
      <c r="B8" s="239"/>
      <c r="C8" s="3829" t="s">
        <v>1041</v>
      </c>
      <c r="D8" s="3830"/>
      <c r="E8" s="3867" t="s">
        <v>1041</v>
      </c>
      <c r="F8" s="3868"/>
      <c r="G8" s="3829" t="s">
        <v>1041</v>
      </c>
      <c r="H8" s="3830"/>
      <c r="I8" s="3829" t="s">
        <v>1041</v>
      </c>
      <c r="J8" s="3830"/>
      <c r="K8" s="399" t="s">
        <v>1042</v>
      </c>
      <c r="L8" s="400"/>
      <c r="M8" s="401"/>
      <c r="N8" s="401"/>
      <c r="O8" s="401"/>
      <c r="P8" s="3851"/>
      <c r="Q8" s="3852"/>
      <c r="R8" s="3855"/>
      <c r="S8" s="3856"/>
      <c r="T8" s="3857"/>
      <c r="U8" s="3858"/>
      <c r="V8" s="3835"/>
      <c r="W8" s="3835"/>
      <c r="X8" s="471"/>
      <c r="Y8" s="3857"/>
      <c r="Z8" s="3858"/>
      <c r="AA8" s="3846"/>
      <c r="AB8" s="3846"/>
      <c r="AC8" s="3846"/>
    </row>
    <row r="9" spans="1:29" s="210" customFormat="1" ht="15">
      <c r="A9" s="240"/>
      <c r="B9" s="241" t="s">
        <v>1043</v>
      </c>
      <c r="C9" s="242">
        <f>'数据-取费表'!B2</f>
        <v>45260</v>
      </c>
      <c r="D9" s="243">
        <v>100</v>
      </c>
      <c r="E9" s="244">
        <f>土地案例!J15</f>
        <v>45056.0004976852</v>
      </c>
      <c r="F9" s="245">
        <f>SUMIF(66:66,YEAR(E9)&amp;"-"&amp;INT((MONTH(E9)+2)/3),67:67)</f>
        <v>100</v>
      </c>
      <c r="G9" s="246">
        <f>土地案例!J16</f>
        <v>45056.0004976852</v>
      </c>
      <c r="H9" s="243">
        <f>SUMIF(66:66,YEAR(G9)&amp;"-"&amp;INT((MONTH(G9)+2)/3),67:67)</f>
        <v>100</v>
      </c>
      <c r="I9" s="246">
        <f>土地案例!J17</f>
        <v>45056.0004976852</v>
      </c>
      <c r="J9" s="243">
        <f>SUMIF(66:66,YEAR(I9)&amp;"-"&amp;INT((MONTH(I9)+2)/3),67:67)</f>
        <v>100</v>
      </c>
      <c r="K9" s="402"/>
      <c r="L9" s="403"/>
      <c r="M9" s="404"/>
      <c r="N9" s="404"/>
      <c r="O9" s="404"/>
      <c r="P9" s="3831" t="s">
        <v>1044</v>
      </c>
      <c r="Q9" s="3832"/>
      <c r="R9" s="472" t="s">
        <v>1045</v>
      </c>
      <c r="S9" s="473">
        <f t="shared" ref="S9:S17" si="0">F9</f>
        <v>100</v>
      </c>
      <c r="T9" s="472" t="s">
        <v>1045</v>
      </c>
      <c r="U9" s="473">
        <f t="shared" ref="U9:U17" si="1">H9</f>
        <v>100</v>
      </c>
      <c r="V9" s="472" t="s">
        <v>1045</v>
      </c>
      <c r="W9" s="473">
        <f t="shared" ref="W9:W17" si="2">J9</f>
        <v>100</v>
      </c>
      <c r="X9" s="474"/>
      <c r="Y9" s="3831" t="s">
        <v>1044</v>
      </c>
      <c r="Z9" s="3833"/>
      <c r="AA9" s="491">
        <f>D9/F9</f>
        <v>1</v>
      </c>
      <c r="AB9" s="491">
        <f>D9/H9</f>
        <v>1</v>
      </c>
      <c r="AC9" s="491">
        <f>D9/J9</f>
        <v>1</v>
      </c>
    </row>
    <row r="10" spans="1:29" s="210" customFormat="1" ht="15">
      <c r="A10" s="247"/>
      <c r="B10" s="248" t="s">
        <v>1046</v>
      </c>
      <c r="C10" s="249" t="s">
        <v>1047</v>
      </c>
      <c r="D10" s="243">
        <v>100</v>
      </c>
      <c r="E10" s="249" t="s">
        <v>1110</v>
      </c>
      <c r="F10" s="245">
        <f>SUMIF(69:69,E10,70:70)-SUMIF(69:69,C10,70:70)+100</f>
        <v>100</v>
      </c>
      <c r="G10" s="249" t="s">
        <v>1110</v>
      </c>
      <c r="H10" s="243">
        <f>SUMIF(69:69,G10,70:70)-SUMIF(69:69,C10,70:70)+100</f>
        <v>100</v>
      </c>
      <c r="I10" s="249" t="s">
        <v>1110</v>
      </c>
      <c r="J10" s="243">
        <f>SUMIF(69:69,I10,70:70)-SUMIF(69:69,C10,70:70)+100</f>
        <v>100</v>
      </c>
      <c r="K10" s="402"/>
      <c r="L10" s="403"/>
      <c r="M10" s="404"/>
      <c r="N10" s="404"/>
      <c r="O10" s="404"/>
      <c r="P10" s="3831" t="s">
        <v>1048</v>
      </c>
      <c r="Q10" s="3833"/>
      <c r="R10" s="472" t="s">
        <v>1045</v>
      </c>
      <c r="S10" s="473">
        <f t="shared" si="0"/>
        <v>100</v>
      </c>
      <c r="T10" s="472" t="s">
        <v>1045</v>
      </c>
      <c r="U10" s="473">
        <f t="shared" si="1"/>
        <v>100</v>
      </c>
      <c r="V10" s="472" t="s">
        <v>1045</v>
      </c>
      <c r="W10" s="473">
        <f t="shared" si="2"/>
        <v>100</v>
      </c>
      <c r="X10" s="474"/>
      <c r="Y10" s="3831" t="s">
        <v>1048</v>
      </c>
      <c r="Z10" s="3833"/>
      <c r="AA10" s="491">
        <f t="shared" ref="AA10:AA42" si="3">D10/F10</f>
        <v>1</v>
      </c>
      <c r="AB10" s="491">
        <f t="shared" ref="AB10:AB42" si="4">D10/H10</f>
        <v>1</v>
      </c>
      <c r="AC10" s="491">
        <f t="shared" ref="AC10:AC42" si="5">D10/J10</f>
        <v>1</v>
      </c>
    </row>
    <row r="11" spans="1:29" s="210" customFormat="1" ht="15">
      <c r="A11" s="250"/>
      <c r="B11" s="251" t="s">
        <v>1049</v>
      </c>
      <c r="C11" s="2104"/>
      <c r="D11" s="253">
        <v>100</v>
      </c>
      <c r="E11" s="2104"/>
      <c r="F11" s="253">
        <f>SUMIF(71:71,E11,72:72)-SUMIF(71:71,C11,72:72)+100</f>
        <v>100</v>
      </c>
      <c r="G11" s="2104"/>
      <c r="H11" s="253">
        <f>SUMIF(71:71,G11,72:72)-SUMIF(71:71,C11,72:72)+100</f>
        <v>100</v>
      </c>
      <c r="I11" s="2104"/>
      <c r="J11" s="253">
        <f>SUMIF(71:71,I11,72:72)-SUMIF(71:71,C11,72:72)+100</f>
        <v>100</v>
      </c>
      <c r="K11" s="402"/>
      <c r="L11" s="403"/>
      <c r="M11" s="404"/>
      <c r="N11" s="404"/>
      <c r="O11" s="405"/>
      <c r="P11" s="3834" t="s">
        <v>1050</v>
      </c>
      <c r="Q11" s="475" t="str">
        <f t="shared" ref="Q11:Q17" si="6">B11</f>
        <v>用途</v>
      </c>
      <c r="R11" s="472" t="s">
        <v>1045</v>
      </c>
      <c r="S11" s="473">
        <f t="shared" si="0"/>
        <v>100</v>
      </c>
      <c r="T11" s="472" t="s">
        <v>1045</v>
      </c>
      <c r="U11" s="473">
        <f t="shared" si="1"/>
        <v>100</v>
      </c>
      <c r="V11" s="472" t="s">
        <v>1045</v>
      </c>
      <c r="W11" s="473">
        <f t="shared" si="2"/>
        <v>100</v>
      </c>
      <c r="X11" s="474"/>
      <c r="Y11" s="3802" t="s">
        <v>1051</v>
      </c>
      <c r="Z11" s="492" t="str">
        <f t="shared" ref="Z11:Z17" si="7">Q11</f>
        <v>用途</v>
      </c>
      <c r="AA11" s="491">
        <f t="shared" si="3"/>
        <v>1</v>
      </c>
      <c r="AB11" s="491">
        <f t="shared" si="4"/>
        <v>1</v>
      </c>
      <c r="AC11" s="491">
        <f t="shared" si="5"/>
        <v>1</v>
      </c>
    </row>
    <row r="12" spans="1:29" s="211" customFormat="1" ht="27">
      <c r="A12" s="255"/>
      <c r="B12" s="248" t="s">
        <v>1052</v>
      </c>
      <c r="C12" s="261"/>
      <c r="D12" s="257">
        <v>100</v>
      </c>
      <c r="E12" s="261"/>
      <c r="F12" s="257">
        <f>ROUND(100/'数据-取费表'!G16,0)</f>
        <v>104</v>
      </c>
      <c r="G12" s="261"/>
      <c r="H12" s="257">
        <f>ROUND(100/'数据-取费表'!G16,0)</f>
        <v>104</v>
      </c>
      <c r="I12" s="261"/>
      <c r="J12" s="257">
        <f>ROUND(100/'数据-取费表'!G16,0)</f>
        <v>104</v>
      </c>
      <c r="K12" s="2165"/>
      <c r="L12" s="407"/>
      <c r="M12" s="408"/>
      <c r="N12" s="408"/>
      <c r="O12" s="409"/>
      <c r="P12" s="3834"/>
      <c r="Q12" s="475" t="str">
        <f t="shared" si="6"/>
        <v>土地使用年限（年）</v>
      </c>
      <c r="R12" s="472" t="s">
        <v>1045</v>
      </c>
      <c r="S12" s="473">
        <f t="shared" si="0"/>
        <v>104</v>
      </c>
      <c r="T12" s="472" t="s">
        <v>1045</v>
      </c>
      <c r="U12" s="473">
        <f t="shared" si="1"/>
        <v>104</v>
      </c>
      <c r="V12" s="472" t="s">
        <v>1045</v>
      </c>
      <c r="W12" s="473">
        <f t="shared" si="2"/>
        <v>104</v>
      </c>
      <c r="X12" s="474"/>
      <c r="Y12" s="3802"/>
      <c r="Z12" s="492" t="str">
        <f t="shared" si="7"/>
        <v>土地使用年限（年）</v>
      </c>
      <c r="AA12" s="491">
        <f t="shared" si="3"/>
        <v>0.96153846153846201</v>
      </c>
      <c r="AB12" s="491">
        <f t="shared" si="4"/>
        <v>0.96153846153846201</v>
      </c>
      <c r="AC12" s="491">
        <f t="shared" si="5"/>
        <v>0.96153846153846201</v>
      </c>
    </row>
    <row r="13" spans="1:29" ht="15">
      <c r="A13" s="554"/>
      <c r="B13" s="248" t="s">
        <v>1053</v>
      </c>
      <c r="C13" s="555"/>
      <c r="D13" s="257">
        <v>100</v>
      </c>
      <c r="E13" s="555">
        <v>1</v>
      </c>
      <c r="F13" s="257">
        <f>LOOKUP(E13,76:76,77:77)-LOOKUP(C13,76:76,77:77)+100</f>
        <v>103</v>
      </c>
      <c r="G13" s="556">
        <v>1</v>
      </c>
      <c r="H13" s="257">
        <f>LOOKUP(G13,76:76,77:77)-LOOKUP(C13,76:76,77:77)+100</f>
        <v>103</v>
      </c>
      <c r="I13" s="555">
        <v>1</v>
      </c>
      <c r="J13" s="257">
        <f>LOOKUP(I13,76:76,77:77)-LOOKUP(C13,76:76,77:77)+100</f>
        <v>103</v>
      </c>
      <c r="K13" s="2166">
        <v>3</v>
      </c>
      <c r="L13" s="411"/>
      <c r="M13" s="401"/>
      <c r="N13" s="401"/>
      <c r="O13" s="412"/>
      <c r="P13" s="3834"/>
      <c r="Q13" s="475" t="str">
        <f t="shared" si="6"/>
        <v>容积率</v>
      </c>
      <c r="R13" s="472" t="s">
        <v>1045</v>
      </c>
      <c r="S13" s="473">
        <f t="shared" si="0"/>
        <v>103</v>
      </c>
      <c r="T13" s="472" t="s">
        <v>1045</v>
      </c>
      <c r="U13" s="473">
        <f t="shared" si="1"/>
        <v>103</v>
      </c>
      <c r="V13" s="472" t="s">
        <v>1045</v>
      </c>
      <c r="W13" s="473">
        <f t="shared" si="2"/>
        <v>103</v>
      </c>
      <c r="X13" s="474"/>
      <c r="Y13" s="3802"/>
      <c r="Z13" s="492" t="str">
        <f t="shared" si="7"/>
        <v>容积率</v>
      </c>
      <c r="AA13" s="491">
        <f t="shared" si="3"/>
        <v>0.970873786407767</v>
      </c>
      <c r="AB13" s="491">
        <f t="shared" si="4"/>
        <v>0.970873786407767</v>
      </c>
      <c r="AC13" s="491">
        <f t="shared" si="5"/>
        <v>0.970873786407767</v>
      </c>
    </row>
    <row r="14" spans="1:29" s="210" customFormat="1" ht="15">
      <c r="A14" s="259"/>
      <c r="B14" s="260">
        <v>111</v>
      </c>
      <c r="C14" s="261"/>
      <c r="D14" s="263">
        <v>100</v>
      </c>
      <c r="E14" s="382"/>
      <c r="F14" s="257">
        <f>SUMIF(78:78,E14,79:79)-SUMIF(78:78,C14,79:79)+100</f>
        <v>100</v>
      </c>
      <c r="G14" s="2105"/>
      <c r="H14" s="257">
        <f>SUMIF(78:78,G14,79:79)-SUMIF(78:78,C14,79:79)+100</f>
        <v>100</v>
      </c>
      <c r="I14" s="382"/>
      <c r="J14" s="257">
        <f>SUMIF(78:78,I14,79:79)-SUMIF(78:78,C14,79:79)+100</f>
        <v>100</v>
      </c>
      <c r="K14" s="2165"/>
      <c r="L14" s="403"/>
      <c r="M14" s="404"/>
      <c r="N14" s="404"/>
      <c r="O14" s="405"/>
      <c r="P14" s="3834"/>
      <c r="Q14" s="475">
        <f t="shared" si="6"/>
        <v>111</v>
      </c>
      <c r="R14" s="472" t="s">
        <v>1045</v>
      </c>
      <c r="S14" s="473">
        <f t="shared" si="0"/>
        <v>100</v>
      </c>
      <c r="T14" s="472" t="s">
        <v>1045</v>
      </c>
      <c r="U14" s="473">
        <f t="shared" si="1"/>
        <v>100</v>
      </c>
      <c r="V14" s="472" t="s">
        <v>1045</v>
      </c>
      <c r="W14" s="473">
        <f t="shared" si="2"/>
        <v>100</v>
      </c>
      <c r="X14" s="474"/>
      <c r="Y14" s="3802"/>
      <c r="Z14" s="492">
        <f t="shared" si="7"/>
        <v>111</v>
      </c>
      <c r="AA14" s="491">
        <f t="shared" si="3"/>
        <v>1</v>
      </c>
      <c r="AB14" s="491">
        <f t="shared" si="4"/>
        <v>1</v>
      </c>
      <c r="AC14" s="491">
        <f t="shared" si="5"/>
        <v>1</v>
      </c>
    </row>
    <row r="15" spans="1:29" ht="15">
      <c r="A15" s="259"/>
      <c r="B15" s="260">
        <v>111</v>
      </c>
      <c r="C15" s="266"/>
      <c r="D15" s="267">
        <v>100</v>
      </c>
      <c r="E15" s="382"/>
      <c r="F15" s="257">
        <f>SUMIF(80:80,E15,81:81)-SUMIF(80:80,C15,81:81)+100</f>
        <v>100</v>
      </c>
      <c r="G15" s="2105"/>
      <c r="H15" s="267">
        <f>SUMIF(80:80,G15,81:81)-SUMIF(80:80,C15,81:81)+100</f>
        <v>100</v>
      </c>
      <c r="I15" s="382"/>
      <c r="J15" s="267">
        <f>SUMIF(80:80,I15,81:81)-SUMIF(80:80,C15,81:81)+100</f>
        <v>100</v>
      </c>
      <c r="K15" s="2165"/>
      <c r="L15" s="413"/>
      <c r="M15" s="401"/>
      <c r="N15" s="401"/>
      <c r="O15" s="412"/>
      <c r="P15" s="3834"/>
      <c r="Q15" s="475">
        <f t="shared" si="6"/>
        <v>111</v>
      </c>
      <c r="R15" s="472" t="s">
        <v>1045</v>
      </c>
      <c r="S15" s="473">
        <f t="shared" si="0"/>
        <v>100</v>
      </c>
      <c r="T15" s="472" t="s">
        <v>1045</v>
      </c>
      <c r="U15" s="473">
        <f t="shared" si="1"/>
        <v>100</v>
      </c>
      <c r="V15" s="472" t="s">
        <v>1045</v>
      </c>
      <c r="W15" s="473">
        <f t="shared" si="2"/>
        <v>100</v>
      </c>
      <c r="X15" s="474"/>
      <c r="Y15" s="3802"/>
      <c r="Z15" s="492">
        <f t="shared" si="7"/>
        <v>111</v>
      </c>
      <c r="AA15" s="491">
        <f t="shared" si="3"/>
        <v>1</v>
      </c>
      <c r="AB15" s="491">
        <f t="shared" si="4"/>
        <v>1</v>
      </c>
      <c r="AC15" s="491">
        <f t="shared" si="5"/>
        <v>1</v>
      </c>
    </row>
    <row r="16" spans="1:29" ht="15">
      <c r="A16" s="264"/>
      <c r="B16" s="265">
        <v>111</v>
      </c>
      <c r="C16" s="319"/>
      <c r="D16" s="320">
        <v>100</v>
      </c>
      <c r="E16" s="382"/>
      <c r="F16" s="320">
        <f>SUMIF(82:82,E16,83:83)-SUMIF(82:82,C16,83:83)+100</f>
        <v>100</v>
      </c>
      <c r="G16" s="2105"/>
      <c r="H16" s="320">
        <f>SUMIF(82:82,G16,83:83)-SUMIF(82:82,C16,83:83)+100</f>
        <v>100</v>
      </c>
      <c r="I16" s="382"/>
      <c r="J16" s="320">
        <f>SUMIF(82:82,I16,83:83)-SUMIF(82:82,C16,83:83)+100</f>
        <v>100</v>
      </c>
      <c r="K16" s="2165"/>
      <c r="L16" s="413"/>
      <c r="M16" s="401"/>
      <c r="N16" s="401"/>
      <c r="O16" s="412"/>
      <c r="P16" s="3834"/>
      <c r="Q16" s="475">
        <f t="shared" si="6"/>
        <v>111</v>
      </c>
      <c r="R16" s="472" t="s">
        <v>1045</v>
      </c>
      <c r="S16" s="473">
        <f t="shared" si="0"/>
        <v>100</v>
      </c>
      <c r="T16" s="472" t="s">
        <v>1045</v>
      </c>
      <c r="U16" s="473">
        <f t="shared" si="1"/>
        <v>100</v>
      </c>
      <c r="V16" s="472" t="s">
        <v>1045</v>
      </c>
      <c r="W16" s="473">
        <f t="shared" si="2"/>
        <v>100</v>
      </c>
      <c r="X16" s="474"/>
      <c r="Y16" s="3802"/>
      <c r="Z16" s="492">
        <f t="shared" si="7"/>
        <v>111</v>
      </c>
      <c r="AA16" s="491">
        <f t="shared" si="3"/>
        <v>1</v>
      </c>
      <c r="AB16" s="491">
        <f t="shared" si="4"/>
        <v>1</v>
      </c>
      <c r="AC16" s="491">
        <f t="shared" si="5"/>
        <v>1</v>
      </c>
    </row>
    <row r="17" spans="1:29" ht="57">
      <c r="A17" s="268" t="s">
        <v>1055</v>
      </c>
      <c r="B17" s="269" t="s">
        <v>226</v>
      </c>
      <c r="C17" s="270" t="str">
        <f>估价对象房地状况!G15</f>
        <v>估价对象位于XX开发区，园区建设成熟度XX，产业集聚程度XX</v>
      </c>
      <c r="D17" s="271">
        <v>100</v>
      </c>
      <c r="E17" s="272"/>
      <c r="F17" s="271">
        <f>SUMIF(84:84,E18,85:85)-SUMIF(84:84,C18,85:85)+100</f>
        <v>100</v>
      </c>
      <c r="G17" s="272"/>
      <c r="H17" s="271">
        <f>SUMIF(84:84,G18,85:85)-SUMIF(84:84,C18,85:85)+100</f>
        <v>100</v>
      </c>
      <c r="I17" s="274"/>
      <c r="J17" s="271">
        <f>SUMIF(84:84,I18,85:85)-SUMIF(84:84,C18,85:85)+100</f>
        <v>100</v>
      </c>
      <c r="K17" s="2166"/>
      <c r="L17" s="413"/>
      <c r="M17" s="401"/>
      <c r="N17" s="401"/>
      <c r="O17" s="412"/>
      <c r="P17" s="3840" t="s">
        <v>1056</v>
      </c>
      <c r="Q17" s="406" t="str">
        <f t="shared" si="6"/>
        <v>产业集聚程度</v>
      </c>
      <c r="R17" s="476" t="s">
        <v>1045</v>
      </c>
      <c r="S17" s="477">
        <f t="shared" si="0"/>
        <v>100</v>
      </c>
      <c r="T17" s="476" t="s">
        <v>1045</v>
      </c>
      <c r="U17" s="477">
        <f t="shared" si="1"/>
        <v>100</v>
      </c>
      <c r="V17" s="476" t="s">
        <v>1045</v>
      </c>
      <c r="W17" s="477">
        <f t="shared" si="2"/>
        <v>100</v>
      </c>
      <c r="X17" s="471"/>
      <c r="Y17" s="3840" t="s">
        <v>1056</v>
      </c>
      <c r="Z17" s="470" t="str">
        <f t="shared" si="7"/>
        <v>产业集聚程度</v>
      </c>
      <c r="AA17" s="482">
        <f t="shared" si="3"/>
        <v>1</v>
      </c>
      <c r="AB17" s="482">
        <f t="shared" si="4"/>
        <v>1</v>
      </c>
      <c r="AC17" s="482">
        <f t="shared" si="5"/>
        <v>1</v>
      </c>
    </row>
    <row r="18" spans="1:29" ht="15">
      <c r="A18" s="275"/>
      <c r="B18" s="276"/>
      <c r="C18" s="277"/>
      <c r="D18" s="278"/>
      <c r="E18" s="592"/>
      <c r="F18" s="278"/>
      <c r="G18" s="592"/>
      <c r="H18" s="280"/>
      <c r="I18" s="592"/>
      <c r="J18" s="278"/>
      <c r="K18" s="2165"/>
      <c r="L18" s="413"/>
      <c r="M18" s="401"/>
      <c r="N18" s="401"/>
      <c r="O18" s="412"/>
      <c r="P18" s="3841"/>
      <c r="Q18" s="406"/>
      <c r="R18" s="476"/>
      <c r="S18" s="477"/>
      <c r="T18" s="476"/>
      <c r="U18" s="477"/>
      <c r="V18" s="476"/>
      <c r="W18" s="477"/>
      <c r="X18" s="471"/>
      <c r="Y18" s="3841"/>
      <c r="Z18" s="470"/>
      <c r="AA18" s="482">
        <v>1</v>
      </c>
      <c r="AB18" s="482">
        <v>1</v>
      </c>
      <c r="AC18" s="482">
        <v>1</v>
      </c>
    </row>
    <row r="19" spans="1:29" ht="85.5">
      <c r="A19" s="275"/>
      <c r="B19" s="294" t="s">
        <v>227</v>
      </c>
      <c r="C19" s="282" t="str">
        <f>估价对象房地状况!G16</f>
        <v>估价对象周边道路状况、公共交通通达情况、停车便捷程度，综合评价交通便捷度较好</v>
      </c>
      <c r="D19" s="280">
        <v>100</v>
      </c>
      <c r="E19" s="290"/>
      <c r="F19" s="283">
        <f>SUMIF(86:86,E20,87:87)-SUMIF(86:86,C20,87:87)+100</f>
        <v>100</v>
      </c>
      <c r="G19" s="290"/>
      <c r="H19" s="283">
        <f>SUMIF(86:86,G20,87:87)-SUMIF(86:86,C20,87:87)+100</f>
        <v>100</v>
      </c>
      <c r="I19" s="292"/>
      <c r="J19" s="280">
        <f>SUMIF(86:86,I20,87:87)-SUMIF(86:86,C20,87:87)+100</f>
        <v>100</v>
      </c>
      <c r="K19" s="2166"/>
      <c r="L19" s="413"/>
      <c r="M19" s="401"/>
      <c r="N19" s="401"/>
      <c r="O19" s="412"/>
      <c r="P19" s="3841"/>
      <c r="Q19" s="406" t="str">
        <f>B19</f>
        <v>交通便捷度</v>
      </c>
      <c r="R19" s="476" t="s">
        <v>1045</v>
      </c>
      <c r="S19" s="477">
        <f>F19</f>
        <v>100</v>
      </c>
      <c r="T19" s="476" t="s">
        <v>1045</v>
      </c>
      <c r="U19" s="477">
        <f>H19</f>
        <v>100</v>
      </c>
      <c r="V19" s="476" t="s">
        <v>1045</v>
      </c>
      <c r="W19" s="477">
        <f>J19</f>
        <v>100</v>
      </c>
      <c r="X19" s="471"/>
      <c r="Y19" s="3841"/>
      <c r="Z19" s="470" t="str">
        <f>Q19</f>
        <v>交通便捷度</v>
      </c>
      <c r="AA19" s="482">
        <f t="shared" si="3"/>
        <v>1</v>
      </c>
      <c r="AB19" s="482">
        <f t="shared" si="4"/>
        <v>1</v>
      </c>
      <c r="AC19" s="482">
        <f t="shared" si="5"/>
        <v>1</v>
      </c>
    </row>
    <row r="20" spans="1:29" ht="15">
      <c r="A20" s="275"/>
      <c r="B20" s="562"/>
      <c r="C20" s="277"/>
      <c r="D20" s="278"/>
      <c r="E20" s="560"/>
      <c r="F20" s="278"/>
      <c r="G20" s="560"/>
      <c r="H20" s="278"/>
      <c r="I20" s="561"/>
      <c r="J20" s="278"/>
      <c r="K20" s="2165"/>
      <c r="L20" s="413"/>
      <c r="M20" s="401"/>
      <c r="N20" s="401"/>
      <c r="O20" s="412"/>
      <c r="P20" s="3841"/>
      <c r="Q20" s="406"/>
      <c r="R20" s="476"/>
      <c r="S20" s="477"/>
      <c r="T20" s="476"/>
      <c r="U20" s="477"/>
      <c r="V20" s="476"/>
      <c r="W20" s="477"/>
      <c r="X20" s="471"/>
      <c r="Y20" s="3841"/>
      <c r="Z20" s="470"/>
      <c r="AA20" s="482">
        <v>1</v>
      </c>
      <c r="AB20" s="482">
        <v>1</v>
      </c>
      <c r="AC20" s="482">
        <v>1</v>
      </c>
    </row>
    <row r="21" spans="1:29" ht="15">
      <c r="A21" s="236"/>
      <c r="B21" s="294" t="s">
        <v>228</v>
      </c>
      <c r="C21" s="282">
        <f>估价对象房地状况!G17</f>
        <v>0</v>
      </c>
      <c r="D21" s="280">
        <v>100</v>
      </c>
      <c r="E21" s="290"/>
      <c r="F21" s="291">
        <f>SUMIF(88:88,E22,89:89)-SUMIF(88:88,C22,89:89)+100</f>
        <v>100</v>
      </c>
      <c r="G21" s="292"/>
      <c r="H21" s="291">
        <f>SUMIF(88:88,G22,89:89)-SUMIF(88:88,C22,89:89)+100</f>
        <v>100</v>
      </c>
      <c r="I21" s="292"/>
      <c r="J21" s="291">
        <f>SUMIF(88:88,I22,89:89)-SUMIF(88:88,C22,89:89)+100</f>
        <v>100</v>
      </c>
      <c r="K21" s="2167"/>
      <c r="L21" s="413"/>
      <c r="M21" s="401"/>
      <c r="N21" s="401"/>
      <c r="O21" s="412"/>
      <c r="P21" s="3841"/>
      <c r="Q21" s="406" t="str">
        <f t="shared" ref="Q21:Q36" si="8">B21</f>
        <v>区域土地利用方向</v>
      </c>
      <c r="R21" s="476" t="s">
        <v>1045</v>
      </c>
      <c r="S21" s="477">
        <f>F21</f>
        <v>100</v>
      </c>
      <c r="T21" s="476" t="s">
        <v>1045</v>
      </c>
      <c r="U21" s="477">
        <f>H21</f>
        <v>100</v>
      </c>
      <c r="V21" s="476" t="s">
        <v>1045</v>
      </c>
      <c r="W21" s="477">
        <f>J21</f>
        <v>100</v>
      </c>
      <c r="X21" s="471"/>
      <c r="Y21" s="3841"/>
      <c r="Z21" s="470" t="str">
        <f>Q21</f>
        <v>区域土地利用方向</v>
      </c>
      <c r="AA21" s="482">
        <f t="shared" si="3"/>
        <v>1</v>
      </c>
      <c r="AB21" s="482">
        <f t="shared" si="4"/>
        <v>1</v>
      </c>
      <c r="AC21" s="482">
        <f t="shared" si="5"/>
        <v>1</v>
      </c>
    </row>
    <row r="22" spans="1:29" ht="15">
      <c r="A22" s="236"/>
      <c r="B22" s="295"/>
      <c r="C22" s="277"/>
      <c r="D22" s="278"/>
      <c r="E22" s="560"/>
      <c r="F22" s="279"/>
      <c r="G22" s="561"/>
      <c r="H22" s="279"/>
      <c r="I22" s="561"/>
      <c r="J22" s="279"/>
      <c r="K22" s="2168"/>
      <c r="L22" s="413"/>
      <c r="M22" s="401"/>
      <c r="N22" s="401"/>
      <c r="O22" s="412"/>
      <c r="P22" s="3841"/>
      <c r="Q22" s="406"/>
      <c r="R22" s="476"/>
      <c r="S22" s="477"/>
      <c r="T22" s="476"/>
      <c r="U22" s="477"/>
      <c r="V22" s="476"/>
      <c r="W22" s="477"/>
      <c r="X22" s="471"/>
      <c r="Y22" s="3841"/>
      <c r="Z22" s="470"/>
      <c r="AA22" s="482"/>
      <c r="AB22" s="482"/>
      <c r="AC22" s="482"/>
    </row>
    <row r="23" spans="1:29" ht="71.25">
      <c r="A23" s="236"/>
      <c r="B23" s="562" t="s">
        <v>1111</v>
      </c>
      <c r="C23" s="282" t="str">
        <f>估价对象房地状况!G18</f>
        <v>该园区内是否有污染型企业，绿化情况，卫生条件，整体环境状况判断</v>
      </c>
      <c r="D23" s="280">
        <v>100</v>
      </c>
      <c r="E23" s="290"/>
      <c r="F23" s="280">
        <f>SUMIF(90:90,E24,91:91)-SUMIF(90:90,C24,91:91)+100</f>
        <v>100</v>
      </c>
      <c r="G23" s="290"/>
      <c r="H23" s="280">
        <f>SUMIF(90:90,G24,91:91)-SUMIF(90:90,C24,91:91)+100</f>
        <v>100</v>
      </c>
      <c r="I23" s="292"/>
      <c r="J23" s="280">
        <f>SUMIF(90:90,I24,91:91)-SUMIF(90:90,C24,91:91)+100</f>
        <v>100</v>
      </c>
      <c r="K23" s="2166"/>
      <c r="L23" s="413"/>
      <c r="M23" s="401"/>
      <c r="N23" s="401"/>
      <c r="O23" s="412"/>
      <c r="P23" s="3841"/>
      <c r="Q23" s="406" t="str">
        <f t="shared" si="8"/>
        <v>环境状况</v>
      </c>
      <c r="R23" s="476" t="s">
        <v>1045</v>
      </c>
      <c r="S23" s="477">
        <f>F23</f>
        <v>100</v>
      </c>
      <c r="T23" s="476" t="s">
        <v>1045</v>
      </c>
      <c r="U23" s="477">
        <f>H23</f>
        <v>100</v>
      </c>
      <c r="V23" s="476" t="s">
        <v>1045</v>
      </c>
      <c r="W23" s="477">
        <f>J23</f>
        <v>100</v>
      </c>
      <c r="X23" s="471"/>
      <c r="Y23" s="3841"/>
      <c r="Z23" s="470" t="str">
        <f>Q23</f>
        <v>环境状况</v>
      </c>
      <c r="AA23" s="482">
        <f t="shared" si="3"/>
        <v>1</v>
      </c>
      <c r="AB23" s="482">
        <f t="shared" si="4"/>
        <v>1</v>
      </c>
      <c r="AC23" s="482">
        <f t="shared" si="5"/>
        <v>1</v>
      </c>
    </row>
    <row r="24" spans="1:29" ht="15">
      <c r="A24" s="236"/>
      <c r="B24" s="295"/>
      <c r="C24" s="277"/>
      <c r="D24" s="278"/>
      <c r="E24" s="592"/>
      <c r="F24" s="278"/>
      <c r="G24" s="592"/>
      <c r="H24" s="278"/>
      <c r="I24" s="277"/>
      <c r="J24" s="278"/>
      <c r="K24" s="2165"/>
      <c r="L24" s="413"/>
      <c r="M24" s="401"/>
      <c r="N24" s="401"/>
      <c r="O24" s="412"/>
      <c r="P24" s="3841"/>
      <c r="Q24" s="406"/>
      <c r="R24" s="476"/>
      <c r="S24" s="477"/>
      <c r="T24" s="476"/>
      <c r="U24" s="477"/>
      <c r="V24" s="476"/>
      <c r="W24" s="477"/>
      <c r="X24" s="471"/>
      <c r="Y24" s="3841"/>
      <c r="Z24" s="470"/>
      <c r="AA24" s="482">
        <v>1</v>
      </c>
      <c r="AB24" s="482">
        <v>1</v>
      </c>
      <c r="AC24" s="482">
        <v>1</v>
      </c>
    </row>
    <row r="25" spans="1:29" s="210" customFormat="1" ht="42.75">
      <c r="A25" s="526"/>
      <c r="B25" s="623" t="s">
        <v>229</v>
      </c>
      <c r="C25" s="282" t="str">
        <f>估价对象房地状况!G19</f>
        <v>估价对象所在区域公共配套设施齐备情况</v>
      </c>
      <c r="D25" s="280">
        <v>100</v>
      </c>
      <c r="E25" s="290"/>
      <c r="F25" s="280">
        <f>SUMIF(92:92,E26,93:93)-SUMIF(92:92,C26,93:93)+100</f>
        <v>100</v>
      </c>
      <c r="G25" s="290"/>
      <c r="H25" s="280">
        <f>SUMIF(92:92,G26,93:93)-SUMIF(92:92,C26,93:93)+100</f>
        <v>100</v>
      </c>
      <c r="I25" s="292"/>
      <c r="J25" s="280">
        <f>SUMIF(92:92,I26,93:93)-SUMIF(92:92,C26,93:93)+100</f>
        <v>100</v>
      </c>
      <c r="K25" s="2166"/>
      <c r="L25" s="403"/>
      <c r="M25" s="404"/>
      <c r="N25" s="404"/>
      <c r="O25" s="405"/>
      <c r="P25" s="3841"/>
      <c r="Q25" s="475" t="str">
        <f t="shared" si="8"/>
        <v>公共配套设施</v>
      </c>
      <c r="R25" s="472" t="s">
        <v>1045</v>
      </c>
      <c r="S25" s="473">
        <f>F25</f>
        <v>100</v>
      </c>
      <c r="T25" s="472" t="s">
        <v>1045</v>
      </c>
      <c r="U25" s="473">
        <f>H25</f>
        <v>100</v>
      </c>
      <c r="V25" s="472" t="s">
        <v>1045</v>
      </c>
      <c r="W25" s="473">
        <f>J25</f>
        <v>100</v>
      </c>
      <c r="X25" s="474"/>
      <c r="Y25" s="3841"/>
      <c r="Z25" s="492" t="str">
        <f>Q25</f>
        <v>公共配套设施</v>
      </c>
      <c r="AA25" s="482">
        <f>D25/F25</f>
        <v>1</v>
      </c>
      <c r="AB25" s="482">
        <f>D25/H25</f>
        <v>1</v>
      </c>
      <c r="AC25" s="482">
        <f>D25/J25</f>
        <v>1</v>
      </c>
    </row>
    <row r="26" spans="1:29" s="210" customFormat="1" ht="15">
      <c r="A26" s="526"/>
      <c r="B26" s="295"/>
      <c r="C26" s="2106"/>
      <c r="D26" s="278"/>
      <c r="E26" s="592"/>
      <c r="F26" s="278"/>
      <c r="G26" s="592"/>
      <c r="H26" s="278"/>
      <c r="I26" s="277"/>
      <c r="J26" s="278"/>
      <c r="K26" s="2165"/>
      <c r="L26" s="403"/>
      <c r="M26" s="404"/>
      <c r="N26" s="404"/>
      <c r="O26" s="405"/>
      <c r="P26" s="3841"/>
      <c r="Q26" s="475"/>
      <c r="R26" s="472"/>
      <c r="S26" s="473"/>
      <c r="T26" s="472"/>
      <c r="U26" s="473"/>
      <c r="V26" s="472"/>
      <c r="W26" s="473"/>
      <c r="X26" s="474"/>
      <c r="Y26" s="3841"/>
      <c r="Z26" s="492"/>
      <c r="AA26" s="491">
        <v>1</v>
      </c>
      <c r="AB26" s="491">
        <v>1</v>
      </c>
      <c r="AC26" s="491">
        <v>1</v>
      </c>
    </row>
    <row r="27" spans="1:29" s="210" customFormat="1" ht="28.5">
      <c r="A27" s="526"/>
      <c r="B27" s="623" t="s">
        <v>230</v>
      </c>
      <c r="C27" s="282" t="str">
        <f>估价对象房地状况!G20</f>
        <v>估价对象所在区域基础设施水平</v>
      </c>
      <c r="D27" s="280">
        <v>100</v>
      </c>
      <c r="E27" s="290"/>
      <c r="F27" s="280">
        <f>SUMIF(94:94,E28,95:95)-SUMIF(94:94,C28,95:95)+100</f>
        <v>100</v>
      </c>
      <c r="G27" s="290"/>
      <c r="H27" s="280">
        <f>SUMIF(94:94,G28,95:95)-SUMIF(94:94,C28,95:95)+100</f>
        <v>100</v>
      </c>
      <c r="I27" s="292"/>
      <c r="J27" s="280">
        <f>SUMIF(94:94,I28,95:95)-SUMIF(94:94,C28,95:95)+100</f>
        <v>100</v>
      </c>
      <c r="K27" s="2166"/>
      <c r="L27" s="403"/>
      <c r="M27" s="404"/>
      <c r="N27" s="404"/>
      <c r="O27" s="405"/>
      <c r="P27" s="3841"/>
      <c r="Q27" s="475" t="str">
        <f>B27</f>
        <v>基础设施水平</v>
      </c>
      <c r="R27" s="472" t="s">
        <v>1045</v>
      </c>
      <c r="S27" s="473">
        <f>F27</f>
        <v>100</v>
      </c>
      <c r="T27" s="472" t="s">
        <v>1045</v>
      </c>
      <c r="U27" s="473">
        <f>H27</f>
        <v>100</v>
      </c>
      <c r="V27" s="472" t="s">
        <v>1045</v>
      </c>
      <c r="W27" s="473">
        <f>J27</f>
        <v>100</v>
      </c>
      <c r="X27" s="474"/>
      <c r="Y27" s="3841"/>
      <c r="Z27" s="492" t="str">
        <f>Q27</f>
        <v>基础设施水平</v>
      </c>
      <c r="AA27" s="482">
        <f>D27/F27</f>
        <v>1</v>
      </c>
      <c r="AB27" s="482">
        <f>D27/H27</f>
        <v>1</v>
      </c>
      <c r="AC27" s="482">
        <f>D27/J27</f>
        <v>1</v>
      </c>
    </row>
    <row r="28" spans="1:29" s="210" customFormat="1" ht="15">
      <c r="A28" s="526"/>
      <c r="B28" s="295"/>
      <c r="C28" s="2106"/>
      <c r="D28" s="278"/>
      <c r="E28" s="2107"/>
      <c r="F28" s="278"/>
      <c r="G28" s="2107"/>
      <c r="H28" s="278"/>
      <c r="I28" s="2107"/>
      <c r="J28" s="278"/>
      <c r="K28" s="2165"/>
      <c r="L28" s="403"/>
      <c r="M28" s="404"/>
      <c r="N28" s="404"/>
      <c r="O28" s="405"/>
      <c r="P28" s="3841"/>
      <c r="Q28" s="475"/>
      <c r="R28" s="472"/>
      <c r="S28" s="473"/>
      <c r="T28" s="472"/>
      <c r="U28" s="473"/>
      <c r="V28" s="472"/>
      <c r="W28" s="473"/>
      <c r="X28" s="474"/>
      <c r="Y28" s="3841"/>
      <c r="Z28" s="492"/>
      <c r="AA28" s="491">
        <v>1</v>
      </c>
      <c r="AB28" s="491">
        <v>1</v>
      </c>
      <c r="AC28" s="491">
        <v>1</v>
      </c>
    </row>
    <row r="29" spans="1:29" ht="15">
      <c r="A29" s="275"/>
      <c r="B29" s="295" t="s">
        <v>232</v>
      </c>
      <c r="C29" s="296"/>
      <c r="D29" s="267">
        <v>100</v>
      </c>
      <c r="E29" s="596"/>
      <c r="F29" s="267">
        <f>SUMIF(96:96,E29,97:97)-SUMIF(96:96,C29,97:97)+100</f>
        <v>100</v>
      </c>
      <c r="G29" s="596"/>
      <c r="H29" s="267">
        <f>SUMIF(96:96,G29,97:97)-SUMIF(96:96,C29,97:97)+100</f>
        <v>100</v>
      </c>
      <c r="I29" s="596"/>
      <c r="J29" s="267">
        <f>SUMIF(96:96,I29,97:97)-SUMIF(96:96,C29,97:97)+100</f>
        <v>100</v>
      </c>
      <c r="K29" s="2166"/>
      <c r="L29" s="413"/>
      <c r="M29" s="401"/>
      <c r="N29" s="401"/>
      <c r="O29" s="412"/>
      <c r="P29" s="3841"/>
      <c r="Q29" s="406" t="str">
        <f t="shared" si="8"/>
        <v>临街状况</v>
      </c>
      <c r="R29" s="476" t="s">
        <v>1045</v>
      </c>
      <c r="S29" s="477">
        <f t="shared" ref="S29:S42" si="9">F29</f>
        <v>100</v>
      </c>
      <c r="T29" s="476" t="s">
        <v>1045</v>
      </c>
      <c r="U29" s="477">
        <f t="shared" ref="U29:U42" si="10">H29</f>
        <v>100</v>
      </c>
      <c r="V29" s="476" t="s">
        <v>1045</v>
      </c>
      <c r="W29" s="477">
        <f t="shared" ref="W29:W42" si="11">J29</f>
        <v>100</v>
      </c>
      <c r="X29" s="471"/>
      <c r="Y29" s="3841"/>
      <c r="Z29" s="470" t="str">
        <f t="shared" ref="Z29:Z42" si="12">Q29</f>
        <v>临街状况</v>
      </c>
      <c r="AA29" s="482">
        <f t="shared" si="3"/>
        <v>1</v>
      </c>
      <c r="AB29" s="482">
        <f t="shared" si="4"/>
        <v>1</v>
      </c>
      <c r="AC29" s="482">
        <f t="shared" si="5"/>
        <v>1</v>
      </c>
    </row>
    <row r="30" spans="1:29" ht="27">
      <c r="A30" s="275"/>
      <c r="B30" s="562" t="s">
        <v>1058</v>
      </c>
      <c r="C30" s="2108">
        <f>估价对象房地状况!G22</f>
        <v>0</v>
      </c>
      <c r="D30" s="280">
        <v>100</v>
      </c>
      <c r="E30" s="290"/>
      <c r="F30" s="280">
        <f>SUMIF(98:98,E31,99:99)-SUMIF(98:98,C31,99:99)+100</f>
        <v>100</v>
      </c>
      <c r="G30" s="290"/>
      <c r="H30" s="280">
        <f>SUMIF(98:98,G31,99:99)-SUMIF(98:98,C31,99:99)+100</f>
        <v>100</v>
      </c>
      <c r="I30" s="292"/>
      <c r="J30" s="280">
        <f>SUMIF(98:98,I31,99:99)-SUMIF(98:98,C31,99:99)+100</f>
        <v>100</v>
      </c>
      <c r="K30" s="2166"/>
      <c r="L30" s="413"/>
      <c r="M30" s="401"/>
      <c r="N30" s="401"/>
      <c r="O30" s="412"/>
      <c r="P30" s="3841"/>
      <c r="Q30" s="406" t="str">
        <f t="shared" si="8"/>
        <v>毗邻道路的类型与等级</v>
      </c>
      <c r="R30" s="476" t="s">
        <v>1045</v>
      </c>
      <c r="S30" s="477">
        <f t="shared" si="9"/>
        <v>100</v>
      </c>
      <c r="T30" s="476" t="s">
        <v>1045</v>
      </c>
      <c r="U30" s="477">
        <f t="shared" si="10"/>
        <v>100</v>
      </c>
      <c r="V30" s="476" t="s">
        <v>1045</v>
      </c>
      <c r="W30" s="477">
        <f t="shared" si="11"/>
        <v>100</v>
      </c>
      <c r="X30" s="471"/>
      <c r="Y30" s="3841"/>
      <c r="Z30" s="470" t="str">
        <f t="shared" si="12"/>
        <v>毗邻道路的类型与等级</v>
      </c>
      <c r="AA30" s="482">
        <f t="shared" si="3"/>
        <v>1</v>
      </c>
      <c r="AB30" s="482">
        <f t="shared" si="4"/>
        <v>1</v>
      </c>
      <c r="AC30" s="482">
        <f t="shared" si="5"/>
        <v>1</v>
      </c>
    </row>
    <row r="31" spans="1:29" ht="15">
      <c r="A31" s="275"/>
      <c r="B31" s="295"/>
      <c r="C31" s="277"/>
      <c r="D31" s="278"/>
      <c r="E31" s="277"/>
      <c r="F31" s="278"/>
      <c r="G31" s="277"/>
      <c r="H31" s="278"/>
      <c r="I31" s="277"/>
      <c r="J31" s="278"/>
      <c r="K31" s="410"/>
      <c r="L31" s="413"/>
      <c r="M31" s="401"/>
      <c r="N31" s="401"/>
      <c r="O31" s="412"/>
      <c r="P31" s="3841"/>
      <c r="Q31" s="406"/>
      <c r="R31" s="476"/>
      <c r="S31" s="477"/>
      <c r="T31" s="476"/>
      <c r="U31" s="477"/>
      <c r="V31" s="476"/>
      <c r="W31" s="477"/>
      <c r="X31" s="471"/>
      <c r="Y31" s="3841"/>
      <c r="Z31" s="470"/>
      <c r="AA31" s="482">
        <v>1</v>
      </c>
      <c r="AB31" s="482">
        <v>1</v>
      </c>
      <c r="AC31" s="482">
        <v>1</v>
      </c>
    </row>
    <row r="32" spans="1:29" ht="15">
      <c r="A32" s="275"/>
      <c r="B32" s="309" t="s">
        <v>1059</v>
      </c>
      <c r="C32" s="2109">
        <f>估价对象房地状况!G23</f>
        <v>0</v>
      </c>
      <c r="D32" s="267">
        <v>100</v>
      </c>
      <c r="E32" s="596"/>
      <c r="F32" s="267">
        <f>SUMIF(100:100,E32,101:101)-SUMIF(100:100,C32,101:101)+100</f>
        <v>100</v>
      </c>
      <c r="G32" s="596"/>
      <c r="H32" s="267">
        <f>SUMIF(100:100,G32,101:101)-SUMIF(100:100,C32,101:101)+100</f>
        <v>100</v>
      </c>
      <c r="I32" s="596"/>
      <c r="J32" s="267">
        <f>SUMIF(100:100,I32,101:101)-SUMIF(100:100,C32,101:101)+100</f>
        <v>100</v>
      </c>
      <c r="K32" s="417"/>
      <c r="L32" s="413"/>
      <c r="M32" s="401"/>
      <c r="N32" s="401"/>
      <c r="O32" s="412"/>
      <c r="P32" s="3841"/>
      <c r="Q32" s="406" t="str">
        <f t="shared" si="8"/>
        <v>土地级别</v>
      </c>
      <c r="R32" s="476" t="s">
        <v>1045</v>
      </c>
      <c r="S32" s="477">
        <f t="shared" si="9"/>
        <v>100</v>
      </c>
      <c r="T32" s="476" t="s">
        <v>1045</v>
      </c>
      <c r="U32" s="477">
        <f t="shared" si="10"/>
        <v>100</v>
      </c>
      <c r="V32" s="476" t="s">
        <v>1045</v>
      </c>
      <c r="W32" s="477">
        <f t="shared" si="11"/>
        <v>100</v>
      </c>
      <c r="X32" s="471"/>
      <c r="Y32" s="3841"/>
      <c r="Z32" s="470" t="str">
        <f t="shared" si="12"/>
        <v>土地级别</v>
      </c>
      <c r="AA32" s="482">
        <f t="shared" si="3"/>
        <v>1</v>
      </c>
      <c r="AB32" s="482">
        <f t="shared" si="4"/>
        <v>1</v>
      </c>
      <c r="AC32" s="482">
        <f t="shared" si="5"/>
        <v>1</v>
      </c>
    </row>
    <row r="33" spans="1:29" ht="15">
      <c r="A33" s="236"/>
      <c r="B33" s="563">
        <v>111</v>
      </c>
      <c r="C33" s="2105"/>
      <c r="D33" s="267">
        <v>100</v>
      </c>
      <c r="E33" s="658"/>
      <c r="F33" s="267">
        <f>SUMIF(102:102,E33,103:103)-SUMIF(102:102,C33,103:103)+100</f>
        <v>100</v>
      </c>
      <c r="G33" s="658"/>
      <c r="H33" s="267">
        <f>SUMIF(102:102,G33,103:103)-SUMIF(102:102,C33,103:103)+100</f>
        <v>100</v>
      </c>
      <c r="I33" s="382"/>
      <c r="J33" s="267">
        <f>SUMIF(102:102,I33,103:103)-SUMIF(102:102,C33,103:103)+100</f>
        <v>100</v>
      </c>
      <c r="K33" s="410"/>
      <c r="L33" s="413"/>
      <c r="M33" s="401"/>
      <c r="N33" s="401"/>
      <c r="O33" s="412"/>
      <c r="P33" s="3841"/>
      <c r="Q33" s="406">
        <f t="shared" si="8"/>
        <v>111</v>
      </c>
      <c r="R33" s="476" t="s">
        <v>1045</v>
      </c>
      <c r="S33" s="477">
        <f t="shared" si="9"/>
        <v>100</v>
      </c>
      <c r="T33" s="476" t="s">
        <v>1045</v>
      </c>
      <c r="U33" s="477">
        <f t="shared" si="10"/>
        <v>100</v>
      </c>
      <c r="V33" s="476" t="s">
        <v>1045</v>
      </c>
      <c r="W33" s="477">
        <f t="shared" si="11"/>
        <v>100</v>
      </c>
      <c r="X33" s="471"/>
      <c r="Y33" s="3841"/>
      <c r="Z33" s="470">
        <f t="shared" si="12"/>
        <v>111</v>
      </c>
      <c r="AA33" s="482">
        <f t="shared" si="3"/>
        <v>1</v>
      </c>
      <c r="AB33" s="482">
        <f t="shared" si="4"/>
        <v>1</v>
      </c>
      <c r="AC33" s="482">
        <f t="shared" si="5"/>
        <v>1</v>
      </c>
    </row>
    <row r="34" spans="1:29" ht="15">
      <c r="A34" s="2110"/>
      <c r="B34" s="2111">
        <v>111</v>
      </c>
      <c r="C34" s="2105"/>
      <c r="D34" s="267">
        <v>100</v>
      </c>
      <c r="E34" s="658"/>
      <c r="F34" s="267">
        <f>SUMIF(104:104,E35,105:105)-SUMIF(104:104,C35,105:105)+100</f>
        <v>100</v>
      </c>
      <c r="G34" s="658"/>
      <c r="H34" s="267">
        <f>SUMIF(104:104,G34,105:105)-SUMIF(104:104,C34,105:105)+100</f>
        <v>100</v>
      </c>
      <c r="I34" s="2105"/>
      <c r="J34" s="267">
        <f>SUMIF(104:104,I34,105:105)-SUMIF(104:104,C34,105:105)+100</f>
        <v>100</v>
      </c>
      <c r="K34" s="410"/>
      <c r="L34" s="413"/>
      <c r="M34" s="401"/>
      <c r="N34" s="401"/>
      <c r="O34" s="412"/>
      <c r="P34" s="3842" t="s">
        <v>1060</v>
      </c>
      <c r="Q34" s="406">
        <f t="shared" si="8"/>
        <v>111</v>
      </c>
      <c r="R34" s="476" t="s">
        <v>1045</v>
      </c>
      <c r="S34" s="477">
        <f t="shared" si="9"/>
        <v>100</v>
      </c>
      <c r="T34" s="476" t="s">
        <v>1045</v>
      </c>
      <c r="U34" s="477">
        <f t="shared" si="10"/>
        <v>100</v>
      </c>
      <c r="V34" s="476" t="s">
        <v>1045</v>
      </c>
      <c r="W34" s="477">
        <f t="shared" si="11"/>
        <v>100</v>
      </c>
      <c r="X34" s="471"/>
      <c r="Y34" s="3843" t="s">
        <v>1060</v>
      </c>
      <c r="Z34" s="470">
        <f t="shared" si="12"/>
        <v>111</v>
      </c>
      <c r="AA34" s="482">
        <f t="shared" si="3"/>
        <v>1</v>
      </c>
      <c r="AB34" s="482">
        <f t="shared" si="4"/>
        <v>1</v>
      </c>
      <c r="AC34" s="482">
        <f t="shared" si="5"/>
        <v>1</v>
      </c>
    </row>
    <row r="35" spans="1:29" s="212" customFormat="1" ht="15">
      <c r="A35" s="2112"/>
      <c r="B35" s="2113">
        <v>111</v>
      </c>
      <c r="C35" s="2114"/>
      <c r="D35" s="2115">
        <v>100</v>
      </c>
      <c r="E35" s="2116"/>
      <c r="F35" s="320">
        <f>SUMIF(106:106,E35,107:107)-SUMIF(106:106,C35,107:107)+100</f>
        <v>100</v>
      </c>
      <c r="G35" s="2116"/>
      <c r="H35" s="320">
        <f>SUMIF(106:106,G35,107:107)-SUMIF(106:106,C35,107:107)+100</f>
        <v>100</v>
      </c>
      <c r="I35" s="2114"/>
      <c r="J35" s="320">
        <f>SUMIF(106:106,I35,107:107)-SUMIF(106:106,C35,107:107)+100</f>
        <v>100</v>
      </c>
      <c r="K35" s="410"/>
      <c r="L35" s="411"/>
      <c r="M35" s="418"/>
      <c r="N35" s="418"/>
      <c r="O35" s="419"/>
      <c r="P35" s="3843"/>
      <c r="Q35" s="406">
        <f t="shared" si="8"/>
        <v>111</v>
      </c>
      <c r="R35" s="479" t="s">
        <v>1045</v>
      </c>
      <c r="S35" s="480">
        <f t="shared" si="9"/>
        <v>100</v>
      </c>
      <c r="T35" s="479" t="s">
        <v>1045</v>
      </c>
      <c r="U35" s="480">
        <f t="shared" si="10"/>
        <v>100</v>
      </c>
      <c r="V35" s="479" t="s">
        <v>1045</v>
      </c>
      <c r="W35" s="480">
        <f t="shared" si="11"/>
        <v>100</v>
      </c>
      <c r="X35" s="481"/>
      <c r="Y35" s="3843"/>
      <c r="Z35" s="493">
        <f t="shared" si="12"/>
        <v>111</v>
      </c>
      <c r="AA35" s="482">
        <f t="shared" si="3"/>
        <v>1</v>
      </c>
      <c r="AB35" s="482">
        <f t="shared" si="4"/>
        <v>1</v>
      </c>
      <c r="AC35" s="482">
        <f t="shared" si="5"/>
        <v>1</v>
      </c>
    </row>
    <row r="36" spans="1:29" ht="15">
      <c r="A36" s="303" t="s">
        <v>1061</v>
      </c>
      <c r="B36" s="295" t="s">
        <v>1062</v>
      </c>
      <c r="C36" s="2117">
        <f>'数据-汇总表'!D3</f>
        <v>200000</v>
      </c>
      <c r="D36" s="306">
        <v>100</v>
      </c>
      <c r="E36" s="2117">
        <f>土地案例!E15</f>
        <v>20004.2</v>
      </c>
      <c r="F36" s="306">
        <f>LOOKUP(E36,109:109,110:110)-LOOKUP(C36,109:109,110:110)+100</f>
        <v>96</v>
      </c>
      <c r="G36" s="2117">
        <f>土地案例!E16</f>
        <v>7065.14</v>
      </c>
      <c r="H36" s="306">
        <f>LOOKUP(G36,109:109,110:110)-LOOKUP(C36,109:109,110:110)+100</f>
        <v>95</v>
      </c>
      <c r="I36" s="374">
        <f>土地案例!E17</f>
        <v>11806.14</v>
      </c>
      <c r="J36" s="306">
        <f>LOOKUP(I36,109:109,110:110)-LOOKUP(C36,109:109,110:110)+100</f>
        <v>95</v>
      </c>
      <c r="K36" s="410"/>
      <c r="L36" s="413"/>
      <c r="M36" s="401"/>
      <c r="N36" s="401"/>
      <c r="O36" s="412"/>
      <c r="P36" s="3843"/>
      <c r="Q36" s="406" t="str">
        <f t="shared" si="8"/>
        <v>宗地面积</v>
      </c>
      <c r="R36" s="476" t="s">
        <v>1045</v>
      </c>
      <c r="S36" s="477">
        <f t="shared" si="9"/>
        <v>96</v>
      </c>
      <c r="T36" s="476" t="s">
        <v>1045</v>
      </c>
      <c r="U36" s="477">
        <f t="shared" si="10"/>
        <v>95</v>
      </c>
      <c r="V36" s="476" t="s">
        <v>1045</v>
      </c>
      <c r="W36" s="477">
        <f t="shared" si="11"/>
        <v>95</v>
      </c>
      <c r="X36" s="471"/>
      <c r="Y36" s="3843"/>
      <c r="Z36" s="470" t="str">
        <f t="shared" si="12"/>
        <v>宗地面积</v>
      </c>
      <c r="AA36" s="482">
        <f t="shared" si="3"/>
        <v>1.0416666666666701</v>
      </c>
      <c r="AB36" s="482">
        <f t="shared" si="4"/>
        <v>1.0526315789473699</v>
      </c>
      <c r="AC36" s="482">
        <f t="shared" si="5"/>
        <v>1.0526315789473699</v>
      </c>
    </row>
    <row r="37" spans="1:29" ht="15">
      <c r="A37" s="313"/>
      <c r="B37" s="309" t="s">
        <v>1063</v>
      </c>
      <c r="C37" s="601"/>
      <c r="D37" s="267">
        <v>100</v>
      </c>
      <c r="E37" s="601"/>
      <c r="F37" s="267">
        <f>SUMIF(111:111,E37,112:112)-SUMIF(111:111,C37,112:112)+100</f>
        <v>100</v>
      </c>
      <c r="G37" s="601"/>
      <c r="H37" s="267">
        <f>SUMIF(111:111,G37,112:112)-SUMIF(111:111,C37,112:112)+100</f>
        <v>100</v>
      </c>
      <c r="I37" s="601"/>
      <c r="J37" s="267">
        <f>SUMIF(111:111,I37,112:112)-SUMIF(111:111,C37,112:112)+100</f>
        <v>100</v>
      </c>
      <c r="K37" s="417"/>
      <c r="L37" s="413"/>
      <c r="M37" s="401"/>
      <c r="N37" s="401"/>
      <c r="O37" s="412"/>
      <c r="P37" s="3843"/>
      <c r="Q37" s="406" t="str">
        <f t="shared" ref="Q37:Q42" si="13">B37</f>
        <v>宗地形状</v>
      </c>
      <c r="R37" s="476" t="s">
        <v>1045</v>
      </c>
      <c r="S37" s="477">
        <f t="shared" si="9"/>
        <v>100</v>
      </c>
      <c r="T37" s="476" t="s">
        <v>1045</v>
      </c>
      <c r="U37" s="477">
        <f t="shared" si="10"/>
        <v>100</v>
      </c>
      <c r="V37" s="476" t="s">
        <v>1045</v>
      </c>
      <c r="W37" s="477">
        <f t="shared" si="11"/>
        <v>100</v>
      </c>
      <c r="X37" s="471"/>
      <c r="Y37" s="3843"/>
      <c r="Z37" s="470" t="str">
        <f t="shared" si="12"/>
        <v>宗地形状</v>
      </c>
      <c r="AA37" s="482">
        <f t="shared" si="3"/>
        <v>1</v>
      </c>
      <c r="AB37" s="482">
        <f t="shared" si="4"/>
        <v>1</v>
      </c>
      <c r="AC37" s="482">
        <f t="shared" si="5"/>
        <v>1</v>
      </c>
    </row>
    <row r="38" spans="1:29" s="210" customFormat="1" ht="15">
      <c r="A38" s="316"/>
      <c r="B38" s="568" t="s">
        <v>1065</v>
      </c>
      <c r="C38" s="2118"/>
      <c r="D38" s="257">
        <v>100</v>
      </c>
      <c r="E38" s="2118"/>
      <c r="F38" s="267">
        <f>SUMIF(113:113,E38,114:114)-SUMIF(113:113,C38,114:114)+100</f>
        <v>100</v>
      </c>
      <c r="G38" s="2118"/>
      <c r="H38" s="267">
        <f>SUMIF(113:113,G38,114:114)-SUMIF(113:113,C38,114:114)+100</f>
        <v>100</v>
      </c>
      <c r="I38" s="2118"/>
      <c r="J38" s="267">
        <f>SUMIF(113:113,I38,114:114)-SUMIF(113:113,C38,114:114)+100</f>
        <v>100</v>
      </c>
      <c r="K38" s="417"/>
      <c r="L38" s="403"/>
      <c r="M38" s="404"/>
      <c r="N38" s="404"/>
      <c r="O38" s="405"/>
      <c r="P38" s="3843"/>
      <c r="Q38" s="406" t="str">
        <f t="shared" si="13"/>
        <v>宗地开发程度</v>
      </c>
      <c r="R38" s="472" t="s">
        <v>1045</v>
      </c>
      <c r="S38" s="473">
        <f t="shared" si="9"/>
        <v>100</v>
      </c>
      <c r="T38" s="472" t="s">
        <v>1045</v>
      </c>
      <c r="U38" s="473">
        <f t="shared" si="10"/>
        <v>100</v>
      </c>
      <c r="V38" s="472" t="s">
        <v>1045</v>
      </c>
      <c r="W38" s="473">
        <f t="shared" si="11"/>
        <v>100</v>
      </c>
      <c r="X38" s="474"/>
      <c r="Y38" s="3843"/>
      <c r="Z38" s="492" t="str">
        <f t="shared" si="12"/>
        <v>宗地开发程度</v>
      </c>
      <c r="AA38" s="491">
        <f t="shared" si="3"/>
        <v>1</v>
      </c>
      <c r="AB38" s="491">
        <f t="shared" si="4"/>
        <v>1</v>
      </c>
      <c r="AC38" s="491">
        <f t="shared" si="5"/>
        <v>1</v>
      </c>
    </row>
    <row r="39" spans="1:29" ht="15">
      <c r="A39" s="313"/>
      <c r="B39" s="309" t="s">
        <v>1066</v>
      </c>
      <c r="C39" s="601"/>
      <c r="D39" s="267">
        <v>100</v>
      </c>
      <c r="E39" s="601"/>
      <c r="F39" s="267">
        <f>SUMIF(115:115,E39,116:116)-SUMIF(115:115,C39,116:116)+100</f>
        <v>100</v>
      </c>
      <c r="G39" s="601"/>
      <c r="H39" s="267">
        <f>SUMIF(115:115,G39,116:116)-SUMIF(115:115,C39,116:116)+100</f>
        <v>100</v>
      </c>
      <c r="I39" s="601"/>
      <c r="J39" s="267">
        <f>SUMIF(115:115,I39,116:116)-SUMIF(115:115,C39,116:116)+100</f>
        <v>100</v>
      </c>
      <c r="K39" s="417"/>
      <c r="L39" s="413"/>
      <c r="M39" s="401"/>
      <c r="N39" s="401"/>
      <c r="O39" s="412"/>
      <c r="P39" s="3843" t="s">
        <v>1060</v>
      </c>
      <c r="Q39" s="406" t="str">
        <f t="shared" si="13"/>
        <v>工程地质条件</v>
      </c>
      <c r="R39" s="476" t="s">
        <v>1045</v>
      </c>
      <c r="S39" s="477">
        <f t="shared" si="9"/>
        <v>100</v>
      </c>
      <c r="T39" s="476" t="s">
        <v>1045</v>
      </c>
      <c r="U39" s="477">
        <f t="shared" si="10"/>
        <v>100</v>
      </c>
      <c r="V39" s="476" t="s">
        <v>1045</v>
      </c>
      <c r="W39" s="477">
        <f t="shared" si="11"/>
        <v>100</v>
      </c>
      <c r="X39" s="471"/>
      <c r="Y39" s="3843" t="s">
        <v>1060</v>
      </c>
      <c r="Z39" s="470" t="str">
        <f t="shared" si="12"/>
        <v>工程地质条件</v>
      </c>
      <c r="AA39" s="482">
        <f t="shared" si="3"/>
        <v>1</v>
      </c>
      <c r="AB39" s="482">
        <f t="shared" si="4"/>
        <v>1</v>
      </c>
      <c r="AC39" s="482">
        <f t="shared" si="5"/>
        <v>1</v>
      </c>
    </row>
    <row r="40" spans="1:29" ht="15">
      <c r="A40" s="313"/>
      <c r="B40" s="2111">
        <v>111</v>
      </c>
      <c r="C40" s="2105"/>
      <c r="D40" s="267">
        <v>100</v>
      </c>
      <c r="E40" s="2105"/>
      <c r="F40" s="267">
        <f>SUMIF(117:117,E40,118:118)-SUMIF(117:117,C40,118:118)+100</f>
        <v>100</v>
      </c>
      <c r="G40" s="2105"/>
      <c r="H40" s="267">
        <f>SUMIF(117:117,G40,118:118)-SUMIF(117:117,C40,118:118)+100</f>
        <v>100</v>
      </c>
      <c r="I40" s="382"/>
      <c r="J40" s="267">
        <f>SUMIF(117:117,I40,118:118)-SUMIF(117:117,C40,118:118)+100</f>
        <v>100</v>
      </c>
      <c r="K40" s="410"/>
      <c r="L40" s="413"/>
      <c r="M40" s="401"/>
      <c r="N40" s="401"/>
      <c r="O40" s="412"/>
      <c r="P40" s="3843"/>
      <c r="Q40" s="406">
        <f t="shared" si="13"/>
        <v>111</v>
      </c>
      <c r="R40" s="476" t="s">
        <v>1045</v>
      </c>
      <c r="S40" s="477">
        <f t="shared" si="9"/>
        <v>100</v>
      </c>
      <c r="T40" s="476" t="s">
        <v>1045</v>
      </c>
      <c r="U40" s="477">
        <f t="shared" si="10"/>
        <v>100</v>
      </c>
      <c r="V40" s="476" t="s">
        <v>1045</v>
      </c>
      <c r="W40" s="477">
        <f t="shared" si="11"/>
        <v>100</v>
      </c>
      <c r="X40" s="471"/>
      <c r="Y40" s="3843"/>
      <c r="Z40" s="470">
        <f t="shared" si="12"/>
        <v>111</v>
      </c>
      <c r="AA40" s="482">
        <f t="shared" si="3"/>
        <v>1</v>
      </c>
      <c r="AB40" s="482">
        <f t="shared" si="4"/>
        <v>1</v>
      </c>
      <c r="AC40" s="482">
        <f t="shared" si="5"/>
        <v>1</v>
      </c>
    </row>
    <row r="41" spans="1:29" ht="15">
      <c r="A41" s="313"/>
      <c r="B41" s="2111">
        <v>111</v>
      </c>
      <c r="C41" s="2105"/>
      <c r="D41" s="267">
        <v>100</v>
      </c>
      <c r="E41" s="2105"/>
      <c r="F41" s="267">
        <f>SUMIF(119:119,E41,120:120)-SUMIF(119:119,C41,120:120)+100</f>
        <v>100</v>
      </c>
      <c r="G41" s="2105"/>
      <c r="H41" s="267">
        <f>SUMIF(119:119,G41,120:120)-SUMIF(119:119,C41,120:120)+100</f>
        <v>100</v>
      </c>
      <c r="I41" s="382"/>
      <c r="J41" s="267">
        <f>SUMIF(119:119,I41,120:120)-SUMIF(119:119,C41,120:120)+100</f>
        <v>100</v>
      </c>
      <c r="K41" s="410"/>
      <c r="L41" s="413"/>
      <c r="M41" s="401"/>
      <c r="N41" s="401"/>
      <c r="O41" s="412"/>
      <c r="P41" s="3843"/>
      <c r="Q41" s="406">
        <f t="shared" si="13"/>
        <v>111</v>
      </c>
      <c r="R41" s="476" t="s">
        <v>1045</v>
      </c>
      <c r="S41" s="477">
        <f t="shared" si="9"/>
        <v>100</v>
      </c>
      <c r="T41" s="476" t="s">
        <v>1045</v>
      </c>
      <c r="U41" s="477">
        <f t="shared" si="10"/>
        <v>100</v>
      </c>
      <c r="V41" s="476" t="s">
        <v>1045</v>
      </c>
      <c r="W41" s="477">
        <f t="shared" si="11"/>
        <v>100</v>
      </c>
      <c r="X41" s="471"/>
      <c r="Y41" s="3843"/>
      <c r="Z41" s="470">
        <f t="shared" si="12"/>
        <v>111</v>
      </c>
      <c r="AA41" s="482">
        <f t="shared" si="3"/>
        <v>1</v>
      </c>
      <c r="AB41" s="482">
        <f t="shared" si="4"/>
        <v>1</v>
      </c>
      <c r="AC41" s="482">
        <f t="shared" si="5"/>
        <v>1</v>
      </c>
    </row>
    <row r="42" spans="1:29" s="212" customFormat="1" ht="15">
      <c r="A42" s="308"/>
      <c r="B42" s="2111">
        <v>111</v>
      </c>
      <c r="C42" s="2119"/>
      <c r="D42" s="2115">
        <v>100</v>
      </c>
      <c r="E42" s="2105"/>
      <c r="F42" s="320">
        <f>SUMIF(121:121,E42,122:122)-SUMIF(121:121,C42,122:122)+100</f>
        <v>100</v>
      </c>
      <c r="G42" s="2105"/>
      <c r="H42" s="320">
        <f>SUMIF(121:121,G42,122:122)-SUMIF(121:121,C42,122:122)+100</f>
        <v>100</v>
      </c>
      <c r="I42" s="382"/>
      <c r="J42" s="320">
        <f>SUMIF(121:121,I42,122:122)-SUMIF(121:121,C42,122:122)+100</f>
        <v>100</v>
      </c>
      <c r="K42" s="2169"/>
      <c r="L42" s="411"/>
      <c r="M42" s="418"/>
      <c r="N42" s="418"/>
      <c r="O42" s="419"/>
      <c r="P42" s="3843"/>
      <c r="Q42" s="406">
        <f t="shared" si="13"/>
        <v>111</v>
      </c>
      <c r="R42" s="479" t="s">
        <v>1045</v>
      </c>
      <c r="S42" s="480">
        <f t="shared" si="9"/>
        <v>100</v>
      </c>
      <c r="T42" s="479" t="s">
        <v>1045</v>
      </c>
      <c r="U42" s="480">
        <f t="shared" si="10"/>
        <v>100</v>
      </c>
      <c r="V42" s="479" t="s">
        <v>1045</v>
      </c>
      <c r="W42" s="480">
        <f t="shared" si="11"/>
        <v>100</v>
      </c>
      <c r="X42" s="481"/>
      <c r="Y42" s="3843"/>
      <c r="Z42" s="493">
        <f t="shared" si="12"/>
        <v>111</v>
      </c>
      <c r="AA42" s="482">
        <f t="shared" si="3"/>
        <v>1</v>
      </c>
      <c r="AB42" s="482">
        <f t="shared" si="4"/>
        <v>1</v>
      </c>
      <c r="AC42" s="482">
        <f t="shared" si="5"/>
        <v>1</v>
      </c>
    </row>
    <row r="43" spans="1:29" ht="15">
      <c r="A43" s="323" t="s">
        <v>1067</v>
      </c>
      <c r="B43" s="2120" t="s">
        <v>1112</v>
      </c>
      <c r="C43" s="2121" t="s">
        <v>138</v>
      </c>
      <c r="D43" s="2122"/>
      <c r="E43" s="2123">
        <f>土地案例!P15</f>
        <v>143</v>
      </c>
      <c r="F43" s="2124"/>
      <c r="G43" s="2125">
        <f>土地案例!P16</f>
        <v>143</v>
      </c>
      <c r="H43" s="2126"/>
      <c r="I43" s="2123">
        <f>土地案例!P17</f>
        <v>143</v>
      </c>
      <c r="J43" s="2126"/>
      <c r="K43" s="2170"/>
      <c r="L43" s="421"/>
      <c r="M43" s="401"/>
      <c r="N43" s="401"/>
      <c r="O43" s="351"/>
      <c r="P43" s="3834" t="str">
        <f>A43</f>
        <v>成交单价</v>
      </c>
      <c r="Q43" s="3834"/>
      <c r="R43" s="3835">
        <f>E43</f>
        <v>143</v>
      </c>
      <c r="S43" s="3835"/>
      <c r="T43" s="3835">
        <f>G43</f>
        <v>143</v>
      </c>
      <c r="U43" s="3835"/>
      <c r="V43" s="3835">
        <f>I43</f>
        <v>143</v>
      </c>
      <c r="W43" s="3835"/>
      <c r="X43" s="353"/>
      <c r="Y43" s="494"/>
      <c r="Z43" s="353"/>
      <c r="AA43" s="353"/>
      <c r="AB43" s="353"/>
      <c r="AC43" s="353"/>
    </row>
    <row r="44" spans="1:29" ht="15">
      <c r="A44" s="331" t="s">
        <v>1069</v>
      </c>
      <c r="B44" s="2127"/>
      <c r="C44" s="2128">
        <f>R45</f>
        <v>140</v>
      </c>
      <c r="D44" s="334" t="s">
        <v>1070</v>
      </c>
      <c r="E44" s="2128">
        <f>R44</f>
        <v>139</v>
      </c>
      <c r="F44" s="336"/>
      <c r="G44" s="2129">
        <f>T44</f>
        <v>141</v>
      </c>
      <c r="H44" s="336"/>
      <c r="I44" s="2128">
        <f>V44</f>
        <v>141</v>
      </c>
      <c r="J44" s="336"/>
      <c r="K44" s="2171">
        <f>F44+H44+J44</f>
        <v>0</v>
      </c>
      <c r="L44" s="421"/>
      <c r="M44" s="401"/>
      <c r="N44" s="401"/>
      <c r="O44" s="351"/>
      <c r="P44" s="3834" t="str">
        <f>A44</f>
        <v>比较价格（元/平方米）</v>
      </c>
      <c r="Q44" s="3834"/>
      <c r="R44" s="3836">
        <f>ROUND(PRODUCT(R43,AA9:AA42),0)</f>
        <v>139</v>
      </c>
      <c r="S44" s="3836"/>
      <c r="T44" s="3836">
        <f>ROUND(PRODUCT(T43,AB9:AB42),0)</f>
        <v>141</v>
      </c>
      <c r="U44" s="3836"/>
      <c r="V44" s="3836">
        <f>ROUND(PRODUCT(V43,AC9:AC42),0)</f>
        <v>141</v>
      </c>
      <c r="W44" s="3836"/>
      <c r="X44" s="353"/>
      <c r="Y44" s="353"/>
      <c r="Z44" s="353"/>
      <c r="AA44" s="353"/>
      <c r="AB44" s="353"/>
      <c r="AC44" s="353"/>
    </row>
    <row r="45" spans="1:29" ht="15">
      <c r="A45" s="337" t="s">
        <v>1071</v>
      </c>
      <c r="B45" s="338"/>
      <c r="C45" s="2130">
        <f>R45</f>
        <v>140</v>
      </c>
      <c r="D45" s="2130"/>
      <c r="E45" s="2130"/>
      <c r="F45" s="2130"/>
      <c r="G45" s="2130"/>
      <c r="H45" s="2130"/>
      <c r="I45" s="2130"/>
      <c r="J45" s="2130"/>
      <c r="K45" s="2172"/>
      <c r="L45" s="421"/>
      <c r="M45" s="401"/>
      <c r="N45" s="401"/>
      <c r="O45" s="351"/>
      <c r="P45" s="3837" t="str">
        <f>A45</f>
        <v>估价对象XX用房的比较价格（楼面单价，元/平方米）</v>
      </c>
      <c r="Q45" s="3838"/>
      <c r="R45" s="3869">
        <f>ROUND(IF(D44="简单平均",AVERAGE(R44:W44),R44*F44+T44*H44+V44*J44),0)</f>
        <v>140</v>
      </c>
      <c r="S45" s="3869"/>
      <c r="T45" s="3869"/>
      <c r="U45" s="3869"/>
      <c r="V45" s="3869"/>
      <c r="W45" s="3869"/>
      <c r="X45" s="353"/>
      <c r="Y45" s="353"/>
      <c r="Z45" s="353"/>
      <c r="AA45" s="353"/>
      <c r="AB45" s="353"/>
      <c r="AC45" s="353"/>
    </row>
    <row r="46" spans="1:29">
      <c r="A46" s="340"/>
      <c r="B46" s="340"/>
      <c r="C46" s="340"/>
      <c r="D46" s="340"/>
      <c r="E46" s="340"/>
      <c r="F46" s="340"/>
      <c r="G46" s="341"/>
      <c r="H46" s="340"/>
      <c r="I46" s="340"/>
      <c r="J46" s="340"/>
      <c r="K46" s="425"/>
      <c r="L46" s="426"/>
      <c r="M46" s="401"/>
      <c r="N46" s="401"/>
      <c r="O46" s="351"/>
      <c r="P46" s="351"/>
      <c r="Q46" s="351"/>
      <c r="R46" s="351"/>
      <c r="S46" s="351"/>
      <c r="T46" s="351"/>
      <c r="U46" s="351"/>
      <c r="V46" s="351"/>
      <c r="W46" s="351"/>
      <c r="X46" s="351"/>
      <c r="Y46" s="351"/>
      <c r="Z46" s="351"/>
      <c r="AA46" s="351"/>
      <c r="AB46" s="351"/>
      <c r="AC46" s="351"/>
    </row>
    <row r="47" spans="1:29">
      <c r="A47" s="340"/>
      <c r="B47" s="340"/>
      <c r="C47" s="340"/>
      <c r="D47" s="340"/>
      <c r="E47" s="340"/>
      <c r="F47" s="340"/>
      <c r="G47" s="340"/>
      <c r="H47" s="340"/>
      <c r="I47" s="340"/>
      <c r="J47" s="340"/>
      <c r="K47" s="425"/>
      <c r="L47" s="426"/>
      <c r="M47" s="401"/>
      <c r="N47" s="401"/>
      <c r="O47" s="351"/>
      <c r="P47" s="351"/>
      <c r="Q47" s="351"/>
      <c r="R47" s="351"/>
      <c r="S47" s="351"/>
      <c r="T47" s="351"/>
      <c r="U47" s="351"/>
      <c r="V47" s="351"/>
      <c r="W47" s="351"/>
      <c r="X47" s="351"/>
      <c r="Y47" s="351"/>
      <c r="Z47" s="351"/>
      <c r="AA47" s="351"/>
      <c r="AB47" s="351"/>
      <c r="AC47" s="351"/>
    </row>
    <row r="48" spans="1:29" ht="13.5" customHeight="1">
      <c r="A48" s="340"/>
      <c r="B48" s="340"/>
      <c r="C48" s="342" t="s">
        <v>1072</v>
      </c>
      <c r="D48" s="343"/>
      <c r="E48" s="344">
        <f>IF(E43&lt;E44,E44/E43-1,E43/E44-1)</f>
        <v>2.8776978417266199E-2</v>
      </c>
      <c r="F48" s="345" t="str">
        <f>IF(OR(E48&gt;=0.3,E48&lt;=-0.3),"超过30%","")</f>
        <v/>
      </c>
      <c r="G48" s="344">
        <f>IF(G43&lt;G44,G44/G43-1,G43/G44-1)</f>
        <v>1.41843971631206E-2</v>
      </c>
      <c r="H48" s="345" t="str">
        <f>IF(OR(G48&gt;=0.3,G48&lt;=-0.3),"超过30%","")</f>
        <v/>
      </c>
      <c r="I48" s="344">
        <f>IF(I43&lt;I44,I44/I43-1,I43/I44-1)</f>
        <v>1.41843971631206E-2</v>
      </c>
      <c r="J48" s="345" t="str">
        <f>IF(OR(I48&gt;=0.3,I48&lt;=-0.3),"超过30%","")</f>
        <v/>
      </c>
      <c r="K48" s="425"/>
      <c r="L48" s="426"/>
      <c r="M48" s="401"/>
      <c r="N48" s="401"/>
      <c r="O48" s="351"/>
      <c r="P48" s="351"/>
      <c r="Q48" s="351"/>
      <c r="R48" s="351"/>
      <c r="S48" s="351"/>
      <c r="T48" s="351"/>
      <c r="U48" s="351"/>
      <c r="V48" s="351"/>
      <c r="W48" s="351"/>
      <c r="X48" s="351"/>
      <c r="Y48" s="351"/>
      <c r="Z48" s="351"/>
      <c r="AA48" s="351"/>
      <c r="AB48" s="351"/>
      <c r="AC48" s="351"/>
    </row>
    <row r="49" spans="1:29" ht="13.5" customHeight="1">
      <c r="A49" s="340"/>
      <c r="B49" s="340"/>
      <c r="C49" s="342" t="s">
        <v>1073</v>
      </c>
      <c r="D49" s="346"/>
      <c r="E49" s="344">
        <f>IF(E44&lt;G44,G44/E44-1,E44/G44-1)</f>
        <v>1.4388489208633001E-2</v>
      </c>
      <c r="F49" s="345" t="str">
        <f>IF(OR(E49&gt;=0.2,E49&lt;=-0.2),"超过20%","")</f>
        <v/>
      </c>
      <c r="G49" s="344">
        <f>IF(G44&lt;I44,I44/G44-1,G44/I44-1)</f>
        <v>0</v>
      </c>
      <c r="H49" s="345" t="str">
        <f>IF(OR(G49&gt;=0.2,G49&lt;=-0.2),"超过20%","")</f>
        <v/>
      </c>
      <c r="I49" s="344">
        <f>IF(I44&lt;E44,E44/I44-1,I44/E44-1)</f>
        <v>1.4388489208633001E-2</v>
      </c>
      <c r="J49" s="345" t="str">
        <f>IF(OR(I49&gt;=0.2,I49&lt;=-0.2),"超过20%","")</f>
        <v/>
      </c>
      <c r="K49" s="425"/>
      <c r="L49" s="426"/>
      <c r="M49" s="351"/>
      <c r="N49" s="351"/>
      <c r="O49" s="351"/>
      <c r="P49" s="351"/>
      <c r="Q49" s="351"/>
      <c r="R49" s="351"/>
      <c r="S49" s="351"/>
      <c r="T49" s="351"/>
      <c r="U49" s="351"/>
      <c r="V49" s="351"/>
      <c r="W49" s="351"/>
      <c r="X49" s="351"/>
      <c r="Y49" s="351"/>
      <c r="Z49" s="351"/>
      <c r="AA49" s="351"/>
      <c r="AB49" s="351"/>
      <c r="AC49" s="351"/>
    </row>
    <row r="50" spans="1:29" s="213" customFormat="1" ht="13.5" customHeight="1">
      <c r="A50" s="347"/>
      <c r="B50" s="347"/>
      <c r="C50" s="342" t="s">
        <v>1074</v>
      </c>
      <c r="D50" s="346"/>
      <c r="E50" s="344">
        <f>IF(E43&lt;G43,G43/E43-1,E43/G43-1)</f>
        <v>0</v>
      </c>
      <c r="F50" s="345" t="str">
        <f>IF(OR(E50&gt;=0.3,E50&lt;=-0.3),"超过30%","")</f>
        <v/>
      </c>
      <c r="G50" s="344">
        <f>IF(G43&lt;I43,I43/G43-1,G43/I43-1)</f>
        <v>0</v>
      </c>
      <c r="H50" s="345" t="str">
        <f>IF(OR(G50&gt;=0.3,G50&lt;=-0.3),"超过30%","")</f>
        <v/>
      </c>
      <c r="I50" s="344">
        <f>IF(I43&lt;E43,E43/I43-1,I43/E43-1)</f>
        <v>0</v>
      </c>
      <c r="J50" s="345" t="str">
        <f>IF(OR(I50&gt;=0.3,I50&lt;=-0.3),"超过30%","")</f>
        <v/>
      </c>
      <c r="K50" s="427"/>
      <c r="L50" s="428"/>
      <c r="M50" s="348"/>
      <c r="N50" s="348"/>
      <c r="O50" s="348"/>
      <c r="P50" s="348"/>
      <c r="Q50" s="348"/>
      <c r="R50" s="348"/>
      <c r="S50" s="348"/>
      <c r="T50" s="348"/>
      <c r="U50" s="348"/>
      <c r="V50" s="348"/>
      <c r="W50" s="348"/>
      <c r="X50" s="348"/>
      <c r="Y50" s="348"/>
      <c r="Z50" s="348"/>
      <c r="AA50" s="348"/>
      <c r="AB50" s="348"/>
      <c r="AC50" s="348"/>
    </row>
    <row r="51" spans="1:29" s="213" customFormat="1">
      <c r="A51" s="347"/>
      <c r="B51" s="2131"/>
      <c r="C51" s="350"/>
      <c r="D51" s="348"/>
      <c r="E51" s="348"/>
      <c r="F51" s="348"/>
      <c r="G51" s="348"/>
      <c r="H51" s="348"/>
      <c r="I51" s="348"/>
      <c r="J51" s="348"/>
      <c r="K51" s="427"/>
      <c r="L51" s="428"/>
      <c r="M51" s="348"/>
      <c r="N51" s="348"/>
      <c r="O51" s="348"/>
      <c r="P51" s="348"/>
      <c r="Q51" s="348"/>
      <c r="R51" s="348"/>
      <c r="S51" s="348"/>
      <c r="T51" s="348"/>
      <c r="U51" s="348"/>
      <c r="V51" s="348"/>
      <c r="W51" s="348"/>
      <c r="X51" s="348"/>
      <c r="Y51" s="348"/>
      <c r="Z51" s="348"/>
      <c r="AA51" s="348"/>
      <c r="AB51" s="348"/>
      <c r="AC51" s="348"/>
    </row>
    <row r="52" spans="1:29" ht="27">
      <c r="A52" s="2132" t="s">
        <v>1075</v>
      </c>
      <c r="B52" s="2133" t="s">
        <v>1076</v>
      </c>
      <c r="C52" s="2134" t="s">
        <v>1077</v>
      </c>
      <c r="D52" s="2135" t="s">
        <v>1078</v>
      </c>
      <c r="E52" s="2136" t="s">
        <v>1079</v>
      </c>
      <c r="F52" s="2137" t="s">
        <v>1080</v>
      </c>
      <c r="G52" s="3870" t="s">
        <v>1081</v>
      </c>
      <c r="H52" s="3871"/>
      <c r="I52" s="2173" t="s">
        <v>480</v>
      </c>
      <c r="J52" s="2174">
        <f>项目基本情况!F41</f>
        <v>0</v>
      </c>
      <c r="K52" s="2175" t="s">
        <v>1082</v>
      </c>
      <c r="L52" s="426"/>
      <c r="M52" s="351"/>
      <c r="N52" s="351"/>
      <c r="O52" s="351"/>
      <c r="P52" s="351"/>
      <c r="Q52" s="351"/>
      <c r="R52" s="351"/>
      <c r="S52" s="351"/>
      <c r="T52" s="351"/>
      <c r="U52" s="351"/>
      <c r="V52" s="351"/>
      <c r="W52" s="351"/>
      <c r="X52" s="351"/>
      <c r="Y52" s="351"/>
      <c r="Z52" s="351"/>
      <c r="AA52" s="351"/>
      <c r="AB52" s="351"/>
      <c r="AC52" s="351"/>
    </row>
    <row r="53" spans="1:29" s="2096" customFormat="1" ht="12.75">
      <c r="A53" s="2138" t="s">
        <v>1083</v>
      </c>
      <c r="B53" s="2139">
        <f>C45</f>
        <v>140</v>
      </c>
      <c r="C53" s="2140">
        <v>1</v>
      </c>
      <c r="D53" s="2141">
        <v>1</v>
      </c>
      <c r="E53" s="2140">
        <f>'数据-汇总表'!E8+'数据-汇总表'!E9</f>
        <v>74800</v>
      </c>
      <c r="F53" s="2142">
        <f t="shared" ref="F53:F61" si="14">ROUND(B53*E53/10000,0)</f>
        <v>1047</v>
      </c>
      <c r="G53" s="3872"/>
      <c r="H53" s="3873"/>
      <c r="I53" s="2176">
        <v>1</v>
      </c>
      <c r="J53" s="2177">
        <v>1</v>
      </c>
      <c r="K53" s="2178"/>
      <c r="L53" s="2179"/>
      <c r="M53" s="2179"/>
      <c r="N53" s="2179"/>
      <c r="O53" s="2179"/>
      <c r="P53" s="2179"/>
      <c r="Q53" s="2179"/>
      <c r="R53" s="2179"/>
      <c r="S53" s="2179"/>
      <c r="T53" s="2179"/>
      <c r="U53" s="2179"/>
      <c r="V53" s="2179"/>
      <c r="W53" s="2179"/>
      <c r="X53" s="2179"/>
      <c r="Y53" s="2179"/>
      <c r="Z53" s="2179"/>
      <c r="AA53" s="2179"/>
      <c r="AB53" s="2179"/>
      <c r="AC53" s="2179"/>
    </row>
    <row r="54" spans="1:29" s="2096" customFormat="1" ht="12.75">
      <c r="A54" s="2143" t="s">
        <v>1084</v>
      </c>
      <c r="B54" s="2144">
        <f>ROUND($C$45*C54*D54,0)</f>
        <v>0</v>
      </c>
      <c r="C54" s="1876">
        <f t="shared" ref="C54:C61" si="15">IF($C$52="北京市系数",I54,J54)</f>
        <v>0</v>
      </c>
      <c r="D54" s="2145">
        <v>0.25</v>
      </c>
      <c r="E54" s="2146"/>
      <c r="F54" s="2142">
        <f t="shared" si="14"/>
        <v>0</v>
      </c>
      <c r="G54" s="2147" t="s">
        <v>1085</v>
      </c>
      <c r="H54" s="2148">
        <f>项目基本情况!B43</f>
        <v>0</v>
      </c>
      <c r="I54" s="2176">
        <f>SUMIF(修正!$A$57:$A$68,H54,修正!B57:B68)</f>
        <v>0</v>
      </c>
      <c r="J54" s="2180"/>
      <c r="K54" s="2178"/>
      <c r="L54" s="2179"/>
      <c r="M54" s="2179"/>
      <c r="N54" s="2179"/>
      <c r="O54" s="2179"/>
      <c r="P54" s="2179"/>
      <c r="Q54" s="2179"/>
      <c r="R54" s="2179"/>
      <c r="S54" s="2179"/>
      <c r="T54" s="2179"/>
      <c r="U54" s="2179"/>
      <c r="V54" s="2179"/>
      <c r="W54" s="2179"/>
      <c r="X54" s="2179"/>
      <c r="Y54" s="2179"/>
      <c r="Z54" s="2179"/>
      <c r="AA54" s="2179"/>
      <c r="AB54" s="2179"/>
      <c r="AC54" s="2179"/>
    </row>
    <row r="55" spans="1:29" s="2096" customFormat="1" ht="12.75">
      <c r="A55" s="2143" t="s">
        <v>1086</v>
      </c>
      <c r="B55" s="2144">
        <f t="shared" ref="B55:B61" si="16">ROUND($C$45*C55*D55,0)</f>
        <v>0</v>
      </c>
      <c r="C55" s="1876">
        <f t="shared" si="15"/>
        <v>0</v>
      </c>
      <c r="D55" s="2145">
        <v>0.25</v>
      </c>
      <c r="E55" s="2146"/>
      <c r="F55" s="2142">
        <f t="shared" si="14"/>
        <v>0</v>
      </c>
      <c r="G55" s="2149"/>
      <c r="H55" s="2150">
        <f>项目基本情况!B43</f>
        <v>0</v>
      </c>
      <c r="I55" s="2176">
        <f>SUMIF(修正!$A$57:$A$68,H55,修正!C57:C68)</f>
        <v>0</v>
      </c>
      <c r="J55" s="2180"/>
      <c r="K55" s="2178"/>
      <c r="L55" s="2179"/>
      <c r="M55" s="2179"/>
      <c r="N55" s="2179"/>
      <c r="O55" s="2179"/>
      <c r="P55" s="2179"/>
      <c r="Q55" s="2179"/>
      <c r="R55" s="2179"/>
      <c r="S55" s="2179"/>
      <c r="T55" s="2179"/>
      <c r="U55" s="2179"/>
      <c r="V55" s="2179"/>
      <c r="W55" s="2179"/>
      <c r="X55" s="2179"/>
      <c r="Y55" s="2179"/>
      <c r="Z55" s="2179"/>
      <c r="AA55" s="2179"/>
      <c r="AB55" s="2179"/>
      <c r="AC55" s="2179"/>
    </row>
    <row r="56" spans="1:29" s="2096" customFormat="1" ht="12.75">
      <c r="A56" s="2143" t="s">
        <v>1087</v>
      </c>
      <c r="B56" s="2144">
        <f t="shared" si="16"/>
        <v>0</v>
      </c>
      <c r="C56" s="1876">
        <f t="shared" si="15"/>
        <v>0</v>
      </c>
      <c r="D56" s="2145">
        <v>0.25</v>
      </c>
      <c r="E56" s="2146"/>
      <c r="F56" s="2142">
        <f t="shared" si="14"/>
        <v>0</v>
      </c>
      <c r="G56" s="2149"/>
      <c r="H56" s="2150">
        <f>项目基本情况!B43</f>
        <v>0</v>
      </c>
      <c r="I56" s="2176">
        <f>SUMIF(修正!$A$57:$A$68,H56,修正!D57:D68)</f>
        <v>0</v>
      </c>
      <c r="J56" s="2180"/>
      <c r="K56" s="2178"/>
      <c r="L56" s="2179"/>
      <c r="M56" s="2179"/>
      <c r="N56" s="2179"/>
      <c r="O56" s="2179"/>
      <c r="P56" s="2179"/>
      <c r="Q56" s="2179"/>
      <c r="R56" s="2179"/>
      <c r="S56" s="2179"/>
      <c r="T56" s="2179"/>
      <c r="U56" s="2179"/>
      <c r="V56" s="2179"/>
      <c r="W56" s="2179"/>
      <c r="X56" s="2179"/>
      <c r="Y56" s="2179"/>
      <c r="Z56" s="2179"/>
      <c r="AA56" s="2179"/>
      <c r="AB56" s="2179"/>
      <c r="AC56" s="2179"/>
    </row>
    <row r="57" spans="1:29" s="2096" customFormat="1" ht="12.75">
      <c r="A57" s="2151" t="s">
        <v>561</v>
      </c>
      <c r="B57" s="2144">
        <f t="shared" si="16"/>
        <v>0</v>
      </c>
      <c r="C57" s="1876">
        <f t="shared" si="15"/>
        <v>0</v>
      </c>
      <c r="D57" s="2145">
        <v>0.25</v>
      </c>
      <c r="E57" s="2152">
        <f>'数据-汇总表'!E11</f>
        <v>0</v>
      </c>
      <c r="F57" s="2142">
        <f t="shared" si="14"/>
        <v>0</v>
      </c>
      <c r="G57" s="2153" t="s">
        <v>1088</v>
      </c>
      <c r="H57" s="2150">
        <f>项目基本情况!C43</f>
        <v>0</v>
      </c>
      <c r="I57" s="2176">
        <f>SUMIF(修正!$A$57:$A$68,H57,修正!E57:E68)</f>
        <v>0</v>
      </c>
      <c r="J57" s="2180"/>
      <c r="K57" s="2178"/>
      <c r="L57" s="2179"/>
      <c r="M57" s="2179"/>
      <c r="N57" s="2179"/>
      <c r="O57" s="2179"/>
      <c r="P57" s="2179"/>
      <c r="Q57" s="2179"/>
      <c r="R57" s="2179"/>
      <c r="S57" s="2179"/>
      <c r="T57" s="2179"/>
      <c r="U57" s="2179"/>
      <c r="V57" s="2179"/>
      <c r="W57" s="2179"/>
      <c r="X57" s="2179"/>
      <c r="Y57" s="2179"/>
      <c r="Z57" s="2179"/>
      <c r="AA57" s="2179"/>
      <c r="AB57" s="2179"/>
      <c r="AC57" s="2179"/>
    </row>
    <row r="58" spans="1:29" s="2096" customFormat="1" ht="12.75">
      <c r="A58" s="2143" t="s">
        <v>1089</v>
      </c>
      <c r="B58" s="2144">
        <f t="shared" si="16"/>
        <v>0</v>
      </c>
      <c r="C58" s="1876">
        <f t="shared" si="15"/>
        <v>0</v>
      </c>
      <c r="D58" s="2145">
        <v>0.25</v>
      </c>
      <c r="E58" s="2152">
        <f>'数据-汇总表'!E12</f>
        <v>0</v>
      </c>
      <c r="F58" s="2142">
        <f t="shared" si="14"/>
        <v>0</v>
      </c>
      <c r="G58" s="2154" t="s">
        <v>438</v>
      </c>
      <c r="H58" s="2148">
        <f>IF(G58="商业",项目基本情况!B43,IF(G58="办公",项目基本情况!C43,IF(G58="住宅",项目基本情况!D43,项目基本情况!E43)))</f>
        <v>0</v>
      </c>
      <c r="I58" s="2176">
        <f>SUMIF(修正!$A$57:$A$68,H58,修正!F57:F68)</f>
        <v>0</v>
      </c>
      <c r="J58" s="2180"/>
      <c r="K58" s="2178"/>
      <c r="L58" s="2179"/>
      <c r="M58" s="2179"/>
      <c r="N58" s="2179"/>
      <c r="O58" s="2179"/>
      <c r="P58" s="2179"/>
      <c r="Q58" s="2179"/>
      <c r="R58" s="2179"/>
      <c r="S58" s="2179"/>
      <c r="T58" s="2179"/>
      <c r="U58" s="2179"/>
      <c r="V58" s="2179"/>
      <c r="W58" s="2179"/>
      <c r="X58" s="2179"/>
      <c r="Y58" s="2179"/>
      <c r="Z58" s="2179"/>
      <c r="AA58" s="2179"/>
      <c r="AB58" s="2179"/>
      <c r="AC58" s="2179"/>
    </row>
    <row r="59" spans="1:29" s="2096" customFormat="1" ht="12.75">
      <c r="A59" s="2143" t="s">
        <v>1090</v>
      </c>
      <c r="B59" s="2144">
        <f t="shared" si="16"/>
        <v>0</v>
      </c>
      <c r="C59" s="1876">
        <f t="shared" si="15"/>
        <v>0</v>
      </c>
      <c r="D59" s="2145">
        <v>0.25</v>
      </c>
      <c r="E59" s="2152">
        <f>'数据-汇总表'!E13</f>
        <v>0</v>
      </c>
      <c r="F59" s="2142">
        <f t="shared" si="14"/>
        <v>0</v>
      </c>
      <c r="G59" s="2154" t="s">
        <v>402</v>
      </c>
      <c r="H59" s="2148">
        <f>IF(G59="商业",项目基本情况!B43,IF(G59="办公",项目基本情况!C43,IF(G59="住宅",项目基本情况!D43,项目基本情况!E43)))</f>
        <v>0</v>
      </c>
      <c r="I59" s="2176">
        <f>SUMIF(修正!$A$57:$A$68,H59,修正!G57:G68)</f>
        <v>0</v>
      </c>
      <c r="J59" s="2180"/>
      <c r="K59" s="2178"/>
      <c r="L59" s="2179"/>
      <c r="M59" s="2179"/>
      <c r="N59" s="2179"/>
      <c r="O59" s="2179"/>
      <c r="P59" s="2179"/>
      <c r="Q59" s="2179"/>
      <c r="R59" s="2179"/>
      <c r="S59" s="2179"/>
      <c r="T59" s="2179"/>
      <c r="U59" s="2179"/>
      <c r="V59" s="2179"/>
      <c r="W59" s="2179"/>
      <c r="X59" s="2179"/>
      <c r="Y59" s="2179"/>
      <c r="Z59" s="2179"/>
      <c r="AA59" s="2179"/>
      <c r="AB59" s="2179"/>
      <c r="AC59" s="2179"/>
    </row>
    <row r="60" spans="1:29" s="2096" customFormat="1" ht="12.75">
      <c r="A60" s="2143" t="s">
        <v>1091</v>
      </c>
      <c r="B60" s="2144">
        <f t="shared" si="16"/>
        <v>0</v>
      </c>
      <c r="C60" s="1876">
        <f t="shared" si="15"/>
        <v>0</v>
      </c>
      <c r="D60" s="2145">
        <v>0.25</v>
      </c>
      <c r="E60" s="2152">
        <f>'数据-汇总表'!E14</f>
        <v>0</v>
      </c>
      <c r="F60" s="2142">
        <f t="shared" si="14"/>
        <v>0</v>
      </c>
      <c r="G60" s="2153" t="s">
        <v>1085</v>
      </c>
      <c r="H60" s="2150">
        <f>项目基本情况!B43</f>
        <v>0</v>
      </c>
      <c r="I60" s="2176">
        <f>SUMIF(修正!$A$57:$A$68,H60,修正!G57:G68)</f>
        <v>0</v>
      </c>
      <c r="J60" s="2180"/>
      <c r="K60" s="2178"/>
      <c r="L60" s="2179"/>
      <c r="M60" s="2179"/>
      <c r="N60" s="2179"/>
      <c r="O60" s="2179"/>
      <c r="P60" s="2179"/>
      <c r="Q60" s="2179"/>
      <c r="R60" s="2179"/>
      <c r="S60" s="2179"/>
      <c r="T60" s="2179"/>
      <c r="U60" s="2179"/>
      <c r="V60" s="2179"/>
      <c r="W60" s="2179"/>
      <c r="X60" s="2179"/>
      <c r="Y60" s="2179"/>
      <c r="Z60" s="2179"/>
      <c r="AA60" s="2179"/>
      <c r="AB60" s="2179"/>
      <c r="AC60" s="2179"/>
    </row>
    <row r="61" spans="1:29" s="2096" customFormat="1" ht="12.75">
      <c r="A61" s="2143" t="s">
        <v>1092</v>
      </c>
      <c r="B61" s="2144">
        <f t="shared" si="16"/>
        <v>0</v>
      </c>
      <c r="C61" s="1876">
        <f t="shared" si="15"/>
        <v>0</v>
      </c>
      <c r="D61" s="2145">
        <v>0.25</v>
      </c>
      <c r="E61" s="2152">
        <f>'数据-汇总表'!E15</f>
        <v>0</v>
      </c>
      <c r="F61" s="2142">
        <f t="shared" si="14"/>
        <v>0</v>
      </c>
      <c r="G61" s="2155" t="s">
        <v>1088</v>
      </c>
      <c r="H61" s="2156">
        <f>项目基本情况!C43</f>
        <v>0</v>
      </c>
      <c r="I61" s="2176">
        <f>SUMIF(修正!$A$57:$A$68,H61,修正!G57:G68)</f>
        <v>0</v>
      </c>
      <c r="J61" s="2180"/>
      <c r="K61" s="2178"/>
      <c r="L61" s="2179"/>
      <c r="M61" s="2179"/>
      <c r="N61" s="2179"/>
      <c r="O61" s="2179"/>
      <c r="P61" s="2179"/>
      <c r="Q61" s="2179"/>
      <c r="R61" s="2179"/>
      <c r="S61" s="2179"/>
      <c r="T61" s="2179"/>
      <c r="U61" s="2179"/>
      <c r="V61" s="2179"/>
      <c r="W61" s="2179"/>
      <c r="X61" s="2179"/>
      <c r="Y61" s="2179"/>
      <c r="Z61" s="2179"/>
      <c r="AA61" s="2179"/>
      <c r="AB61" s="2179"/>
      <c r="AC61" s="2179"/>
    </row>
    <row r="62" spans="1:29" s="2096" customFormat="1" ht="12.75">
      <c r="A62" s="2157" t="s">
        <v>1093</v>
      </c>
      <c r="B62" s="2158" t="s">
        <v>1094</v>
      </c>
      <c r="C62" s="2158" t="s">
        <v>1094</v>
      </c>
      <c r="D62" s="2158" t="s">
        <v>1094</v>
      </c>
      <c r="E62" s="2158">
        <f>IF(B43="楼面地价",SUM(E53:E61),'数据-汇总表'!D3)</f>
        <v>200000</v>
      </c>
      <c r="F62" s="2159">
        <f>IF(B43="楼面地价",SUM(F53:F61),ROUND(C45*E62/10000,0))</f>
        <v>2800</v>
      </c>
      <c r="G62" s="2160"/>
      <c r="H62" s="2160"/>
      <c r="I62" s="2160"/>
      <c r="J62" s="2160"/>
      <c r="K62" s="2181"/>
      <c r="L62" s="2179"/>
      <c r="M62" s="2179"/>
      <c r="N62" s="2179"/>
      <c r="O62" s="2179"/>
      <c r="P62" s="2179"/>
      <c r="Q62" s="2179"/>
      <c r="R62" s="2179"/>
      <c r="S62" s="2179"/>
      <c r="T62" s="2179"/>
      <c r="U62" s="2179"/>
      <c r="V62" s="2179"/>
      <c r="W62" s="2179"/>
      <c r="X62" s="2179"/>
      <c r="Y62" s="2179"/>
      <c r="Z62" s="2179"/>
      <c r="AA62" s="2179"/>
      <c r="AB62" s="2179"/>
      <c r="AC62" s="2179"/>
    </row>
    <row r="63" spans="1:29">
      <c r="A63" s="351"/>
      <c r="B63" s="349"/>
      <c r="C63" s="350"/>
      <c r="D63" s="351"/>
      <c r="E63" s="351"/>
      <c r="F63" s="351"/>
      <c r="G63" s="351"/>
      <c r="H63" s="351"/>
      <c r="I63" s="351"/>
      <c r="J63" s="351"/>
      <c r="K63" s="430"/>
      <c r="L63" s="426"/>
      <c r="M63" s="351"/>
      <c r="N63" s="351"/>
      <c r="O63" s="351"/>
      <c r="P63" s="351"/>
      <c r="Q63" s="351"/>
      <c r="R63" s="351"/>
      <c r="S63" s="351"/>
      <c r="T63" s="351"/>
      <c r="U63" s="351"/>
      <c r="V63" s="351"/>
      <c r="W63" s="351"/>
      <c r="X63" s="351"/>
      <c r="Y63" s="351"/>
      <c r="Z63" s="351"/>
      <c r="AA63" s="351"/>
      <c r="AB63" s="351"/>
      <c r="AC63" s="351"/>
    </row>
    <row r="64" spans="1:29">
      <c r="A64" s="351"/>
      <c r="B64" s="349"/>
      <c r="C64" s="2161" t="str">
        <f>YEAR(C9)&amp;"-"&amp;MONTH(C9)&amp;"-1"</f>
        <v>2023-11-1</v>
      </c>
      <c r="D64" s="2162">
        <f>EDATE(C64,-3)</f>
        <v>45139</v>
      </c>
      <c r="E64" s="2162">
        <f t="shared" ref="E64:N64" si="17">EDATE(D64,-3)</f>
        <v>45047</v>
      </c>
      <c r="F64" s="2162">
        <f t="shared" si="17"/>
        <v>44958</v>
      </c>
      <c r="G64" s="2162">
        <f t="shared" si="17"/>
        <v>44866</v>
      </c>
      <c r="H64" s="2162">
        <f t="shared" si="17"/>
        <v>44774</v>
      </c>
      <c r="I64" s="2162">
        <f t="shared" si="17"/>
        <v>44682</v>
      </c>
      <c r="J64" s="2162">
        <f t="shared" si="17"/>
        <v>44593</v>
      </c>
      <c r="K64" s="2162">
        <f t="shared" si="17"/>
        <v>44501</v>
      </c>
      <c r="L64" s="2162">
        <f t="shared" si="17"/>
        <v>44409</v>
      </c>
      <c r="M64" s="2162">
        <f t="shared" si="17"/>
        <v>44317</v>
      </c>
      <c r="N64" s="2162">
        <f t="shared" si="17"/>
        <v>44228</v>
      </c>
      <c r="O64" s="351"/>
      <c r="P64" s="351"/>
      <c r="Q64" s="351"/>
      <c r="R64" s="351"/>
      <c r="S64" s="351"/>
      <c r="T64" s="351"/>
      <c r="U64" s="351"/>
      <c r="V64" s="351"/>
      <c r="W64" s="351"/>
      <c r="X64" s="351"/>
      <c r="Y64" s="351"/>
      <c r="Z64" s="351"/>
      <c r="AA64" s="351"/>
      <c r="AB64" s="351"/>
      <c r="AC64" s="351"/>
    </row>
    <row r="65" spans="1:29" ht="21">
      <c r="A65" s="352" t="s">
        <v>1095</v>
      </c>
      <c r="B65" s="353"/>
      <c r="C65" s="354"/>
      <c r="D65" s="354"/>
      <c r="E65" s="354"/>
      <c r="F65" s="355"/>
      <c r="G65" s="355"/>
      <c r="H65" s="354"/>
      <c r="I65" s="354"/>
      <c r="J65" s="354"/>
      <c r="K65" s="431"/>
      <c r="L65" s="432"/>
      <c r="M65" s="354"/>
      <c r="N65" s="354"/>
      <c r="O65" s="433"/>
      <c r="P65" s="433"/>
      <c r="Q65" s="437"/>
      <c r="R65" s="351"/>
      <c r="S65" s="351"/>
      <c r="T65" s="351"/>
      <c r="U65" s="351"/>
      <c r="V65" s="351"/>
      <c r="W65" s="351"/>
      <c r="X65" s="351"/>
      <c r="Y65" s="351"/>
      <c r="Z65" s="351"/>
      <c r="AA65" s="351"/>
      <c r="AB65" s="351"/>
      <c r="AC65" s="351"/>
    </row>
    <row r="66" spans="1:29" s="214" customFormat="1" ht="15">
      <c r="A66" s="2182" t="s">
        <v>1113</v>
      </c>
      <c r="B66" s="357"/>
      <c r="C66" s="2183" t="str">
        <f>YEAR(C64)&amp;"-"&amp;ROUNDUP(MONTH(C64)/3,0)</f>
        <v>2023-4</v>
      </c>
      <c r="D66" s="2183" t="str">
        <f t="shared" ref="D66:N66" si="18">YEAR(D64)&amp;"-"&amp;ROUNDUP(MONTH(D64)/3,0)</f>
        <v>2023-3</v>
      </c>
      <c r="E66" s="2183" t="str">
        <f t="shared" si="18"/>
        <v>2023-2</v>
      </c>
      <c r="F66" s="2183" t="str">
        <f t="shared" si="18"/>
        <v>2023-1</v>
      </c>
      <c r="G66" s="2183" t="str">
        <f t="shared" si="18"/>
        <v>2022-4</v>
      </c>
      <c r="H66" s="2183" t="str">
        <f t="shared" si="18"/>
        <v>2022-3</v>
      </c>
      <c r="I66" s="2183" t="str">
        <f t="shared" si="18"/>
        <v>2022-2</v>
      </c>
      <c r="J66" s="2183" t="str">
        <f t="shared" si="18"/>
        <v>2022-1</v>
      </c>
      <c r="K66" s="2183" t="str">
        <f t="shared" si="18"/>
        <v>2021-4</v>
      </c>
      <c r="L66" s="2183" t="str">
        <f t="shared" si="18"/>
        <v>2021-3</v>
      </c>
      <c r="M66" s="2183" t="str">
        <f t="shared" si="18"/>
        <v>2021-2</v>
      </c>
      <c r="N66" s="2183" t="str">
        <f t="shared" si="18"/>
        <v>2021-1</v>
      </c>
      <c r="O66" s="2194"/>
      <c r="P66" s="434"/>
      <c r="Q66" s="483"/>
      <c r="R66" s="483"/>
      <c r="S66" s="483"/>
      <c r="T66" s="483"/>
      <c r="U66" s="483"/>
      <c r="V66" s="483"/>
      <c r="W66" s="483"/>
      <c r="X66" s="483"/>
      <c r="Y66" s="483"/>
      <c r="Z66" s="483"/>
      <c r="AA66" s="483"/>
      <c r="AB66" s="483"/>
      <c r="AC66" s="483"/>
    </row>
    <row r="67" spans="1:29" s="210" customFormat="1" ht="27.75" customHeight="1">
      <c r="A67" s="2184" t="s">
        <v>164</v>
      </c>
      <c r="B67" s="2185" t="str">
        <f>"北京市平均增长率"&amp;TEXT(基准地价!P28,"0.00%")</f>
        <v>北京市平均增长率0.00%</v>
      </c>
      <c r="C67" s="499">
        <v>100</v>
      </c>
      <c r="D67" s="502">
        <v>100</v>
      </c>
      <c r="E67" s="502">
        <v>100</v>
      </c>
      <c r="F67" s="502">
        <v>100</v>
      </c>
      <c r="G67" s="502">
        <v>100</v>
      </c>
      <c r="H67" s="502">
        <v>100</v>
      </c>
      <c r="I67" s="502">
        <v>100</v>
      </c>
      <c r="J67" s="502">
        <v>100</v>
      </c>
      <c r="K67" s="502">
        <v>100</v>
      </c>
      <c r="L67" s="502">
        <v>100</v>
      </c>
      <c r="M67" s="502">
        <v>100</v>
      </c>
      <c r="N67" s="502">
        <v>100</v>
      </c>
      <c r="O67" s="502">
        <v>100</v>
      </c>
      <c r="P67" s="502">
        <v>100</v>
      </c>
      <c r="Q67" s="484"/>
      <c r="R67" s="484"/>
      <c r="S67" s="484"/>
      <c r="T67" s="484"/>
      <c r="U67" s="484"/>
      <c r="V67" s="484"/>
      <c r="W67" s="484"/>
      <c r="X67" s="484"/>
      <c r="Y67" s="484"/>
      <c r="Z67" s="484"/>
      <c r="AA67" s="484"/>
      <c r="AB67" s="484"/>
      <c r="AC67" s="484"/>
    </row>
    <row r="68" spans="1:29" s="210" customFormat="1" ht="15">
      <c r="A68" s="364" t="s">
        <v>1114</v>
      </c>
      <c r="B68" s="365"/>
      <c r="C68" s="2186"/>
      <c r="D68" s="2187"/>
      <c r="E68" s="2187"/>
      <c r="F68" s="2187"/>
      <c r="G68" s="2187"/>
      <c r="H68" s="2187"/>
      <c r="I68" s="2187"/>
      <c r="J68" s="2187"/>
      <c r="K68" s="2187"/>
      <c r="L68" s="2187"/>
      <c r="M68" s="2187"/>
      <c r="N68" s="2187"/>
      <c r="O68" s="442"/>
      <c r="P68" s="437"/>
      <c r="Q68" s="437"/>
      <c r="R68" s="484"/>
      <c r="S68" s="484"/>
      <c r="T68" s="484"/>
      <c r="U68" s="484"/>
      <c r="V68" s="484"/>
      <c r="W68" s="484"/>
      <c r="X68" s="484"/>
      <c r="Y68" s="484"/>
      <c r="Z68" s="484"/>
      <c r="AA68" s="484"/>
      <c r="AB68" s="484"/>
      <c r="AC68" s="484"/>
    </row>
    <row r="69" spans="1:29" s="210" customFormat="1" ht="15">
      <c r="A69" s="368" t="s">
        <v>1046</v>
      </c>
      <c r="B69" s="361"/>
      <c r="C69" s="369" t="s">
        <v>1047</v>
      </c>
      <c r="D69" s="370"/>
      <c r="E69" s="370"/>
      <c r="F69" s="370"/>
      <c r="G69" s="370"/>
      <c r="H69" s="370"/>
      <c r="I69" s="370"/>
      <c r="J69" s="370"/>
      <c r="K69" s="370"/>
      <c r="L69" s="440"/>
      <c r="M69" s="441"/>
      <c r="N69" s="2195"/>
      <c r="O69" s="442"/>
      <c r="P69" s="443"/>
      <c r="Q69" s="437"/>
      <c r="R69" s="484"/>
      <c r="S69" s="484"/>
      <c r="T69" s="484"/>
      <c r="U69" s="484"/>
      <c r="V69" s="484"/>
      <c r="W69" s="484"/>
      <c r="X69" s="484"/>
      <c r="Y69" s="484"/>
      <c r="Z69" s="484"/>
      <c r="AA69" s="484"/>
      <c r="AB69" s="484"/>
      <c r="AC69" s="484"/>
    </row>
    <row r="70" spans="1:29" s="210" customFormat="1" ht="15">
      <c r="A70" s="368"/>
      <c r="B70" s="361"/>
      <c r="C70" s="362">
        <v>100</v>
      </c>
      <c r="D70" s="363"/>
      <c r="E70" s="363"/>
      <c r="F70" s="363"/>
      <c r="G70" s="363"/>
      <c r="H70" s="363"/>
      <c r="I70" s="363"/>
      <c r="J70" s="363"/>
      <c r="K70" s="363"/>
      <c r="L70" s="363"/>
      <c r="M70" s="436"/>
      <c r="N70" s="2195"/>
      <c r="O70" s="442"/>
      <c r="P70" s="437"/>
      <c r="Q70" s="437"/>
      <c r="R70" s="484"/>
      <c r="S70" s="484"/>
      <c r="T70" s="484"/>
      <c r="U70" s="484"/>
      <c r="V70" s="484"/>
      <c r="W70" s="484"/>
      <c r="X70" s="484"/>
      <c r="Y70" s="484"/>
      <c r="Z70" s="484"/>
      <c r="AA70" s="484"/>
      <c r="AB70" s="484"/>
      <c r="AC70" s="484"/>
    </row>
    <row r="71" spans="1:29">
      <c r="A71" s="371" t="s">
        <v>1099</v>
      </c>
      <c r="B71" s="372" t="s">
        <v>1100</v>
      </c>
      <c r="C71" s="374"/>
      <c r="D71" s="374"/>
      <c r="E71" s="374"/>
      <c r="F71" s="374"/>
      <c r="G71" s="374"/>
      <c r="H71" s="374"/>
      <c r="I71" s="374"/>
      <c r="J71" s="374"/>
      <c r="K71" s="444"/>
      <c r="L71" s="445"/>
      <c r="M71" s="446"/>
      <c r="N71" s="2196"/>
      <c r="O71" s="447"/>
      <c r="P71" s="448"/>
      <c r="Q71" s="437"/>
      <c r="R71" s="351"/>
      <c r="S71" s="351"/>
      <c r="T71" s="351"/>
      <c r="U71" s="351"/>
      <c r="V71" s="351"/>
      <c r="W71" s="351"/>
      <c r="X71" s="351"/>
      <c r="Y71" s="351"/>
      <c r="Z71" s="351"/>
      <c r="AA71" s="351"/>
      <c r="AB71" s="351"/>
      <c r="AC71" s="351"/>
    </row>
    <row r="72" spans="1:29" ht="15">
      <c r="A72" s="375"/>
      <c r="B72" s="376"/>
      <c r="C72" s="377"/>
      <c r="D72" s="377"/>
      <c r="E72" s="377"/>
      <c r="F72" s="377"/>
      <c r="G72" s="377"/>
      <c r="H72" s="377"/>
      <c r="I72" s="377"/>
      <c r="J72" s="377"/>
      <c r="K72" s="377"/>
      <c r="L72" s="377"/>
      <c r="M72" s="449"/>
      <c r="N72" s="2197"/>
      <c r="O72" s="450"/>
      <c r="P72" s="448"/>
      <c r="Q72" s="437"/>
      <c r="R72" s="351"/>
      <c r="S72" s="351"/>
      <c r="T72" s="351"/>
      <c r="U72" s="351"/>
      <c r="V72" s="351"/>
      <c r="W72" s="351"/>
      <c r="X72" s="351"/>
      <c r="Y72" s="351"/>
      <c r="Z72" s="351"/>
      <c r="AA72" s="351"/>
      <c r="AB72" s="351"/>
      <c r="AC72" s="351"/>
    </row>
    <row r="73" spans="1:29" ht="27">
      <c r="A73" s="375"/>
      <c r="B73" s="378" t="s">
        <v>1101</v>
      </c>
      <c r="C73" s="392"/>
      <c r="D73" s="392"/>
      <c r="E73" s="392"/>
      <c r="F73" s="392"/>
      <c r="G73" s="392"/>
      <c r="H73" s="392"/>
      <c r="I73" s="392"/>
      <c r="J73" s="392"/>
      <c r="K73" s="467"/>
      <c r="L73" s="468"/>
      <c r="M73" s="469"/>
      <c r="N73" s="2196"/>
      <c r="O73" s="447"/>
      <c r="P73" s="448"/>
      <c r="Q73" s="437"/>
      <c r="R73" s="351"/>
      <c r="S73" s="351"/>
      <c r="T73" s="351"/>
      <c r="U73" s="351"/>
      <c r="V73" s="351"/>
      <c r="W73" s="351"/>
      <c r="X73" s="351"/>
      <c r="Y73" s="351"/>
      <c r="Z73" s="351"/>
      <c r="AA73" s="351"/>
      <c r="AB73" s="351"/>
      <c r="AC73" s="351"/>
    </row>
    <row r="74" spans="1:29" ht="15">
      <c r="A74" s="375"/>
      <c r="B74" s="380"/>
      <c r="C74" s="389"/>
      <c r="D74" s="389"/>
      <c r="E74" s="389"/>
      <c r="F74" s="389"/>
      <c r="G74" s="389"/>
      <c r="H74" s="389"/>
      <c r="I74" s="389"/>
      <c r="J74" s="389"/>
      <c r="K74" s="389"/>
      <c r="L74" s="389"/>
      <c r="M74" s="466"/>
      <c r="N74" s="2197"/>
      <c r="O74" s="450"/>
      <c r="P74" s="448"/>
      <c r="Q74" s="437"/>
      <c r="R74" s="351"/>
      <c r="S74" s="351"/>
      <c r="T74" s="351"/>
      <c r="U74" s="351"/>
      <c r="V74" s="351"/>
      <c r="W74" s="351"/>
      <c r="X74" s="351"/>
      <c r="Y74" s="351"/>
      <c r="Z74" s="351"/>
      <c r="AA74" s="351"/>
      <c r="AB74" s="351"/>
      <c r="AC74" s="351"/>
    </row>
    <row r="75" spans="1:29" ht="15">
      <c r="A75" s="375"/>
      <c r="B75" s="497" t="s">
        <v>1102</v>
      </c>
      <c r="C75" s="569" t="str">
        <f>C76&amp;"（含）"&amp;"-"&amp;D76</f>
        <v>0（含）-1</v>
      </c>
      <c r="D75" s="569" t="str">
        <f t="shared" ref="D75:L75" si="19">D76&amp;"（含）"&amp;"-"&amp;E76</f>
        <v>1（含）-2</v>
      </c>
      <c r="E75" s="569" t="str">
        <f t="shared" si="19"/>
        <v>2（含）-</v>
      </c>
      <c r="F75" s="569" t="str">
        <f t="shared" si="19"/>
        <v>（含）-</v>
      </c>
      <c r="G75" s="569" t="str">
        <f t="shared" si="19"/>
        <v>（含）-</v>
      </c>
      <c r="H75" s="569" t="str">
        <f t="shared" si="19"/>
        <v>（含）-</v>
      </c>
      <c r="I75" s="569" t="str">
        <f t="shared" si="19"/>
        <v>（含）-</v>
      </c>
      <c r="J75" s="569" t="str">
        <f t="shared" si="19"/>
        <v>（含）-</v>
      </c>
      <c r="K75" s="569" t="str">
        <f t="shared" si="19"/>
        <v>（含）-</v>
      </c>
      <c r="L75" s="569" t="str">
        <f t="shared" si="19"/>
        <v>（含）-</v>
      </c>
      <c r="M75" s="278" t="str">
        <f>M76&amp;"（含）"&amp;"-"&amp;P76</f>
        <v>（含）-</v>
      </c>
      <c r="N75" s="2197"/>
      <c r="O75" s="450"/>
      <c r="P75" s="448"/>
      <c r="Q75" s="437"/>
      <c r="R75" s="351"/>
      <c r="S75" s="351"/>
      <c r="T75" s="351"/>
      <c r="U75" s="351"/>
      <c r="V75" s="351"/>
      <c r="W75" s="351"/>
      <c r="X75" s="351"/>
      <c r="Y75" s="351"/>
      <c r="Z75" s="351"/>
      <c r="AA75" s="351"/>
      <c r="AB75" s="351"/>
      <c r="AC75" s="351"/>
    </row>
    <row r="76" spans="1:29" ht="15">
      <c r="A76" s="375"/>
      <c r="B76" s="570"/>
      <c r="C76" s="382">
        <v>0</v>
      </c>
      <c r="D76" s="382">
        <v>1</v>
      </c>
      <c r="E76" s="382">
        <v>2</v>
      </c>
      <c r="F76" s="382"/>
      <c r="G76" s="382"/>
      <c r="H76" s="382"/>
      <c r="I76" s="382"/>
      <c r="J76" s="382"/>
      <c r="K76" s="454"/>
      <c r="L76" s="455"/>
      <c r="M76" s="456"/>
      <c r="N76" s="2196"/>
      <c r="O76" s="447"/>
      <c r="P76" s="448"/>
      <c r="Q76" s="437"/>
      <c r="R76" s="351"/>
      <c r="S76" s="351"/>
      <c r="T76" s="351"/>
      <c r="U76" s="351"/>
      <c r="V76" s="351"/>
      <c r="W76" s="351"/>
      <c r="X76" s="351"/>
      <c r="Y76" s="351"/>
      <c r="Z76" s="351"/>
      <c r="AA76" s="351"/>
      <c r="AB76" s="351"/>
      <c r="AC76" s="351"/>
    </row>
    <row r="77" spans="1:29" ht="15">
      <c r="A77" s="375"/>
      <c r="B77" s="376"/>
      <c r="C77" s="389">
        <v>100</v>
      </c>
      <c r="D77" s="389">
        <f t="shared" ref="D77:M77" si="20">IF($B$43="单位面积地价",C77+$K13,C77-$K13)</f>
        <v>103</v>
      </c>
      <c r="E77" s="389">
        <f t="shared" si="20"/>
        <v>106</v>
      </c>
      <c r="F77" s="389">
        <f t="shared" si="20"/>
        <v>109</v>
      </c>
      <c r="G77" s="389">
        <f t="shared" si="20"/>
        <v>112</v>
      </c>
      <c r="H77" s="389">
        <f t="shared" si="20"/>
        <v>115</v>
      </c>
      <c r="I77" s="389">
        <f t="shared" si="20"/>
        <v>118</v>
      </c>
      <c r="J77" s="389">
        <f t="shared" si="20"/>
        <v>121</v>
      </c>
      <c r="K77" s="389">
        <f t="shared" si="20"/>
        <v>124</v>
      </c>
      <c r="L77" s="389">
        <f t="shared" si="20"/>
        <v>127</v>
      </c>
      <c r="M77" s="389">
        <f t="shared" si="20"/>
        <v>130</v>
      </c>
      <c r="N77" s="2197"/>
      <c r="O77" s="450"/>
      <c r="P77" s="448"/>
      <c r="Q77" s="437"/>
      <c r="R77" s="351"/>
      <c r="S77" s="351"/>
      <c r="T77" s="351"/>
      <c r="U77" s="351"/>
      <c r="V77" s="351"/>
      <c r="W77" s="351"/>
      <c r="X77" s="351"/>
      <c r="Y77" s="351"/>
      <c r="Z77" s="351"/>
      <c r="AA77" s="351"/>
      <c r="AB77" s="351"/>
      <c r="AC77" s="351"/>
    </row>
    <row r="78" spans="1:29" s="212" customFormat="1" ht="15">
      <c r="A78" s="384"/>
      <c r="B78" s="378">
        <f>B14</f>
        <v>111</v>
      </c>
      <c r="C78" s="385"/>
      <c r="D78" s="385"/>
      <c r="E78" s="385"/>
      <c r="F78" s="385"/>
      <c r="G78" s="385"/>
      <c r="H78" s="386"/>
      <c r="I78" s="386"/>
      <c r="J78" s="386"/>
      <c r="K78" s="386"/>
      <c r="L78" s="457"/>
      <c r="M78" s="458"/>
      <c r="N78" s="2198"/>
      <c r="O78" s="459"/>
      <c r="P78" s="460"/>
      <c r="Q78" s="485"/>
      <c r="R78" s="486"/>
      <c r="S78" s="486"/>
      <c r="T78" s="486"/>
      <c r="U78" s="486"/>
      <c r="V78" s="486"/>
      <c r="W78" s="486"/>
      <c r="X78" s="486"/>
      <c r="Y78" s="486"/>
      <c r="Z78" s="486"/>
      <c r="AA78" s="486"/>
      <c r="AB78" s="486"/>
      <c r="AC78" s="486"/>
    </row>
    <row r="79" spans="1:29" s="212" customFormat="1" ht="15">
      <c r="A79" s="384"/>
      <c r="B79" s="380"/>
      <c r="C79" s="383"/>
      <c r="D79" s="377"/>
      <c r="E79" s="377"/>
      <c r="F79" s="377"/>
      <c r="G79" s="377"/>
      <c r="H79" s="377"/>
      <c r="I79" s="377"/>
      <c r="J79" s="377"/>
      <c r="K79" s="377"/>
      <c r="L79" s="377"/>
      <c r="M79" s="449"/>
      <c r="N79" s="2197"/>
      <c r="O79" s="450"/>
      <c r="P79" s="460"/>
      <c r="Q79" s="485"/>
      <c r="R79" s="486"/>
      <c r="S79" s="486"/>
      <c r="T79" s="486"/>
      <c r="U79" s="486"/>
      <c r="V79" s="486"/>
      <c r="W79" s="486"/>
      <c r="X79" s="486"/>
      <c r="Y79" s="486"/>
      <c r="Z79" s="486"/>
      <c r="AA79" s="486"/>
      <c r="AB79" s="486"/>
      <c r="AC79" s="486"/>
    </row>
    <row r="80" spans="1:29" s="212" customFormat="1" ht="15">
      <c r="A80" s="384"/>
      <c r="B80" s="378">
        <f>B15</f>
        <v>111</v>
      </c>
      <c r="C80" s="385"/>
      <c r="D80" s="385"/>
      <c r="E80" s="385"/>
      <c r="F80" s="385"/>
      <c r="G80" s="385"/>
      <c r="H80" s="386"/>
      <c r="I80" s="386"/>
      <c r="J80" s="386"/>
      <c r="K80" s="386"/>
      <c r="L80" s="457"/>
      <c r="M80" s="458"/>
      <c r="N80" s="2198"/>
      <c r="O80" s="459"/>
      <c r="P80" s="418"/>
      <c r="Q80" s="487"/>
      <c r="R80" s="486"/>
      <c r="S80" s="486"/>
      <c r="T80" s="486"/>
      <c r="U80" s="486"/>
      <c r="V80" s="486"/>
      <c r="W80" s="486"/>
      <c r="X80" s="486"/>
      <c r="Y80" s="486"/>
      <c r="Z80" s="486"/>
      <c r="AA80" s="486"/>
      <c r="AB80" s="486"/>
      <c r="AC80" s="486"/>
    </row>
    <row r="81" spans="1:29" s="212" customFormat="1" ht="15">
      <c r="A81" s="384"/>
      <c r="B81" s="380"/>
      <c r="C81" s="383"/>
      <c r="D81" s="383"/>
      <c r="E81" s="383"/>
      <c r="F81" s="383"/>
      <c r="G81" s="383"/>
      <c r="H81" s="387"/>
      <c r="I81" s="387"/>
      <c r="J81" s="387"/>
      <c r="K81" s="387"/>
      <c r="L81" s="387"/>
      <c r="M81" s="461"/>
      <c r="N81" s="2198"/>
      <c r="O81" s="459"/>
      <c r="P81" s="460"/>
      <c r="Q81" s="485"/>
      <c r="R81" s="486"/>
      <c r="S81" s="486"/>
      <c r="T81" s="486"/>
      <c r="U81" s="486"/>
      <c r="V81" s="486"/>
      <c r="W81" s="486"/>
      <c r="X81" s="486"/>
      <c r="Y81" s="486"/>
      <c r="Z81" s="486"/>
      <c r="AA81" s="486"/>
      <c r="AB81" s="486"/>
      <c r="AC81" s="486"/>
    </row>
    <row r="82" spans="1:29" s="212" customFormat="1" ht="15">
      <c r="A82" s="384"/>
      <c r="B82" s="497">
        <f>B16</f>
        <v>111</v>
      </c>
      <c r="C82" s="370"/>
      <c r="D82" s="370"/>
      <c r="E82" s="370"/>
      <c r="F82" s="370"/>
      <c r="G82" s="370"/>
      <c r="H82" s="571"/>
      <c r="I82" s="571"/>
      <c r="J82" s="571"/>
      <c r="K82" s="571"/>
      <c r="L82" s="580"/>
      <c r="M82" s="581"/>
      <c r="N82" s="2198"/>
      <c r="O82" s="459"/>
      <c r="P82" s="582"/>
      <c r="Q82" s="485"/>
      <c r="R82" s="486"/>
      <c r="S82" s="486"/>
      <c r="T82" s="486"/>
      <c r="U82" s="486"/>
      <c r="V82" s="486"/>
      <c r="W82" s="486"/>
      <c r="X82" s="486"/>
      <c r="Y82" s="486"/>
      <c r="Z82" s="486"/>
      <c r="AA82" s="486"/>
      <c r="AB82" s="486"/>
      <c r="AC82" s="486"/>
    </row>
    <row r="83" spans="1:29" s="212" customFormat="1" ht="15">
      <c r="A83" s="572"/>
      <c r="B83" s="573"/>
      <c r="C83" s="574"/>
      <c r="D83" s="574"/>
      <c r="E83" s="574"/>
      <c r="F83" s="574"/>
      <c r="G83" s="574"/>
      <c r="H83" s="575"/>
      <c r="I83" s="575"/>
      <c r="J83" s="575"/>
      <c r="K83" s="575"/>
      <c r="L83" s="575"/>
      <c r="M83" s="583"/>
      <c r="N83" s="2198"/>
      <c r="O83" s="459"/>
      <c r="P83" s="460"/>
      <c r="Q83" s="485"/>
      <c r="R83" s="486"/>
      <c r="S83" s="486"/>
      <c r="T83" s="486"/>
      <c r="U83" s="486"/>
      <c r="V83" s="486"/>
      <c r="W83" s="486"/>
      <c r="X83" s="486"/>
      <c r="Y83" s="486"/>
      <c r="Z83" s="486"/>
      <c r="AA83" s="486"/>
      <c r="AB83" s="486"/>
      <c r="AC83" s="486"/>
    </row>
    <row r="84" spans="1:29">
      <c r="A84" s="371" t="s">
        <v>1103</v>
      </c>
      <c r="B84" s="372" t="s">
        <v>226</v>
      </c>
      <c r="C84" s="388" t="s">
        <v>244</v>
      </c>
      <c r="D84" s="388" t="s">
        <v>256</v>
      </c>
      <c r="E84" s="388" t="s">
        <v>267</v>
      </c>
      <c r="F84" s="388" t="s">
        <v>277</v>
      </c>
      <c r="G84" s="388" t="s">
        <v>285</v>
      </c>
      <c r="H84" s="373"/>
      <c r="I84" s="373"/>
      <c r="J84" s="373"/>
      <c r="K84" s="462"/>
      <c r="L84" s="463"/>
      <c r="M84" s="464"/>
      <c r="N84" s="2196"/>
      <c r="O84" s="447"/>
      <c r="P84" s="465"/>
      <c r="Q84" s="437"/>
      <c r="R84" s="351"/>
      <c r="S84" s="351"/>
      <c r="T84" s="351"/>
      <c r="U84" s="351"/>
      <c r="V84" s="351"/>
      <c r="W84" s="351"/>
      <c r="X84" s="351"/>
      <c r="Y84" s="351"/>
      <c r="Z84" s="351"/>
      <c r="AA84" s="351"/>
      <c r="AB84" s="351"/>
      <c r="AC84" s="351"/>
    </row>
    <row r="85" spans="1:29" ht="15">
      <c r="A85" s="375"/>
      <c r="B85" s="380"/>
      <c r="C85" s="389">
        <v>100</v>
      </c>
      <c r="D85" s="389">
        <f>C85-$K17</f>
        <v>100</v>
      </c>
      <c r="E85" s="389">
        <f>D85-$K17</f>
        <v>100</v>
      </c>
      <c r="F85" s="389">
        <f>E85-$K17</f>
        <v>100</v>
      </c>
      <c r="G85" s="389">
        <f>F85-$K17</f>
        <v>100</v>
      </c>
      <c r="H85" s="389"/>
      <c r="I85" s="389"/>
      <c r="J85" s="389"/>
      <c r="K85" s="389"/>
      <c r="L85" s="389"/>
      <c r="M85" s="466"/>
      <c r="N85" s="2197"/>
      <c r="O85" s="450"/>
      <c r="P85" s="448"/>
      <c r="Q85" s="437"/>
      <c r="R85" s="351"/>
      <c r="S85" s="351"/>
      <c r="T85" s="351"/>
      <c r="U85" s="351"/>
      <c r="V85" s="351"/>
      <c r="W85" s="351"/>
      <c r="X85" s="351"/>
      <c r="Y85" s="351"/>
      <c r="Z85" s="351"/>
      <c r="AA85" s="351"/>
      <c r="AB85" s="351"/>
      <c r="AC85" s="351"/>
    </row>
    <row r="86" spans="1:29" ht="15">
      <c r="A86" s="375"/>
      <c r="B86" s="378" t="s">
        <v>227</v>
      </c>
      <c r="C86" s="391" t="s">
        <v>244</v>
      </c>
      <c r="D86" s="391" t="s">
        <v>256</v>
      </c>
      <c r="E86" s="391" t="s">
        <v>267</v>
      </c>
      <c r="F86" s="391" t="s">
        <v>277</v>
      </c>
      <c r="G86" s="391" t="s">
        <v>285</v>
      </c>
      <c r="H86" s="392"/>
      <c r="I86" s="392"/>
      <c r="J86" s="392"/>
      <c r="K86" s="467"/>
      <c r="L86" s="468"/>
      <c r="M86" s="469"/>
      <c r="N86" s="2196"/>
      <c r="O86" s="447"/>
      <c r="P86" s="448"/>
      <c r="Q86" s="437"/>
      <c r="R86" s="351"/>
      <c r="S86" s="351"/>
      <c r="T86" s="351"/>
      <c r="U86" s="351"/>
      <c r="V86" s="351"/>
      <c r="W86" s="351"/>
      <c r="X86" s="351"/>
      <c r="Y86" s="351"/>
      <c r="Z86" s="351"/>
      <c r="AA86" s="351"/>
      <c r="AB86" s="351"/>
      <c r="AC86" s="351"/>
    </row>
    <row r="87" spans="1:29" ht="15">
      <c r="A87" s="375"/>
      <c r="B87" s="380"/>
      <c r="C87" s="389">
        <v>100</v>
      </c>
      <c r="D87" s="389">
        <f>C87-$K19</f>
        <v>100</v>
      </c>
      <c r="E87" s="389">
        <f>D87-$K19</f>
        <v>100</v>
      </c>
      <c r="F87" s="389">
        <f>E87-$K19</f>
        <v>100</v>
      </c>
      <c r="G87" s="389">
        <f>F87-$K19</f>
        <v>100</v>
      </c>
      <c r="H87" s="389"/>
      <c r="I87" s="389"/>
      <c r="J87" s="389"/>
      <c r="K87" s="389"/>
      <c r="L87" s="389"/>
      <c r="M87" s="466"/>
      <c r="N87" s="2197"/>
      <c r="O87" s="450"/>
      <c r="P87" s="448"/>
      <c r="Q87" s="437"/>
      <c r="R87" s="351"/>
      <c r="S87" s="351"/>
      <c r="T87" s="351"/>
      <c r="U87" s="351"/>
      <c r="V87" s="351"/>
      <c r="W87" s="351"/>
      <c r="X87" s="351"/>
      <c r="Y87" s="351"/>
      <c r="Z87" s="351"/>
      <c r="AA87" s="351"/>
      <c r="AB87" s="351"/>
      <c r="AC87" s="351"/>
    </row>
    <row r="88" spans="1:29" s="210" customFormat="1" ht="15">
      <c r="A88" s="498"/>
      <c r="B88" s="378" t="s">
        <v>228</v>
      </c>
      <c r="C88" s="391" t="s">
        <v>244</v>
      </c>
      <c r="D88" s="391" t="s">
        <v>256</v>
      </c>
      <c r="E88" s="391" t="s">
        <v>267</v>
      </c>
      <c r="F88" s="391" t="s">
        <v>277</v>
      </c>
      <c r="G88" s="391" t="s">
        <v>285</v>
      </c>
      <c r="H88" s="391"/>
      <c r="I88" s="391"/>
      <c r="J88" s="391"/>
      <c r="K88" s="391"/>
      <c r="L88" s="2199"/>
      <c r="M88" s="512"/>
      <c r="N88" s="2195"/>
      <c r="O88" s="442"/>
      <c r="P88" s="448"/>
      <c r="Q88" s="437"/>
      <c r="R88" s="484"/>
      <c r="S88" s="484"/>
      <c r="T88" s="484"/>
      <c r="U88" s="484"/>
      <c r="V88" s="484"/>
      <c r="W88" s="484"/>
      <c r="X88" s="484"/>
      <c r="Y88" s="484"/>
      <c r="Z88" s="484"/>
      <c r="AA88" s="484"/>
      <c r="AB88" s="484"/>
      <c r="AC88" s="484"/>
    </row>
    <row r="89" spans="1:29" s="210" customFormat="1" ht="15">
      <c r="A89" s="498"/>
      <c r="B89" s="380"/>
      <c r="C89" s="500">
        <v>100</v>
      </c>
      <c r="D89" s="389">
        <f>C89-$K21</f>
        <v>100</v>
      </c>
      <c r="E89" s="389">
        <f>D89-$K21</f>
        <v>100</v>
      </c>
      <c r="F89" s="389">
        <f>E89-$K21</f>
        <v>100</v>
      </c>
      <c r="G89" s="389">
        <f>F89-$K21</f>
        <v>100</v>
      </c>
      <c r="H89" s="389"/>
      <c r="I89" s="389"/>
      <c r="J89" s="389"/>
      <c r="K89" s="389"/>
      <c r="L89" s="389"/>
      <c r="M89" s="466"/>
      <c r="N89" s="2197"/>
      <c r="O89" s="450"/>
      <c r="P89" s="448"/>
      <c r="Q89" s="437"/>
      <c r="R89" s="484"/>
      <c r="S89" s="484"/>
      <c r="T89" s="484"/>
      <c r="U89" s="484"/>
      <c r="V89" s="484"/>
      <c r="W89" s="484"/>
      <c r="X89" s="484"/>
      <c r="Y89" s="484"/>
      <c r="Z89" s="484"/>
      <c r="AA89" s="484"/>
      <c r="AB89" s="484"/>
      <c r="AC89" s="484"/>
    </row>
    <row r="90" spans="1:29" s="210" customFormat="1" ht="27">
      <c r="A90" s="498"/>
      <c r="B90" s="378" t="s">
        <v>1057</v>
      </c>
      <c r="C90" s="388" t="s">
        <v>244</v>
      </c>
      <c r="D90" s="388" t="s">
        <v>256</v>
      </c>
      <c r="E90" s="388" t="s">
        <v>267</v>
      </c>
      <c r="F90" s="388" t="s">
        <v>277</v>
      </c>
      <c r="G90" s="388" t="s">
        <v>285</v>
      </c>
      <c r="H90" s="391"/>
      <c r="I90" s="391"/>
      <c r="J90" s="391"/>
      <c r="K90" s="391"/>
      <c r="L90" s="391"/>
      <c r="M90" s="512"/>
      <c r="N90" s="2195"/>
      <c r="O90" s="442"/>
      <c r="P90" s="448"/>
      <c r="Q90" s="437"/>
      <c r="R90" s="484"/>
      <c r="S90" s="484"/>
      <c r="T90" s="484"/>
      <c r="U90" s="484"/>
      <c r="V90" s="484"/>
      <c r="W90" s="484"/>
      <c r="X90" s="484"/>
      <c r="Y90" s="484"/>
      <c r="Z90" s="484"/>
      <c r="AA90" s="484"/>
      <c r="AB90" s="484"/>
      <c r="AC90" s="484"/>
    </row>
    <row r="91" spans="1:29" s="210" customFormat="1" ht="15">
      <c r="A91" s="498"/>
      <c r="B91" s="380"/>
      <c r="C91" s="389">
        <v>100</v>
      </c>
      <c r="D91" s="389">
        <f>C91-$K23</f>
        <v>100</v>
      </c>
      <c r="E91" s="389">
        <f>D91-$K23</f>
        <v>100</v>
      </c>
      <c r="F91" s="389">
        <f>E91-$K23</f>
        <v>100</v>
      </c>
      <c r="G91" s="389">
        <f>F91-$K23</f>
        <v>100</v>
      </c>
      <c r="H91" s="389"/>
      <c r="I91" s="389"/>
      <c r="J91" s="389"/>
      <c r="K91" s="389"/>
      <c r="L91" s="389"/>
      <c r="M91" s="466"/>
      <c r="N91" s="2197"/>
      <c r="O91" s="450"/>
      <c r="P91" s="448"/>
      <c r="Q91" s="437"/>
      <c r="R91" s="484"/>
      <c r="S91" s="484"/>
      <c r="T91" s="484"/>
      <c r="U91" s="484"/>
      <c r="V91" s="484"/>
      <c r="W91" s="484"/>
      <c r="X91" s="484"/>
      <c r="Y91" s="484"/>
      <c r="Z91" s="484"/>
      <c r="AA91" s="484"/>
      <c r="AB91" s="484"/>
      <c r="AC91" s="484"/>
    </row>
    <row r="92" spans="1:29" s="212" customFormat="1" ht="15">
      <c r="A92" s="384"/>
      <c r="B92" s="390" t="s">
        <v>229</v>
      </c>
      <c r="C92" s="388" t="s">
        <v>244</v>
      </c>
      <c r="D92" s="388" t="s">
        <v>256</v>
      </c>
      <c r="E92" s="388" t="s">
        <v>267</v>
      </c>
      <c r="F92" s="388" t="s">
        <v>277</v>
      </c>
      <c r="G92" s="388" t="s">
        <v>285</v>
      </c>
      <c r="H92" s="665"/>
      <c r="I92" s="665"/>
      <c r="J92" s="665"/>
      <c r="K92" s="665"/>
      <c r="L92" s="666"/>
      <c r="M92" s="667"/>
      <c r="N92" s="2198"/>
      <c r="O92" s="459"/>
      <c r="P92" s="460"/>
      <c r="Q92" s="485"/>
      <c r="R92" s="486"/>
      <c r="S92" s="486"/>
      <c r="T92" s="486"/>
      <c r="U92" s="486"/>
      <c r="V92" s="486"/>
      <c r="W92" s="486"/>
      <c r="X92" s="486"/>
      <c r="Y92" s="486"/>
      <c r="Z92" s="486"/>
      <c r="AA92" s="486"/>
      <c r="AB92" s="486"/>
      <c r="AC92" s="486"/>
    </row>
    <row r="93" spans="1:29" s="212" customFormat="1" ht="15">
      <c r="A93" s="384"/>
      <c r="B93" s="380"/>
      <c r="C93" s="389">
        <v>100</v>
      </c>
      <c r="D93" s="389">
        <f>C93-$K25</f>
        <v>100</v>
      </c>
      <c r="E93" s="389">
        <f>D93-$K25</f>
        <v>100</v>
      </c>
      <c r="F93" s="389">
        <f>E93-$K25</f>
        <v>100</v>
      </c>
      <c r="G93" s="389">
        <f>F93-$K25</f>
        <v>100</v>
      </c>
      <c r="H93" s="671"/>
      <c r="I93" s="671"/>
      <c r="J93" s="671"/>
      <c r="K93" s="671"/>
      <c r="L93" s="671"/>
      <c r="M93" s="672"/>
      <c r="N93" s="2198"/>
      <c r="O93" s="459"/>
      <c r="P93" s="460"/>
      <c r="Q93" s="485"/>
      <c r="R93" s="486"/>
      <c r="S93" s="486"/>
      <c r="T93" s="486"/>
      <c r="U93" s="486"/>
      <c r="V93" s="486"/>
      <c r="W93" s="486"/>
      <c r="X93" s="486"/>
      <c r="Y93" s="486"/>
      <c r="Z93" s="486"/>
      <c r="AA93" s="486"/>
      <c r="AB93" s="486"/>
      <c r="AC93" s="486"/>
    </row>
    <row r="94" spans="1:29" s="212" customFormat="1" ht="15">
      <c r="A94" s="384"/>
      <c r="B94" s="495" t="s">
        <v>230</v>
      </c>
      <c r="C94" s="496" t="s">
        <v>245</v>
      </c>
      <c r="D94" s="496" t="s">
        <v>257</v>
      </c>
      <c r="E94" s="496" t="s">
        <v>268</v>
      </c>
      <c r="F94" s="496" t="s">
        <v>278</v>
      </c>
      <c r="G94" s="496" t="s">
        <v>286</v>
      </c>
      <c r="H94" s="665"/>
      <c r="I94" s="665"/>
      <c r="J94" s="665"/>
      <c r="K94" s="665"/>
      <c r="L94" s="665"/>
      <c r="M94" s="667"/>
      <c r="N94" s="2198"/>
      <c r="O94" s="459"/>
      <c r="P94" s="460"/>
      <c r="Q94" s="485"/>
      <c r="R94" s="486"/>
      <c r="S94" s="486"/>
      <c r="T94" s="486"/>
      <c r="U94" s="486"/>
      <c r="V94" s="486"/>
      <c r="W94" s="486"/>
      <c r="X94" s="486"/>
      <c r="Y94" s="486"/>
      <c r="Z94" s="486"/>
      <c r="AA94" s="486"/>
      <c r="AB94" s="486"/>
      <c r="AC94" s="486"/>
    </row>
    <row r="95" spans="1:29" s="212" customFormat="1" ht="15">
      <c r="A95" s="384"/>
      <c r="B95" s="497"/>
      <c r="C95" s="389">
        <v>100</v>
      </c>
      <c r="D95" s="389">
        <f>C95-$K27</f>
        <v>100</v>
      </c>
      <c r="E95" s="389">
        <f>D95-$K27</f>
        <v>100</v>
      </c>
      <c r="F95" s="389">
        <f>E95-$K27</f>
        <v>100</v>
      </c>
      <c r="G95" s="389">
        <f>F95-$K27</f>
        <v>100</v>
      </c>
      <c r="H95" s="570"/>
      <c r="I95" s="570"/>
      <c r="J95" s="570"/>
      <c r="K95" s="570"/>
      <c r="L95" s="570"/>
      <c r="M95" s="2200"/>
      <c r="N95" s="2198"/>
      <c r="O95" s="459"/>
      <c r="P95" s="460"/>
      <c r="Q95" s="485"/>
      <c r="R95" s="486"/>
      <c r="S95" s="486"/>
      <c r="T95" s="486"/>
      <c r="U95" s="486"/>
      <c r="V95" s="486"/>
      <c r="W95" s="486"/>
      <c r="X95" s="486"/>
      <c r="Y95" s="486"/>
      <c r="Z95" s="486"/>
      <c r="AA95" s="486"/>
      <c r="AB95" s="486"/>
      <c r="AC95" s="486"/>
    </row>
    <row r="96" spans="1:29" ht="15">
      <c r="A96" s="375"/>
      <c r="B96" s="378" t="str">
        <f>B29</f>
        <v>临街状况</v>
      </c>
      <c r="C96" s="392" t="s">
        <v>1104</v>
      </c>
      <c r="D96" s="392" t="s">
        <v>1105</v>
      </c>
      <c r="E96" s="392" t="s">
        <v>1106</v>
      </c>
      <c r="F96" s="392" t="s">
        <v>1107</v>
      </c>
      <c r="G96" s="392"/>
      <c r="H96" s="392"/>
      <c r="I96" s="392"/>
      <c r="J96" s="392"/>
      <c r="K96" s="467"/>
      <c r="L96" s="468"/>
      <c r="M96" s="469"/>
      <c r="N96" s="2196"/>
      <c r="O96" s="447"/>
      <c r="P96" s="448"/>
      <c r="Q96" s="437"/>
      <c r="R96" s="351"/>
      <c r="S96" s="351"/>
      <c r="T96" s="351"/>
      <c r="U96" s="351"/>
      <c r="V96" s="351"/>
      <c r="W96" s="351"/>
      <c r="X96" s="351"/>
      <c r="Y96" s="351"/>
      <c r="Z96" s="351"/>
      <c r="AA96" s="351"/>
      <c r="AB96" s="351"/>
      <c r="AC96" s="351"/>
    </row>
    <row r="97" spans="1:29" ht="15">
      <c r="A97" s="375"/>
      <c r="B97" s="380"/>
      <c r="C97" s="389">
        <v>100</v>
      </c>
      <c r="D97" s="389">
        <f t="shared" ref="D97:M97" si="21">C97-$K29</f>
        <v>100</v>
      </c>
      <c r="E97" s="389">
        <f t="shared" si="21"/>
        <v>100</v>
      </c>
      <c r="F97" s="389">
        <f t="shared" si="21"/>
        <v>100</v>
      </c>
      <c r="G97" s="389">
        <f t="shared" si="21"/>
        <v>100</v>
      </c>
      <c r="H97" s="389">
        <f t="shared" si="21"/>
        <v>100</v>
      </c>
      <c r="I97" s="389">
        <f t="shared" si="21"/>
        <v>100</v>
      </c>
      <c r="J97" s="389">
        <f t="shared" si="21"/>
        <v>100</v>
      </c>
      <c r="K97" s="389">
        <f t="shared" si="21"/>
        <v>100</v>
      </c>
      <c r="L97" s="389">
        <f t="shared" si="21"/>
        <v>100</v>
      </c>
      <c r="M97" s="389">
        <f t="shared" si="21"/>
        <v>100</v>
      </c>
      <c r="N97" s="2197"/>
      <c r="O97" s="450"/>
      <c r="P97" s="448"/>
      <c r="Q97" s="437"/>
      <c r="R97" s="351"/>
      <c r="S97" s="351"/>
      <c r="T97" s="351"/>
      <c r="U97" s="351"/>
      <c r="V97" s="351"/>
      <c r="W97" s="351"/>
      <c r="X97" s="351"/>
      <c r="Y97" s="351"/>
      <c r="Z97" s="351"/>
      <c r="AA97" s="351"/>
      <c r="AB97" s="351"/>
      <c r="AC97" s="351"/>
    </row>
    <row r="98" spans="1:29" ht="27">
      <c r="A98" s="375"/>
      <c r="B98" s="378" t="s">
        <v>1058</v>
      </c>
      <c r="C98" s="385"/>
      <c r="D98" s="385"/>
      <c r="E98" s="385"/>
      <c r="F98" s="385"/>
      <c r="G98" s="385"/>
      <c r="H98" s="379"/>
      <c r="I98" s="379"/>
      <c r="J98" s="379"/>
      <c r="K98" s="451"/>
      <c r="L98" s="452"/>
      <c r="M98" s="453"/>
      <c r="N98" s="2196"/>
      <c r="O98" s="447"/>
      <c r="P98" s="448"/>
      <c r="Q98" s="437"/>
      <c r="R98" s="351"/>
      <c r="S98" s="351"/>
      <c r="T98" s="351"/>
      <c r="U98" s="351"/>
      <c r="V98" s="351"/>
      <c r="W98" s="351"/>
      <c r="X98" s="351"/>
      <c r="Y98" s="351"/>
      <c r="Z98" s="351"/>
      <c r="AA98" s="351"/>
      <c r="AB98" s="351"/>
      <c r="AC98" s="351"/>
    </row>
    <row r="99" spans="1:29" ht="15">
      <c r="A99" s="375"/>
      <c r="B99" s="380"/>
      <c r="C99" s="389">
        <v>100</v>
      </c>
      <c r="D99" s="389">
        <f t="shared" ref="D99:M99" si="22">C99-$K30</f>
        <v>100</v>
      </c>
      <c r="E99" s="389">
        <f t="shared" si="22"/>
        <v>100</v>
      </c>
      <c r="F99" s="389">
        <f t="shared" si="22"/>
        <v>100</v>
      </c>
      <c r="G99" s="389">
        <f t="shared" si="22"/>
        <v>100</v>
      </c>
      <c r="H99" s="389">
        <f t="shared" si="22"/>
        <v>100</v>
      </c>
      <c r="I99" s="389">
        <f t="shared" si="22"/>
        <v>100</v>
      </c>
      <c r="J99" s="389">
        <f t="shared" si="22"/>
        <v>100</v>
      </c>
      <c r="K99" s="389">
        <f t="shared" si="22"/>
        <v>100</v>
      </c>
      <c r="L99" s="389">
        <f t="shared" si="22"/>
        <v>100</v>
      </c>
      <c r="M99" s="389">
        <f t="shared" si="22"/>
        <v>100</v>
      </c>
      <c r="N99" s="2197"/>
      <c r="O99" s="450"/>
      <c r="P99" s="448"/>
      <c r="Q99" s="437"/>
      <c r="R99" s="351"/>
      <c r="S99" s="351"/>
      <c r="T99" s="351"/>
      <c r="U99" s="351"/>
      <c r="V99" s="351"/>
      <c r="W99" s="351"/>
      <c r="X99" s="351"/>
      <c r="Y99" s="351"/>
      <c r="Z99" s="351"/>
      <c r="AA99" s="351"/>
      <c r="AB99" s="351"/>
      <c r="AC99" s="351"/>
    </row>
    <row r="100" spans="1:29" ht="15">
      <c r="A100" s="375"/>
      <c r="B100" s="378" t="s">
        <v>1059</v>
      </c>
      <c r="C100" s="379"/>
      <c r="D100" s="379"/>
      <c r="E100" s="379"/>
      <c r="F100" s="379"/>
      <c r="G100" s="379"/>
      <c r="H100" s="379"/>
      <c r="I100" s="379"/>
      <c r="J100" s="379"/>
      <c r="K100" s="451"/>
      <c r="L100" s="452"/>
      <c r="M100" s="453"/>
      <c r="N100" s="2196"/>
      <c r="O100" s="447"/>
      <c r="P100" s="448"/>
      <c r="Q100" s="437"/>
      <c r="R100" s="351"/>
      <c r="S100" s="351"/>
      <c r="T100" s="351"/>
      <c r="U100" s="351"/>
      <c r="V100" s="351"/>
      <c r="W100" s="351"/>
      <c r="X100" s="351"/>
      <c r="Y100" s="351"/>
      <c r="Z100" s="351"/>
      <c r="AA100" s="351"/>
      <c r="AB100" s="351"/>
      <c r="AC100" s="351"/>
    </row>
    <row r="101" spans="1:29" ht="15">
      <c r="A101" s="375"/>
      <c r="B101" s="380"/>
      <c r="C101" s="389">
        <v>100</v>
      </c>
      <c r="D101" s="389">
        <f t="shared" ref="D101:M101" si="23">C101-$K32</f>
        <v>100</v>
      </c>
      <c r="E101" s="389">
        <f t="shared" si="23"/>
        <v>100</v>
      </c>
      <c r="F101" s="389">
        <f t="shared" si="23"/>
        <v>100</v>
      </c>
      <c r="G101" s="389">
        <f t="shared" si="23"/>
        <v>100</v>
      </c>
      <c r="H101" s="389">
        <f t="shared" si="23"/>
        <v>100</v>
      </c>
      <c r="I101" s="389">
        <f t="shared" si="23"/>
        <v>100</v>
      </c>
      <c r="J101" s="389">
        <f t="shared" si="23"/>
        <v>100</v>
      </c>
      <c r="K101" s="389">
        <f t="shared" si="23"/>
        <v>100</v>
      </c>
      <c r="L101" s="389">
        <f t="shared" si="23"/>
        <v>100</v>
      </c>
      <c r="M101" s="389">
        <f t="shared" si="23"/>
        <v>100</v>
      </c>
      <c r="N101" s="2197"/>
      <c r="O101" s="450"/>
      <c r="P101" s="448"/>
      <c r="Q101" s="437"/>
      <c r="R101" s="351"/>
      <c r="S101" s="351"/>
      <c r="T101" s="351"/>
      <c r="U101" s="351"/>
      <c r="V101" s="351"/>
      <c r="W101" s="351"/>
      <c r="X101" s="351"/>
      <c r="Y101" s="351"/>
      <c r="Z101" s="351"/>
      <c r="AA101" s="351"/>
      <c r="AB101" s="351"/>
      <c r="AC101" s="351"/>
    </row>
    <row r="102" spans="1:29" ht="15">
      <c r="A102" s="375"/>
      <c r="B102" s="497">
        <f>B33</f>
        <v>111</v>
      </c>
      <c r="C102" s="385"/>
      <c r="D102" s="385"/>
      <c r="E102" s="385"/>
      <c r="F102" s="385"/>
      <c r="G102" s="576"/>
      <c r="H102" s="576"/>
      <c r="I102" s="576"/>
      <c r="J102" s="576"/>
      <c r="K102" s="584"/>
      <c r="L102" s="585"/>
      <c r="M102" s="586"/>
      <c r="N102" s="2196"/>
      <c r="O102" s="447"/>
      <c r="P102" s="448"/>
      <c r="Q102" s="437"/>
      <c r="R102" s="351"/>
      <c r="S102" s="351"/>
      <c r="T102" s="351"/>
      <c r="U102" s="351"/>
      <c r="V102" s="351"/>
      <c r="W102" s="351"/>
      <c r="X102" s="351"/>
      <c r="Y102" s="351"/>
      <c r="Z102" s="351"/>
      <c r="AA102" s="351"/>
      <c r="AB102" s="351"/>
      <c r="AC102" s="351"/>
    </row>
    <row r="103" spans="1:29" ht="15">
      <c r="A103" s="375"/>
      <c r="B103" s="573"/>
      <c r="C103" s="383"/>
      <c r="D103" s="377"/>
      <c r="E103" s="377"/>
      <c r="F103" s="377"/>
      <c r="G103" s="578"/>
      <c r="H103" s="578"/>
      <c r="I103" s="578"/>
      <c r="J103" s="578"/>
      <c r="K103" s="578"/>
      <c r="L103" s="578"/>
      <c r="M103" s="587"/>
      <c r="N103" s="2197"/>
      <c r="O103" s="450"/>
      <c r="P103" s="448"/>
      <c r="Q103" s="437"/>
      <c r="R103" s="351"/>
      <c r="S103" s="351"/>
      <c r="T103" s="351"/>
      <c r="U103" s="351"/>
      <c r="V103" s="351"/>
      <c r="W103" s="351"/>
      <c r="X103" s="351"/>
      <c r="Y103" s="351"/>
      <c r="Z103" s="351"/>
      <c r="AA103" s="351"/>
      <c r="AB103" s="351"/>
      <c r="AC103" s="351"/>
    </row>
    <row r="104" spans="1:29">
      <c r="A104" s="2110"/>
      <c r="B104" s="378">
        <f>B34</f>
        <v>111</v>
      </c>
      <c r="C104" s="385"/>
      <c r="D104" s="385"/>
      <c r="E104" s="385"/>
      <c r="F104" s="385"/>
      <c r="G104" s="379"/>
      <c r="H104" s="379"/>
      <c r="I104" s="379"/>
      <c r="J104" s="379"/>
      <c r="K104" s="451"/>
      <c r="L104" s="452"/>
      <c r="M104" s="453"/>
      <c r="N104" s="2196"/>
      <c r="O104" s="447"/>
      <c r="P104" s="448"/>
      <c r="Q104" s="437"/>
      <c r="R104" s="351"/>
      <c r="S104" s="351"/>
      <c r="T104" s="351"/>
      <c r="U104" s="351"/>
      <c r="V104" s="351"/>
      <c r="W104" s="351"/>
      <c r="X104" s="351"/>
      <c r="Y104" s="351"/>
      <c r="Z104" s="351"/>
      <c r="AA104" s="351"/>
      <c r="AB104" s="351"/>
      <c r="AC104" s="351"/>
    </row>
    <row r="105" spans="1:29" ht="15">
      <c r="A105" s="375"/>
      <c r="B105" s="380"/>
      <c r="C105" s="383"/>
      <c r="D105" s="383"/>
      <c r="E105" s="383"/>
      <c r="F105" s="383"/>
      <c r="G105" s="377"/>
      <c r="H105" s="377"/>
      <c r="I105" s="377"/>
      <c r="J105" s="377"/>
      <c r="K105" s="377"/>
      <c r="L105" s="377"/>
      <c r="M105" s="449"/>
      <c r="N105" s="2197"/>
      <c r="O105" s="450"/>
      <c r="P105" s="448"/>
      <c r="Q105" s="437"/>
      <c r="R105" s="351"/>
      <c r="S105" s="351"/>
      <c r="T105" s="351"/>
      <c r="U105" s="351"/>
      <c r="V105" s="351"/>
      <c r="W105" s="351"/>
      <c r="X105" s="351"/>
      <c r="Y105" s="351"/>
      <c r="Z105" s="351"/>
      <c r="AA105" s="351"/>
      <c r="AB105" s="351"/>
      <c r="AC105" s="351"/>
    </row>
    <row r="106" spans="1:29" s="212" customFormat="1">
      <c r="A106" s="503"/>
      <c r="B106" s="579">
        <f>B35</f>
        <v>111</v>
      </c>
      <c r="C106" s="370"/>
      <c r="D106" s="370"/>
      <c r="E106" s="370"/>
      <c r="F106" s="370"/>
      <c r="G106" s="502"/>
      <c r="H106" s="502"/>
      <c r="I106" s="502"/>
      <c r="J106" s="513"/>
      <c r="K106" s="513"/>
      <c r="L106" s="514"/>
      <c r="M106" s="515"/>
      <c r="N106" s="2198"/>
      <c r="O106" s="459"/>
      <c r="P106" s="460"/>
      <c r="Q106" s="485"/>
      <c r="R106" s="486"/>
      <c r="S106" s="486"/>
      <c r="T106" s="486"/>
      <c r="U106" s="486"/>
      <c r="V106" s="486"/>
      <c r="W106" s="486"/>
      <c r="X106" s="486"/>
      <c r="Y106" s="486"/>
      <c r="Z106" s="486"/>
      <c r="AA106" s="486"/>
      <c r="AB106" s="486"/>
      <c r="AC106" s="486"/>
    </row>
    <row r="107" spans="1:29" s="212" customFormat="1" ht="15">
      <c r="A107" s="384"/>
      <c r="B107" s="497"/>
      <c r="C107" s="574"/>
      <c r="D107" s="574"/>
      <c r="E107" s="574"/>
      <c r="F107" s="574"/>
      <c r="G107" s="2188"/>
      <c r="H107" s="2188"/>
      <c r="I107" s="2188"/>
      <c r="J107" s="2188"/>
      <c r="K107" s="2188"/>
      <c r="L107" s="2188"/>
      <c r="M107" s="2201"/>
      <c r="N107" s="2197"/>
      <c r="O107" s="450"/>
      <c r="P107" s="460"/>
      <c r="Q107" s="485"/>
      <c r="R107" s="486"/>
      <c r="S107" s="486"/>
      <c r="T107" s="486"/>
      <c r="U107" s="486"/>
      <c r="V107" s="486"/>
      <c r="W107" s="486"/>
      <c r="X107" s="486"/>
      <c r="Y107" s="486"/>
      <c r="Z107" s="486"/>
      <c r="AA107" s="486"/>
      <c r="AB107" s="486"/>
      <c r="AC107" s="486"/>
    </row>
    <row r="108" spans="1:29" ht="28.5">
      <c r="A108" s="371" t="s">
        <v>1108</v>
      </c>
      <c r="B108" s="372" t="s">
        <v>1062</v>
      </c>
      <c r="C108" s="373" t="str">
        <f t="shared" ref="C108:L108" si="24">C109&amp;"(含)"&amp;"-"&amp;D109</f>
        <v>0(含)-20000</v>
      </c>
      <c r="D108" s="373" t="str">
        <f t="shared" si="24"/>
        <v>20000(含)-40000</v>
      </c>
      <c r="E108" s="373" t="str">
        <f t="shared" si="24"/>
        <v>40000(含)-60000</v>
      </c>
      <c r="F108" s="373" t="str">
        <f t="shared" si="24"/>
        <v>60000(含)-100000</v>
      </c>
      <c r="G108" s="373" t="str">
        <f t="shared" si="24"/>
        <v>100000(含)-200000</v>
      </c>
      <c r="H108" s="373" t="str">
        <f t="shared" si="24"/>
        <v>200000(含)-400000</v>
      </c>
      <c r="I108" s="373" t="str">
        <f t="shared" si="24"/>
        <v>400000(含)-</v>
      </c>
      <c r="J108" s="373" t="str">
        <f t="shared" si="24"/>
        <v>(含)-</v>
      </c>
      <c r="K108" s="2202" t="str">
        <f t="shared" si="24"/>
        <v>(含)-</v>
      </c>
      <c r="L108" s="2203" t="str">
        <f t="shared" si="24"/>
        <v>(含)-</v>
      </c>
      <c r="M108" s="2204" t="str">
        <f>M109&amp;"(含)"&amp;"-"&amp;P109</f>
        <v>(含)-</v>
      </c>
      <c r="N108" s="2196"/>
      <c r="O108" s="447"/>
      <c r="P108" s="448"/>
      <c r="Q108" s="437"/>
      <c r="R108" s="351"/>
      <c r="S108" s="351"/>
      <c r="T108" s="351"/>
      <c r="U108" s="351"/>
      <c r="V108" s="351"/>
      <c r="W108" s="351"/>
      <c r="X108" s="351"/>
      <c r="Y108" s="351"/>
      <c r="Z108" s="351"/>
      <c r="AA108" s="351"/>
      <c r="AB108" s="351"/>
      <c r="AC108" s="351"/>
    </row>
    <row r="109" spans="1:29" ht="15">
      <c r="A109" s="375"/>
      <c r="B109" s="497"/>
      <c r="C109" s="2189">
        <v>0</v>
      </c>
      <c r="D109" s="2189">
        <v>20000</v>
      </c>
      <c r="E109" s="2189">
        <v>40000</v>
      </c>
      <c r="F109" s="2189">
        <v>60000</v>
      </c>
      <c r="G109" s="2189">
        <v>100000</v>
      </c>
      <c r="H109" s="2189">
        <v>200000</v>
      </c>
      <c r="I109" s="2189">
        <v>400000</v>
      </c>
      <c r="J109" s="513"/>
      <c r="K109" s="513"/>
      <c r="L109" s="514"/>
      <c r="M109" s="515"/>
      <c r="N109" s="2196"/>
      <c r="O109" s="447"/>
      <c r="P109" s="448"/>
      <c r="Q109" s="437"/>
      <c r="R109" s="351"/>
      <c r="S109" s="351"/>
      <c r="T109" s="351"/>
      <c r="U109" s="351"/>
      <c r="V109" s="351"/>
      <c r="W109" s="351"/>
      <c r="X109" s="351"/>
      <c r="Y109" s="351"/>
      <c r="Z109" s="351"/>
      <c r="AA109" s="351"/>
      <c r="AB109" s="351"/>
      <c r="AC109" s="351"/>
    </row>
    <row r="110" spans="1:29" ht="15">
      <c r="A110" s="375"/>
      <c r="B110" s="380"/>
      <c r="C110" s="2190">
        <v>100</v>
      </c>
      <c r="D110" s="2191">
        <v>101</v>
      </c>
      <c r="E110" s="2191">
        <v>102</v>
      </c>
      <c r="F110" s="2191">
        <v>103</v>
      </c>
      <c r="G110" s="2191">
        <v>104</v>
      </c>
      <c r="H110" s="2191">
        <v>105</v>
      </c>
      <c r="I110" s="2191">
        <v>106</v>
      </c>
      <c r="J110" s="578"/>
      <c r="K110" s="578"/>
      <c r="L110" s="578"/>
      <c r="M110" s="587"/>
      <c r="N110" s="2197"/>
      <c r="O110" s="450"/>
      <c r="P110" s="448"/>
      <c r="Q110" s="437"/>
      <c r="R110" s="351"/>
      <c r="S110" s="351"/>
      <c r="T110" s="351"/>
      <c r="U110" s="351"/>
      <c r="V110" s="351"/>
      <c r="W110" s="351"/>
      <c r="X110" s="351"/>
      <c r="Y110" s="351"/>
      <c r="Z110" s="351"/>
      <c r="AA110" s="351"/>
      <c r="AB110" s="351"/>
      <c r="AC110" s="351"/>
    </row>
    <row r="111" spans="1:29">
      <c r="A111" s="501"/>
      <c r="B111" s="378" t="s">
        <v>1063</v>
      </c>
      <c r="C111" s="379"/>
      <c r="D111" s="379"/>
      <c r="E111" s="379"/>
      <c r="F111" s="379"/>
      <c r="G111" s="379"/>
      <c r="H111" s="379"/>
      <c r="I111" s="379"/>
      <c r="J111" s="379"/>
      <c r="K111" s="451"/>
      <c r="L111" s="452"/>
      <c r="M111" s="453"/>
      <c r="N111" s="2196"/>
      <c r="O111" s="447"/>
      <c r="P111" s="448"/>
      <c r="Q111" s="437"/>
      <c r="R111" s="351"/>
      <c r="S111" s="351"/>
      <c r="T111" s="351"/>
      <c r="U111" s="351"/>
      <c r="V111" s="351"/>
      <c r="W111" s="351"/>
      <c r="X111" s="351"/>
      <c r="Y111" s="351"/>
      <c r="Z111" s="351"/>
      <c r="AA111" s="351"/>
      <c r="AB111" s="351"/>
      <c r="AC111" s="351"/>
    </row>
    <row r="112" spans="1:29" ht="15">
      <c r="A112" s="375"/>
      <c r="B112" s="380"/>
      <c r="C112" s="389">
        <v>100</v>
      </c>
      <c r="D112" s="389">
        <f t="shared" ref="D112:M112" si="25">C112-$K37</f>
        <v>100</v>
      </c>
      <c r="E112" s="389">
        <f t="shared" si="25"/>
        <v>100</v>
      </c>
      <c r="F112" s="389">
        <f t="shared" si="25"/>
        <v>100</v>
      </c>
      <c r="G112" s="389">
        <f t="shared" si="25"/>
        <v>100</v>
      </c>
      <c r="H112" s="389">
        <f t="shared" si="25"/>
        <v>100</v>
      </c>
      <c r="I112" s="389">
        <f t="shared" si="25"/>
        <v>100</v>
      </c>
      <c r="J112" s="389">
        <f t="shared" si="25"/>
        <v>100</v>
      </c>
      <c r="K112" s="389">
        <f t="shared" si="25"/>
        <v>100</v>
      </c>
      <c r="L112" s="389">
        <f t="shared" si="25"/>
        <v>100</v>
      </c>
      <c r="M112" s="466">
        <f t="shared" si="25"/>
        <v>100</v>
      </c>
      <c r="N112" s="2197"/>
      <c r="O112" s="450"/>
      <c r="P112" s="448"/>
      <c r="Q112" s="437"/>
      <c r="R112" s="351"/>
      <c r="S112" s="351"/>
      <c r="T112" s="351"/>
      <c r="U112" s="351"/>
      <c r="V112" s="351"/>
      <c r="W112" s="351"/>
      <c r="X112" s="351"/>
      <c r="Y112" s="351"/>
      <c r="Z112" s="351"/>
      <c r="AA112" s="351"/>
      <c r="AB112" s="351"/>
      <c r="AC112" s="351"/>
    </row>
    <row r="113" spans="1:29" s="212" customFormat="1">
      <c r="A113" s="503"/>
      <c r="B113" s="390" t="s">
        <v>1065</v>
      </c>
      <c r="C113" s="2192" t="s">
        <v>245</v>
      </c>
      <c r="D113" s="2192" t="s">
        <v>257</v>
      </c>
      <c r="E113" s="2192" t="s">
        <v>268</v>
      </c>
      <c r="F113" s="2192" t="s">
        <v>278</v>
      </c>
      <c r="G113" s="2192" t="s">
        <v>286</v>
      </c>
      <c r="H113" s="379"/>
      <c r="I113" s="379"/>
      <c r="J113" s="379"/>
      <c r="K113" s="451"/>
      <c r="L113" s="452"/>
      <c r="M113" s="453"/>
      <c r="N113" s="2198"/>
      <c r="O113" s="459"/>
      <c r="P113" s="460"/>
      <c r="Q113" s="485"/>
      <c r="R113" s="486"/>
      <c r="S113" s="486"/>
      <c r="T113" s="486"/>
      <c r="U113" s="486"/>
      <c r="V113" s="486"/>
      <c r="W113" s="486"/>
      <c r="X113" s="486"/>
      <c r="Y113" s="486"/>
      <c r="Z113" s="486"/>
      <c r="AA113" s="486"/>
      <c r="AB113" s="486"/>
      <c r="AC113" s="486"/>
    </row>
    <row r="114" spans="1:29" s="212" customFormat="1" ht="15">
      <c r="A114" s="384"/>
      <c r="B114" s="380"/>
      <c r="C114" s="389">
        <v>100</v>
      </c>
      <c r="D114" s="389">
        <f t="shared" ref="D114:M114" si="26">C114-$K38</f>
        <v>100</v>
      </c>
      <c r="E114" s="389">
        <f t="shared" si="26"/>
        <v>100</v>
      </c>
      <c r="F114" s="389">
        <f t="shared" si="26"/>
        <v>100</v>
      </c>
      <c r="G114" s="389">
        <f t="shared" si="26"/>
        <v>100</v>
      </c>
      <c r="H114" s="389">
        <f t="shared" si="26"/>
        <v>100</v>
      </c>
      <c r="I114" s="389">
        <f t="shared" si="26"/>
        <v>100</v>
      </c>
      <c r="J114" s="389">
        <f t="shared" si="26"/>
        <v>100</v>
      </c>
      <c r="K114" s="389">
        <f t="shared" si="26"/>
        <v>100</v>
      </c>
      <c r="L114" s="389">
        <f t="shared" si="26"/>
        <v>100</v>
      </c>
      <c r="M114" s="466">
        <f t="shared" si="26"/>
        <v>100</v>
      </c>
      <c r="N114" s="2198"/>
      <c r="O114" s="459"/>
      <c r="P114" s="460"/>
      <c r="Q114" s="485"/>
      <c r="R114" s="486"/>
      <c r="S114" s="486"/>
      <c r="T114" s="486"/>
      <c r="U114" s="486"/>
      <c r="V114" s="486"/>
      <c r="W114" s="486"/>
      <c r="X114" s="486"/>
      <c r="Y114" s="486"/>
      <c r="Z114" s="486"/>
      <c r="AA114" s="486"/>
      <c r="AB114" s="486"/>
      <c r="AC114" s="486"/>
    </row>
    <row r="115" spans="1:29">
      <c r="A115" s="501"/>
      <c r="B115" s="378" t="s">
        <v>1066</v>
      </c>
      <c r="C115" s="385"/>
      <c r="D115" s="385"/>
      <c r="E115" s="379"/>
      <c r="F115" s="379"/>
      <c r="G115" s="379"/>
      <c r="H115" s="379"/>
      <c r="I115" s="379"/>
      <c r="J115" s="379"/>
      <c r="K115" s="451"/>
      <c r="L115" s="452"/>
      <c r="M115" s="453"/>
      <c r="N115" s="2196"/>
      <c r="O115" s="447"/>
      <c r="P115" s="448"/>
      <c r="Q115" s="437"/>
      <c r="R115" s="351"/>
      <c r="S115" s="351"/>
      <c r="T115" s="351"/>
      <c r="U115" s="351"/>
      <c r="V115" s="351"/>
      <c r="W115" s="351"/>
      <c r="X115" s="351"/>
      <c r="Y115" s="351"/>
      <c r="Z115" s="351"/>
      <c r="AA115" s="351"/>
      <c r="AB115" s="351"/>
      <c r="AC115" s="351"/>
    </row>
    <row r="116" spans="1:29" ht="15">
      <c r="A116" s="375"/>
      <c r="B116" s="380"/>
      <c r="C116" s="389">
        <v>100</v>
      </c>
      <c r="D116" s="389">
        <f t="shared" ref="D116:M116" si="27">C116-$K39</f>
        <v>100</v>
      </c>
      <c r="E116" s="389">
        <f t="shared" si="27"/>
        <v>100</v>
      </c>
      <c r="F116" s="389">
        <f t="shared" si="27"/>
        <v>100</v>
      </c>
      <c r="G116" s="389">
        <f t="shared" si="27"/>
        <v>100</v>
      </c>
      <c r="H116" s="389">
        <f t="shared" si="27"/>
        <v>100</v>
      </c>
      <c r="I116" s="389">
        <f t="shared" si="27"/>
        <v>100</v>
      </c>
      <c r="J116" s="389">
        <f t="shared" si="27"/>
        <v>100</v>
      </c>
      <c r="K116" s="389">
        <f t="shared" si="27"/>
        <v>100</v>
      </c>
      <c r="L116" s="389">
        <f t="shared" si="27"/>
        <v>100</v>
      </c>
      <c r="M116" s="466">
        <f t="shared" si="27"/>
        <v>100</v>
      </c>
      <c r="N116" s="2197"/>
      <c r="O116" s="450"/>
      <c r="P116" s="448"/>
      <c r="Q116" s="437"/>
      <c r="R116" s="351"/>
      <c r="S116" s="351"/>
      <c r="T116" s="351"/>
      <c r="U116" s="351"/>
      <c r="V116" s="351"/>
      <c r="W116" s="351"/>
      <c r="X116" s="351"/>
      <c r="Y116" s="351"/>
      <c r="Z116" s="351"/>
      <c r="AA116" s="351"/>
      <c r="AB116" s="351"/>
      <c r="AC116" s="351"/>
    </row>
    <row r="117" spans="1:29">
      <c r="A117" s="501"/>
      <c r="B117" s="378">
        <f>B40</f>
        <v>111</v>
      </c>
      <c r="C117" s="385"/>
      <c r="D117" s="385"/>
      <c r="E117" s="385"/>
      <c r="F117" s="385"/>
      <c r="G117" s="385"/>
      <c r="H117" s="379"/>
      <c r="I117" s="379"/>
      <c r="J117" s="379"/>
      <c r="K117" s="451"/>
      <c r="L117" s="452"/>
      <c r="M117" s="453"/>
      <c r="N117" s="2196"/>
      <c r="O117" s="447"/>
      <c r="P117" s="448"/>
      <c r="Q117" s="437"/>
      <c r="R117" s="351"/>
      <c r="S117" s="351"/>
      <c r="T117" s="351"/>
      <c r="U117" s="351"/>
      <c r="V117" s="351"/>
      <c r="W117" s="351"/>
      <c r="X117" s="351"/>
      <c r="Y117" s="351"/>
      <c r="Z117" s="351"/>
      <c r="AA117" s="351"/>
      <c r="AB117" s="351"/>
      <c r="AC117" s="351"/>
    </row>
    <row r="118" spans="1:29" ht="15">
      <c r="A118" s="375"/>
      <c r="B118" s="380"/>
      <c r="C118" s="383"/>
      <c r="D118" s="377"/>
      <c r="E118" s="377"/>
      <c r="F118" s="377"/>
      <c r="G118" s="377"/>
      <c r="H118" s="377"/>
      <c r="I118" s="377"/>
      <c r="J118" s="377"/>
      <c r="K118" s="377"/>
      <c r="L118" s="377"/>
      <c r="M118" s="449"/>
      <c r="N118" s="2197"/>
      <c r="O118" s="450"/>
      <c r="P118" s="448"/>
      <c r="Q118" s="437"/>
      <c r="R118" s="351"/>
      <c r="S118" s="351"/>
      <c r="T118" s="351"/>
      <c r="U118" s="351"/>
      <c r="V118" s="351"/>
      <c r="W118" s="351"/>
      <c r="X118" s="351"/>
      <c r="Y118" s="351"/>
      <c r="Z118" s="351"/>
      <c r="AA118" s="351"/>
      <c r="AB118" s="351"/>
      <c r="AC118" s="351"/>
    </row>
    <row r="119" spans="1:29">
      <c r="A119" s="501"/>
      <c r="B119" s="378">
        <f>B41</f>
        <v>111</v>
      </c>
      <c r="C119" s="385"/>
      <c r="D119" s="385"/>
      <c r="E119" s="385"/>
      <c r="F119" s="385"/>
      <c r="G119" s="379"/>
      <c r="H119" s="379"/>
      <c r="I119" s="379"/>
      <c r="J119" s="379"/>
      <c r="K119" s="451"/>
      <c r="L119" s="452"/>
      <c r="M119" s="453"/>
      <c r="N119" s="2196"/>
      <c r="O119" s="447"/>
      <c r="P119" s="448"/>
      <c r="Q119" s="437"/>
      <c r="R119" s="351"/>
      <c r="S119" s="351"/>
      <c r="T119" s="351"/>
      <c r="U119" s="351"/>
      <c r="V119" s="351"/>
      <c r="W119" s="351"/>
      <c r="X119" s="351"/>
      <c r="Y119" s="351"/>
      <c r="Z119" s="351"/>
      <c r="AA119" s="351"/>
      <c r="AB119" s="351"/>
      <c r="AC119" s="351"/>
    </row>
    <row r="120" spans="1:29" ht="15">
      <c r="A120" s="375"/>
      <c r="B120" s="380"/>
      <c r="C120" s="383"/>
      <c r="D120" s="383"/>
      <c r="E120" s="383"/>
      <c r="F120" s="383"/>
      <c r="G120" s="377"/>
      <c r="H120" s="377"/>
      <c r="I120" s="377"/>
      <c r="J120" s="377"/>
      <c r="K120" s="377"/>
      <c r="L120" s="377"/>
      <c r="M120" s="449"/>
      <c r="N120" s="2197"/>
      <c r="O120" s="450"/>
      <c r="P120" s="448"/>
      <c r="Q120" s="437"/>
      <c r="R120" s="351"/>
      <c r="S120" s="351"/>
      <c r="T120" s="351"/>
      <c r="U120" s="351"/>
      <c r="V120" s="351"/>
      <c r="W120" s="351"/>
      <c r="X120" s="351"/>
      <c r="Y120" s="351"/>
      <c r="Z120" s="351"/>
      <c r="AA120" s="351"/>
      <c r="AB120" s="351"/>
      <c r="AC120" s="351"/>
    </row>
    <row r="121" spans="1:29" s="212" customFormat="1">
      <c r="A121" s="503"/>
      <c r="B121" s="378">
        <f>B42</f>
        <v>111</v>
      </c>
      <c r="C121" s="370"/>
      <c r="D121" s="370"/>
      <c r="E121" s="370"/>
      <c r="F121" s="370"/>
      <c r="G121" s="386"/>
      <c r="H121" s="386"/>
      <c r="I121" s="386"/>
      <c r="J121" s="386"/>
      <c r="K121" s="386"/>
      <c r="L121" s="457"/>
      <c r="M121" s="458"/>
      <c r="N121" s="2198"/>
      <c r="O121" s="459"/>
      <c r="P121" s="460"/>
      <c r="Q121" s="485"/>
      <c r="R121" s="486"/>
      <c r="S121" s="486"/>
      <c r="T121" s="486"/>
      <c r="U121" s="486"/>
      <c r="V121" s="486"/>
      <c r="W121" s="486"/>
      <c r="X121" s="486"/>
      <c r="Y121" s="486"/>
      <c r="Z121" s="486"/>
      <c r="AA121" s="486"/>
      <c r="AB121" s="486"/>
      <c r="AC121" s="486"/>
    </row>
    <row r="122" spans="1:29" s="212" customFormat="1" ht="15">
      <c r="A122" s="572"/>
      <c r="B122" s="2193"/>
      <c r="C122" s="574"/>
      <c r="D122" s="574"/>
      <c r="E122" s="574"/>
      <c r="F122" s="574"/>
      <c r="G122" s="578"/>
      <c r="H122" s="578"/>
      <c r="I122" s="578"/>
      <c r="J122" s="578"/>
      <c r="K122" s="578"/>
      <c r="L122" s="578"/>
      <c r="M122" s="587"/>
      <c r="N122" s="2198"/>
      <c r="O122" s="459"/>
      <c r="P122" s="460"/>
      <c r="Q122" s="485"/>
      <c r="R122" s="486"/>
      <c r="S122" s="486"/>
      <c r="T122" s="486"/>
      <c r="U122" s="486"/>
      <c r="V122" s="486"/>
      <c r="W122" s="486"/>
      <c r="X122" s="486"/>
      <c r="Y122" s="486"/>
      <c r="Z122" s="486"/>
      <c r="AA122" s="486"/>
      <c r="AB122" s="486"/>
      <c r="AC122" s="486"/>
    </row>
    <row r="123" spans="1:29">
      <c r="A123" s="505"/>
      <c r="B123" s="505"/>
      <c r="C123" s="505"/>
      <c r="D123" s="505"/>
      <c r="E123" s="505"/>
      <c r="F123" s="505"/>
      <c r="G123" s="505"/>
      <c r="H123" s="505"/>
      <c r="I123" s="505"/>
      <c r="J123" s="505"/>
      <c r="K123" s="517"/>
      <c r="L123" s="518"/>
      <c r="M123" s="505"/>
      <c r="N123" s="505"/>
      <c r="O123" s="505"/>
      <c r="P123" s="505"/>
      <c r="Q123" s="505"/>
      <c r="R123" s="505"/>
      <c r="S123" s="505"/>
      <c r="T123" s="505"/>
      <c r="U123" s="505"/>
      <c r="V123" s="505"/>
      <c r="W123" s="505"/>
      <c r="X123" s="505"/>
      <c r="Y123" s="505"/>
      <c r="Z123" s="505"/>
      <c r="AA123" s="505"/>
      <c r="AB123" s="505"/>
      <c r="AC123" s="505"/>
    </row>
    <row r="124" spans="1:29">
      <c r="A124" s="505"/>
      <c r="B124" s="505"/>
      <c r="C124" s="505"/>
      <c r="D124" s="505"/>
      <c r="E124" s="505"/>
      <c r="F124" s="505"/>
      <c r="G124" s="505"/>
      <c r="H124" s="505"/>
      <c r="I124" s="505"/>
      <c r="J124" s="505"/>
      <c r="K124" s="517"/>
      <c r="L124" s="518"/>
      <c r="M124" s="505"/>
      <c r="N124" s="505"/>
      <c r="O124" s="505"/>
      <c r="P124" s="505"/>
      <c r="Q124" s="505"/>
      <c r="R124" s="505"/>
      <c r="S124" s="505"/>
      <c r="T124" s="505"/>
      <c r="U124" s="505"/>
      <c r="V124" s="505"/>
      <c r="W124" s="505"/>
      <c r="X124" s="505"/>
      <c r="Y124" s="505"/>
      <c r="Z124" s="505"/>
      <c r="AA124" s="505"/>
      <c r="AB124" s="505"/>
      <c r="AC124" s="505"/>
    </row>
    <row r="125" spans="1:29">
      <c r="A125" s="505"/>
      <c r="B125" s="505"/>
      <c r="C125" s="505"/>
      <c r="D125" s="505"/>
      <c r="E125" s="505"/>
      <c r="F125" s="505"/>
      <c r="G125" s="505"/>
      <c r="H125" s="505"/>
      <c r="I125" s="505"/>
      <c r="J125" s="505"/>
      <c r="K125" s="517"/>
      <c r="L125" s="518"/>
      <c r="M125" s="505"/>
      <c r="N125" s="505"/>
      <c r="O125" s="505"/>
      <c r="P125" s="505"/>
      <c r="Q125" s="505"/>
      <c r="R125" s="505"/>
      <c r="S125" s="505"/>
      <c r="T125" s="505"/>
      <c r="U125" s="505"/>
      <c r="V125" s="505"/>
      <c r="W125" s="505"/>
      <c r="X125" s="505"/>
      <c r="Y125" s="505"/>
      <c r="Z125" s="505"/>
      <c r="AA125" s="505"/>
      <c r="AB125" s="505"/>
      <c r="AC125" s="505"/>
    </row>
    <row r="126" spans="1:29">
      <c r="A126" s="505"/>
      <c r="B126" s="505"/>
      <c r="C126" s="505"/>
      <c r="D126" s="505"/>
      <c r="E126" s="505"/>
      <c r="F126" s="505"/>
      <c r="G126" s="505"/>
      <c r="H126" s="505"/>
      <c r="I126" s="505"/>
      <c r="J126" s="505"/>
      <c r="K126" s="517"/>
      <c r="L126" s="518"/>
      <c r="M126" s="505"/>
      <c r="N126" s="505"/>
      <c r="O126" s="505"/>
      <c r="P126" s="505"/>
      <c r="Q126" s="505"/>
      <c r="R126" s="505"/>
      <c r="S126" s="505"/>
      <c r="T126" s="505"/>
      <c r="U126" s="505"/>
      <c r="V126" s="505"/>
      <c r="W126" s="505"/>
      <c r="X126" s="505"/>
      <c r="Y126" s="505"/>
      <c r="Z126" s="505"/>
      <c r="AA126" s="505"/>
      <c r="AB126" s="505"/>
      <c r="AC126" s="505"/>
    </row>
    <row r="127" spans="1:29">
      <c r="A127" s="505"/>
      <c r="B127" s="505"/>
      <c r="C127" s="505"/>
      <c r="D127" s="505"/>
      <c r="E127" s="505"/>
      <c r="F127" s="505"/>
      <c r="G127" s="505"/>
      <c r="H127" s="505"/>
      <c r="I127" s="505"/>
      <c r="J127" s="505"/>
      <c r="K127" s="517"/>
      <c r="L127" s="518"/>
      <c r="M127" s="505"/>
      <c r="N127" s="505"/>
      <c r="O127" s="505"/>
      <c r="P127" s="505"/>
      <c r="Q127" s="505"/>
      <c r="R127" s="505"/>
      <c r="S127" s="505"/>
      <c r="T127" s="505"/>
      <c r="U127" s="505"/>
      <c r="V127" s="505"/>
      <c r="W127" s="505"/>
      <c r="X127" s="505"/>
      <c r="Y127" s="505"/>
      <c r="Z127" s="505"/>
      <c r="AA127" s="505"/>
      <c r="AB127" s="505"/>
      <c r="AC127" s="505"/>
    </row>
    <row r="128" spans="1:29">
      <c r="A128" s="505"/>
      <c r="B128" s="505"/>
      <c r="C128" s="505"/>
      <c r="D128" s="505"/>
      <c r="E128" s="505"/>
      <c r="F128" s="505"/>
      <c r="G128" s="505"/>
      <c r="H128" s="505"/>
      <c r="I128" s="505"/>
      <c r="J128" s="505"/>
      <c r="K128" s="517"/>
      <c r="L128" s="518"/>
      <c r="M128" s="505"/>
      <c r="N128" s="505"/>
      <c r="O128" s="505"/>
      <c r="P128" s="505"/>
      <c r="Q128" s="505"/>
      <c r="R128" s="505"/>
      <c r="S128" s="505"/>
      <c r="T128" s="505"/>
      <c r="U128" s="505"/>
      <c r="V128" s="505"/>
      <c r="W128" s="505"/>
      <c r="X128" s="505"/>
      <c r="Y128" s="505"/>
      <c r="Z128" s="505"/>
      <c r="AA128" s="505"/>
      <c r="AB128" s="505"/>
      <c r="AC128" s="505"/>
    </row>
    <row r="129" spans="1:29">
      <c r="A129" s="505"/>
      <c r="B129" s="505"/>
      <c r="C129" s="505"/>
      <c r="D129" s="505"/>
      <c r="E129" s="505"/>
      <c r="F129" s="505"/>
      <c r="G129" s="505"/>
      <c r="H129" s="505"/>
      <c r="I129" s="505"/>
      <c r="J129" s="505"/>
      <c r="K129" s="517"/>
      <c r="L129" s="518"/>
      <c r="M129" s="505"/>
      <c r="N129" s="505"/>
      <c r="O129" s="505"/>
      <c r="P129" s="505"/>
      <c r="Q129" s="505"/>
      <c r="R129" s="505"/>
      <c r="S129" s="505"/>
      <c r="T129" s="505"/>
      <c r="U129" s="505"/>
      <c r="V129" s="505"/>
      <c r="W129" s="505"/>
      <c r="X129" s="505"/>
      <c r="Y129" s="505"/>
      <c r="Z129" s="505"/>
      <c r="AA129" s="505"/>
      <c r="AB129" s="505"/>
      <c r="AC129" s="505"/>
    </row>
    <row r="130" spans="1:29">
      <c r="A130" s="505"/>
      <c r="B130" s="505"/>
      <c r="C130" s="505"/>
      <c r="D130" s="505"/>
      <c r="E130" s="505"/>
      <c r="F130" s="505"/>
      <c r="G130" s="505"/>
      <c r="H130" s="505"/>
      <c r="I130" s="505"/>
      <c r="J130" s="505"/>
      <c r="K130" s="517"/>
      <c r="L130" s="518"/>
      <c r="M130" s="505"/>
      <c r="N130" s="505"/>
      <c r="O130" s="505"/>
      <c r="P130" s="505"/>
      <c r="Q130" s="505"/>
      <c r="R130" s="505"/>
      <c r="S130" s="505"/>
      <c r="T130" s="505"/>
      <c r="U130" s="505"/>
      <c r="V130" s="505"/>
      <c r="W130" s="505"/>
      <c r="X130" s="505"/>
      <c r="Y130" s="505"/>
      <c r="Z130" s="505"/>
      <c r="AA130" s="505"/>
      <c r="AB130" s="505"/>
      <c r="AC130" s="505"/>
    </row>
    <row r="131" spans="1:29">
      <c r="A131" s="505"/>
      <c r="B131" s="505"/>
      <c r="C131" s="505"/>
      <c r="D131" s="505"/>
      <c r="E131" s="505"/>
      <c r="F131" s="505"/>
      <c r="G131" s="505"/>
      <c r="H131" s="505"/>
      <c r="I131" s="505"/>
      <c r="J131" s="505"/>
      <c r="K131" s="517"/>
      <c r="L131" s="518"/>
      <c r="M131" s="505"/>
      <c r="N131" s="505"/>
      <c r="O131" s="505"/>
      <c r="P131" s="505"/>
      <c r="Q131" s="505"/>
      <c r="R131" s="505"/>
      <c r="S131" s="505"/>
      <c r="T131" s="505"/>
      <c r="U131" s="505"/>
      <c r="V131" s="505"/>
      <c r="W131" s="505"/>
      <c r="X131" s="505"/>
      <c r="Y131" s="505"/>
      <c r="Z131" s="505"/>
      <c r="AA131" s="505"/>
      <c r="AB131" s="505"/>
      <c r="AC131" s="505"/>
    </row>
    <row r="132" spans="1:29">
      <c r="A132" s="505"/>
      <c r="B132" s="505"/>
      <c r="C132" s="505"/>
      <c r="D132" s="505"/>
      <c r="E132" s="505"/>
      <c r="F132" s="505"/>
      <c r="G132" s="505"/>
      <c r="H132" s="505"/>
      <c r="I132" s="505"/>
      <c r="J132" s="505"/>
      <c r="K132" s="517"/>
      <c r="L132" s="518"/>
      <c r="M132" s="505"/>
      <c r="N132" s="505"/>
      <c r="O132" s="505"/>
      <c r="P132" s="505"/>
      <c r="Q132" s="505"/>
      <c r="R132" s="505"/>
      <c r="S132" s="505"/>
      <c r="T132" s="505"/>
      <c r="U132" s="505"/>
      <c r="V132" s="505"/>
      <c r="W132" s="505"/>
      <c r="X132" s="505"/>
      <c r="Y132" s="505"/>
      <c r="Z132" s="505"/>
      <c r="AA132" s="505"/>
      <c r="AB132" s="505"/>
      <c r="AC132" s="505"/>
    </row>
    <row r="133" spans="1:29">
      <c r="A133" s="505"/>
      <c r="B133" s="505"/>
      <c r="C133" s="505"/>
      <c r="D133" s="505"/>
      <c r="E133" s="505"/>
      <c r="F133" s="505"/>
      <c r="G133" s="505"/>
      <c r="H133" s="505"/>
      <c r="I133" s="505"/>
      <c r="J133" s="505"/>
      <c r="K133" s="517"/>
      <c r="L133" s="518"/>
      <c r="M133" s="505"/>
      <c r="N133" s="505"/>
      <c r="O133" s="505"/>
      <c r="P133" s="505"/>
      <c r="Q133" s="505"/>
      <c r="R133" s="505"/>
      <c r="S133" s="505"/>
      <c r="T133" s="505"/>
      <c r="U133" s="505"/>
      <c r="V133" s="505"/>
      <c r="W133" s="505"/>
      <c r="X133" s="505"/>
      <c r="Y133" s="505"/>
      <c r="Z133" s="505"/>
      <c r="AA133" s="505"/>
      <c r="AB133" s="505"/>
      <c r="AC133" s="505"/>
    </row>
    <row r="134" spans="1:29">
      <c r="A134" s="505"/>
      <c r="B134" s="505"/>
      <c r="C134" s="505"/>
      <c r="D134" s="505"/>
      <c r="E134" s="505"/>
      <c r="F134" s="505"/>
      <c r="G134" s="505"/>
      <c r="H134" s="505"/>
      <c r="I134" s="505"/>
      <c r="J134" s="505"/>
      <c r="K134" s="517"/>
      <c r="L134" s="518"/>
      <c r="M134" s="505"/>
      <c r="N134" s="505"/>
      <c r="O134" s="505"/>
      <c r="P134" s="505"/>
      <c r="Q134" s="505"/>
      <c r="R134" s="505"/>
      <c r="S134" s="505"/>
      <c r="T134" s="505"/>
      <c r="U134" s="505"/>
      <c r="V134" s="505"/>
      <c r="W134" s="505"/>
      <c r="X134" s="505"/>
      <c r="Y134" s="505"/>
      <c r="Z134" s="505"/>
      <c r="AA134" s="505"/>
      <c r="AB134" s="505"/>
      <c r="AC134" s="505"/>
    </row>
    <row r="135" spans="1:29">
      <c r="A135" s="505"/>
      <c r="B135" s="505"/>
      <c r="C135" s="505"/>
      <c r="D135" s="505"/>
      <c r="E135" s="505"/>
      <c r="F135" s="505"/>
      <c r="G135" s="505"/>
      <c r="H135" s="505"/>
      <c r="I135" s="505"/>
      <c r="J135" s="505"/>
      <c r="K135" s="517"/>
      <c r="L135" s="518"/>
      <c r="M135" s="505"/>
      <c r="N135" s="505"/>
      <c r="O135" s="505"/>
      <c r="P135" s="505"/>
      <c r="Q135" s="505"/>
      <c r="R135" s="505"/>
      <c r="S135" s="505"/>
      <c r="T135" s="505"/>
      <c r="U135" s="505"/>
      <c r="V135" s="505"/>
      <c r="W135" s="505"/>
      <c r="X135" s="505"/>
      <c r="Y135" s="505"/>
      <c r="Z135" s="505"/>
      <c r="AA135" s="505"/>
      <c r="AB135" s="505"/>
      <c r="AC135" s="505"/>
    </row>
    <row r="136" spans="1:29">
      <c r="A136" s="505"/>
      <c r="B136" s="505"/>
      <c r="C136" s="505"/>
      <c r="D136" s="505"/>
      <c r="E136" s="505"/>
      <c r="F136" s="505"/>
      <c r="G136" s="505"/>
      <c r="H136" s="505"/>
      <c r="I136" s="505"/>
      <c r="J136" s="505"/>
      <c r="K136" s="517"/>
      <c r="L136" s="518"/>
      <c r="M136" s="505"/>
      <c r="N136" s="505"/>
      <c r="O136" s="505"/>
      <c r="P136" s="505"/>
      <c r="Q136" s="505"/>
      <c r="R136" s="505"/>
      <c r="S136" s="505"/>
      <c r="T136" s="505"/>
      <c r="U136" s="505"/>
      <c r="V136" s="505"/>
      <c r="W136" s="505"/>
      <c r="X136" s="505"/>
      <c r="Y136" s="505"/>
      <c r="Z136" s="505"/>
      <c r="AA136" s="505"/>
      <c r="AB136" s="505"/>
      <c r="AC136" s="505"/>
    </row>
    <row r="137" spans="1:29">
      <c r="A137" s="505"/>
      <c r="B137" s="505"/>
      <c r="C137" s="505"/>
      <c r="D137" s="505"/>
      <c r="E137" s="505"/>
      <c r="F137" s="505"/>
      <c r="G137" s="505"/>
      <c r="H137" s="505"/>
      <c r="I137" s="505"/>
      <c r="J137" s="505"/>
      <c r="K137" s="517"/>
      <c r="L137" s="518"/>
      <c r="M137" s="505"/>
      <c r="N137" s="505"/>
      <c r="O137" s="505"/>
      <c r="P137" s="505"/>
      <c r="Q137" s="505"/>
      <c r="R137" s="505"/>
      <c r="S137" s="505"/>
      <c r="T137" s="505"/>
      <c r="U137" s="505"/>
      <c r="V137" s="505"/>
      <c r="W137" s="505"/>
      <c r="X137" s="505"/>
      <c r="Y137" s="505"/>
      <c r="Z137" s="505"/>
      <c r="AA137" s="505"/>
      <c r="AB137" s="505"/>
      <c r="AC137" s="505"/>
    </row>
    <row r="138" spans="1:29">
      <c r="A138" s="505"/>
      <c r="B138" s="505"/>
      <c r="C138" s="505"/>
      <c r="D138" s="505"/>
      <c r="E138" s="505"/>
      <c r="F138" s="505"/>
      <c r="G138" s="505"/>
      <c r="H138" s="505"/>
      <c r="I138" s="505"/>
      <c r="J138" s="505"/>
      <c r="K138" s="517"/>
      <c r="L138" s="518"/>
      <c r="M138" s="505"/>
      <c r="N138" s="505"/>
      <c r="O138" s="505"/>
      <c r="P138" s="505"/>
      <c r="Q138" s="505"/>
      <c r="R138" s="505"/>
      <c r="S138" s="505"/>
      <c r="T138" s="505"/>
      <c r="U138" s="505"/>
      <c r="V138" s="505"/>
      <c r="W138" s="505"/>
      <c r="X138" s="505"/>
      <c r="Y138" s="505"/>
      <c r="Z138" s="505"/>
      <c r="AA138" s="505"/>
      <c r="AB138" s="505"/>
      <c r="AC138" s="505"/>
    </row>
    <row r="139" spans="1:29">
      <c r="A139" s="505"/>
      <c r="B139" s="505"/>
      <c r="C139" s="505"/>
      <c r="D139" s="505"/>
      <c r="E139" s="505"/>
      <c r="F139" s="505"/>
      <c r="G139" s="505"/>
      <c r="H139" s="505"/>
      <c r="I139" s="505"/>
      <c r="J139" s="505"/>
      <c r="K139" s="517"/>
      <c r="L139" s="518"/>
      <c r="M139" s="505"/>
      <c r="N139" s="505"/>
      <c r="O139" s="505"/>
      <c r="P139" s="505"/>
      <c r="Q139" s="505"/>
      <c r="R139" s="505"/>
      <c r="S139" s="505"/>
      <c r="T139" s="505"/>
      <c r="U139" s="505"/>
      <c r="V139" s="505"/>
      <c r="W139" s="505"/>
      <c r="X139" s="505"/>
      <c r="Y139" s="505"/>
      <c r="Z139" s="505"/>
      <c r="AA139" s="505"/>
      <c r="AB139" s="505"/>
      <c r="AC139" s="505"/>
    </row>
    <row r="140" spans="1:29">
      <c r="A140" s="505"/>
      <c r="B140" s="505"/>
      <c r="C140" s="505"/>
      <c r="D140" s="505"/>
      <c r="E140" s="505"/>
      <c r="F140" s="505"/>
      <c r="G140" s="505"/>
      <c r="H140" s="505"/>
      <c r="I140" s="505"/>
      <c r="J140" s="505"/>
      <c r="K140" s="517"/>
      <c r="L140" s="518"/>
      <c r="M140" s="505"/>
      <c r="N140" s="505"/>
      <c r="O140" s="505"/>
      <c r="P140" s="505"/>
      <c r="Q140" s="505"/>
      <c r="R140" s="505"/>
      <c r="S140" s="505"/>
      <c r="T140" s="505"/>
      <c r="U140" s="505"/>
      <c r="V140" s="505"/>
      <c r="W140" s="505"/>
      <c r="X140" s="505"/>
      <c r="Y140" s="505"/>
      <c r="Z140" s="505"/>
      <c r="AA140" s="505"/>
      <c r="AB140" s="505"/>
      <c r="AC140" s="505"/>
    </row>
    <row r="141" spans="1:29">
      <c r="A141" s="505"/>
      <c r="B141" s="505"/>
      <c r="C141" s="505"/>
      <c r="D141" s="505"/>
      <c r="E141" s="505"/>
      <c r="F141" s="505"/>
      <c r="G141" s="505"/>
      <c r="H141" s="505"/>
      <c r="I141" s="505"/>
      <c r="J141" s="505"/>
      <c r="K141" s="517"/>
      <c r="L141" s="518"/>
      <c r="M141" s="505"/>
      <c r="N141" s="505"/>
      <c r="O141" s="505"/>
      <c r="P141" s="505"/>
      <c r="Q141" s="505"/>
      <c r="R141" s="505"/>
      <c r="S141" s="505"/>
      <c r="T141" s="505"/>
      <c r="U141" s="505"/>
      <c r="V141" s="505"/>
      <c r="W141" s="505"/>
      <c r="X141" s="505"/>
      <c r="Y141" s="505"/>
      <c r="Z141" s="505"/>
      <c r="AA141" s="505"/>
      <c r="AB141" s="505"/>
      <c r="AC141" s="505"/>
    </row>
    <row r="142" spans="1:29">
      <c r="A142" s="505"/>
      <c r="B142" s="505"/>
      <c r="C142" s="505"/>
      <c r="D142" s="505"/>
      <c r="E142" s="505"/>
      <c r="F142" s="505"/>
      <c r="G142" s="505"/>
      <c r="H142" s="505"/>
      <c r="I142" s="505"/>
      <c r="J142" s="505"/>
      <c r="K142" s="517"/>
      <c r="L142" s="518"/>
      <c r="M142" s="505"/>
      <c r="N142" s="505"/>
      <c r="O142" s="505"/>
      <c r="P142" s="505"/>
      <c r="Q142" s="505"/>
      <c r="R142" s="505"/>
      <c r="S142" s="505"/>
      <c r="T142" s="505"/>
      <c r="U142" s="505"/>
      <c r="V142" s="505"/>
      <c r="W142" s="505"/>
      <c r="X142" s="505"/>
      <c r="Y142" s="505"/>
      <c r="Z142" s="505"/>
      <c r="AA142" s="505"/>
      <c r="AB142" s="505"/>
      <c r="AC142" s="505"/>
    </row>
    <row r="143" spans="1:29">
      <c r="A143" s="505"/>
      <c r="B143" s="505"/>
      <c r="C143" s="505"/>
      <c r="D143" s="505"/>
      <c r="E143" s="505"/>
      <c r="F143" s="505"/>
      <c r="G143" s="505"/>
      <c r="H143" s="505"/>
      <c r="I143" s="505"/>
      <c r="J143" s="505"/>
      <c r="K143" s="517"/>
      <c r="L143" s="518"/>
      <c r="M143" s="505"/>
      <c r="N143" s="505"/>
      <c r="O143" s="505"/>
      <c r="P143" s="505"/>
      <c r="Q143" s="505"/>
      <c r="R143" s="505"/>
      <c r="S143" s="505"/>
      <c r="T143" s="505"/>
      <c r="U143" s="505"/>
      <c r="V143" s="505"/>
      <c r="W143" s="505"/>
      <c r="X143" s="505"/>
      <c r="Y143" s="505"/>
      <c r="Z143" s="505"/>
      <c r="AA143" s="505"/>
      <c r="AB143" s="505"/>
      <c r="AC143" s="505"/>
    </row>
    <row r="144" spans="1:29">
      <c r="A144" s="505"/>
      <c r="B144" s="505"/>
      <c r="C144" s="505"/>
      <c r="D144" s="505"/>
      <c r="E144" s="505"/>
      <c r="F144" s="505"/>
      <c r="G144" s="505"/>
      <c r="H144" s="505"/>
      <c r="I144" s="505"/>
      <c r="J144" s="505"/>
      <c r="K144" s="517"/>
      <c r="L144" s="518"/>
      <c r="M144" s="505"/>
      <c r="N144" s="505"/>
      <c r="O144" s="505"/>
      <c r="P144" s="505"/>
      <c r="Q144" s="505"/>
      <c r="R144" s="505"/>
      <c r="S144" s="505"/>
      <c r="T144" s="505"/>
      <c r="U144" s="505"/>
      <c r="V144" s="505"/>
      <c r="W144" s="505"/>
      <c r="X144" s="505"/>
      <c r="Y144" s="505"/>
      <c r="Z144" s="505"/>
      <c r="AA144" s="505"/>
      <c r="AB144" s="505"/>
      <c r="AC144" s="505"/>
    </row>
    <row r="145" spans="1:29">
      <c r="A145" s="505"/>
      <c r="B145" s="505"/>
      <c r="C145" s="505"/>
      <c r="D145" s="505"/>
      <c r="E145" s="505"/>
      <c r="F145" s="505"/>
      <c r="G145" s="505"/>
      <c r="H145" s="505"/>
      <c r="I145" s="505"/>
      <c r="J145" s="505"/>
      <c r="K145" s="517"/>
      <c r="L145" s="518"/>
      <c r="M145" s="505"/>
      <c r="N145" s="505"/>
      <c r="O145" s="505"/>
      <c r="P145" s="505"/>
      <c r="Q145" s="505"/>
      <c r="R145" s="505"/>
      <c r="S145" s="505"/>
      <c r="T145" s="505"/>
      <c r="U145" s="505"/>
      <c r="V145" s="505"/>
      <c r="W145" s="505"/>
      <c r="X145" s="505"/>
      <c r="Y145" s="505"/>
      <c r="Z145" s="505"/>
      <c r="AA145" s="505"/>
      <c r="AB145" s="505"/>
      <c r="AC145" s="505"/>
    </row>
    <row r="146" spans="1:29">
      <c r="A146" s="505"/>
      <c r="B146" s="505"/>
      <c r="C146" s="505"/>
      <c r="D146" s="505"/>
      <c r="E146" s="505"/>
      <c r="F146" s="505"/>
      <c r="G146" s="505"/>
      <c r="H146" s="505"/>
      <c r="I146" s="505"/>
      <c r="J146" s="505"/>
      <c r="K146" s="517"/>
      <c r="L146" s="518"/>
      <c r="M146" s="505"/>
      <c r="N146" s="505"/>
      <c r="O146" s="505"/>
      <c r="P146" s="505"/>
      <c r="Q146" s="505"/>
      <c r="R146" s="505"/>
      <c r="S146" s="505"/>
      <c r="T146" s="505"/>
      <c r="U146" s="505"/>
      <c r="V146" s="505"/>
      <c r="W146" s="505"/>
      <c r="X146" s="505"/>
      <c r="Y146" s="505"/>
      <c r="Z146" s="505"/>
      <c r="AA146" s="505"/>
      <c r="AB146" s="505"/>
      <c r="AC146" s="505"/>
    </row>
    <row r="147" spans="1:29">
      <c r="A147" s="505"/>
      <c r="B147" s="505"/>
      <c r="C147" s="505"/>
      <c r="D147" s="505"/>
      <c r="E147" s="505"/>
      <c r="F147" s="505"/>
      <c r="G147" s="505"/>
      <c r="H147" s="505"/>
      <c r="I147" s="505"/>
      <c r="J147" s="505"/>
      <c r="K147" s="517"/>
      <c r="L147" s="518"/>
      <c r="M147" s="505"/>
      <c r="N147" s="505"/>
      <c r="O147" s="505"/>
      <c r="P147" s="505"/>
      <c r="Q147" s="505"/>
      <c r="R147" s="505"/>
      <c r="S147" s="505"/>
      <c r="T147" s="505"/>
      <c r="U147" s="505"/>
      <c r="V147" s="505"/>
      <c r="W147" s="505"/>
      <c r="X147" s="505"/>
      <c r="Y147" s="505"/>
      <c r="Z147" s="505"/>
      <c r="AA147" s="505"/>
      <c r="AB147" s="505"/>
      <c r="AC147" s="505"/>
    </row>
    <row r="148" spans="1:29">
      <c r="A148" s="505"/>
      <c r="B148" s="505"/>
      <c r="C148" s="505"/>
      <c r="D148" s="505"/>
      <c r="E148" s="505"/>
      <c r="F148" s="505"/>
      <c r="G148" s="505"/>
      <c r="H148" s="505"/>
      <c r="I148" s="505"/>
      <c r="J148" s="505"/>
      <c r="K148" s="517"/>
      <c r="L148" s="518"/>
      <c r="M148" s="505"/>
      <c r="N148" s="505"/>
      <c r="O148" s="505"/>
      <c r="P148" s="505"/>
      <c r="Q148" s="505"/>
      <c r="R148" s="505"/>
      <c r="S148" s="505"/>
      <c r="T148" s="505"/>
      <c r="U148" s="505"/>
      <c r="V148" s="505"/>
      <c r="W148" s="505"/>
      <c r="X148" s="505"/>
      <c r="Y148" s="505"/>
      <c r="Z148" s="505"/>
      <c r="AA148" s="505"/>
      <c r="AB148" s="505"/>
      <c r="AC148" s="505"/>
    </row>
    <row r="149" spans="1:29">
      <c r="A149" s="505"/>
      <c r="B149" s="505"/>
      <c r="C149" s="505"/>
      <c r="D149" s="505"/>
      <c r="E149" s="505"/>
      <c r="F149" s="505"/>
      <c r="G149" s="505"/>
      <c r="H149" s="505"/>
      <c r="I149" s="505"/>
      <c r="J149" s="505"/>
      <c r="K149" s="517"/>
      <c r="L149" s="518"/>
      <c r="M149" s="505"/>
      <c r="N149" s="505"/>
      <c r="O149" s="505"/>
      <c r="P149" s="505"/>
      <c r="Q149" s="505"/>
      <c r="R149" s="505"/>
      <c r="S149" s="505"/>
      <c r="T149" s="505"/>
      <c r="U149" s="505"/>
      <c r="V149" s="505"/>
      <c r="W149" s="505"/>
      <c r="X149" s="505"/>
      <c r="Y149" s="505"/>
      <c r="Z149" s="505"/>
      <c r="AA149" s="505"/>
      <c r="AB149" s="505"/>
      <c r="AC149" s="505"/>
    </row>
    <row r="150" spans="1:29">
      <c r="A150" s="505"/>
      <c r="B150" s="505"/>
      <c r="C150" s="505"/>
      <c r="D150" s="505"/>
      <c r="E150" s="505"/>
      <c r="F150" s="505"/>
      <c r="G150" s="505"/>
      <c r="H150" s="505"/>
      <c r="I150" s="505"/>
      <c r="J150" s="505"/>
      <c r="K150" s="517"/>
      <c r="L150" s="518"/>
      <c r="M150" s="505"/>
      <c r="N150" s="505"/>
      <c r="O150" s="505"/>
      <c r="P150" s="505"/>
      <c r="Q150" s="505"/>
      <c r="R150" s="505"/>
      <c r="S150" s="505"/>
      <c r="T150" s="505"/>
      <c r="U150" s="505"/>
      <c r="V150" s="505"/>
      <c r="W150" s="505"/>
      <c r="X150" s="505"/>
      <c r="Y150" s="505"/>
      <c r="Z150" s="505"/>
      <c r="AA150" s="505"/>
      <c r="AB150" s="505"/>
      <c r="AC150" s="505"/>
    </row>
    <row r="151" spans="1:29">
      <c r="A151" s="505"/>
      <c r="B151" s="505"/>
      <c r="C151" s="505"/>
      <c r="D151" s="505"/>
      <c r="E151" s="505"/>
      <c r="F151" s="505"/>
      <c r="G151" s="505"/>
      <c r="H151" s="505"/>
      <c r="I151" s="505"/>
      <c r="J151" s="505"/>
      <c r="K151" s="517"/>
      <c r="L151" s="518"/>
      <c r="M151" s="505"/>
      <c r="N151" s="505"/>
      <c r="O151" s="505"/>
      <c r="P151" s="505"/>
      <c r="Q151" s="505"/>
      <c r="R151" s="505"/>
      <c r="S151" s="505"/>
      <c r="T151" s="505"/>
      <c r="U151" s="505"/>
      <c r="V151" s="505"/>
      <c r="W151" s="505"/>
      <c r="X151" s="505"/>
      <c r="Y151" s="505"/>
      <c r="Z151" s="505"/>
      <c r="AA151" s="505"/>
      <c r="AB151" s="505"/>
      <c r="AC151" s="505"/>
    </row>
    <row r="152" spans="1:29">
      <c r="A152" s="505"/>
      <c r="B152" s="505"/>
      <c r="C152" s="505"/>
      <c r="D152" s="505"/>
      <c r="E152" s="505"/>
      <c r="F152" s="505"/>
      <c r="G152" s="505"/>
      <c r="H152" s="505"/>
      <c r="I152" s="505"/>
      <c r="J152" s="505"/>
      <c r="K152" s="517"/>
      <c r="L152" s="518"/>
      <c r="M152" s="505"/>
      <c r="N152" s="505"/>
      <c r="O152" s="505"/>
      <c r="P152" s="505"/>
      <c r="Q152" s="505"/>
      <c r="R152" s="505"/>
      <c r="S152" s="505"/>
      <c r="T152" s="505"/>
      <c r="U152" s="505"/>
      <c r="V152" s="505"/>
      <c r="W152" s="505"/>
      <c r="X152" s="505"/>
      <c r="Y152" s="505"/>
      <c r="Z152" s="505"/>
      <c r="AA152" s="505"/>
      <c r="AB152" s="505"/>
      <c r="AC152" s="505"/>
    </row>
    <row r="153" spans="1:29">
      <c r="A153" s="505"/>
      <c r="B153" s="505"/>
      <c r="C153" s="505"/>
      <c r="D153" s="505"/>
      <c r="E153" s="505"/>
      <c r="F153" s="505"/>
      <c r="G153" s="505"/>
      <c r="H153" s="505"/>
      <c r="I153" s="505"/>
      <c r="J153" s="505"/>
      <c r="K153" s="517"/>
      <c r="L153" s="518"/>
      <c r="M153" s="505"/>
      <c r="N153" s="505"/>
      <c r="O153" s="505"/>
      <c r="P153" s="505"/>
      <c r="Q153" s="505"/>
      <c r="R153" s="505"/>
      <c r="S153" s="505"/>
      <c r="T153" s="505"/>
      <c r="U153" s="505"/>
      <c r="V153" s="505"/>
      <c r="W153" s="505"/>
      <c r="X153" s="505"/>
      <c r="Y153" s="505"/>
      <c r="Z153" s="505"/>
      <c r="AA153" s="505"/>
      <c r="AB153" s="505"/>
      <c r="AC153" s="505"/>
    </row>
    <row r="154" spans="1:29">
      <c r="A154" s="505"/>
      <c r="B154" s="505"/>
      <c r="C154" s="505"/>
      <c r="D154" s="505"/>
      <c r="E154" s="505"/>
      <c r="F154" s="505"/>
      <c r="G154" s="505"/>
      <c r="H154" s="505"/>
      <c r="I154" s="505"/>
      <c r="J154" s="505"/>
      <c r="K154" s="517"/>
      <c r="L154" s="518"/>
      <c r="M154" s="505"/>
      <c r="N154" s="505"/>
      <c r="O154" s="505"/>
      <c r="P154" s="505"/>
      <c r="Q154" s="505"/>
      <c r="R154" s="505"/>
      <c r="S154" s="505"/>
      <c r="T154" s="505"/>
      <c r="U154" s="505"/>
      <c r="V154" s="505"/>
      <c r="W154" s="505"/>
      <c r="X154" s="505"/>
      <c r="Y154" s="505"/>
      <c r="Z154" s="505"/>
      <c r="AA154" s="505"/>
      <c r="AB154" s="505"/>
      <c r="AC154" s="505"/>
    </row>
    <row r="155" spans="1:29">
      <c r="A155" s="505"/>
      <c r="B155" s="505"/>
      <c r="C155" s="505"/>
      <c r="D155" s="505"/>
      <c r="E155" s="505"/>
      <c r="F155" s="505"/>
      <c r="G155" s="505"/>
      <c r="H155" s="505"/>
      <c r="I155" s="505"/>
      <c r="J155" s="505"/>
      <c r="K155" s="517"/>
      <c r="L155" s="518"/>
      <c r="M155" s="505"/>
      <c r="N155" s="505"/>
      <c r="O155" s="505"/>
      <c r="P155" s="505"/>
      <c r="Q155" s="505"/>
      <c r="R155" s="505"/>
      <c r="S155" s="505"/>
      <c r="T155" s="505"/>
      <c r="U155" s="505"/>
      <c r="V155" s="505"/>
      <c r="W155" s="505"/>
      <c r="X155" s="505"/>
      <c r="Y155" s="505"/>
      <c r="Z155" s="505"/>
      <c r="AA155" s="505"/>
      <c r="AB155" s="505"/>
      <c r="AC155" s="505"/>
    </row>
    <row r="156" spans="1:29">
      <c r="A156" s="505"/>
      <c r="B156" s="505"/>
      <c r="C156" s="505"/>
      <c r="D156" s="505"/>
      <c r="E156" s="505"/>
      <c r="F156" s="505"/>
      <c r="G156" s="505"/>
      <c r="H156" s="505"/>
      <c r="I156" s="505"/>
      <c r="J156" s="505"/>
      <c r="K156" s="517"/>
      <c r="L156" s="518"/>
      <c r="M156" s="505"/>
      <c r="N156" s="505"/>
      <c r="O156" s="505"/>
      <c r="P156" s="505"/>
      <c r="Q156" s="505"/>
      <c r="R156" s="505"/>
      <c r="S156" s="505"/>
      <c r="T156" s="505"/>
      <c r="U156" s="505"/>
      <c r="V156" s="505"/>
      <c r="W156" s="505"/>
      <c r="X156" s="505"/>
      <c r="Y156" s="505"/>
      <c r="Z156" s="505"/>
      <c r="AA156" s="505"/>
      <c r="AB156" s="505"/>
      <c r="AC156" s="505"/>
    </row>
    <row r="157" spans="1:29">
      <c r="A157" s="505"/>
      <c r="B157" s="505"/>
      <c r="C157" s="505"/>
      <c r="D157" s="505"/>
      <c r="E157" s="505"/>
      <c r="F157" s="505"/>
      <c r="G157" s="505"/>
      <c r="H157" s="505"/>
      <c r="I157" s="505"/>
      <c r="J157" s="505"/>
      <c r="K157" s="517"/>
      <c r="L157" s="518"/>
      <c r="M157" s="505"/>
      <c r="N157" s="505"/>
      <c r="O157" s="505"/>
      <c r="P157" s="505"/>
      <c r="Q157" s="505"/>
      <c r="R157" s="505"/>
      <c r="S157" s="505"/>
      <c r="T157" s="505"/>
      <c r="U157" s="505"/>
      <c r="V157" s="505"/>
      <c r="W157" s="505"/>
      <c r="X157" s="505"/>
      <c r="Y157" s="505"/>
      <c r="Z157" s="505"/>
      <c r="AA157" s="505"/>
      <c r="AB157" s="505"/>
      <c r="AC157" s="505"/>
    </row>
    <row r="158" spans="1:29">
      <c r="A158" s="505"/>
      <c r="B158" s="505"/>
      <c r="C158" s="505"/>
      <c r="D158" s="505"/>
      <c r="E158" s="505"/>
      <c r="F158" s="505"/>
      <c r="G158" s="505"/>
      <c r="H158" s="505"/>
      <c r="I158" s="505"/>
      <c r="J158" s="505"/>
      <c r="K158" s="517"/>
      <c r="L158" s="518"/>
      <c r="M158" s="505"/>
      <c r="N158" s="505"/>
      <c r="O158" s="505"/>
      <c r="P158" s="505"/>
      <c r="Q158" s="505"/>
      <c r="R158" s="505"/>
      <c r="S158" s="505"/>
      <c r="T158" s="505"/>
      <c r="U158" s="505"/>
      <c r="V158" s="505"/>
      <c r="W158" s="505"/>
      <c r="X158" s="505"/>
      <c r="Y158" s="505"/>
      <c r="Z158" s="505"/>
      <c r="AA158" s="505"/>
      <c r="AB158" s="505"/>
      <c r="AC158" s="505"/>
    </row>
    <row r="159" spans="1:29">
      <c r="A159" s="505"/>
      <c r="B159" s="505"/>
      <c r="C159" s="505"/>
      <c r="D159" s="505"/>
      <c r="E159" s="505"/>
      <c r="F159" s="505"/>
      <c r="G159" s="505"/>
      <c r="H159" s="505"/>
      <c r="I159" s="505"/>
      <c r="J159" s="505"/>
      <c r="K159" s="517"/>
      <c r="L159" s="518"/>
      <c r="M159" s="505"/>
      <c r="N159" s="505"/>
      <c r="O159" s="505"/>
      <c r="P159" s="505"/>
      <c r="Q159" s="505"/>
      <c r="R159" s="505"/>
      <c r="S159" s="505"/>
      <c r="T159" s="505"/>
      <c r="U159" s="505"/>
      <c r="V159" s="505"/>
      <c r="W159" s="505"/>
      <c r="X159" s="505"/>
      <c r="Y159" s="505"/>
      <c r="Z159" s="505"/>
      <c r="AA159" s="505"/>
      <c r="AB159" s="505"/>
      <c r="AC159" s="505"/>
    </row>
    <row r="160" spans="1:29">
      <c r="A160" s="505"/>
      <c r="B160" s="505"/>
      <c r="C160" s="505"/>
      <c r="D160" s="505"/>
      <c r="E160" s="505"/>
      <c r="F160" s="505"/>
      <c r="G160" s="505"/>
      <c r="H160" s="505"/>
      <c r="I160" s="505"/>
      <c r="J160" s="505"/>
      <c r="K160" s="517"/>
      <c r="L160" s="518"/>
      <c r="M160" s="505"/>
      <c r="N160" s="505"/>
      <c r="O160" s="505"/>
      <c r="P160" s="505"/>
      <c r="Q160" s="505"/>
      <c r="R160" s="505"/>
      <c r="S160" s="505"/>
      <c r="T160" s="505"/>
      <c r="U160" s="505"/>
      <c r="V160" s="505"/>
      <c r="W160" s="505"/>
      <c r="X160" s="505"/>
      <c r="Y160" s="505"/>
      <c r="Z160" s="505"/>
      <c r="AA160" s="505"/>
      <c r="AB160" s="505"/>
      <c r="AC160" s="505"/>
    </row>
    <row r="161" spans="1:29">
      <c r="A161" s="505"/>
      <c r="B161" s="505"/>
      <c r="C161" s="505"/>
      <c r="D161" s="505"/>
      <c r="E161" s="505"/>
      <c r="F161" s="505"/>
      <c r="G161" s="505"/>
      <c r="H161" s="505"/>
      <c r="I161" s="505"/>
      <c r="J161" s="505"/>
      <c r="K161" s="517"/>
      <c r="L161" s="518"/>
      <c r="M161" s="505"/>
      <c r="N161" s="505"/>
      <c r="O161" s="505"/>
      <c r="P161" s="505"/>
      <c r="Q161" s="505"/>
      <c r="R161" s="505"/>
      <c r="S161" s="505"/>
      <c r="T161" s="505"/>
      <c r="U161" s="505"/>
      <c r="V161" s="505"/>
      <c r="W161" s="505"/>
      <c r="X161" s="505"/>
      <c r="Y161" s="505"/>
      <c r="Z161" s="505"/>
      <c r="AA161" s="505"/>
      <c r="AB161" s="505"/>
      <c r="AC161" s="505"/>
    </row>
    <row r="162" spans="1:29">
      <c r="A162" s="505"/>
      <c r="B162" s="505"/>
      <c r="C162" s="505"/>
      <c r="D162" s="505"/>
      <c r="E162" s="505"/>
      <c r="F162" s="505"/>
      <c r="G162" s="505"/>
      <c r="H162" s="505"/>
      <c r="I162" s="505"/>
      <c r="J162" s="505"/>
      <c r="K162" s="517"/>
      <c r="L162" s="518"/>
      <c r="M162" s="505"/>
      <c r="N162" s="505"/>
      <c r="O162" s="505"/>
      <c r="P162" s="505"/>
      <c r="Q162" s="505"/>
      <c r="R162" s="505"/>
      <c r="S162" s="505"/>
      <c r="T162" s="505"/>
      <c r="U162" s="505"/>
      <c r="V162" s="505"/>
      <c r="W162" s="505"/>
      <c r="X162" s="505"/>
      <c r="Y162" s="505"/>
      <c r="Z162" s="505"/>
      <c r="AA162" s="505"/>
      <c r="AB162" s="505"/>
      <c r="AC162" s="505"/>
    </row>
    <row r="163" spans="1:29">
      <c r="A163" s="505"/>
      <c r="B163" s="505"/>
      <c r="C163" s="505"/>
      <c r="D163" s="505"/>
      <c r="E163" s="505"/>
      <c r="F163" s="505"/>
      <c r="G163" s="505"/>
      <c r="H163" s="505"/>
      <c r="I163" s="505"/>
      <c r="J163" s="505"/>
      <c r="K163" s="517"/>
      <c r="L163" s="518"/>
      <c r="M163" s="505"/>
      <c r="N163" s="505"/>
      <c r="O163" s="505"/>
      <c r="P163" s="505"/>
      <c r="Q163" s="505"/>
      <c r="R163" s="505"/>
      <c r="S163" s="505"/>
      <c r="T163" s="505"/>
      <c r="U163" s="505"/>
      <c r="V163" s="505"/>
      <c r="W163" s="505"/>
      <c r="X163" s="505"/>
      <c r="Y163" s="505"/>
      <c r="Z163" s="505"/>
      <c r="AA163" s="505"/>
      <c r="AB163" s="505"/>
      <c r="AC163" s="505"/>
    </row>
    <row r="164" spans="1:29">
      <c r="A164" s="505"/>
      <c r="B164" s="505"/>
      <c r="C164" s="505"/>
      <c r="D164" s="505"/>
      <c r="E164" s="505"/>
      <c r="F164" s="505"/>
      <c r="G164" s="505"/>
      <c r="H164" s="505"/>
      <c r="I164" s="505"/>
      <c r="J164" s="505"/>
      <c r="K164" s="517"/>
      <c r="L164" s="518"/>
      <c r="M164" s="505"/>
      <c r="N164" s="505"/>
      <c r="O164" s="505"/>
      <c r="P164" s="505"/>
      <c r="Q164" s="505"/>
      <c r="R164" s="505"/>
      <c r="S164" s="505"/>
      <c r="T164" s="505"/>
      <c r="U164" s="505"/>
      <c r="V164" s="505"/>
      <c r="W164" s="505"/>
      <c r="X164" s="505"/>
      <c r="Y164" s="505"/>
      <c r="Z164" s="505"/>
      <c r="AA164" s="505"/>
      <c r="AB164" s="505"/>
      <c r="AC164" s="505"/>
    </row>
    <row r="165" spans="1:29">
      <c r="A165" s="505"/>
      <c r="B165" s="505"/>
      <c r="C165" s="505"/>
      <c r="D165" s="505"/>
      <c r="E165" s="505"/>
      <c r="F165" s="505"/>
      <c r="G165" s="505"/>
      <c r="H165" s="505"/>
      <c r="I165" s="505"/>
      <c r="J165" s="505"/>
      <c r="K165" s="517"/>
      <c r="L165" s="518"/>
      <c r="M165" s="505"/>
      <c r="N165" s="505"/>
      <c r="O165" s="505"/>
      <c r="P165" s="505"/>
      <c r="Q165" s="505"/>
      <c r="R165" s="505"/>
      <c r="S165" s="505"/>
      <c r="T165" s="505"/>
      <c r="U165" s="505"/>
      <c r="V165" s="505"/>
      <c r="W165" s="505"/>
      <c r="X165" s="505"/>
      <c r="Y165" s="505"/>
      <c r="Z165" s="505"/>
      <c r="AA165" s="505"/>
      <c r="AB165" s="505"/>
      <c r="AC165" s="505"/>
    </row>
    <row r="166" spans="1:29">
      <c r="A166" s="505"/>
      <c r="B166" s="505"/>
      <c r="C166" s="505"/>
      <c r="D166" s="505"/>
      <c r="E166" s="505"/>
      <c r="F166" s="505"/>
      <c r="G166" s="505"/>
      <c r="H166" s="505"/>
      <c r="I166" s="505"/>
      <c r="J166" s="505"/>
      <c r="K166" s="517"/>
      <c r="L166" s="518"/>
      <c r="M166" s="505"/>
      <c r="N166" s="505"/>
      <c r="O166" s="505"/>
      <c r="P166" s="505"/>
      <c r="Q166" s="505"/>
      <c r="R166" s="505"/>
      <c r="S166" s="505"/>
      <c r="T166" s="505"/>
      <c r="U166" s="505"/>
      <c r="V166" s="505"/>
      <c r="W166" s="505"/>
      <c r="X166" s="505"/>
      <c r="Y166" s="505"/>
      <c r="Z166" s="505"/>
      <c r="AA166" s="505"/>
      <c r="AB166" s="505"/>
      <c r="AC166" s="505"/>
    </row>
    <row r="167" spans="1:29">
      <c r="A167" s="505"/>
      <c r="B167" s="505"/>
      <c r="C167" s="505"/>
      <c r="D167" s="505"/>
      <c r="E167" s="505"/>
      <c r="F167" s="505"/>
      <c r="G167" s="505"/>
      <c r="H167" s="505"/>
      <c r="I167" s="505"/>
      <c r="J167" s="505"/>
      <c r="K167" s="517"/>
      <c r="L167" s="518"/>
      <c r="M167" s="505"/>
      <c r="N167" s="505"/>
      <c r="O167" s="505"/>
      <c r="P167" s="505"/>
      <c r="Q167" s="505"/>
      <c r="R167" s="505"/>
      <c r="S167" s="505"/>
      <c r="T167" s="505"/>
      <c r="U167" s="505"/>
      <c r="V167" s="505"/>
      <c r="W167" s="505"/>
      <c r="X167" s="505"/>
      <c r="Y167" s="505"/>
      <c r="Z167" s="505"/>
      <c r="AA167" s="505"/>
      <c r="AB167" s="505"/>
      <c r="AC167" s="505"/>
    </row>
    <row r="168" spans="1:29">
      <c r="A168" s="505"/>
      <c r="B168" s="505"/>
      <c r="C168" s="505"/>
      <c r="D168" s="505"/>
      <c r="E168" s="505"/>
      <c r="F168" s="505"/>
      <c r="G168" s="505"/>
      <c r="H168" s="505"/>
      <c r="I168" s="505"/>
      <c r="J168" s="505"/>
      <c r="K168" s="517"/>
      <c r="L168" s="518"/>
      <c r="M168" s="505"/>
      <c r="N168" s="505"/>
      <c r="O168" s="505"/>
      <c r="P168" s="505"/>
      <c r="Q168" s="505"/>
      <c r="R168" s="505"/>
      <c r="S168" s="505"/>
      <c r="T168" s="505"/>
      <c r="U168" s="505"/>
      <c r="V168" s="505"/>
      <c r="W168" s="505"/>
      <c r="X168" s="505"/>
      <c r="Y168" s="505"/>
      <c r="Z168" s="505"/>
      <c r="AA168" s="505"/>
      <c r="AB168" s="505"/>
      <c r="AC168" s="505"/>
    </row>
    <row r="169" spans="1:29">
      <c r="A169" s="505"/>
      <c r="B169" s="505"/>
      <c r="C169" s="505"/>
      <c r="D169" s="505"/>
      <c r="E169" s="505"/>
      <c r="F169" s="505"/>
      <c r="G169" s="505"/>
      <c r="H169" s="505"/>
      <c r="I169" s="505"/>
      <c r="J169" s="505"/>
      <c r="K169" s="517"/>
      <c r="L169" s="518"/>
      <c r="M169" s="505"/>
      <c r="N169" s="505"/>
      <c r="O169" s="505"/>
      <c r="P169" s="505"/>
      <c r="Q169" s="505"/>
      <c r="R169" s="505"/>
      <c r="S169" s="505"/>
      <c r="T169" s="505"/>
      <c r="U169" s="505"/>
      <c r="V169" s="505"/>
      <c r="W169" s="505"/>
      <c r="X169" s="505"/>
      <c r="Y169" s="505"/>
      <c r="Z169" s="505"/>
      <c r="AA169" s="505"/>
      <c r="AB169" s="505"/>
      <c r="AC169" s="505"/>
    </row>
    <row r="170" spans="1:29">
      <c r="A170" s="505"/>
      <c r="B170" s="505"/>
      <c r="C170" s="505"/>
      <c r="D170" s="505"/>
      <c r="E170" s="505"/>
      <c r="F170" s="505"/>
      <c r="G170" s="505"/>
      <c r="H170" s="505"/>
      <c r="I170" s="505"/>
      <c r="J170" s="505"/>
      <c r="K170" s="517"/>
      <c r="L170" s="518"/>
      <c r="M170" s="505"/>
      <c r="N170" s="505"/>
      <c r="O170" s="505"/>
      <c r="P170" s="505"/>
      <c r="Q170" s="505"/>
      <c r="R170" s="505"/>
      <c r="S170" s="505"/>
      <c r="T170" s="505"/>
      <c r="U170" s="505"/>
      <c r="V170" s="505"/>
      <c r="W170" s="505"/>
      <c r="X170" s="505"/>
      <c r="Y170" s="505"/>
      <c r="Z170" s="505"/>
      <c r="AA170" s="505"/>
      <c r="AB170" s="505"/>
      <c r="AC170" s="505"/>
    </row>
    <row r="171" spans="1:29">
      <c r="A171" s="505"/>
      <c r="B171" s="505"/>
      <c r="C171" s="505"/>
      <c r="D171" s="505"/>
      <c r="E171" s="505"/>
      <c r="F171" s="505"/>
      <c r="G171" s="505"/>
      <c r="H171" s="505"/>
      <c r="I171" s="505"/>
      <c r="J171" s="505"/>
      <c r="K171" s="517"/>
      <c r="L171" s="518"/>
      <c r="M171" s="505"/>
      <c r="N171" s="505"/>
      <c r="O171" s="505"/>
      <c r="P171" s="505"/>
      <c r="Q171" s="505"/>
      <c r="R171" s="505"/>
      <c r="S171" s="505"/>
      <c r="T171" s="505"/>
      <c r="U171" s="505"/>
      <c r="V171" s="505"/>
      <c r="W171" s="505"/>
      <c r="X171" s="505"/>
      <c r="Y171" s="505"/>
      <c r="Z171" s="505"/>
      <c r="AA171" s="505"/>
      <c r="AB171" s="505"/>
      <c r="AC171" s="505"/>
    </row>
    <row r="172" spans="1:29">
      <c r="A172" s="505"/>
      <c r="B172" s="505"/>
      <c r="C172" s="505"/>
      <c r="D172" s="505"/>
      <c r="E172" s="505"/>
      <c r="F172" s="505"/>
      <c r="G172" s="505"/>
      <c r="H172" s="505"/>
      <c r="I172" s="505"/>
      <c r="J172" s="505"/>
      <c r="K172" s="517"/>
      <c r="L172" s="518"/>
      <c r="M172" s="505"/>
      <c r="N172" s="505"/>
      <c r="O172" s="505"/>
      <c r="P172" s="505"/>
      <c r="Q172" s="505"/>
      <c r="R172" s="505"/>
      <c r="S172" s="505"/>
      <c r="T172" s="505"/>
      <c r="U172" s="505"/>
      <c r="V172" s="505"/>
      <c r="W172" s="505"/>
      <c r="X172" s="505"/>
      <c r="Y172" s="505"/>
      <c r="Z172" s="505"/>
      <c r="AA172" s="505"/>
      <c r="AB172" s="505"/>
      <c r="AC172" s="505"/>
    </row>
    <row r="173" spans="1:29">
      <c r="A173" s="505"/>
      <c r="B173" s="505"/>
      <c r="C173" s="505"/>
      <c r="D173" s="505"/>
      <c r="E173" s="505"/>
      <c r="F173" s="505"/>
      <c r="G173" s="505"/>
      <c r="H173" s="505"/>
      <c r="I173" s="505"/>
      <c r="J173" s="505"/>
      <c r="K173" s="517"/>
      <c r="L173" s="518"/>
      <c r="M173" s="505"/>
      <c r="N173" s="505"/>
      <c r="O173" s="505"/>
      <c r="P173" s="505"/>
      <c r="Q173" s="505"/>
      <c r="R173" s="505"/>
      <c r="S173" s="505"/>
      <c r="T173" s="505"/>
      <c r="U173" s="505"/>
      <c r="V173" s="505"/>
      <c r="W173" s="505"/>
      <c r="X173" s="505"/>
      <c r="Y173" s="505"/>
      <c r="Z173" s="505"/>
      <c r="AA173" s="505"/>
      <c r="AB173" s="505"/>
      <c r="AC173" s="505"/>
    </row>
    <row r="174" spans="1:29">
      <c r="A174" s="505"/>
      <c r="B174" s="505"/>
      <c r="C174" s="505"/>
      <c r="D174" s="505"/>
      <c r="E174" s="505"/>
      <c r="F174" s="505"/>
      <c r="G174" s="505"/>
      <c r="H174" s="505"/>
      <c r="I174" s="505"/>
      <c r="J174" s="505"/>
      <c r="K174" s="517"/>
      <c r="L174" s="518"/>
      <c r="M174" s="505"/>
      <c r="N174" s="505"/>
      <c r="O174" s="505"/>
      <c r="P174" s="505"/>
      <c r="Q174" s="505"/>
      <c r="R174" s="505"/>
      <c r="S174" s="505"/>
      <c r="T174" s="505"/>
      <c r="U174" s="505"/>
      <c r="V174" s="505"/>
      <c r="W174" s="505"/>
      <c r="X174" s="505"/>
      <c r="Y174" s="505"/>
      <c r="Z174" s="505"/>
      <c r="AA174" s="505"/>
      <c r="AB174" s="505"/>
      <c r="AC174" s="505"/>
    </row>
    <row r="175" spans="1:29">
      <c r="A175" s="505"/>
      <c r="B175" s="505"/>
      <c r="C175" s="505"/>
      <c r="D175" s="505"/>
      <c r="E175" s="505"/>
      <c r="F175" s="505"/>
      <c r="G175" s="505"/>
      <c r="H175" s="505"/>
      <c r="I175" s="505"/>
      <c r="J175" s="505"/>
      <c r="K175" s="517"/>
      <c r="L175" s="518"/>
      <c r="M175" s="505"/>
      <c r="N175" s="505"/>
      <c r="O175" s="505"/>
      <c r="P175" s="505"/>
      <c r="Q175" s="505"/>
      <c r="R175" s="505"/>
      <c r="S175" s="505"/>
      <c r="T175" s="505"/>
      <c r="U175" s="505"/>
      <c r="V175" s="505"/>
      <c r="W175" s="505"/>
      <c r="X175" s="505"/>
      <c r="Y175" s="505"/>
      <c r="Z175" s="505"/>
      <c r="AA175" s="505"/>
      <c r="AB175" s="505"/>
      <c r="AC175" s="505"/>
    </row>
    <row r="176" spans="1:29">
      <c r="A176" s="505"/>
      <c r="B176" s="505"/>
      <c r="C176" s="505"/>
      <c r="D176" s="505"/>
      <c r="E176" s="505"/>
      <c r="F176" s="505"/>
      <c r="G176" s="505"/>
      <c r="H176" s="505"/>
      <c r="I176" s="505"/>
      <c r="J176" s="505"/>
      <c r="K176" s="517"/>
      <c r="L176" s="518"/>
      <c r="M176" s="505"/>
      <c r="N176" s="505"/>
      <c r="O176" s="505"/>
      <c r="P176" s="505"/>
      <c r="Q176" s="505"/>
      <c r="R176" s="505"/>
      <c r="S176" s="505"/>
      <c r="T176" s="505"/>
      <c r="U176" s="505"/>
      <c r="V176" s="505"/>
      <c r="W176" s="505"/>
      <c r="X176" s="505"/>
      <c r="Y176" s="505"/>
      <c r="Z176" s="505"/>
      <c r="AA176" s="505"/>
      <c r="AB176" s="505"/>
      <c r="AC176" s="505"/>
    </row>
    <row r="177" spans="1:29">
      <c r="A177" s="505"/>
      <c r="B177" s="505"/>
      <c r="C177" s="505"/>
      <c r="D177" s="505"/>
      <c r="E177" s="505"/>
      <c r="F177" s="505"/>
      <c r="G177" s="505"/>
      <c r="H177" s="505"/>
      <c r="I177" s="505"/>
      <c r="J177" s="505"/>
      <c r="K177" s="517"/>
      <c r="L177" s="518"/>
      <c r="M177" s="505"/>
      <c r="N177" s="505"/>
      <c r="O177" s="505"/>
      <c r="P177" s="505"/>
      <c r="Q177" s="505"/>
      <c r="R177" s="505"/>
      <c r="S177" s="505"/>
      <c r="T177" s="505"/>
      <c r="U177" s="505"/>
      <c r="V177" s="505"/>
      <c r="W177" s="505"/>
      <c r="X177" s="505"/>
      <c r="Y177" s="505"/>
      <c r="Z177" s="505"/>
      <c r="AA177" s="505"/>
      <c r="AB177" s="505"/>
      <c r="AC177" s="505"/>
    </row>
    <row r="178" spans="1:29">
      <c r="A178" s="505"/>
      <c r="B178" s="505"/>
      <c r="C178" s="505"/>
      <c r="D178" s="505"/>
      <c r="E178" s="505"/>
      <c r="F178" s="505"/>
      <c r="G178" s="505"/>
      <c r="H178" s="505"/>
      <c r="I178" s="505"/>
      <c r="J178" s="505"/>
      <c r="K178" s="517"/>
      <c r="L178" s="518"/>
      <c r="M178" s="505"/>
      <c r="N178" s="505"/>
      <c r="O178" s="505"/>
      <c r="P178" s="505"/>
      <c r="Q178" s="505"/>
      <c r="R178" s="505"/>
      <c r="S178" s="505"/>
      <c r="T178" s="505"/>
      <c r="U178" s="505"/>
      <c r="V178" s="505"/>
      <c r="W178" s="505"/>
      <c r="X178" s="505"/>
      <c r="Y178" s="505"/>
      <c r="Z178" s="505"/>
      <c r="AA178" s="505"/>
      <c r="AB178" s="505"/>
      <c r="AC178" s="505"/>
    </row>
    <row r="179" spans="1:29">
      <c r="A179" s="505"/>
      <c r="B179" s="505"/>
      <c r="C179" s="505"/>
      <c r="D179" s="505"/>
      <c r="E179" s="505"/>
      <c r="F179" s="505"/>
      <c r="G179" s="505"/>
      <c r="H179" s="505"/>
      <c r="I179" s="505"/>
      <c r="J179" s="505"/>
      <c r="K179" s="517"/>
      <c r="L179" s="518"/>
      <c r="M179" s="505"/>
      <c r="N179" s="505"/>
      <c r="O179" s="505"/>
      <c r="P179" s="505"/>
      <c r="Q179" s="505"/>
      <c r="R179" s="505"/>
      <c r="S179" s="505"/>
      <c r="T179" s="505"/>
      <c r="U179" s="505"/>
      <c r="V179" s="505"/>
      <c r="W179" s="505"/>
      <c r="X179" s="505"/>
      <c r="Y179" s="505"/>
      <c r="Z179" s="505"/>
      <c r="AA179" s="505"/>
      <c r="AB179" s="505"/>
      <c r="AC179" s="505"/>
    </row>
    <row r="180" spans="1:29">
      <c r="A180" s="505"/>
      <c r="B180" s="505"/>
      <c r="C180" s="505"/>
      <c r="D180" s="505"/>
      <c r="E180" s="505"/>
      <c r="F180" s="505"/>
      <c r="G180" s="505"/>
      <c r="H180" s="505"/>
      <c r="I180" s="505"/>
      <c r="J180" s="505"/>
      <c r="K180" s="517"/>
      <c r="L180" s="518"/>
      <c r="M180" s="505"/>
      <c r="N180" s="505"/>
      <c r="O180" s="505"/>
      <c r="P180" s="505"/>
      <c r="Q180" s="505"/>
      <c r="R180" s="505"/>
      <c r="S180" s="505"/>
      <c r="T180" s="505"/>
      <c r="U180" s="505"/>
      <c r="V180" s="505"/>
      <c r="W180" s="505"/>
      <c r="X180" s="505"/>
      <c r="Y180" s="505"/>
      <c r="Z180" s="505"/>
      <c r="AA180" s="505"/>
      <c r="AB180" s="505"/>
      <c r="AC180" s="505"/>
    </row>
    <row r="181" spans="1:29">
      <c r="A181" s="505"/>
      <c r="B181" s="505"/>
      <c r="C181" s="505"/>
      <c r="D181" s="505"/>
      <c r="E181" s="505"/>
      <c r="F181" s="505"/>
      <c r="G181" s="505"/>
      <c r="H181" s="505"/>
      <c r="I181" s="505"/>
      <c r="J181" s="505"/>
      <c r="K181" s="517"/>
      <c r="L181" s="518"/>
      <c r="M181" s="505"/>
      <c r="N181" s="505"/>
      <c r="O181" s="505"/>
      <c r="P181" s="505"/>
      <c r="Q181" s="505"/>
      <c r="R181" s="505"/>
      <c r="S181" s="505"/>
      <c r="T181" s="505"/>
      <c r="U181" s="505"/>
      <c r="V181" s="505"/>
      <c r="W181" s="505"/>
      <c r="X181" s="505"/>
      <c r="Y181" s="505"/>
      <c r="Z181" s="505"/>
      <c r="AA181" s="505"/>
      <c r="AB181" s="505"/>
      <c r="AC181" s="505"/>
    </row>
    <row r="182" spans="1:29">
      <c r="A182" s="505"/>
      <c r="B182" s="505"/>
      <c r="C182" s="505"/>
      <c r="D182" s="505"/>
      <c r="E182" s="505"/>
      <c r="F182" s="505"/>
      <c r="G182" s="505"/>
      <c r="H182" s="505"/>
      <c r="I182" s="505"/>
      <c r="J182" s="505"/>
      <c r="K182" s="517"/>
      <c r="L182" s="518"/>
      <c r="M182" s="505"/>
      <c r="N182" s="505"/>
      <c r="O182" s="505"/>
      <c r="P182" s="505"/>
      <c r="Q182" s="505"/>
      <c r="R182" s="505"/>
      <c r="S182" s="505"/>
      <c r="T182" s="505"/>
      <c r="U182" s="505"/>
      <c r="V182" s="505"/>
      <c r="W182" s="505"/>
      <c r="X182" s="505"/>
      <c r="Y182" s="505"/>
      <c r="Z182" s="505"/>
      <c r="AA182" s="505"/>
      <c r="AB182" s="505"/>
      <c r="AC182" s="505"/>
    </row>
    <row r="183" spans="1:29">
      <c r="A183" s="505"/>
      <c r="B183" s="505"/>
      <c r="C183" s="505"/>
      <c r="D183" s="505"/>
      <c r="E183" s="505"/>
      <c r="F183" s="505"/>
      <c r="G183" s="505"/>
      <c r="H183" s="505"/>
      <c r="I183" s="505"/>
      <c r="J183" s="505"/>
      <c r="K183" s="517"/>
      <c r="L183" s="518"/>
      <c r="M183" s="505"/>
      <c r="N183" s="505"/>
      <c r="O183" s="505"/>
      <c r="P183" s="505"/>
      <c r="Q183" s="505"/>
      <c r="R183" s="505"/>
      <c r="S183" s="505"/>
      <c r="T183" s="505"/>
      <c r="U183" s="505"/>
      <c r="V183" s="505"/>
      <c r="W183" s="505"/>
      <c r="X183" s="505"/>
      <c r="Y183" s="505"/>
      <c r="Z183" s="505"/>
      <c r="AA183" s="505"/>
      <c r="AB183" s="505"/>
      <c r="AC183" s="505"/>
    </row>
    <row r="184" spans="1:29">
      <c r="A184" s="505"/>
      <c r="B184" s="505"/>
      <c r="C184" s="505"/>
      <c r="D184" s="505"/>
      <c r="E184" s="505"/>
      <c r="F184" s="505"/>
      <c r="G184" s="505"/>
      <c r="H184" s="505"/>
      <c r="I184" s="505"/>
      <c r="J184" s="505"/>
      <c r="K184" s="517"/>
      <c r="L184" s="518"/>
      <c r="M184" s="505"/>
      <c r="N184" s="505"/>
      <c r="O184" s="505"/>
      <c r="P184" s="505"/>
      <c r="Q184" s="505"/>
      <c r="R184" s="505"/>
      <c r="S184" s="505"/>
      <c r="T184" s="505"/>
      <c r="U184" s="505"/>
      <c r="V184" s="505"/>
      <c r="W184" s="505"/>
      <c r="X184" s="505"/>
      <c r="Y184" s="505"/>
      <c r="Z184" s="505"/>
      <c r="AA184" s="505"/>
      <c r="AB184" s="505"/>
      <c r="AC184" s="505"/>
    </row>
    <row r="185" spans="1:29">
      <c r="A185" s="505"/>
      <c r="B185" s="505"/>
      <c r="C185" s="505"/>
      <c r="D185" s="505"/>
      <c r="E185" s="505"/>
      <c r="F185" s="505"/>
      <c r="G185" s="505"/>
      <c r="H185" s="505"/>
      <c r="I185" s="505"/>
      <c r="J185" s="505"/>
      <c r="K185" s="517"/>
      <c r="L185" s="518"/>
      <c r="M185" s="505"/>
      <c r="N185" s="505"/>
      <c r="O185" s="505"/>
      <c r="P185" s="505"/>
      <c r="Q185" s="505"/>
      <c r="R185" s="505"/>
      <c r="S185" s="505"/>
      <c r="T185" s="505"/>
      <c r="U185" s="505"/>
      <c r="V185" s="505"/>
      <c r="W185" s="505"/>
      <c r="X185" s="505"/>
      <c r="Y185" s="505"/>
      <c r="Z185" s="505"/>
      <c r="AA185" s="505"/>
      <c r="AB185" s="505"/>
      <c r="AC185" s="505"/>
    </row>
    <row r="186" spans="1:29">
      <c r="A186" s="505"/>
      <c r="B186" s="505"/>
      <c r="C186" s="505"/>
      <c r="D186" s="505"/>
      <c r="E186" s="505"/>
      <c r="F186" s="505"/>
      <c r="G186" s="505"/>
      <c r="H186" s="505"/>
      <c r="I186" s="505"/>
      <c r="J186" s="505"/>
      <c r="K186" s="517"/>
      <c r="L186" s="518"/>
      <c r="M186" s="505"/>
      <c r="N186" s="505"/>
      <c r="O186" s="505"/>
      <c r="P186" s="505"/>
      <c r="Q186" s="505"/>
      <c r="R186" s="505"/>
      <c r="S186" s="505"/>
      <c r="T186" s="505"/>
      <c r="U186" s="505"/>
      <c r="V186" s="505"/>
      <c r="W186" s="505"/>
      <c r="X186" s="505"/>
      <c r="Y186" s="505"/>
      <c r="Z186" s="505"/>
      <c r="AA186" s="505"/>
      <c r="AB186" s="505"/>
      <c r="AC186" s="505"/>
    </row>
    <row r="187" spans="1:29">
      <c r="A187" s="505"/>
      <c r="B187" s="505"/>
      <c r="C187" s="505"/>
      <c r="D187" s="505"/>
      <c r="E187" s="505"/>
      <c r="F187" s="505"/>
      <c r="G187" s="505"/>
      <c r="H187" s="505"/>
      <c r="I187" s="505"/>
      <c r="J187" s="505"/>
      <c r="K187" s="517"/>
      <c r="L187" s="518"/>
      <c r="M187" s="505"/>
      <c r="N187" s="505"/>
      <c r="O187" s="505"/>
      <c r="P187" s="505"/>
      <c r="Q187" s="505"/>
      <c r="R187" s="505"/>
      <c r="S187" s="505"/>
      <c r="T187" s="505"/>
      <c r="U187" s="505"/>
      <c r="V187" s="505"/>
      <c r="W187" s="505"/>
      <c r="X187" s="505"/>
      <c r="Y187" s="505"/>
      <c r="Z187" s="505"/>
      <c r="AA187" s="505"/>
      <c r="AB187" s="505"/>
      <c r="AC187" s="505"/>
    </row>
    <row r="188" spans="1:29">
      <c r="A188" s="505"/>
      <c r="B188" s="505"/>
      <c r="C188" s="505"/>
      <c r="D188" s="505"/>
      <c r="E188" s="505"/>
      <c r="F188" s="505"/>
      <c r="G188" s="505"/>
      <c r="H188" s="505"/>
      <c r="I188" s="505"/>
      <c r="J188" s="505"/>
      <c r="K188" s="517"/>
      <c r="L188" s="518"/>
      <c r="M188" s="505"/>
      <c r="N188" s="505"/>
      <c r="O188" s="505"/>
      <c r="P188" s="505"/>
      <c r="Q188" s="505"/>
      <c r="R188" s="505"/>
      <c r="S188" s="505"/>
      <c r="T188" s="505"/>
      <c r="U188" s="505"/>
      <c r="V188" s="505"/>
      <c r="W188" s="505"/>
      <c r="X188" s="505"/>
      <c r="Y188" s="505"/>
      <c r="Z188" s="505"/>
      <c r="AA188" s="505"/>
      <c r="AB188" s="505"/>
      <c r="AC188" s="505"/>
    </row>
    <row r="189" spans="1:29">
      <c r="A189" s="505"/>
      <c r="B189" s="505"/>
      <c r="C189" s="505"/>
      <c r="D189" s="505"/>
      <c r="E189" s="505"/>
      <c r="F189" s="505"/>
      <c r="G189" s="505"/>
      <c r="H189" s="505"/>
      <c r="I189" s="505"/>
      <c r="J189" s="505"/>
      <c r="K189" s="517"/>
      <c r="L189" s="518"/>
      <c r="M189" s="505"/>
      <c r="N189" s="505"/>
      <c r="O189" s="505"/>
      <c r="P189" s="505"/>
      <c r="Q189" s="505"/>
      <c r="R189" s="505"/>
      <c r="S189" s="505"/>
      <c r="T189" s="505"/>
      <c r="U189" s="505"/>
      <c r="V189" s="505"/>
      <c r="W189" s="505"/>
      <c r="X189" s="505"/>
      <c r="Y189" s="505"/>
      <c r="Z189" s="505"/>
      <c r="AA189" s="505"/>
      <c r="AB189" s="505"/>
      <c r="AC189" s="505"/>
    </row>
    <row r="190" spans="1:29">
      <c r="A190" s="505"/>
      <c r="B190" s="505"/>
      <c r="C190" s="505"/>
      <c r="D190" s="505"/>
      <c r="E190" s="505"/>
      <c r="F190" s="505"/>
      <c r="G190" s="505"/>
      <c r="H190" s="505"/>
      <c r="I190" s="505"/>
      <c r="J190" s="505"/>
      <c r="K190" s="517"/>
      <c r="L190" s="518"/>
      <c r="M190" s="505"/>
      <c r="N190" s="505"/>
      <c r="O190" s="505"/>
      <c r="P190" s="505"/>
      <c r="Q190" s="505"/>
      <c r="R190" s="505"/>
      <c r="S190" s="505"/>
      <c r="T190" s="505"/>
      <c r="U190" s="505"/>
      <c r="V190" s="505"/>
      <c r="W190" s="505"/>
      <c r="X190" s="505"/>
      <c r="Y190" s="505"/>
      <c r="Z190" s="505"/>
      <c r="AA190" s="505"/>
      <c r="AB190" s="505"/>
      <c r="AC190" s="505"/>
    </row>
    <row r="191" spans="1:29">
      <c r="A191" s="505"/>
      <c r="B191" s="505"/>
      <c r="C191" s="505"/>
      <c r="D191" s="505"/>
      <c r="E191" s="505"/>
      <c r="F191" s="505"/>
      <c r="G191" s="505"/>
      <c r="H191" s="505"/>
      <c r="I191" s="505"/>
      <c r="J191" s="505"/>
      <c r="K191" s="517"/>
      <c r="L191" s="518"/>
      <c r="M191" s="505"/>
      <c r="N191" s="505"/>
      <c r="O191" s="505"/>
      <c r="P191" s="505"/>
      <c r="Q191" s="505"/>
      <c r="R191" s="505"/>
      <c r="S191" s="505"/>
      <c r="T191" s="505"/>
      <c r="U191" s="505"/>
      <c r="V191" s="505"/>
      <c r="W191" s="505"/>
      <c r="X191" s="505"/>
      <c r="Y191" s="505"/>
      <c r="Z191" s="505"/>
      <c r="AA191" s="505"/>
      <c r="AB191" s="505"/>
      <c r="AC191" s="505"/>
    </row>
    <row r="192" spans="1:29">
      <c r="A192" s="505"/>
      <c r="B192" s="505"/>
      <c r="C192" s="505"/>
      <c r="D192" s="505"/>
      <c r="E192" s="505"/>
      <c r="F192" s="505"/>
      <c r="G192" s="505"/>
      <c r="H192" s="505"/>
      <c r="I192" s="505"/>
      <c r="J192" s="505"/>
      <c r="K192" s="517"/>
      <c r="L192" s="518"/>
      <c r="M192" s="505"/>
      <c r="N192" s="505"/>
      <c r="O192" s="505"/>
      <c r="P192" s="505"/>
      <c r="Q192" s="505"/>
      <c r="R192" s="505"/>
      <c r="S192" s="505"/>
      <c r="T192" s="505"/>
      <c r="U192" s="505"/>
      <c r="V192" s="505"/>
      <c r="W192" s="505"/>
      <c r="X192" s="505"/>
      <c r="Y192" s="505"/>
      <c r="Z192" s="505"/>
      <c r="AA192" s="505"/>
      <c r="AB192" s="505"/>
      <c r="AC192" s="505"/>
    </row>
    <row r="193" spans="1:29">
      <c r="A193" s="505"/>
      <c r="B193" s="505"/>
      <c r="C193" s="505"/>
      <c r="D193" s="505"/>
      <c r="E193" s="505"/>
      <c r="F193" s="505"/>
      <c r="G193" s="505"/>
      <c r="H193" s="505"/>
      <c r="I193" s="505"/>
      <c r="J193" s="505"/>
      <c r="K193" s="517"/>
      <c r="L193" s="518"/>
      <c r="M193" s="505"/>
      <c r="N193" s="505"/>
      <c r="O193" s="505"/>
      <c r="P193" s="505"/>
      <c r="Q193" s="505"/>
      <c r="R193" s="505"/>
      <c r="S193" s="505"/>
      <c r="T193" s="505"/>
      <c r="U193" s="505"/>
      <c r="V193" s="505"/>
      <c r="W193" s="505"/>
      <c r="X193" s="505"/>
      <c r="Y193" s="505"/>
      <c r="Z193" s="505"/>
      <c r="AA193" s="505"/>
      <c r="AB193" s="505"/>
      <c r="AC193" s="505"/>
    </row>
    <row r="194" spans="1:29">
      <c r="A194" s="505"/>
      <c r="B194" s="505"/>
      <c r="C194" s="505"/>
      <c r="D194" s="505"/>
      <c r="E194" s="505"/>
      <c r="F194" s="505"/>
      <c r="G194" s="505"/>
      <c r="H194" s="505"/>
      <c r="I194" s="505"/>
      <c r="J194" s="505"/>
      <c r="K194" s="517"/>
      <c r="L194" s="518"/>
      <c r="M194" s="505"/>
      <c r="N194" s="505"/>
      <c r="O194" s="505"/>
      <c r="P194" s="505"/>
      <c r="Q194" s="505"/>
      <c r="R194" s="505"/>
      <c r="S194" s="505"/>
      <c r="T194" s="505"/>
      <c r="U194" s="505"/>
      <c r="V194" s="505"/>
      <c r="W194" s="505"/>
      <c r="X194" s="505"/>
      <c r="Y194" s="505"/>
      <c r="Z194" s="505"/>
      <c r="AA194" s="505"/>
      <c r="AB194" s="505"/>
      <c r="AC194" s="505"/>
    </row>
    <row r="195" spans="1:29">
      <c r="A195" s="505"/>
      <c r="B195" s="505"/>
      <c r="C195" s="505"/>
      <c r="D195" s="505"/>
      <c r="E195" s="505"/>
      <c r="F195" s="505"/>
      <c r="G195" s="505"/>
      <c r="H195" s="505"/>
      <c r="I195" s="505"/>
      <c r="J195" s="505"/>
      <c r="K195" s="517"/>
      <c r="L195" s="518"/>
      <c r="M195" s="505"/>
      <c r="N195" s="505"/>
      <c r="O195" s="505"/>
      <c r="P195" s="505"/>
      <c r="Q195" s="505"/>
      <c r="R195" s="505"/>
      <c r="S195" s="505"/>
      <c r="T195" s="505"/>
      <c r="U195" s="505"/>
      <c r="V195" s="505"/>
      <c r="W195" s="505"/>
      <c r="X195" s="505"/>
      <c r="Y195" s="505"/>
      <c r="Z195" s="505"/>
      <c r="AA195" s="505"/>
      <c r="AB195" s="505"/>
      <c r="AC195" s="505"/>
    </row>
    <row r="196" spans="1:29">
      <c r="A196" s="505"/>
      <c r="B196" s="505"/>
      <c r="C196" s="505"/>
      <c r="D196" s="505"/>
      <c r="E196" s="505"/>
      <c r="F196" s="505"/>
      <c r="G196" s="505"/>
      <c r="H196" s="505"/>
      <c r="I196" s="505"/>
      <c r="J196" s="505"/>
      <c r="K196" s="517"/>
      <c r="L196" s="518"/>
      <c r="M196" s="505"/>
      <c r="N196" s="505"/>
      <c r="O196" s="505"/>
      <c r="P196" s="505"/>
      <c r="Q196" s="505"/>
      <c r="R196" s="505"/>
      <c r="S196" s="505"/>
      <c r="T196" s="505"/>
      <c r="U196" s="505"/>
      <c r="V196" s="505"/>
      <c r="W196" s="505"/>
      <c r="X196" s="505"/>
      <c r="Y196" s="505"/>
      <c r="Z196" s="505"/>
      <c r="AA196" s="505"/>
      <c r="AB196" s="505"/>
      <c r="AC196" s="505"/>
    </row>
    <row r="197" spans="1:29">
      <c r="A197" s="505"/>
      <c r="B197" s="505"/>
      <c r="C197" s="505"/>
      <c r="D197" s="505"/>
      <c r="E197" s="505"/>
      <c r="F197" s="505"/>
      <c r="G197" s="505"/>
      <c r="H197" s="505"/>
      <c r="I197" s="505"/>
      <c r="J197" s="505"/>
      <c r="K197" s="517"/>
      <c r="L197" s="518"/>
      <c r="M197" s="505"/>
      <c r="N197" s="505"/>
      <c r="O197" s="505"/>
      <c r="P197" s="505"/>
      <c r="Q197" s="505"/>
      <c r="R197" s="505"/>
      <c r="S197" s="505"/>
      <c r="T197" s="505"/>
      <c r="U197" s="505"/>
      <c r="V197" s="505"/>
      <c r="W197" s="505"/>
      <c r="X197" s="505"/>
      <c r="Y197" s="505"/>
      <c r="Z197" s="505"/>
      <c r="AA197" s="505"/>
      <c r="AB197" s="505"/>
      <c r="AC197" s="505"/>
    </row>
    <row r="198" spans="1:29">
      <c r="A198" s="505"/>
      <c r="B198" s="505"/>
      <c r="C198" s="505"/>
      <c r="D198" s="505"/>
      <c r="E198" s="505"/>
      <c r="F198" s="505"/>
      <c r="G198" s="505"/>
      <c r="H198" s="505"/>
      <c r="I198" s="505"/>
      <c r="J198" s="505"/>
      <c r="K198" s="517"/>
      <c r="L198" s="518"/>
      <c r="M198" s="505"/>
      <c r="N198" s="505"/>
      <c r="O198" s="505"/>
      <c r="P198" s="505"/>
      <c r="Q198" s="505"/>
      <c r="R198" s="505"/>
      <c r="S198" s="505"/>
      <c r="T198" s="505"/>
      <c r="U198" s="505"/>
      <c r="V198" s="505"/>
      <c r="W198" s="505"/>
      <c r="X198" s="505"/>
      <c r="Y198" s="505"/>
      <c r="Z198" s="505"/>
      <c r="AA198" s="505"/>
      <c r="AB198" s="505"/>
      <c r="AC198" s="505"/>
    </row>
    <row r="199" spans="1:29">
      <c r="A199" s="505"/>
      <c r="B199" s="505"/>
      <c r="C199" s="505"/>
      <c r="D199" s="505"/>
      <c r="E199" s="505"/>
      <c r="F199" s="505"/>
      <c r="G199" s="505"/>
      <c r="H199" s="505"/>
      <c r="I199" s="505"/>
      <c r="J199" s="505"/>
      <c r="K199" s="517"/>
      <c r="L199" s="518"/>
      <c r="M199" s="505"/>
      <c r="N199" s="505"/>
      <c r="O199" s="505"/>
      <c r="P199" s="505"/>
      <c r="Q199" s="505"/>
      <c r="R199" s="505"/>
      <c r="S199" s="505"/>
      <c r="T199" s="505"/>
      <c r="U199" s="505"/>
      <c r="V199" s="505"/>
      <c r="W199" s="505"/>
      <c r="X199" s="505"/>
      <c r="Y199" s="505"/>
      <c r="Z199" s="505"/>
      <c r="AA199" s="505"/>
      <c r="AB199" s="505"/>
      <c r="AC199" s="505"/>
    </row>
    <row r="200" spans="1:29">
      <c r="A200" s="505"/>
      <c r="B200" s="505"/>
      <c r="C200" s="505"/>
      <c r="D200" s="505"/>
      <c r="E200" s="505"/>
      <c r="F200" s="505"/>
      <c r="G200" s="505"/>
      <c r="H200" s="505"/>
      <c r="I200" s="505"/>
      <c r="J200" s="505"/>
      <c r="K200" s="517"/>
      <c r="L200" s="518"/>
      <c r="M200" s="505"/>
      <c r="N200" s="505"/>
      <c r="O200" s="505"/>
      <c r="P200" s="505"/>
      <c r="Q200" s="505"/>
      <c r="R200" s="505"/>
      <c r="S200" s="505"/>
      <c r="T200" s="505"/>
      <c r="U200" s="505"/>
      <c r="V200" s="505"/>
      <c r="W200" s="505"/>
      <c r="X200" s="505"/>
      <c r="Y200" s="505"/>
      <c r="Z200" s="505"/>
      <c r="AA200" s="505"/>
      <c r="AB200" s="505"/>
      <c r="AC200" s="505"/>
    </row>
    <row r="201" spans="1:29">
      <c r="A201" s="505"/>
      <c r="B201" s="505"/>
      <c r="C201" s="505"/>
      <c r="D201" s="505"/>
      <c r="E201" s="505"/>
      <c r="F201" s="505"/>
      <c r="G201" s="505"/>
      <c r="H201" s="505"/>
      <c r="I201" s="505"/>
      <c r="J201" s="505"/>
      <c r="K201" s="517"/>
      <c r="L201" s="518"/>
      <c r="M201" s="505"/>
      <c r="N201" s="505"/>
      <c r="O201" s="505"/>
      <c r="P201" s="505"/>
      <c r="Q201" s="505"/>
      <c r="R201" s="505"/>
      <c r="S201" s="505"/>
      <c r="T201" s="505"/>
      <c r="U201" s="505"/>
      <c r="V201" s="505"/>
      <c r="W201" s="505"/>
      <c r="X201" s="505"/>
      <c r="Y201" s="505"/>
      <c r="Z201" s="505"/>
      <c r="AA201" s="505"/>
      <c r="AB201" s="505"/>
      <c r="AC201" s="505"/>
    </row>
    <row r="202" spans="1:29">
      <c r="A202" s="505"/>
      <c r="B202" s="505"/>
      <c r="C202" s="505"/>
      <c r="D202" s="505"/>
      <c r="E202" s="505"/>
      <c r="F202" s="505"/>
      <c r="G202" s="505"/>
      <c r="H202" s="505"/>
      <c r="I202" s="505"/>
      <c r="J202" s="505"/>
      <c r="K202" s="517"/>
      <c r="L202" s="518"/>
      <c r="M202" s="505"/>
      <c r="N202" s="505"/>
      <c r="O202" s="505"/>
      <c r="P202" s="505"/>
      <c r="Q202" s="505"/>
      <c r="R202" s="505"/>
      <c r="S202" s="505"/>
      <c r="T202" s="505"/>
      <c r="U202" s="505"/>
      <c r="V202" s="505"/>
      <c r="W202" s="505"/>
      <c r="X202" s="505"/>
      <c r="Y202" s="505"/>
      <c r="Z202" s="505"/>
      <c r="AA202" s="505"/>
      <c r="AB202" s="505"/>
      <c r="AC202" s="505"/>
    </row>
    <row r="203" spans="1:29">
      <c r="A203" s="505"/>
      <c r="B203" s="505"/>
      <c r="C203" s="505"/>
      <c r="D203" s="505"/>
      <c r="E203" s="505"/>
      <c r="F203" s="505"/>
      <c r="G203" s="505"/>
      <c r="H203" s="505"/>
      <c r="I203" s="505"/>
      <c r="J203" s="505"/>
      <c r="K203" s="517"/>
      <c r="L203" s="518"/>
      <c r="M203" s="505"/>
      <c r="N203" s="505"/>
      <c r="O203" s="505"/>
      <c r="P203" s="505"/>
      <c r="Q203" s="505"/>
      <c r="R203" s="505"/>
      <c r="S203" s="505"/>
      <c r="T203" s="505"/>
      <c r="U203" s="505"/>
      <c r="V203" s="505"/>
      <c r="W203" s="505"/>
      <c r="X203" s="505"/>
      <c r="Y203" s="505"/>
      <c r="Z203" s="505"/>
      <c r="AA203" s="505"/>
      <c r="AB203" s="505"/>
      <c r="AC203" s="505"/>
    </row>
    <row r="204" spans="1:29">
      <c r="A204" s="505"/>
      <c r="B204" s="505"/>
      <c r="C204" s="505"/>
      <c r="D204" s="505"/>
      <c r="E204" s="505"/>
      <c r="F204" s="505"/>
      <c r="G204" s="505"/>
      <c r="H204" s="505"/>
      <c r="I204" s="505"/>
      <c r="J204" s="505"/>
      <c r="K204" s="517"/>
      <c r="L204" s="518"/>
      <c r="M204" s="505"/>
      <c r="N204" s="505"/>
      <c r="O204" s="505"/>
      <c r="P204" s="505"/>
      <c r="Q204" s="505"/>
      <c r="R204" s="505"/>
      <c r="S204" s="505"/>
      <c r="T204" s="505"/>
      <c r="U204" s="505"/>
      <c r="V204" s="505"/>
      <c r="W204" s="505"/>
      <c r="X204" s="505"/>
      <c r="Y204" s="505"/>
      <c r="Z204" s="505"/>
      <c r="AA204" s="505"/>
      <c r="AB204" s="505"/>
      <c r="AC204" s="505"/>
    </row>
    <row r="205" spans="1:29">
      <c r="A205" s="505"/>
      <c r="B205" s="505"/>
      <c r="C205" s="505"/>
      <c r="D205" s="505"/>
      <c r="E205" s="505"/>
      <c r="F205" s="505"/>
      <c r="G205" s="505"/>
      <c r="H205" s="505"/>
      <c r="I205" s="505"/>
      <c r="J205" s="505"/>
      <c r="K205" s="517"/>
      <c r="L205" s="518"/>
      <c r="M205" s="505"/>
      <c r="N205" s="505"/>
      <c r="O205" s="505"/>
      <c r="P205" s="505"/>
      <c r="Q205" s="505"/>
      <c r="R205" s="505"/>
      <c r="S205" s="505"/>
      <c r="T205" s="505"/>
      <c r="U205" s="505"/>
      <c r="V205" s="505"/>
      <c r="W205" s="505"/>
      <c r="X205" s="505"/>
      <c r="Y205" s="505"/>
      <c r="Z205" s="505"/>
      <c r="AA205" s="505"/>
      <c r="AB205" s="505"/>
      <c r="AC205" s="505"/>
    </row>
    <row r="206" spans="1:29">
      <c r="A206" s="505"/>
      <c r="B206" s="505"/>
      <c r="C206" s="505"/>
      <c r="D206" s="505"/>
      <c r="E206" s="505"/>
      <c r="F206" s="505"/>
      <c r="G206" s="505"/>
      <c r="H206" s="505"/>
      <c r="I206" s="505"/>
      <c r="J206" s="505"/>
      <c r="K206" s="517"/>
      <c r="L206" s="518"/>
      <c r="M206" s="505"/>
      <c r="N206" s="505"/>
      <c r="O206" s="505"/>
      <c r="P206" s="505"/>
      <c r="Q206" s="505"/>
      <c r="R206" s="505"/>
      <c r="S206" s="505"/>
      <c r="T206" s="505"/>
      <c r="U206" s="505"/>
      <c r="V206" s="505"/>
      <c r="W206" s="505"/>
      <c r="X206" s="505"/>
      <c r="Y206" s="505"/>
      <c r="Z206" s="505"/>
      <c r="AA206" s="505"/>
      <c r="AB206" s="505"/>
      <c r="AC206" s="505"/>
    </row>
    <row r="207" spans="1:29">
      <c r="A207" s="505"/>
      <c r="B207" s="505"/>
      <c r="C207" s="505"/>
      <c r="D207" s="505"/>
      <c r="E207" s="505"/>
      <c r="F207" s="505"/>
      <c r="G207" s="505"/>
      <c r="H207" s="505"/>
      <c r="I207" s="505"/>
      <c r="J207" s="505"/>
      <c r="K207" s="517"/>
      <c r="L207" s="518"/>
      <c r="M207" s="505"/>
      <c r="N207" s="505"/>
      <c r="O207" s="505"/>
      <c r="P207" s="505"/>
      <c r="Q207" s="505"/>
      <c r="R207" s="505"/>
      <c r="S207" s="505"/>
      <c r="T207" s="505"/>
      <c r="U207" s="505"/>
      <c r="V207" s="505"/>
      <c r="W207" s="505"/>
      <c r="X207" s="505"/>
      <c r="Y207" s="505"/>
      <c r="Z207" s="505"/>
      <c r="AA207" s="505"/>
      <c r="AB207" s="505"/>
      <c r="AC207" s="505"/>
    </row>
    <row r="208" spans="1:29">
      <c r="A208" s="505"/>
      <c r="B208" s="505"/>
      <c r="C208" s="505"/>
      <c r="D208" s="505"/>
      <c r="E208" s="505"/>
      <c r="F208" s="505"/>
      <c r="G208" s="505"/>
      <c r="H208" s="505"/>
      <c r="I208" s="505"/>
      <c r="J208" s="505"/>
      <c r="K208" s="517"/>
      <c r="L208" s="518"/>
      <c r="M208" s="505"/>
      <c r="N208" s="505"/>
      <c r="O208" s="505"/>
      <c r="P208" s="505"/>
      <c r="Q208" s="505"/>
      <c r="R208" s="505"/>
      <c r="S208" s="505"/>
      <c r="T208" s="505"/>
      <c r="U208" s="505"/>
      <c r="V208" s="505"/>
      <c r="W208" s="505"/>
      <c r="X208" s="505"/>
      <c r="Y208" s="505"/>
      <c r="Z208" s="505"/>
      <c r="AA208" s="505"/>
      <c r="AB208" s="505"/>
      <c r="AC208" s="505"/>
    </row>
    <row r="209" spans="1:29">
      <c r="A209" s="505"/>
      <c r="B209" s="505"/>
      <c r="C209" s="505"/>
      <c r="D209" s="505"/>
      <c r="E209" s="505"/>
      <c r="F209" s="505"/>
      <c r="G209" s="505"/>
      <c r="H209" s="505"/>
      <c r="I209" s="505"/>
      <c r="J209" s="505"/>
      <c r="K209" s="517"/>
      <c r="L209" s="518"/>
      <c r="M209" s="505"/>
      <c r="N209" s="505"/>
      <c r="O209" s="505"/>
      <c r="P209" s="505"/>
      <c r="Q209" s="505"/>
      <c r="R209" s="505"/>
      <c r="S209" s="505"/>
      <c r="T209" s="505"/>
      <c r="U209" s="505"/>
      <c r="V209" s="505"/>
      <c r="W209" s="505"/>
      <c r="X209" s="505"/>
      <c r="Y209" s="505"/>
      <c r="Z209" s="505"/>
      <c r="AA209" s="505"/>
      <c r="AB209" s="505"/>
      <c r="AC209" s="505"/>
    </row>
    <row r="210" spans="1:29">
      <c r="A210" s="505"/>
      <c r="B210" s="505"/>
      <c r="C210" s="505"/>
      <c r="D210" s="505"/>
      <c r="E210" s="505"/>
      <c r="F210" s="505"/>
      <c r="G210" s="505"/>
      <c r="H210" s="505"/>
      <c r="I210" s="505"/>
      <c r="J210" s="505"/>
      <c r="K210" s="517"/>
      <c r="L210" s="518"/>
      <c r="M210" s="505"/>
      <c r="N210" s="505"/>
      <c r="O210" s="505"/>
      <c r="P210" s="505"/>
      <c r="Q210" s="505"/>
      <c r="R210" s="505"/>
      <c r="S210" s="505"/>
      <c r="T210" s="505"/>
      <c r="U210" s="505"/>
      <c r="V210" s="505"/>
      <c r="W210" s="505"/>
      <c r="X210" s="505"/>
      <c r="Y210" s="505"/>
      <c r="Z210" s="505"/>
      <c r="AA210" s="505"/>
      <c r="AB210" s="505"/>
      <c r="AC210" s="505"/>
    </row>
    <row r="211" spans="1:29">
      <c r="A211" s="505"/>
      <c r="B211" s="505"/>
      <c r="C211" s="505"/>
      <c r="D211" s="505"/>
      <c r="E211" s="505"/>
      <c r="F211" s="505"/>
      <c r="G211" s="505"/>
      <c r="H211" s="505"/>
      <c r="I211" s="505"/>
      <c r="J211" s="505"/>
      <c r="K211" s="517"/>
      <c r="L211" s="518"/>
      <c r="M211" s="505"/>
      <c r="N211" s="505"/>
      <c r="O211" s="505"/>
      <c r="P211" s="505"/>
      <c r="Q211" s="505"/>
      <c r="R211" s="505"/>
      <c r="S211" s="505"/>
      <c r="T211" s="505"/>
      <c r="U211" s="505"/>
      <c r="V211" s="505"/>
      <c r="W211" s="505"/>
      <c r="X211" s="505"/>
      <c r="Y211" s="505"/>
      <c r="Z211" s="505"/>
      <c r="AA211" s="505"/>
      <c r="AB211" s="505"/>
      <c r="AC211" s="505"/>
    </row>
    <row r="212" spans="1:29">
      <c r="A212" s="505"/>
      <c r="B212" s="505"/>
      <c r="C212" s="505"/>
      <c r="D212" s="505"/>
      <c r="E212" s="505"/>
      <c r="F212" s="505"/>
      <c r="G212" s="505"/>
      <c r="H212" s="505"/>
      <c r="I212" s="505"/>
      <c r="J212" s="505"/>
      <c r="K212" s="517"/>
      <c r="L212" s="518"/>
      <c r="M212" s="505"/>
      <c r="N212" s="505"/>
      <c r="O212" s="505"/>
      <c r="P212" s="505"/>
      <c r="Q212" s="505"/>
      <c r="R212" s="505"/>
      <c r="S212" s="505"/>
      <c r="T212" s="505"/>
      <c r="U212" s="505"/>
      <c r="V212" s="505"/>
      <c r="W212" s="505"/>
      <c r="X212" s="505"/>
      <c r="Y212" s="505"/>
      <c r="Z212" s="505"/>
      <c r="AA212" s="505"/>
      <c r="AB212" s="505"/>
      <c r="AC212" s="505"/>
    </row>
    <row r="213" spans="1:29">
      <c r="A213" s="505"/>
      <c r="B213" s="505"/>
      <c r="C213" s="505"/>
      <c r="D213" s="505"/>
      <c r="E213" s="505"/>
      <c r="F213" s="505"/>
      <c r="G213" s="505"/>
      <c r="H213" s="505"/>
      <c r="I213" s="505"/>
      <c r="J213" s="505"/>
      <c r="K213" s="517"/>
      <c r="L213" s="518"/>
      <c r="M213" s="505"/>
      <c r="N213" s="505"/>
      <c r="O213" s="505"/>
      <c r="P213" s="505"/>
      <c r="Q213" s="505"/>
      <c r="R213" s="505"/>
      <c r="S213" s="505"/>
      <c r="T213" s="505"/>
      <c r="U213" s="505"/>
      <c r="V213" s="505"/>
      <c r="W213" s="505"/>
      <c r="X213" s="505"/>
      <c r="Y213" s="505"/>
      <c r="Z213" s="505"/>
      <c r="AA213" s="505"/>
      <c r="AB213" s="505"/>
      <c r="AC213" s="505"/>
    </row>
    <row r="214" spans="1:29">
      <c r="A214" s="505"/>
      <c r="B214" s="505"/>
      <c r="C214" s="505"/>
      <c r="D214" s="505"/>
      <c r="E214" s="505"/>
      <c r="F214" s="505"/>
      <c r="G214" s="505"/>
      <c r="H214" s="505"/>
      <c r="I214" s="505"/>
      <c r="J214" s="505"/>
      <c r="K214" s="517"/>
      <c r="L214" s="518"/>
      <c r="M214" s="505"/>
      <c r="N214" s="505"/>
      <c r="O214" s="505"/>
      <c r="P214" s="505"/>
      <c r="Q214" s="505"/>
      <c r="R214" s="505"/>
      <c r="S214" s="505"/>
      <c r="T214" s="505"/>
      <c r="U214" s="505"/>
      <c r="V214" s="505"/>
      <c r="W214" s="505"/>
      <c r="X214" s="505"/>
      <c r="Y214" s="505"/>
      <c r="Z214" s="505"/>
      <c r="AA214" s="505"/>
      <c r="AB214" s="505"/>
      <c r="AC214" s="505"/>
    </row>
    <row r="215" spans="1:29">
      <c r="A215" s="505"/>
      <c r="B215" s="505"/>
      <c r="C215" s="505"/>
      <c r="D215" s="505"/>
      <c r="E215" s="505"/>
      <c r="F215" s="505"/>
      <c r="G215" s="505"/>
      <c r="H215" s="505"/>
      <c r="I215" s="505"/>
      <c r="J215" s="505"/>
      <c r="K215" s="517"/>
      <c r="L215" s="518"/>
      <c r="M215" s="505"/>
      <c r="N215" s="505"/>
      <c r="O215" s="505"/>
      <c r="P215" s="505"/>
      <c r="Q215" s="505"/>
      <c r="R215" s="505"/>
      <c r="S215" s="505"/>
      <c r="T215" s="505"/>
      <c r="U215" s="505"/>
      <c r="V215" s="505"/>
      <c r="W215" s="505"/>
      <c r="X215" s="505"/>
      <c r="Y215" s="505"/>
      <c r="Z215" s="505"/>
      <c r="AA215" s="505"/>
      <c r="AB215" s="505"/>
      <c r="AC215" s="505"/>
    </row>
    <row r="216" spans="1:29">
      <c r="A216" s="505"/>
      <c r="B216" s="505"/>
      <c r="C216" s="505"/>
      <c r="D216" s="505"/>
      <c r="E216" s="505"/>
      <c r="F216" s="505"/>
      <c r="G216" s="505"/>
      <c r="H216" s="505"/>
      <c r="I216" s="505"/>
      <c r="J216" s="505"/>
      <c r="K216" s="517"/>
      <c r="L216" s="518"/>
      <c r="M216" s="505"/>
      <c r="N216" s="505"/>
      <c r="O216" s="505"/>
      <c r="P216" s="505"/>
      <c r="Q216" s="505"/>
      <c r="R216" s="505"/>
      <c r="S216" s="505"/>
      <c r="T216" s="505"/>
      <c r="U216" s="505"/>
      <c r="V216" s="505"/>
      <c r="W216" s="505"/>
      <c r="X216" s="505"/>
      <c r="Y216" s="505"/>
      <c r="Z216" s="505"/>
      <c r="AA216" s="505"/>
      <c r="AB216" s="505"/>
      <c r="AC216" s="505"/>
    </row>
    <row r="217" spans="1:29">
      <c r="A217" s="505"/>
      <c r="B217" s="505"/>
      <c r="C217" s="505"/>
      <c r="D217" s="505"/>
      <c r="E217" s="505"/>
      <c r="F217" s="505"/>
      <c r="G217" s="505"/>
      <c r="H217" s="505"/>
      <c r="I217" s="505"/>
      <c r="J217" s="505"/>
      <c r="K217" s="517"/>
      <c r="L217" s="518"/>
      <c r="M217" s="505"/>
      <c r="N217" s="505"/>
      <c r="O217" s="505"/>
      <c r="P217" s="505"/>
      <c r="Q217" s="505"/>
      <c r="R217" s="505"/>
      <c r="S217" s="505"/>
      <c r="T217" s="505"/>
      <c r="U217" s="505"/>
      <c r="V217" s="505"/>
      <c r="W217" s="505"/>
      <c r="X217" s="505"/>
      <c r="Y217" s="505"/>
      <c r="Z217" s="505"/>
      <c r="AA217" s="505"/>
      <c r="AB217" s="505"/>
      <c r="AC217" s="505"/>
    </row>
    <row r="218" spans="1:29">
      <c r="A218" s="505"/>
      <c r="B218" s="505"/>
      <c r="C218" s="505"/>
      <c r="D218" s="505"/>
      <c r="E218" s="505"/>
      <c r="F218" s="505"/>
      <c r="G218" s="505"/>
      <c r="H218" s="505"/>
      <c r="I218" s="505"/>
      <c r="J218" s="505"/>
      <c r="K218" s="517"/>
      <c r="L218" s="518"/>
      <c r="M218" s="505"/>
      <c r="N218" s="505"/>
      <c r="O218" s="505"/>
      <c r="P218" s="505"/>
      <c r="Q218" s="505"/>
      <c r="R218" s="505"/>
      <c r="S218" s="505"/>
      <c r="T218" s="505"/>
      <c r="U218" s="505"/>
      <c r="V218" s="505"/>
      <c r="W218" s="505"/>
      <c r="X218" s="505"/>
      <c r="Y218" s="505"/>
      <c r="Z218" s="505"/>
      <c r="AA218" s="505"/>
      <c r="AB218" s="505"/>
      <c r="AC218" s="505"/>
    </row>
    <row r="219" spans="1:29">
      <c r="A219" s="505"/>
      <c r="B219" s="505"/>
      <c r="C219" s="505"/>
      <c r="D219" s="505"/>
      <c r="E219" s="505"/>
      <c r="F219" s="505"/>
      <c r="G219" s="505"/>
      <c r="H219" s="505"/>
      <c r="I219" s="505"/>
      <c r="J219" s="505"/>
      <c r="K219" s="517"/>
      <c r="L219" s="518"/>
      <c r="M219" s="505"/>
      <c r="N219" s="505"/>
      <c r="O219" s="505"/>
      <c r="P219" s="505"/>
      <c r="Q219" s="505"/>
      <c r="R219" s="505"/>
      <c r="S219" s="505"/>
      <c r="T219" s="505"/>
      <c r="U219" s="505"/>
      <c r="V219" s="505"/>
      <c r="W219" s="505"/>
      <c r="X219" s="505"/>
      <c r="Y219" s="505"/>
      <c r="Z219" s="505"/>
      <c r="AA219" s="505"/>
      <c r="AB219" s="505"/>
      <c r="AC219" s="505"/>
    </row>
    <row r="220" spans="1:29">
      <c r="A220" s="505"/>
      <c r="B220" s="505"/>
      <c r="C220" s="505"/>
      <c r="D220" s="505"/>
      <c r="E220" s="505"/>
      <c r="F220" s="505"/>
      <c r="G220" s="505"/>
      <c r="H220" s="505"/>
      <c r="I220" s="505"/>
      <c r="J220" s="505"/>
      <c r="K220" s="517"/>
      <c r="L220" s="518"/>
      <c r="M220" s="505"/>
      <c r="N220" s="505"/>
      <c r="O220" s="505"/>
      <c r="P220" s="505"/>
      <c r="Q220" s="505"/>
      <c r="R220" s="505"/>
      <c r="S220" s="505"/>
      <c r="T220" s="505"/>
      <c r="U220" s="505"/>
      <c r="V220" s="505"/>
      <c r="W220" s="505"/>
      <c r="X220" s="505"/>
      <c r="Y220" s="505"/>
      <c r="Z220" s="505"/>
      <c r="AA220" s="505"/>
      <c r="AB220" s="505"/>
      <c r="AC220" s="505"/>
    </row>
    <row r="221" spans="1:29">
      <c r="A221" s="505"/>
      <c r="B221" s="505"/>
      <c r="C221" s="505"/>
      <c r="D221" s="505"/>
      <c r="E221" s="505"/>
      <c r="F221" s="505"/>
      <c r="G221" s="505"/>
      <c r="H221" s="505"/>
      <c r="I221" s="505"/>
      <c r="J221" s="505"/>
      <c r="K221" s="517"/>
      <c r="L221" s="518"/>
      <c r="M221" s="505"/>
      <c r="N221" s="505"/>
      <c r="O221" s="505"/>
      <c r="P221" s="505"/>
      <c r="Q221" s="505"/>
      <c r="R221" s="505"/>
      <c r="S221" s="505"/>
      <c r="T221" s="505"/>
      <c r="U221" s="505"/>
      <c r="V221" s="505"/>
      <c r="W221" s="505"/>
      <c r="X221" s="505"/>
      <c r="Y221" s="505"/>
      <c r="Z221" s="505"/>
      <c r="AA221" s="505"/>
      <c r="AB221" s="505"/>
      <c r="AC221" s="505"/>
    </row>
    <row r="222" spans="1:29">
      <c r="A222" s="505"/>
      <c r="B222" s="505"/>
      <c r="C222" s="505"/>
      <c r="D222" s="505"/>
      <c r="E222" s="505"/>
      <c r="F222" s="505"/>
      <c r="G222" s="505"/>
      <c r="H222" s="505"/>
      <c r="I222" s="505"/>
      <c r="J222" s="505"/>
      <c r="K222" s="517"/>
      <c r="L222" s="518"/>
      <c r="M222" s="505"/>
      <c r="N222" s="505"/>
      <c r="O222" s="505"/>
      <c r="P222" s="505"/>
      <c r="Q222" s="505"/>
      <c r="R222" s="505"/>
      <c r="S222" s="505"/>
      <c r="T222" s="505"/>
      <c r="U222" s="505"/>
      <c r="V222" s="505"/>
      <c r="W222" s="505"/>
      <c r="X222" s="505"/>
      <c r="Y222" s="505"/>
      <c r="Z222" s="505"/>
      <c r="AA222" s="505"/>
      <c r="AB222" s="505"/>
      <c r="AC222" s="505"/>
    </row>
    <row r="223" spans="1:29">
      <c r="A223" s="505"/>
      <c r="B223" s="505"/>
      <c r="C223" s="505"/>
      <c r="D223" s="505"/>
      <c r="E223" s="505"/>
      <c r="F223" s="505"/>
      <c r="G223" s="505"/>
      <c r="H223" s="505"/>
      <c r="I223" s="505"/>
      <c r="J223" s="505"/>
      <c r="K223" s="517"/>
      <c r="L223" s="518"/>
      <c r="M223" s="505"/>
      <c r="N223" s="505"/>
      <c r="O223" s="505"/>
      <c r="P223" s="505"/>
      <c r="Q223" s="505"/>
      <c r="R223" s="505"/>
      <c r="S223" s="505"/>
      <c r="T223" s="505"/>
      <c r="U223" s="505"/>
      <c r="V223" s="505"/>
      <c r="W223" s="505"/>
      <c r="X223" s="505"/>
      <c r="Y223" s="505"/>
      <c r="Z223" s="505"/>
      <c r="AA223" s="505"/>
      <c r="AB223" s="505"/>
      <c r="AC223" s="505"/>
    </row>
    <row r="224" spans="1:29">
      <c r="A224" s="505"/>
      <c r="B224" s="505"/>
      <c r="C224" s="505"/>
      <c r="D224" s="505"/>
      <c r="E224" s="505"/>
      <c r="F224" s="505"/>
      <c r="G224" s="505"/>
      <c r="H224" s="505"/>
      <c r="I224" s="505"/>
      <c r="J224" s="505"/>
      <c r="K224" s="517"/>
      <c r="L224" s="518"/>
      <c r="M224" s="505"/>
      <c r="N224" s="505"/>
      <c r="O224" s="505"/>
      <c r="P224" s="505"/>
      <c r="Q224" s="505"/>
      <c r="R224" s="505"/>
      <c r="S224" s="505"/>
      <c r="T224" s="505"/>
      <c r="U224" s="505"/>
      <c r="V224" s="505"/>
      <c r="W224" s="505"/>
      <c r="X224" s="505"/>
      <c r="Y224" s="505"/>
      <c r="Z224" s="505"/>
      <c r="AA224" s="505"/>
      <c r="AB224" s="505"/>
      <c r="AC224" s="505"/>
    </row>
    <row r="225" spans="1:29">
      <c r="A225" s="505"/>
      <c r="B225" s="505"/>
      <c r="C225" s="505"/>
      <c r="D225" s="505"/>
      <c r="E225" s="505"/>
      <c r="F225" s="505"/>
      <c r="G225" s="505"/>
      <c r="H225" s="505"/>
      <c r="I225" s="505"/>
      <c r="J225" s="505"/>
      <c r="K225" s="517"/>
      <c r="L225" s="518"/>
      <c r="M225" s="505"/>
      <c r="N225" s="505"/>
      <c r="O225" s="505"/>
      <c r="P225" s="505"/>
      <c r="Q225" s="505"/>
      <c r="R225" s="505"/>
      <c r="S225" s="505"/>
      <c r="T225" s="505"/>
      <c r="U225" s="505"/>
      <c r="V225" s="505"/>
      <c r="W225" s="505"/>
      <c r="X225" s="505"/>
      <c r="Y225" s="505"/>
      <c r="Z225" s="505"/>
      <c r="AA225" s="505"/>
      <c r="AB225" s="505"/>
      <c r="AC225" s="505"/>
    </row>
    <row r="226" spans="1:29">
      <c r="A226" s="505"/>
      <c r="B226" s="505"/>
      <c r="C226" s="505"/>
      <c r="D226" s="505"/>
      <c r="E226" s="505"/>
      <c r="F226" s="505"/>
      <c r="G226" s="505"/>
      <c r="H226" s="505"/>
      <c r="I226" s="505"/>
      <c r="J226" s="505"/>
      <c r="K226" s="517"/>
      <c r="L226" s="518"/>
      <c r="M226" s="505"/>
      <c r="N226" s="505"/>
      <c r="O226" s="505"/>
      <c r="P226" s="505"/>
      <c r="Q226" s="505"/>
      <c r="R226" s="505"/>
      <c r="S226" s="505"/>
      <c r="T226" s="505"/>
      <c r="U226" s="505"/>
      <c r="V226" s="505"/>
      <c r="W226" s="505"/>
      <c r="X226" s="505"/>
      <c r="Y226" s="505"/>
      <c r="Z226" s="505"/>
      <c r="AA226" s="505"/>
      <c r="AB226" s="505"/>
      <c r="AC226" s="505"/>
    </row>
    <row r="227" spans="1:29">
      <c r="A227" s="505"/>
      <c r="B227" s="505"/>
      <c r="C227" s="505"/>
      <c r="D227" s="505"/>
      <c r="E227" s="505"/>
      <c r="F227" s="505"/>
      <c r="G227" s="505"/>
      <c r="H227" s="505"/>
      <c r="I227" s="505"/>
      <c r="J227" s="505"/>
      <c r="K227" s="517"/>
      <c r="L227" s="518"/>
      <c r="M227" s="505"/>
      <c r="N227" s="505"/>
      <c r="O227" s="505"/>
      <c r="P227" s="505"/>
      <c r="Q227" s="505"/>
      <c r="R227" s="505"/>
      <c r="S227" s="505"/>
      <c r="T227" s="505"/>
      <c r="U227" s="505"/>
      <c r="V227" s="505"/>
      <c r="W227" s="505"/>
      <c r="X227" s="505"/>
      <c r="Y227" s="505"/>
      <c r="Z227" s="505"/>
      <c r="AA227" s="505"/>
      <c r="AB227" s="505"/>
      <c r="AC227" s="505"/>
    </row>
    <row r="228" spans="1:29">
      <c r="A228" s="505"/>
      <c r="B228" s="505"/>
      <c r="C228" s="505"/>
      <c r="D228" s="505"/>
      <c r="E228" s="505"/>
      <c r="F228" s="505"/>
      <c r="G228" s="505"/>
      <c r="H228" s="505"/>
      <c r="I228" s="505"/>
      <c r="J228" s="505"/>
      <c r="K228" s="517"/>
      <c r="L228" s="518"/>
      <c r="M228" s="505"/>
      <c r="N228" s="505"/>
      <c r="O228" s="505"/>
      <c r="P228" s="505"/>
      <c r="Q228" s="505"/>
      <c r="R228" s="505"/>
      <c r="S228" s="505"/>
      <c r="T228" s="505"/>
      <c r="U228" s="505"/>
      <c r="V228" s="505"/>
      <c r="W228" s="505"/>
      <c r="X228" s="505"/>
      <c r="Y228" s="505"/>
      <c r="Z228" s="505"/>
      <c r="AA228" s="505"/>
      <c r="AB228" s="505"/>
      <c r="AC228" s="505"/>
    </row>
    <row r="229" spans="1:29">
      <c r="A229" s="505"/>
      <c r="B229" s="505"/>
      <c r="C229" s="505"/>
      <c r="D229" s="505"/>
      <c r="E229" s="505"/>
      <c r="F229" s="505"/>
      <c r="G229" s="505"/>
      <c r="H229" s="505"/>
      <c r="I229" s="505"/>
      <c r="J229" s="505"/>
      <c r="K229" s="517"/>
      <c r="L229" s="518"/>
      <c r="M229" s="505"/>
      <c r="N229" s="505"/>
      <c r="O229" s="505"/>
      <c r="P229" s="505"/>
      <c r="Q229" s="505"/>
      <c r="R229" s="505"/>
      <c r="S229" s="505"/>
      <c r="T229" s="505"/>
      <c r="U229" s="505"/>
      <c r="V229" s="505"/>
      <c r="W229" s="505"/>
      <c r="X229" s="505"/>
      <c r="Y229" s="505"/>
      <c r="Z229" s="505"/>
      <c r="AA229" s="505"/>
      <c r="AB229" s="505"/>
      <c r="AC229" s="505"/>
    </row>
    <row r="230" spans="1:29">
      <c r="A230" s="505"/>
      <c r="B230" s="505"/>
      <c r="C230" s="505"/>
      <c r="D230" s="505"/>
      <c r="E230" s="505"/>
      <c r="F230" s="505"/>
      <c r="G230" s="505"/>
      <c r="H230" s="505"/>
      <c r="I230" s="505"/>
      <c r="J230" s="505"/>
      <c r="K230" s="517"/>
      <c r="L230" s="518"/>
      <c r="M230" s="505"/>
      <c r="N230" s="505"/>
      <c r="O230" s="505"/>
      <c r="P230" s="505"/>
      <c r="Q230" s="505"/>
      <c r="R230" s="505"/>
      <c r="S230" s="505"/>
      <c r="T230" s="505"/>
      <c r="U230" s="505"/>
      <c r="V230" s="505"/>
      <c r="W230" s="505"/>
      <c r="X230" s="505"/>
      <c r="Y230" s="505"/>
      <c r="Z230" s="505"/>
      <c r="AA230" s="505"/>
      <c r="AB230" s="505"/>
      <c r="AC230" s="505"/>
    </row>
    <row r="231" spans="1:29">
      <c r="A231" s="505"/>
      <c r="B231" s="505"/>
      <c r="C231" s="505"/>
      <c r="D231" s="505"/>
      <c r="E231" s="505"/>
      <c r="F231" s="505"/>
      <c r="G231" s="505"/>
      <c r="H231" s="505"/>
      <c r="I231" s="505"/>
      <c r="J231" s="505"/>
      <c r="K231" s="517"/>
      <c r="L231" s="518"/>
      <c r="M231" s="505"/>
      <c r="N231" s="505"/>
      <c r="O231" s="505"/>
      <c r="P231" s="505"/>
      <c r="Q231" s="505"/>
      <c r="R231" s="505"/>
      <c r="S231" s="505"/>
      <c r="T231" s="505"/>
      <c r="U231" s="505"/>
      <c r="V231" s="505"/>
      <c r="W231" s="505"/>
      <c r="X231" s="505"/>
      <c r="Y231" s="505"/>
      <c r="Z231" s="505"/>
      <c r="AA231" s="505"/>
      <c r="AB231" s="505"/>
      <c r="AC231" s="505"/>
    </row>
    <row r="232" spans="1:29">
      <c r="A232" s="505"/>
      <c r="B232" s="505"/>
      <c r="C232" s="505"/>
      <c r="D232" s="505"/>
      <c r="E232" s="505"/>
      <c r="F232" s="505"/>
      <c r="G232" s="505"/>
      <c r="H232" s="505"/>
      <c r="I232" s="505"/>
      <c r="J232" s="505"/>
      <c r="K232" s="517"/>
      <c r="L232" s="518"/>
      <c r="M232" s="505"/>
      <c r="N232" s="505"/>
      <c r="O232" s="505"/>
      <c r="P232" s="505"/>
      <c r="Q232" s="505"/>
      <c r="R232" s="505"/>
      <c r="S232" s="505"/>
      <c r="T232" s="505"/>
      <c r="U232" s="505"/>
      <c r="V232" s="505"/>
      <c r="W232" s="505"/>
      <c r="X232" s="505"/>
      <c r="Y232" s="505"/>
      <c r="Z232" s="505"/>
      <c r="AA232" s="505"/>
      <c r="AB232" s="505"/>
      <c r="AC232" s="505"/>
    </row>
    <row r="233" spans="1:29">
      <c r="A233" s="505"/>
      <c r="B233" s="505"/>
      <c r="C233" s="505"/>
      <c r="D233" s="505"/>
      <c r="E233" s="505"/>
      <c r="F233" s="505"/>
      <c r="G233" s="505"/>
      <c r="H233" s="505"/>
      <c r="I233" s="505"/>
      <c r="J233" s="505"/>
      <c r="K233" s="517"/>
      <c r="L233" s="518"/>
      <c r="M233" s="505"/>
      <c r="N233" s="505"/>
      <c r="O233" s="505"/>
      <c r="P233" s="505"/>
      <c r="Q233" s="505"/>
      <c r="R233" s="505"/>
      <c r="S233" s="505"/>
      <c r="T233" s="505"/>
      <c r="U233" s="505"/>
      <c r="V233" s="505"/>
      <c r="W233" s="505"/>
      <c r="X233" s="505"/>
      <c r="Y233" s="505"/>
      <c r="Z233" s="505"/>
      <c r="AA233" s="505"/>
      <c r="AB233" s="505"/>
      <c r="AC233" s="505"/>
    </row>
    <row r="234" spans="1:29">
      <c r="A234" s="505"/>
      <c r="B234" s="505"/>
      <c r="C234" s="505"/>
      <c r="D234" s="505"/>
      <c r="E234" s="505"/>
      <c r="F234" s="505"/>
      <c r="G234" s="505"/>
      <c r="H234" s="505"/>
      <c r="I234" s="505"/>
      <c r="J234" s="505"/>
      <c r="K234" s="517"/>
      <c r="L234" s="518"/>
      <c r="M234" s="505"/>
      <c r="N234" s="505"/>
      <c r="O234" s="505"/>
      <c r="P234" s="505"/>
      <c r="Q234" s="505"/>
      <c r="R234" s="505"/>
      <c r="S234" s="505"/>
      <c r="T234" s="505"/>
      <c r="U234" s="505"/>
      <c r="V234" s="505"/>
      <c r="W234" s="505"/>
      <c r="X234" s="505"/>
      <c r="Y234" s="505"/>
      <c r="Z234" s="505"/>
      <c r="AA234" s="505"/>
      <c r="AB234" s="505"/>
      <c r="AC234" s="505"/>
    </row>
    <row r="235" spans="1:29">
      <c r="A235" s="505"/>
      <c r="B235" s="505"/>
      <c r="C235" s="505"/>
      <c r="D235" s="505"/>
      <c r="E235" s="505"/>
      <c r="F235" s="505"/>
      <c r="G235" s="505"/>
      <c r="H235" s="505"/>
      <c r="I235" s="505"/>
      <c r="J235" s="505"/>
      <c r="K235" s="517"/>
      <c r="L235" s="518"/>
      <c r="M235" s="505"/>
      <c r="N235" s="505"/>
      <c r="O235" s="505"/>
      <c r="P235" s="505"/>
      <c r="Q235" s="505"/>
      <c r="R235" s="505"/>
      <c r="S235" s="505"/>
      <c r="T235" s="505"/>
      <c r="U235" s="505"/>
      <c r="V235" s="505"/>
      <c r="W235" s="505"/>
      <c r="X235" s="505"/>
      <c r="Y235" s="505"/>
      <c r="Z235" s="505"/>
      <c r="AA235" s="505"/>
      <c r="AB235" s="505"/>
      <c r="AC235" s="505"/>
    </row>
    <row r="236" spans="1:29">
      <c r="A236" s="505"/>
      <c r="B236" s="505"/>
      <c r="C236" s="505"/>
      <c r="D236" s="505"/>
      <c r="E236" s="505"/>
      <c r="F236" s="505"/>
      <c r="G236" s="505"/>
      <c r="H236" s="505"/>
      <c r="I236" s="505"/>
      <c r="J236" s="505"/>
      <c r="K236" s="517"/>
      <c r="L236" s="518"/>
      <c r="M236" s="505"/>
      <c r="N236" s="505"/>
      <c r="O236" s="505"/>
      <c r="P236" s="505"/>
      <c r="Q236" s="505"/>
      <c r="R236" s="505"/>
      <c r="S236" s="505"/>
      <c r="T236" s="505"/>
      <c r="U236" s="505"/>
      <c r="V236" s="505"/>
      <c r="W236" s="505"/>
      <c r="X236" s="505"/>
      <c r="Y236" s="505"/>
      <c r="Z236" s="505"/>
      <c r="AA236" s="505"/>
      <c r="AB236" s="505"/>
      <c r="AC236" s="505"/>
    </row>
    <row r="237" spans="1:29">
      <c r="A237" s="505"/>
      <c r="B237" s="505"/>
      <c r="C237" s="505"/>
      <c r="D237" s="505"/>
      <c r="E237" s="505"/>
      <c r="F237" s="505"/>
      <c r="G237" s="505"/>
      <c r="H237" s="505"/>
      <c r="I237" s="505"/>
      <c r="J237" s="505"/>
      <c r="K237" s="517"/>
      <c r="L237" s="518"/>
      <c r="M237" s="505"/>
      <c r="N237" s="505"/>
      <c r="O237" s="505"/>
      <c r="P237" s="505"/>
      <c r="Q237" s="505"/>
      <c r="R237" s="505"/>
      <c r="S237" s="505"/>
      <c r="T237" s="505"/>
      <c r="U237" s="505"/>
      <c r="V237" s="505"/>
      <c r="W237" s="505"/>
      <c r="X237" s="505"/>
      <c r="Y237" s="505"/>
      <c r="Z237" s="505"/>
      <c r="AA237" s="505"/>
      <c r="AB237" s="505"/>
      <c r="AC237" s="505"/>
    </row>
    <row r="238" spans="1:29">
      <c r="A238" s="505"/>
      <c r="B238" s="505"/>
      <c r="C238" s="505"/>
      <c r="D238" s="505"/>
      <c r="E238" s="505"/>
      <c r="F238" s="505"/>
      <c r="G238" s="505"/>
      <c r="H238" s="505"/>
      <c r="I238" s="505"/>
      <c r="J238" s="505"/>
      <c r="K238" s="517"/>
      <c r="L238" s="518"/>
      <c r="M238" s="505"/>
      <c r="N238" s="505"/>
      <c r="O238" s="505"/>
      <c r="P238" s="505"/>
      <c r="Q238" s="505"/>
      <c r="R238" s="505"/>
      <c r="S238" s="505"/>
      <c r="T238" s="505"/>
      <c r="U238" s="505"/>
      <c r="V238" s="505"/>
      <c r="W238" s="505"/>
      <c r="X238" s="505"/>
      <c r="Y238" s="505"/>
      <c r="Z238" s="505"/>
      <c r="AA238" s="505"/>
      <c r="AB238" s="505"/>
      <c r="AC238" s="505"/>
    </row>
    <row r="239" spans="1:29">
      <c r="A239" s="505"/>
      <c r="B239" s="505"/>
      <c r="C239" s="505"/>
      <c r="D239" s="505"/>
      <c r="E239" s="505"/>
      <c r="F239" s="505"/>
      <c r="G239" s="505"/>
      <c r="H239" s="505"/>
      <c r="I239" s="505"/>
      <c r="J239" s="505"/>
      <c r="K239" s="517"/>
      <c r="L239" s="518"/>
      <c r="M239" s="505"/>
      <c r="N239" s="505"/>
      <c r="O239" s="505"/>
      <c r="P239" s="505"/>
      <c r="Q239" s="505"/>
      <c r="R239" s="505"/>
      <c r="S239" s="505"/>
      <c r="T239" s="505"/>
      <c r="U239" s="505"/>
      <c r="V239" s="505"/>
      <c r="W239" s="505"/>
      <c r="X239" s="505"/>
      <c r="Y239" s="505"/>
      <c r="Z239" s="505"/>
      <c r="AA239" s="505"/>
      <c r="AB239" s="505"/>
      <c r="AC239" s="505"/>
    </row>
    <row r="240" spans="1:29">
      <c r="A240" s="505"/>
      <c r="B240" s="505"/>
      <c r="C240" s="505"/>
      <c r="D240" s="505"/>
      <c r="E240" s="505"/>
      <c r="F240" s="505"/>
      <c r="G240" s="505"/>
      <c r="H240" s="505"/>
      <c r="I240" s="505"/>
      <c r="J240" s="505"/>
      <c r="K240" s="517"/>
      <c r="L240" s="518"/>
      <c r="M240" s="505"/>
      <c r="N240" s="505"/>
      <c r="O240" s="505"/>
      <c r="P240" s="505"/>
      <c r="Q240" s="505"/>
      <c r="R240" s="505"/>
      <c r="S240" s="505"/>
      <c r="T240" s="505"/>
      <c r="U240" s="505"/>
      <c r="V240" s="505"/>
      <c r="W240" s="505"/>
      <c r="X240" s="505"/>
      <c r="Y240" s="505"/>
      <c r="Z240" s="505"/>
      <c r="AA240" s="505"/>
      <c r="AB240" s="505"/>
      <c r="AC240" s="505"/>
    </row>
    <row r="241" spans="1:29">
      <c r="A241" s="505"/>
      <c r="B241" s="505"/>
      <c r="C241" s="505"/>
      <c r="D241" s="505"/>
      <c r="E241" s="505"/>
      <c r="F241" s="505"/>
      <c r="G241" s="505"/>
      <c r="H241" s="505"/>
      <c r="I241" s="505"/>
      <c r="J241" s="505"/>
      <c r="K241" s="517"/>
      <c r="L241" s="518"/>
      <c r="M241" s="505"/>
      <c r="N241" s="505"/>
      <c r="O241" s="505"/>
      <c r="P241" s="505"/>
      <c r="Q241" s="505"/>
      <c r="R241" s="505"/>
      <c r="S241" s="505"/>
      <c r="T241" s="505"/>
      <c r="U241" s="505"/>
      <c r="V241" s="505"/>
      <c r="W241" s="505"/>
      <c r="X241" s="505"/>
      <c r="Y241" s="505"/>
      <c r="Z241" s="505"/>
      <c r="AA241" s="505"/>
      <c r="AB241" s="505"/>
      <c r="AC241" s="505"/>
    </row>
    <row r="242" spans="1:29">
      <c r="A242" s="505"/>
      <c r="B242" s="505"/>
      <c r="C242" s="505"/>
      <c r="D242" s="505"/>
      <c r="E242" s="505"/>
      <c r="F242" s="505"/>
      <c r="G242" s="505"/>
      <c r="H242" s="505"/>
      <c r="I242" s="505"/>
      <c r="J242" s="505"/>
      <c r="K242" s="517"/>
      <c r="L242" s="518"/>
      <c r="M242" s="505"/>
      <c r="N242" s="505"/>
      <c r="O242" s="505"/>
      <c r="P242" s="505"/>
      <c r="Q242" s="505"/>
      <c r="R242" s="505"/>
      <c r="S242" s="505"/>
      <c r="T242" s="505"/>
      <c r="U242" s="505"/>
      <c r="V242" s="505"/>
      <c r="W242" s="505"/>
      <c r="X242" s="505"/>
      <c r="Y242" s="505"/>
      <c r="Z242" s="505"/>
      <c r="AA242" s="505"/>
      <c r="AB242" s="505"/>
      <c r="AC242" s="505"/>
    </row>
    <row r="243" spans="1:29">
      <c r="A243" s="505"/>
      <c r="B243" s="505"/>
      <c r="C243" s="505"/>
      <c r="D243" s="505"/>
      <c r="E243" s="505"/>
      <c r="F243" s="505"/>
      <c r="G243" s="505"/>
      <c r="H243" s="505"/>
      <c r="I243" s="505"/>
      <c r="J243" s="505"/>
      <c r="K243" s="517"/>
      <c r="L243" s="518"/>
      <c r="M243" s="505"/>
      <c r="N243" s="505"/>
      <c r="O243" s="505"/>
      <c r="P243" s="505"/>
      <c r="Q243" s="505"/>
      <c r="R243" s="505"/>
      <c r="S243" s="505"/>
      <c r="T243" s="505"/>
      <c r="U243" s="505"/>
      <c r="V243" s="505"/>
      <c r="W243" s="505"/>
      <c r="X243" s="505"/>
      <c r="Y243" s="505"/>
      <c r="Z243" s="505"/>
      <c r="AA243" s="505"/>
      <c r="AB243" s="505"/>
      <c r="AC243" s="505"/>
    </row>
    <row r="244" spans="1:29">
      <c r="A244" s="505"/>
      <c r="B244" s="505"/>
      <c r="C244" s="505"/>
      <c r="D244" s="505"/>
      <c r="E244" s="505"/>
      <c r="F244" s="505"/>
      <c r="G244" s="505"/>
      <c r="H244" s="505"/>
      <c r="I244" s="505"/>
      <c r="J244" s="505"/>
      <c r="K244" s="517"/>
      <c r="L244" s="518"/>
      <c r="M244" s="505"/>
      <c r="N244" s="505"/>
      <c r="O244" s="505"/>
      <c r="P244" s="505"/>
      <c r="Q244" s="505"/>
      <c r="R244" s="505"/>
      <c r="S244" s="505"/>
      <c r="T244" s="505"/>
      <c r="U244" s="505"/>
      <c r="V244" s="505"/>
      <c r="W244" s="505"/>
      <c r="X244" s="505"/>
      <c r="Y244" s="505"/>
      <c r="Z244" s="505"/>
      <c r="AA244" s="505"/>
      <c r="AB244" s="505"/>
      <c r="AC244" s="505"/>
    </row>
    <row r="245" spans="1:29">
      <c r="A245" s="505"/>
      <c r="B245" s="505"/>
      <c r="C245" s="505"/>
      <c r="D245" s="505"/>
      <c r="E245" s="505"/>
      <c r="F245" s="505"/>
      <c r="G245" s="505"/>
      <c r="H245" s="505"/>
      <c r="I245" s="505"/>
      <c r="J245" s="505"/>
      <c r="K245" s="517"/>
      <c r="L245" s="518"/>
      <c r="M245" s="505"/>
      <c r="N245" s="505"/>
      <c r="O245" s="505"/>
      <c r="P245" s="505"/>
      <c r="Q245" s="505"/>
      <c r="R245" s="505"/>
      <c r="S245" s="505"/>
      <c r="T245" s="505"/>
      <c r="U245" s="505"/>
      <c r="V245" s="505"/>
      <c r="W245" s="505"/>
      <c r="X245" s="505"/>
      <c r="Y245" s="505"/>
      <c r="Z245" s="505"/>
      <c r="AA245" s="505"/>
      <c r="AB245" s="505"/>
      <c r="AC245" s="505"/>
    </row>
    <row r="246" spans="1:29">
      <c r="A246" s="505"/>
      <c r="B246" s="505"/>
      <c r="C246" s="505"/>
      <c r="D246" s="505"/>
      <c r="E246" s="505"/>
      <c r="F246" s="505"/>
      <c r="G246" s="505"/>
      <c r="H246" s="505"/>
      <c r="I246" s="505"/>
      <c r="J246" s="505"/>
      <c r="K246" s="517"/>
      <c r="L246" s="518"/>
      <c r="M246" s="505"/>
      <c r="N246" s="505"/>
      <c r="O246" s="505"/>
      <c r="P246" s="505"/>
      <c r="Q246" s="505"/>
      <c r="R246" s="505"/>
      <c r="S246" s="505"/>
      <c r="T246" s="505"/>
      <c r="U246" s="505"/>
      <c r="V246" s="505"/>
      <c r="W246" s="505"/>
      <c r="X246" s="505"/>
      <c r="Y246" s="505"/>
      <c r="Z246" s="505"/>
      <c r="AA246" s="505"/>
      <c r="AB246" s="505"/>
      <c r="AC246" s="505"/>
    </row>
    <row r="247" spans="1:29">
      <c r="A247" s="505"/>
      <c r="B247" s="505"/>
      <c r="C247" s="505"/>
      <c r="D247" s="505"/>
      <c r="E247" s="505"/>
      <c r="F247" s="505"/>
      <c r="G247" s="505"/>
      <c r="H247" s="505"/>
      <c r="I247" s="505"/>
      <c r="J247" s="505"/>
      <c r="K247" s="517"/>
      <c r="L247" s="518"/>
      <c r="M247" s="505"/>
      <c r="N247" s="505"/>
      <c r="O247" s="505"/>
      <c r="P247" s="505"/>
      <c r="Q247" s="505"/>
      <c r="R247" s="505"/>
      <c r="S247" s="505"/>
      <c r="T247" s="505"/>
      <c r="U247" s="505"/>
      <c r="V247" s="505"/>
      <c r="W247" s="505"/>
      <c r="X247" s="505"/>
      <c r="Y247" s="505"/>
      <c r="Z247" s="505"/>
      <c r="AA247" s="505"/>
      <c r="AB247" s="505"/>
      <c r="AC247" s="505"/>
    </row>
    <row r="248" spans="1:29">
      <c r="A248" s="505"/>
      <c r="B248" s="505"/>
      <c r="C248" s="505"/>
      <c r="D248" s="505"/>
      <c r="E248" s="505"/>
      <c r="F248" s="505"/>
      <c r="G248" s="505"/>
      <c r="H248" s="505"/>
      <c r="I248" s="505"/>
      <c r="J248" s="505"/>
      <c r="K248" s="517"/>
      <c r="L248" s="518"/>
      <c r="M248" s="505"/>
      <c r="N248" s="505"/>
      <c r="O248" s="505"/>
      <c r="P248" s="505"/>
      <c r="Q248" s="505"/>
      <c r="R248" s="505"/>
      <c r="S248" s="505"/>
      <c r="T248" s="505"/>
      <c r="U248" s="505"/>
      <c r="V248" s="505"/>
      <c r="W248" s="505"/>
      <c r="X248" s="505"/>
      <c r="Y248" s="505"/>
      <c r="Z248" s="505"/>
      <c r="AA248" s="505"/>
      <c r="AB248" s="505"/>
      <c r="AC248" s="505"/>
    </row>
    <row r="249" spans="1:29">
      <c r="A249" s="505"/>
      <c r="B249" s="505"/>
      <c r="C249" s="505"/>
      <c r="D249" s="505"/>
      <c r="E249" s="505"/>
      <c r="F249" s="505"/>
      <c r="G249" s="505"/>
      <c r="H249" s="505"/>
      <c r="I249" s="505"/>
      <c r="J249" s="505"/>
      <c r="K249" s="517"/>
      <c r="L249" s="518"/>
      <c r="M249" s="505"/>
      <c r="N249" s="505"/>
      <c r="O249" s="505"/>
      <c r="P249" s="505"/>
      <c r="Q249" s="505"/>
      <c r="R249" s="505"/>
      <c r="S249" s="505"/>
      <c r="T249" s="505"/>
      <c r="U249" s="505"/>
      <c r="V249" s="505"/>
      <c r="W249" s="505"/>
      <c r="X249" s="505"/>
      <c r="Y249" s="505"/>
      <c r="Z249" s="505"/>
      <c r="AA249" s="505"/>
      <c r="AB249" s="505"/>
      <c r="AC249" s="505"/>
    </row>
    <row r="250" spans="1:29">
      <c r="A250" s="505"/>
      <c r="B250" s="505"/>
      <c r="C250" s="505"/>
      <c r="D250" s="505"/>
      <c r="E250" s="505"/>
      <c r="F250" s="505"/>
      <c r="G250" s="505"/>
      <c r="H250" s="505"/>
      <c r="I250" s="505"/>
      <c r="J250" s="505"/>
      <c r="K250" s="517"/>
      <c r="L250" s="518"/>
      <c r="M250" s="505"/>
      <c r="N250" s="505"/>
      <c r="O250" s="505"/>
      <c r="P250" s="505"/>
      <c r="Q250" s="505"/>
      <c r="R250" s="505"/>
      <c r="S250" s="505"/>
      <c r="T250" s="505"/>
      <c r="U250" s="505"/>
      <c r="V250" s="505"/>
      <c r="W250" s="505"/>
      <c r="X250" s="505"/>
      <c r="Y250" s="505"/>
      <c r="Z250" s="505"/>
      <c r="AA250" s="505"/>
      <c r="AB250" s="505"/>
      <c r="AC250" s="505"/>
    </row>
    <row r="251" spans="1:29">
      <c r="A251" s="505"/>
      <c r="B251" s="505"/>
      <c r="C251" s="505"/>
      <c r="D251" s="505"/>
      <c r="E251" s="505"/>
      <c r="F251" s="505"/>
      <c r="G251" s="505"/>
      <c r="H251" s="505"/>
      <c r="I251" s="505"/>
      <c r="J251" s="505"/>
      <c r="K251" s="517"/>
      <c r="L251" s="518"/>
      <c r="M251" s="505"/>
      <c r="N251" s="505"/>
      <c r="O251" s="505"/>
      <c r="P251" s="505"/>
      <c r="Q251" s="505"/>
      <c r="R251" s="505"/>
      <c r="S251" s="505"/>
      <c r="T251" s="505"/>
      <c r="U251" s="505"/>
      <c r="V251" s="505"/>
      <c r="W251" s="505"/>
      <c r="X251" s="505"/>
      <c r="Y251" s="505"/>
      <c r="Z251" s="505"/>
      <c r="AA251" s="505"/>
      <c r="AB251" s="505"/>
      <c r="AC251" s="505"/>
    </row>
    <row r="252" spans="1:29">
      <c r="A252" s="505"/>
      <c r="B252" s="505"/>
      <c r="C252" s="505"/>
      <c r="D252" s="505"/>
      <c r="E252" s="505"/>
      <c r="F252" s="505"/>
      <c r="G252" s="505"/>
      <c r="H252" s="505"/>
      <c r="I252" s="505"/>
      <c r="J252" s="505"/>
      <c r="K252" s="517"/>
      <c r="L252" s="518"/>
      <c r="M252" s="505"/>
      <c r="N252" s="505"/>
      <c r="O252" s="505"/>
      <c r="P252" s="505"/>
      <c r="Q252" s="505"/>
      <c r="R252" s="505"/>
      <c r="S252" s="505"/>
      <c r="T252" s="505"/>
      <c r="U252" s="505"/>
      <c r="V252" s="505"/>
      <c r="W252" s="505"/>
      <c r="X252" s="505"/>
      <c r="Y252" s="505"/>
      <c r="Z252" s="505"/>
      <c r="AA252" s="505"/>
      <c r="AB252" s="505"/>
      <c r="AC252" s="505"/>
    </row>
    <row r="253" spans="1:29">
      <c r="A253" s="505"/>
      <c r="B253" s="505"/>
      <c r="C253" s="505"/>
      <c r="D253" s="505"/>
      <c r="E253" s="505"/>
      <c r="F253" s="505"/>
      <c r="G253" s="505"/>
      <c r="H253" s="505"/>
      <c r="I253" s="505"/>
      <c r="J253" s="505"/>
      <c r="K253" s="517"/>
      <c r="L253" s="518"/>
      <c r="M253" s="505"/>
      <c r="N253" s="505"/>
      <c r="O253" s="505"/>
      <c r="P253" s="505"/>
      <c r="Q253" s="505"/>
      <c r="R253" s="505"/>
      <c r="S253" s="505"/>
      <c r="T253" s="505"/>
      <c r="U253" s="505"/>
      <c r="V253" s="505"/>
      <c r="W253" s="505"/>
      <c r="X253" s="505"/>
      <c r="Y253" s="505"/>
      <c r="Z253" s="505"/>
      <c r="AA253" s="505"/>
      <c r="AB253" s="505"/>
      <c r="AC253" s="505"/>
    </row>
    <row r="254" spans="1:29">
      <c r="A254" s="505"/>
      <c r="B254" s="505"/>
      <c r="C254" s="505"/>
      <c r="D254" s="505"/>
      <c r="E254" s="505"/>
      <c r="F254" s="505"/>
      <c r="G254" s="505"/>
      <c r="H254" s="505"/>
      <c r="I254" s="505"/>
      <c r="J254" s="505"/>
      <c r="K254" s="517"/>
      <c r="L254" s="518"/>
      <c r="M254" s="505"/>
      <c r="N254" s="505"/>
      <c r="O254" s="505"/>
      <c r="P254" s="505"/>
      <c r="Q254" s="505"/>
      <c r="R254" s="505"/>
      <c r="S254" s="505"/>
      <c r="T254" s="505"/>
      <c r="U254" s="505"/>
      <c r="V254" s="505"/>
      <c r="W254" s="505"/>
      <c r="X254" s="505"/>
      <c r="Y254" s="505"/>
      <c r="Z254" s="505"/>
      <c r="AA254" s="505"/>
      <c r="AB254" s="505"/>
      <c r="AC254" s="505"/>
    </row>
    <row r="255" spans="1:29">
      <c r="A255" s="505"/>
      <c r="B255" s="505"/>
      <c r="C255" s="505"/>
      <c r="D255" s="505"/>
      <c r="E255" s="505"/>
      <c r="F255" s="505"/>
      <c r="G255" s="505"/>
      <c r="H255" s="505"/>
      <c r="I255" s="505"/>
      <c r="J255" s="505"/>
      <c r="K255" s="517"/>
      <c r="L255" s="518"/>
      <c r="M255" s="505"/>
      <c r="N255" s="505"/>
      <c r="O255" s="505"/>
      <c r="P255" s="505"/>
      <c r="Q255" s="505"/>
      <c r="R255" s="505"/>
      <c r="S255" s="505"/>
      <c r="T255" s="505"/>
      <c r="U255" s="505"/>
      <c r="V255" s="505"/>
      <c r="W255" s="505"/>
      <c r="X255" s="505"/>
      <c r="Y255" s="505"/>
      <c r="Z255" s="505"/>
      <c r="AA255" s="505"/>
      <c r="AB255" s="505"/>
      <c r="AC255" s="505"/>
    </row>
    <row r="256" spans="1:29">
      <c r="A256" s="505"/>
      <c r="B256" s="505"/>
      <c r="C256" s="505"/>
      <c r="D256" s="505"/>
      <c r="E256" s="505"/>
      <c r="F256" s="505"/>
      <c r="G256" s="505"/>
      <c r="H256" s="505"/>
      <c r="I256" s="505"/>
      <c r="J256" s="505"/>
      <c r="K256" s="517"/>
      <c r="L256" s="518"/>
      <c r="M256" s="505"/>
      <c r="N256" s="505"/>
      <c r="O256" s="505"/>
      <c r="P256" s="505"/>
      <c r="Q256" s="505"/>
      <c r="R256" s="505"/>
      <c r="S256" s="505"/>
      <c r="T256" s="505"/>
      <c r="U256" s="505"/>
      <c r="V256" s="505"/>
      <c r="W256" s="505"/>
      <c r="X256" s="505"/>
      <c r="Y256" s="505"/>
      <c r="Z256" s="505"/>
      <c r="AA256" s="505"/>
      <c r="AB256" s="505"/>
      <c r="AC256" s="505"/>
    </row>
    <row r="257" spans="1:29">
      <c r="A257" s="505"/>
      <c r="B257" s="505"/>
      <c r="C257" s="505"/>
      <c r="D257" s="505"/>
      <c r="E257" s="505"/>
      <c r="F257" s="505"/>
      <c r="G257" s="505"/>
      <c r="H257" s="505"/>
      <c r="I257" s="505"/>
      <c r="J257" s="505"/>
      <c r="K257" s="517"/>
      <c r="L257" s="518"/>
      <c r="M257" s="505"/>
      <c r="N257" s="505"/>
      <c r="O257" s="505"/>
      <c r="P257" s="505"/>
      <c r="Q257" s="505"/>
      <c r="R257" s="505"/>
      <c r="S257" s="505"/>
      <c r="T257" s="505"/>
      <c r="U257" s="505"/>
      <c r="V257" s="505"/>
      <c r="W257" s="505"/>
      <c r="X257" s="505"/>
      <c r="Y257" s="505"/>
      <c r="Z257" s="505"/>
      <c r="AA257" s="505"/>
      <c r="AB257" s="505"/>
      <c r="AC257" s="505"/>
    </row>
    <row r="258" spans="1:29">
      <c r="A258" s="505"/>
      <c r="B258" s="505"/>
      <c r="C258" s="505"/>
      <c r="D258" s="505"/>
      <c r="E258" s="505"/>
      <c r="F258" s="505"/>
      <c r="G258" s="505"/>
      <c r="H258" s="505"/>
      <c r="I258" s="505"/>
      <c r="J258" s="505"/>
      <c r="K258" s="517"/>
      <c r="L258" s="518"/>
      <c r="M258" s="505"/>
      <c r="N258" s="505"/>
      <c r="O258" s="505"/>
      <c r="P258" s="505"/>
      <c r="Q258" s="505"/>
      <c r="R258" s="505"/>
      <c r="S258" s="505"/>
      <c r="T258" s="505"/>
      <c r="U258" s="505"/>
      <c r="V258" s="505"/>
      <c r="W258" s="505"/>
      <c r="X258" s="505"/>
      <c r="Y258" s="505"/>
      <c r="Z258" s="505"/>
      <c r="AA258" s="505"/>
      <c r="AB258" s="505"/>
      <c r="AC258" s="505"/>
    </row>
    <row r="259" spans="1:29">
      <c r="A259" s="505"/>
      <c r="B259" s="505"/>
      <c r="C259" s="505"/>
      <c r="D259" s="505"/>
      <c r="E259" s="505"/>
      <c r="F259" s="505"/>
      <c r="G259" s="505"/>
      <c r="H259" s="505"/>
      <c r="I259" s="505"/>
      <c r="J259" s="505"/>
      <c r="K259" s="517"/>
      <c r="L259" s="518"/>
      <c r="M259" s="505"/>
      <c r="N259" s="505"/>
      <c r="O259" s="505"/>
      <c r="P259" s="505"/>
      <c r="Q259" s="505"/>
      <c r="R259" s="505"/>
      <c r="S259" s="505"/>
      <c r="T259" s="505"/>
      <c r="U259" s="505"/>
      <c r="V259" s="505"/>
      <c r="W259" s="505"/>
      <c r="X259" s="505"/>
      <c r="Y259" s="505"/>
      <c r="Z259" s="505"/>
      <c r="AA259" s="505"/>
      <c r="AB259" s="505"/>
      <c r="AC259" s="505"/>
    </row>
    <row r="260" spans="1:29">
      <c r="A260" s="505"/>
      <c r="B260" s="505"/>
      <c r="C260" s="505"/>
      <c r="D260" s="505"/>
      <c r="E260" s="505"/>
      <c r="F260" s="505"/>
      <c r="G260" s="505"/>
      <c r="H260" s="505"/>
      <c r="I260" s="505"/>
      <c r="J260" s="505"/>
      <c r="K260" s="517"/>
      <c r="L260" s="518"/>
      <c r="M260" s="505"/>
      <c r="N260" s="505"/>
      <c r="O260" s="505"/>
      <c r="P260" s="505"/>
      <c r="Q260" s="505"/>
      <c r="R260" s="505"/>
      <c r="S260" s="505"/>
      <c r="T260" s="505"/>
      <c r="U260" s="505"/>
      <c r="V260" s="505"/>
      <c r="W260" s="505"/>
      <c r="X260" s="505"/>
      <c r="Y260" s="505"/>
      <c r="Z260" s="505"/>
      <c r="AA260" s="505"/>
      <c r="AB260" s="505"/>
      <c r="AC260" s="505"/>
    </row>
    <row r="261" spans="1:29">
      <c r="A261" s="505"/>
      <c r="B261" s="505"/>
      <c r="C261" s="505"/>
      <c r="D261" s="505"/>
      <c r="E261" s="505"/>
      <c r="F261" s="505"/>
      <c r="G261" s="505"/>
      <c r="H261" s="505"/>
      <c r="I261" s="505"/>
      <c r="J261" s="505"/>
      <c r="K261" s="517"/>
      <c r="L261" s="518"/>
      <c r="M261" s="505"/>
      <c r="N261" s="505"/>
      <c r="O261" s="505"/>
      <c r="P261" s="505"/>
      <c r="Q261" s="505"/>
      <c r="R261" s="505"/>
      <c r="S261" s="505"/>
      <c r="T261" s="505"/>
      <c r="U261" s="505"/>
      <c r="V261" s="505"/>
      <c r="W261" s="505"/>
      <c r="X261" s="505"/>
      <c r="Y261" s="505"/>
      <c r="Z261" s="505"/>
      <c r="AA261" s="505"/>
      <c r="AB261" s="505"/>
      <c r="AC261" s="505"/>
    </row>
  </sheetData>
  <sheetProtection password="CEE9" sheet="1" objects="1" scenarios="1" formatCells="0" formatColumns="0" formatRows="0"/>
  <mergeCells count="41">
    <mergeCell ref="G52:H53"/>
    <mergeCell ref="AA6:AA8"/>
    <mergeCell ref="AB6:AB8"/>
    <mergeCell ref="AC6:AC8"/>
    <mergeCell ref="P6:Q8"/>
    <mergeCell ref="R6:S8"/>
    <mergeCell ref="T6:U8"/>
    <mergeCell ref="V6:W8"/>
    <mergeCell ref="Y6:Z8"/>
    <mergeCell ref="P44:Q44"/>
    <mergeCell ref="R44:S44"/>
    <mergeCell ref="T44:U44"/>
    <mergeCell ref="V44:W44"/>
    <mergeCell ref="P45:Q45"/>
    <mergeCell ref="R45:W45"/>
    <mergeCell ref="Y9:Z9"/>
    <mergeCell ref="P10:Q10"/>
    <mergeCell ref="Y10:Z10"/>
    <mergeCell ref="P43:Q43"/>
    <mergeCell ref="R43:S43"/>
    <mergeCell ref="T43:U43"/>
    <mergeCell ref="V43:W43"/>
    <mergeCell ref="P11:P16"/>
    <mergeCell ref="P17:P33"/>
    <mergeCell ref="P34:P42"/>
    <mergeCell ref="Y11:Y16"/>
    <mergeCell ref="Y17:Y33"/>
    <mergeCell ref="Y34:Y42"/>
    <mergeCell ref="C8:D8"/>
    <mergeCell ref="E8:F8"/>
    <mergeCell ref="G8:H8"/>
    <mergeCell ref="I8:J8"/>
    <mergeCell ref="P9:Q9"/>
    <mergeCell ref="C6:D6"/>
    <mergeCell ref="E6:F6"/>
    <mergeCell ref="G6:H6"/>
    <mergeCell ref="I6:J6"/>
    <mergeCell ref="C7:D7"/>
    <mergeCell ref="E7:F7"/>
    <mergeCell ref="G7:H7"/>
    <mergeCell ref="I7:J7"/>
  </mergeCells>
  <phoneticPr fontId="254" type="noConversion"/>
  <conditionalFormatting sqref="F44">
    <cfRule type="expression" dxfId="150" priority="4">
      <formula>$D$44="简单平均"</formula>
    </cfRule>
  </conditionalFormatting>
  <conditionalFormatting sqref="H44">
    <cfRule type="expression" dxfId="149" priority="3">
      <formula>$D$44="简单平均"</formula>
    </cfRule>
  </conditionalFormatting>
  <conditionalFormatting sqref="J44">
    <cfRule type="expression" dxfId="148" priority="2">
      <formula>$D$44="简单平均"</formula>
    </cfRule>
  </conditionalFormatting>
  <conditionalFormatting sqref="E48">
    <cfRule type="expression" dxfId="147" priority="13" stopIfTrue="1">
      <formula>$F$48="超过30%"</formula>
    </cfRule>
  </conditionalFormatting>
  <conditionalFormatting sqref="G48">
    <cfRule type="expression" dxfId="146" priority="9" stopIfTrue="1">
      <formula>$H$48="超过30%"</formula>
    </cfRule>
  </conditionalFormatting>
  <conditionalFormatting sqref="I48">
    <cfRule type="expression" dxfId="145" priority="7" stopIfTrue="1">
      <formula>$J$48="超过30%"</formula>
    </cfRule>
  </conditionalFormatting>
  <conditionalFormatting sqref="E49">
    <cfRule type="expression" dxfId="144" priority="51" stopIfTrue="1">
      <formula>#REF!+$F$49="超过20%"</formula>
    </cfRule>
  </conditionalFormatting>
  <conditionalFormatting sqref="G49">
    <cfRule type="expression" dxfId="143" priority="8" stopIfTrue="1">
      <formula>$H$49="超过20%"</formula>
    </cfRule>
  </conditionalFormatting>
  <conditionalFormatting sqref="I49">
    <cfRule type="expression" dxfId="142" priority="6" stopIfTrue="1">
      <formula>$J$49="超过20%"</formula>
    </cfRule>
  </conditionalFormatting>
  <conditionalFormatting sqref="E50">
    <cfRule type="expression" dxfId="141" priority="10" stopIfTrue="1">
      <formula>$F$50="超过30%"</formula>
    </cfRule>
  </conditionalFormatting>
  <conditionalFormatting sqref="F50">
    <cfRule type="containsText" dxfId="140" priority="15" stopIfTrue="1" operator="containsText" text="超过">
      <formula>NOT(ISERROR(SEARCH("超过",F50)))</formula>
    </cfRule>
  </conditionalFormatting>
  <conditionalFormatting sqref="G50">
    <cfRule type="expression" dxfId="139" priority="12" stopIfTrue="1">
      <formula>$H$50="超过30%"</formula>
    </cfRule>
  </conditionalFormatting>
  <conditionalFormatting sqref="H50">
    <cfRule type="containsText" dxfId="138" priority="16" stopIfTrue="1" operator="containsText" text="超过">
      <formula>NOT(ISERROR(SEARCH("超过",H50)))</formula>
    </cfRule>
  </conditionalFormatting>
  <conditionalFormatting sqref="I50">
    <cfRule type="expression" dxfId="137" priority="5" stopIfTrue="1">
      <formula>$J$50="超过30%"</formula>
    </cfRule>
  </conditionalFormatting>
  <conditionalFormatting sqref="J50">
    <cfRule type="containsText" dxfId="136" priority="17" stopIfTrue="1" operator="containsText" text="超过">
      <formula>NOT(ISERROR(SEARCH("超过",J50)))</formula>
    </cfRule>
  </conditionalFormatting>
  <conditionalFormatting sqref="F9:F42 H9:H42 J9:J42">
    <cfRule type="cellIs" dxfId="135" priority="1" operator="notEqual">
      <formula>100</formula>
    </cfRule>
  </conditionalFormatting>
  <conditionalFormatting sqref="F48 H48 J48">
    <cfRule type="containsText" dxfId="134" priority="18" stopIfTrue="1" operator="containsText" text="超过">
      <formula>NOT(ISERROR(SEARCH("超过",F48)))</formula>
    </cfRule>
  </conditionalFormatting>
  <conditionalFormatting sqref="F49 H49 J49">
    <cfRule type="containsText" dxfId="133" priority="14" stopIfTrue="1" operator="containsText"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套工临街等级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D54:D61">
      <formula1>"25%,1"</formula1>
    </dataValidation>
  </dataValidations>
  <pageMargins left="0.70866141732283505" right="0.70866141732283505" top="1.0629921259842501" bottom="0.94488188976377996" header="0.31496062992126" footer="0.31496062992126"/>
  <pageSetup paperSize="9" scale="4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23"/>
  <sheetViews>
    <sheetView view="pageBreakPreview" zoomScale="70" zoomScaleNormal="60" workbookViewId="0">
      <selection activeCell="A57" sqref="A57:XFD57"/>
    </sheetView>
  </sheetViews>
  <sheetFormatPr defaultColWidth="12" defaultRowHeight="12"/>
  <cols>
    <col min="1" max="1" width="9.75" style="1699" customWidth="1"/>
    <col min="2" max="2" width="24.625" style="1698" customWidth="1"/>
    <col min="3" max="4" width="12" style="1700"/>
    <col min="5" max="5" width="14.625" style="1700" customWidth="1"/>
    <col min="6" max="8" width="12" style="1700"/>
    <col min="9" max="9" width="12.25" style="1700" customWidth="1"/>
    <col min="10" max="10" width="12" style="1700"/>
    <col min="11" max="11" width="9.625" style="1696" customWidth="1"/>
    <col min="12" max="12" width="15.75" style="1700" customWidth="1"/>
    <col min="13" max="14" width="10.625" style="1700" customWidth="1"/>
    <col min="15" max="17" width="12" style="1700"/>
    <col min="18" max="18" width="12" style="1699"/>
    <col min="19" max="22" width="15.5" style="1699" customWidth="1"/>
    <col min="23" max="28" width="12" style="1700"/>
    <col min="29" max="29" width="9.375" style="1699" customWidth="1"/>
    <col min="30" max="35" width="9.375" style="1701" customWidth="1"/>
    <col min="36" max="39" width="9.375" style="1699" customWidth="1"/>
    <col min="40" max="41" width="9.375" style="1700" customWidth="1"/>
    <col min="42" max="16384" width="12" style="1700"/>
  </cols>
  <sheetData>
    <row r="1" spans="1:39" ht="20.25">
      <c r="A1" s="1702" t="s">
        <v>1115</v>
      </c>
      <c r="B1" s="1703"/>
      <c r="C1" s="1704" t="s">
        <v>446</v>
      </c>
      <c r="D1" s="1705">
        <f>SUM(D33:D34,D37:D42)</f>
        <v>0</v>
      </c>
      <c r="E1" s="1704" t="s">
        <v>449</v>
      </c>
      <c r="F1" s="1706"/>
      <c r="G1" s="1707"/>
      <c r="H1" s="1707"/>
      <c r="I1" s="1707"/>
      <c r="J1" s="1707"/>
      <c r="K1" s="1914"/>
      <c r="L1" s="1915" t="s">
        <v>1116</v>
      </c>
      <c r="M1" s="1916">
        <f>SUMPRODUCT((区片价!B5:B9=I2)*(区片价!C3:G3=E2)*(区片价!C5:G9))</f>
        <v>0</v>
      </c>
      <c r="N1" s="1917">
        <f>SUMPRODUCT((因素修正幅度!B5:B9=I2)*(因素修正幅度!C3:G3=E2)*(因素修正幅度!C5:G9))</f>
        <v>0</v>
      </c>
      <c r="O1" s="1914"/>
      <c r="P1" s="1914"/>
      <c r="Q1" s="1914"/>
      <c r="R1" s="2018" t="s">
        <v>1117</v>
      </c>
      <c r="S1" s="2018" t="s">
        <v>1118</v>
      </c>
      <c r="T1" s="2018" t="s">
        <v>1119</v>
      </c>
      <c r="U1" s="2018" t="s">
        <v>1120</v>
      </c>
      <c r="V1" s="2018" t="s">
        <v>649</v>
      </c>
      <c r="W1" s="1914"/>
      <c r="X1" s="1914"/>
      <c r="Y1" s="1914"/>
      <c r="Z1" s="1914"/>
      <c r="AA1" s="1914"/>
      <c r="AB1" s="1914"/>
      <c r="AC1" s="2027"/>
    </row>
    <row r="2" spans="1:39" ht="15.75">
      <c r="A2" s="1704" t="s">
        <v>1121</v>
      </c>
      <c r="B2" s="1708" t="e">
        <f>C30</f>
        <v>#DIV/0!</v>
      </c>
      <c r="C2" s="1709" t="s">
        <v>981</v>
      </c>
      <c r="D2" s="1710" t="s">
        <v>352</v>
      </c>
      <c r="E2" s="1711"/>
      <c r="F2" s="1710" t="s">
        <v>215</v>
      </c>
      <c r="G2" s="1712">
        <f>IF(E2="商业",项目基本情况!B43,IF(E2="办公",项目基本情况!C43,IF(E2="住宅",项目基本情况!D43,IF(E2="工业",项目基本情况!E43,项目基本情况!F43))))</f>
        <v>0</v>
      </c>
      <c r="H2" s="1710" t="s">
        <v>481</v>
      </c>
      <c r="I2" s="1918">
        <f>IF(E2="商业",项目基本情况!B44,IF(E2="办公",项目基本情况!C44,IF(E2="住宅",项目基本情况!D44,IF(E2="工业",项目基本情况!E44,项目基本情况!F44))))</f>
        <v>0</v>
      </c>
      <c r="J2" s="1919"/>
      <c r="K2" s="1920"/>
      <c r="L2" s="1921" t="s">
        <v>1122</v>
      </c>
      <c r="M2" s="1922">
        <f>SUMPRODUCT((区片价!B10:B29=I2)*(区片价!C3:G3=E2)*(区片价!C10:G29))</f>
        <v>0</v>
      </c>
      <c r="N2" s="1923">
        <f>SUMPRODUCT((因素修正幅度!B10:B29=I2)*(因素修正幅度!C3:G3=E2)*(因素修正幅度!C10:G29))</f>
        <v>0</v>
      </c>
      <c r="O2" s="1920"/>
      <c r="P2" s="1914"/>
      <c r="Q2" s="1914"/>
      <c r="R2" s="2019">
        <v>1</v>
      </c>
      <c r="S2" s="2019">
        <f>ROUND(SUMPRODUCT((B107:B111=R2)*(C106:N106=G2)*(C107:N111)),4)</f>
        <v>0</v>
      </c>
      <c r="T2" s="2019" t="e">
        <f>ROUND($C$5*$C$22*$C$23*$C$24*S2*$C$28,0)</f>
        <v>#DIV/0!</v>
      </c>
      <c r="U2" s="2020"/>
      <c r="V2" s="2019" t="e">
        <f>ROUND(T2*U2/10000,0)</f>
        <v>#DIV/0!</v>
      </c>
      <c r="W2" s="1914"/>
      <c r="X2" s="1914"/>
      <c r="Y2" s="1914"/>
      <c r="Z2" s="1914"/>
      <c r="AA2" s="1914"/>
      <c r="AB2" s="1914"/>
      <c r="AC2" s="2027"/>
    </row>
    <row r="3" spans="1:39" ht="15.75">
      <c r="A3" s="1713" t="s">
        <v>946</v>
      </c>
      <c r="B3" s="1708" t="e">
        <f>ROUND(B2*10000/D1,0)</f>
        <v>#DIV/0!</v>
      </c>
      <c r="C3" s="1709" t="s">
        <v>1123</v>
      </c>
      <c r="D3" s="1710" t="s">
        <v>1124</v>
      </c>
      <c r="E3" s="1714"/>
      <c r="F3" s="1715"/>
      <c r="G3" s="1716">
        <f>IF(F3="宗地容积率",'数据-汇总表'!I4,IF(F3="估价对象容积率",'数据-汇总表'!I6,'数据-汇总表'!I7))</f>
        <v>0</v>
      </c>
      <c r="H3" s="1717" t="s">
        <v>1125</v>
      </c>
      <c r="I3" s="1924"/>
      <c r="J3" s="1919" t="s">
        <v>1126</v>
      </c>
      <c r="K3" s="1920"/>
      <c r="L3" s="1921" t="s">
        <v>1127</v>
      </c>
      <c r="M3" s="1922">
        <f>SUMPRODUCT((区片价!B30:B54=I2)*(区片价!C3:G3=E2)*(区片价!C30:G54))</f>
        <v>0</v>
      </c>
      <c r="N3" s="1923">
        <f>SUMPRODUCT((因素修正幅度!B30:B54=I2)*(因素修正幅度!C3:G3=E2)*(因素修正幅度!C30:G54))</f>
        <v>0</v>
      </c>
      <c r="O3" s="1920"/>
      <c r="P3" s="1914"/>
      <c r="Q3" s="1914"/>
      <c r="R3" s="2019">
        <v>2</v>
      </c>
      <c r="S3" s="2019">
        <f>ROUND(SUMPRODUCT((B107:B111=R3)*(C106:N106=G2)*(C107:N111)),4)</f>
        <v>0</v>
      </c>
      <c r="T3" s="2019" t="e">
        <f t="shared" ref="T3:T16" si="0">ROUND($C$5*$C$22*$C$23*$C$24*S3*$C$28,0)</f>
        <v>#DIV/0!</v>
      </c>
      <c r="U3" s="2020"/>
      <c r="V3" s="2019" t="e">
        <f t="shared" ref="V3:V16" si="1">ROUND(T3*U3/10000,0)</f>
        <v>#DIV/0!</v>
      </c>
      <c r="W3" s="1914"/>
      <c r="X3" s="1914"/>
      <c r="Y3" s="1914"/>
      <c r="Z3" s="1914"/>
      <c r="AA3" s="1914"/>
      <c r="AB3" s="1914"/>
      <c r="AC3" s="2027"/>
    </row>
    <row r="4" spans="1:39" ht="28.5">
      <c r="A4" s="1718" t="s">
        <v>1112</v>
      </c>
      <c r="B4" s="1719" t="e">
        <f>ROUND(B2*10000/F1,0)</f>
        <v>#DIV/0!</v>
      </c>
      <c r="C4" s="1720" t="s">
        <v>1123</v>
      </c>
      <c r="D4" s="1720" t="e">
        <f>ROUND(B2/(F1/666.67),0)</f>
        <v>#DIV/0!</v>
      </c>
      <c r="E4" s="1720" t="s">
        <v>1128</v>
      </c>
      <c r="F4" s="1721"/>
      <c r="G4" s="1721"/>
      <c r="H4" s="1721"/>
      <c r="I4" s="1721"/>
      <c r="J4" s="1925"/>
      <c r="K4" s="1926"/>
      <c r="L4" s="1921" t="s">
        <v>1129</v>
      </c>
      <c r="M4" s="1922">
        <f>SUMPRODUCT((区片价!B55:B86=I2)*(区片价!C3:G3=E2)*(区片价!C55:G86))</f>
        <v>0</v>
      </c>
      <c r="N4" s="1923">
        <f>SUMPRODUCT((因素修正幅度!B55:B86=I2)*(因素修正幅度!C3:G3=E2)*(因素修正幅度!C55:G86))</f>
        <v>0</v>
      </c>
      <c r="O4" s="1926"/>
      <c r="P4" s="1914"/>
      <c r="Q4" s="1914"/>
      <c r="R4" s="2019">
        <v>3</v>
      </c>
      <c r="S4" s="2019">
        <f>ROUND(SUMPRODUCT((B107:B111=R4)*(C106:N106=G2)*(C107:N111)),4)</f>
        <v>0</v>
      </c>
      <c r="T4" s="2019" t="e">
        <f t="shared" si="0"/>
        <v>#DIV/0!</v>
      </c>
      <c r="U4" s="2020"/>
      <c r="V4" s="2019" t="e">
        <f t="shared" si="1"/>
        <v>#DIV/0!</v>
      </c>
      <c r="W4" s="1914"/>
      <c r="X4" s="1914"/>
      <c r="Y4" s="1914"/>
      <c r="Z4" s="1914"/>
      <c r="AA4" s="1914"/>
      <c r="AB4" s="1914"/>
      <c r="AC4" s="2027"/>
    </row>
    <row r="5" spans="1:39" s="1695" customFormat="1" ht="15">
      <c r="A5" s="1722" t="s">
        <v>879</v>
      </c>
      <c r="B5" s="1723" t="s">
        <v>1130</v>
      </c>
      <c r="C5" s="1724" t="e">
        <f>ROUND(IF(E2="商业",C6*C7*C17+C20,(IF(E2="住宅",C6*C13*C17+C20,IF(E2="办公",C6*C12*C17+C20,C6+C20)))),0)</f>
        <v>#DIV/0!</v>
      </c>
      <c r="D5" s="1725" t="e">
        <f>ROUND(C6*C17+C20,0)</f>
        <v>#DIV/0!</v>
      </c>
      <c r="E5" s="1725"/>
      <c r="F5" s="1726"/>
      <c r="G5" s="1727"/>
      <c r="H5" s="1727"/>
      <c r="I5" s="1727"/>
      <c r="J5" s="1927"/>
      <c r="K5" s="1928"/>
      <c r="L5" s="1921" t="s">
        <v>1131</v>
      </c>
      <c r="M5" s="1922">
        <f>SUMPRODUCT((区片价!B87:B126=I2)*(区片价!C3:G3=E2)*(区片价!C87:G126))</f>
        <v>0</v>
      </c>
      <c r="N5" s="1923">
        <f>SUMPRODUCT((因素修正幅度!B87:B126=I2)*(因素修正幅度!C3:G3=E2)*(因素修正幅度!C87:G126))</f>
        <v>0</v>
      </c>
      <c r="O5" s="1928"/>
      <c r="P5" s="1929"/>
      <c r="Q5" s="1914"/>
      <c r="R5" s="2019">
        <v>4</v>
      </c>
      <c r="S5" s="2019">
        <f>ROUND(SUMPRODUCT((B107:B111=R5)*(C106:N106=G2)*(C107:N111)),4)</f>
        <v>0</v>
      </c>
      <c r="T5" s="2019" t="e">
        <f t="shared" si="0"/>
        <v>#DIV/0!</v>
      </c>
      <c r="U5" s="2020"/>
      <c r="V5" s="2019" t="e">
        <f t="shared" si="1"/>
        <v>#DIV/0!</v>
      </c>
      <c r="W5" s="1914"/>
      <c r="X5" s="1914"/>
      <c r="Y5" s="1914"/>
      <c r="Z5" s="1914"/>
      <c r="AA5" s="1914"/>
      <c r="AB5" s="1914"/>
      <c r="AC5" s="2029"/>
      <c r="AD5" s="2030"/>
      <c r="AE5" s="2030"/>
      <c r="AF5" s="2030"/>
      <c r="AG5" s="2030"/>
      <c r="AH5" s="2030"/>
      <c r="AI5" s="2030"/>
      <c r="AJ5" s="2039"/>
      <c r="AK5" s="2039"/>
      <c r="AL5" s="2039"/>
      <c r="AM5" s="2039"/>
    </row>
    <row r="6" spans="1:39" ht="15">
      <c r="A6" s="1728" t="s">
        <v>1132</v>
      </c>
      <c r="B6" s="1729" t="s">
        <v>1130</v>
      </c>
      <c r="C6" s="1730">
        <f>SUMIF(L1:L12,G2,M1:M12)</f>
        <v>0</v>
      </c>
      <c r="D6" s="1731" t="s">
        <v>1133</v>
      </c>
      <c r="E6" s="1729"/>
      <c r="F6" s="1729"/>
      <c r="G6" s="1732"/>
      <c r="H6" s="1732"/>
      <c r="I6" s="1732"/>
      <c r="J6" s="1930"/>
      <c r="K6" s="1931"/>
      <c r="L6" s="1921" t="s">
        <v>1134</v>
      </c>
      <c r="M6" s="1922">
        <f>SUMPRODUCT((区片价!B127:B189=I2)*(区片价!C3:G3=E2)*(区片价!C127:G189))</f>
        <v>0</v>
      </c>
      <c r="N6" s="1923">
        <f>SUMPRODUCT((因素修正幅度!B127:B189=I2)*(因素修正幅度!C3:G3=E2)*(因素修正幅度!C127:G189))</f>
        <v>0</v>
      </c>
      <c r="O6" s="1931"/>
      <c r="P6" s="1932"/>
      <c r="Q6" s="1914"/>
      <c r="R6" s="2019">
        <v>5</v>
      </c>
      <c r="S6" s="2019">
        <f>ROUND(SUMPRODUCT((B107:B111=R6)*(C106:N106=G2)*(C107:N111)),4)</f>
        <v>0</v>
      </c>
      <c r="T6" s="2019" t="e">
        <f t="shared" si="0"/>
        <v>#DIV/0!</v>
      </c>
      <c r="U6" s="2020"/>
      <c r="V6" s="2019" t="e">
        <f t="shared" si="1"/>
        <v>#DIV/0!</v>
      </c>
      <c r="W6" s="1914"/>
      <c r="X6" s="1914"/>
      <c r="Y6" s="1914"/>
      <c r="Z6" s="1914"/>
      <c r="AA6" s="1914"/>
      <c r="AB6" s="1914"/>
      <c r="AC6" s="2029"/>
      <c r="AD6" s="2030"/>
      <c r="AE6" s="2030"/>
      <c r="AF6" s="2030"/>
      <c r="AG6" s="2030"/>
      <c r="AH6" s="2030"/>
      <c r="AI6" s="2030"/>
      <c r="AJ6" s="2039"/>
    </row>
    <row r="7" spans="1:39" ht="15">
      <c r="A7" s="1733" t="s">
        <v>1135</v>
      </c>
      <c r="B7" s="1734" t="s">
        <v>1136</v>
      </c>
      <c r="C7" s="1735" t="e">
        <f>IF(C8="不临65条商业街",1,ROUND(1+(1.6*E8+1.2*E9+0.8*E10+0.4*E11)*C9,4))</f>
        <v>#DIV/0!</v>
      </c>
      <c r="D7" s="1736" t="s">
        <v>1137</v>
      </c>
      <c r="E7" s="1737"/>
      <c r="F7" s="1738"/>
      <c r="G7" s="1738"/>
      <c r="H7" s="1738"/>
      <c r="I7" s="1738"/>
      <c r="J7" s="1933"/>
      <c r="K7" s="1931"/>
      <c r="L7" s="1921" t="s">
        <v>1138</v>
      </c>
      <c r="M7" s="1922">
        <f>SUMPRODUCT((区片价!B190:B233=I2)*(区片价!C3:G3=E2)*(区片价!C190:G233))</f>
        <v>0</v>
      </c>
      <c r="N7" s="1923">
        <f>SUMPRODUCT((因素修正幅度!B190:B233=I2)*(因素修正幅度!C3:G3=E2)*(因素修正幅度!C190:G233))</f>
        <v>0</v>
      </c>
      <c r="O7" s="1931"/>
      <c r="P7" s="1932"/>
      <c r="Q7" s="1914"/>
      <c r="R7" s="2019">
        <v>6</v>
      </c>
      <c r="S7" s="2020"/>
      <c r="T7" s="2019" t="e">
        <f t="shared" si="0"/>
        <v>#DIV/0!</v>
      </c>
      <c r="U7" s="2020"/>
      <c r="V7" s="2019" t="e">
        <f t="shared" si="1"/>
        <v>#DIV/0!</v>
      </c>
      <c r="W7" s="2021" t="s">
        <v>1139</v>
      </c>
      <c r="X7" s="2022">
        <f>G2</f>
        <v>0</v>
      </c>
      <c r="Y7" s="2022" t="s">
        <v>1140</v>
      </c>
      <c r="Z7" s="2031">
        <f>G3</f>
        <v>0</v>
      </c>
      <c r="AA7" s="2024"/>
      <c r="AB7" s="2024"/>
      <c r="AC7" s="1962"/>
      <c r="AD7" s="2032"/>
      <c r="AE7" s="2032"/>
      <c r="AF7" s="2032"/>
      <c r="AG7" s="2032"/>
      <c r="AH7" s="2032"/>
      <c r="AI7" s="2032"/>
      <c r="AJ7" s="2040"/>
    </row>
    <row r="8" spans="1:39" ht="15">
      <c r="A8" s="1739"/>
      <c r="B8" s="1717" t="s">
        <v>1141</v>
      </c>
      <c r="C8" s="1740"/>
      <c r="D8" s="1741" t="s">
        <v>1142</v>
      </c>
      <c r="E8" s="1742" t="e">
        <f>ROUND(C11/E7,4)</f>
        <v>#DIV/0!</v>
      </c>
      <c r="F8" s="1743" t="s">
        <v>1143</v>
      </c>
      <c r="G8" s="1744"/>
      <c r="H8" s="1744"/>
      <c r="I8" s="1744"/>
      <c r="J8" s="1934"/>
      <c r="K8" s="1931"/>
      <c r="L8" s="1921" t="s">
        <v>1144</v>
      </c>
      <c r="M8" s="1922">
        <f>SUMPRODUCT((区片价!B234:B276=I2)*(区片价!C3:G3=E2)*(区片价!C234:G276))</f>
        <v>0</v>
      </c>
      <c r="N8" s="1923">
        <f>SUMPRODUCT((因素修正幅度!B234:B276=I2)*(因素修正幅度!C3:G3=E2)*(因素修正幅度!C234:G276))</f>
        <v>0</v>
      </c>
      <c r="O8" s="1931"/>
      <c r="P8" s="1914"/>
      <c r="Q8" s="1914"/>
      <c r="R8" s="2019">
        <v>7</v>
      </c>
      <c r="S8" s="2020"/>
      <c r="T8" s="2019" t="e">
        <f t="shared" si="0"/>
        <v>#DIV/0!</v>
      </c>
      <c r="U8" s="2020"/>
      <c r="V8" s="2019" t="e">
        <f t="shared" si="1"/>
        <v>#DIV/0!</v>
      </c>
      <c r="W8" s="3874" t="s">
        <v>1145</v>
      </c>
      <c r="X8" s="3875"/>
      <c r="Y8" s="1849" t="s">
        <v>1146</v>
      </c>
      <c r="Z8" s="1849" t="s">
        <v>1147</v>
      </c>
      <c r="AA8" s="1849" t="s">
        <v>1148</v>
      </c>
      <c r="AB8" s="1849" t="s">
        <v>1149</v>
      </c>
      <c r="AC8" s="1849" t="s">
        <v>1150</v>
      </c>
      <c r="AD8" s="1849" t="s">
        <v>1151</v>
      </c>
      <c r="AE8" s="1849" t="s">
        <v>1152</v>
      </c>
      <c r="AF8" s="1849" t="s">
        <v>1153</v>
      </c>
      <c r="AG8" s="1849" t="s">
        <v>1154</v>
      </c>
      <c r="AH8" s="1849" t="s">
        <v>1155</v>
      </c>
      <c r="AI8" s="1849" t="s">
        <v>1156</v>
      </c>
      <c r="AJ8" s="1849" t="s">
        <v>1157</v>
      </c>
    </row>
    <row r="9" spans="1:39" ht="15">
      <c r="A9" s="1739"/>
      <c r="B9" s="1717" t="s">
        <v>1158</v>
      </c>
      <c r="C9" s="1745">
        <f>SUMIF(修正!C71:C139,C8,修正!E71:E139)</f>
        <v>0</v>
      </c>
      <c r="D9" s="1746" t="s">
        <v>1159</v>
      </c>
      <c r="E9" s="1746" t="e">
        <f>ROUND(C11/E7,4)</f>
        <v>#DIV/0!</v>
      </c>
      <c r="F9" s="1743" t="s">
        <v>1160</v>
      </c>
      <c r="G9" s="1744"/>
      <c r="H9" s="1744"/>
      <c r="I9" s="1744"/>
      <c r="J9" s="1934"/>
      <c r="K9" s="1931"/>
      <c r="L9" s="1921" t="s">
        <v>1161</v>
      </c>
      <c r="M9" s="1922">
        <f>SUMPRODUCT((区片价!B277:B326=I2)*(区片价!C3:G3=E2)*(区片价!C277:G326))</f>
        <v>0</v>
      </c>
      <c r="N9" s="1923">
        <f>SUMPRODUCT((因素修正幅度!B277:B326=I2)*(因素修正幅度!C3:G3=E2)*(因素修正幅度!C277:G326))</f>
        <v>0</v>
      </c>
      <c r="O9" s="1931"/>
      <c r="P9" s="1914"/>
      <c r="Q9" s="1914"/>
      <c r="R9" s="2019">
        <v>8</v>
      </c>
      <c r="S9" s="2020"/>
      <c r="T9" s="2019" t="e">
        <f t="shared" si="0"/>
        <v>#DIV/0!</v>
      </c>
      <c r="U9" s="2020"/>
      <c r="V9" s="2019" t="e">
        <f t="shared" si="1"/>
        <v>#DIV/0!</v>
      </c>
      <c r="W9" s="3888"/>
      <c r="X9" s="2023" t="s">
        <v>1162</v>
      </c>
      <c r="Y9" s="2033">
        <v>6</v>
      </c>
      <c r="Z9" s="2034">
        <f t="shared" ref="Z9:AJ9" si="2">$Y$9</f>
        <v>6</v>
      </c>
      <c r="AA9" s="2034">
        <f t="shared" si="2"/>
        <v>6</v>
      </c>
      <c r="AB9" s="2034">
        <f t="shared" si="2"/>
        <v>6</v>
      </c>
      <c r="AC9" s="2034">
        <f t="shared" si="2"/>
        <v>6</v>
      </c>
      <c r="AD9" s="2034">
        <f t="shared" si="2"/>
        <v>6</v>
      </c>
      <c r="AE9" s="2034">
        <f t="shared" si="2"/>
        <v>6</v>
      </c>
      <c r="AF9" s="2034">
        <f t="shared" si="2"/>
        <v>6</v>
      </c>
      <c r="AG9" s="2034">
        <f t="shared" si="2"/>
        <v>6</v>
      </c>
      <c r="AH9" s="2034">
        <f t="shared" si="2"/>
        <v>6</v>
      </c>
      <c r="AI9" s="2034">
        <f t="shared" si="2"/>
        <v>6</v>
      </c>
      <c r="AJ9" s="2034">
        <f t="shared" si="2"/>
        <v>6</v>
      </c>
    </row>
    <row r="10" spans="1:39" ht="15">
      <c r="A10" s="1739"/>
      <c r="B10" s="1717" t="s">
        <v>1163</v>
      </c>
      <c r="C10" s="1746">
        <f>SUMIF(修正!C71:C139,C8,修正!F71:F139)</f>
        <v>0</v>
      </c>
      <c r="D10" s="1746" t="s">
        <v>1164</v>
      </c>
      <c r="E10" s="1746" t="e">
        <f>ROUND(C11/E7,4)</f>
        <v>#DIV/0!</v>
      </c>
      <c r="F10" s="1743" t="s">
        <v>1165</v>
      </c>
      <c r="G10" s="1744"/>
      <c r="H10" s="1744"/>
      <c r="I10" s="1744"/>
      <c r="J10" s="1934"/>
      <c r="K10" s="1931"/>
      <c r="L10" s="1921" t="s">
        <v>1166</v>
      </c>
      <c r="M10" s="1922">
        <f>SUMPRODUCT((区片价!B327:B357=I2)*(区片价!C3:G3=E2)*(区片价!C327:G357))</f>
        <v>0</v>
      </c>
      <c r="N10" s="1923">
        <f>SUMPRODUCT((因素修正幅度!B327:B357=I2)*(因素修正幅度!C3:G3=E2)*(因素修正幅度!C327:G357))</f>
        <v>0</v>
      </c>
      <c r="O10" s="1931"/>
      <c r="P10" s="1914"/>
      <c r="Q10" s="1914"/>
      <c r="R10" s="2019">
        <v>9</v>
      </c>
      <c r="S10" s="2020"/>
      <c r="T10" s="2019" t="e">
        <f t="shared" si="0"/>
        <v>#DIV/0!</v>
      </c>
      <c r="U10" s="2020"/>
      <c r="V10" s="2019" t="e">
        <f t="shared" si="1"/>
        <v>#DIV/0!</v>
      </c>
      <c r="W10" s="3888"/>
      <c r="X10" s="2023">
        <v>6</v>
      </c>
      <c r="Y10" s="2035">
        <f>ROUND((-0.5556*(Y9^2)-0.2719*Y9+8944)*(10^(-4)),4)</f>
        <v>0.89219999999999999</v>
      </c>
      <c r="Z10" s="2035">
        <f>ROUND((-0.5556*(Z9^2)-0.2719*Z9+8944)*(10^(-4)),4)</f>
        <v>0.89219999999999999</v>
      </c>
      <c r="AA10" s="2035">
        <f>ROUND((-0.7912*(AA9^2)-11.3794*AA9+8482)*(10^(-4)),4)</f>
        <v>0.83850000000000002</v>
      </c>
      <c r="AB10" s="2035">
        <f>ROUND((-0.7912*(AB9^2)-11.3794*AB9+8482)*(10^(-4)),4)</f>
        <v>0.83850000000000002</v>
      </c>
      <c r="AC10" s="2035">
        <f>ROUND((-0.7912*(AC9^2)-11.3794*AC9+8482)*(10^(-4)),4)</f>
        <v>0.83850000000000002</v>
      </c>
      <c r="AD10" s="2035">
        <f>ROUND((-0.7912*(AD9^2)-11.3794*AD9+8482)*(10^(-4)),4)</f>
        <v>0.83850000000000002</v>
      </c>
      <c r="AE10" s="2035">
        <f>ROUND((-0.7912*(AE9^2)-11.3794*AE9+8482)*(10^(-4)),4)</f>
        <v>0.83850000000000002</v>
      </c>
      <c r="AF10" s="2035">
        <f>ROUND((-0.989*(AF9^2)-63.78*AF9+7771)*(10^(-4)),4)</f>
        <v>0.73529999999999995</v>
      </c>
      <c r="AG10" s="2035">
        <f>ROUND((-0.989*(AG9^2)-63.78*AG9+7771)*(10^(-4)),4)</f>
        <v>0.73529999999999995</v>
      </c>
      <c r="AH10" s="2035">
        <f>ROUND((-0.989*(AH9^2)-63.78*AH9+7771)*(10^(-4)),4)</f>
        <v>0.73529999999999995</v>
      </c>
      <c r="AI10" s="2035">
        <f>ROUND((-0.989*(AI9^2)-63.78*AI9+7771)*(10^(-4)),4)</f>
        <v>0.73529999999999995</v>
      </c>
      <c r="AJ10" s="2035">
        <f>ROUND((-0.989*(AJ9^2)-63.78*AJ9+7771)*(10^(-4)),4)</f>
        <v>0.73529999999999995</v>
      </c>
    </row>
    <row r="11" spans="1:39" ht="15.75" customHeight="1">
      <c r="A11" s="1739"/>
      <c r="B11" s="1747" t="s">
        <v>1167</v>
      </c>
      <c r="C11" s="1748">
        <f>C10/4</f>
        <v>0</v>
      </c>
      <c r="D11" s="1748" t="s">
        <v>1168</v>
      </c>
      <c r="E11" s="1748" t="e">
        <f>ROUND(C11/E7,4)</f>
        <v>#DIV/0!</v>
      </c>
      <c r="F11" s="1749" t="s">
        <v>1169</v>
      </c>
      <c r="G11" s="1750"/>
      <c r="H11" s="1750"/>
      <c r="I11" s="1750"/>
      <c r="J11" s="1935"/>
      <c r="K11" s="1931"/>
      <c r="L11" s="1921" t="s">
        <v>1170</v>
      </c>
      <c r="M11" s="1922">
        <f>SUMPRODUCT((区片价!B358:B377=I2)*(区片价!C3:G3=E2)*(区片价!C358:G377))</f>
        <v>0</v>
      </c>
      <c r="N11" s="1923">
        <f>SUMPRODUCT((因素修正幅度!B358:B377=I2)*(因素修正幅度!C3:G3=E2)*(因素修正幅度!C358:G377))</f>
        <v>0</v>
      </c>
      <c r="O11" s="1931"/>
      <c r="P11" s="1914"/>
      <c r="Q11" s="1914"/>
      <c r="R11" s="2019">
        <v>10</v>
      </c>
      <c r="S11" s="2020"/>
      <c r="T11" s="2019" t="e">
        <f t="shared" si="0"/>
        <v>#DIV/0!</v>
      </c>
      <c r="U11" s="2020"/>
      <c r="V11" s="2019" t="e">
        <f t="shared" si="1"/>
        <v>#DIV/0!</v>
      </c>
      <c r="W11" s="1914"/>
      <c r="X11" s="1914"/>
      <c r="Y11" s="1914"/>
      <c r="Z11" s="1914"/>
      <c r="AA11" s="1914"/>
      <c r="AB11" s="1914"/>
      <c r="AC11" s="2027"/>
    </row>
    <row r="12" spans="1:39" ht="24.75">
      <c r="A12" s="1733" t="s">
        <v>933</v>
      </c>
      <c r="B12" s="1751" t="s">
        <v>1171</v>
      </c>
      <c r="C12" s="1752">
        <v>1.02</v>
      </c>
      <c r="D12" s="1753" t="s">
        <v>1172</v>
      </c>
      <c r="E12" s="1754" t="s">
        <v>1173</v>
      </c>
      <c r="F12" s="1755"/>
      <c r="G12" s="1756"/>
      <c r="H12" s="1756"/>
      <c r="I12" s="1756"/>
      <c r="J12" s="1936"/>
      <c r="K12" s="1931"/>
      <c r="L12" s="1937" t="s">
        <v>1174</v>
      </c>
      <c r="M12" s="1938">
        <f>SUMPRODUCT((区片价!B378:B384=I2)*(区片价!C3:G3=E2)*(区片价!C378:G384))</f>
        <v>0</v>
      </c>
      <c r="N12" s="1939">
        <f>SUMPRODUCT((因素修正幅度!B378:B384=I2)*(因素修正幅度!C3:G3=E2)*(因素修正幅度!C378:G384))</f>
        <v>0</v>
      </c>
      <c r="O12" s="1931"/>
      <c r="P12" s="1914"/>
      <c r="Q12" s="1914"/>
      <c r="R12" s="2019">
        <v>11</v>
      </c>
      <c r="S12" s="2020"/>
      <c r="T12" s="2019" t="e">
        <f t="shared" si="0"/>
        <v>#DIV/0!</v>
      </c>
      <c r="U12" s="2020"/>
      <c r="V12" s="2019" t="e">
        <f t="shared" si="1"/>
        <v>#DIV/0!</v>
      </c>
      <c r="W12" s="1914"/>
      <c r="X12" s="1914"/>
      <c r="Y12" s="1914"/>
      <c r="Z12" s="1914"/>
      <c r="AA12" s="1914"/>
      <c r="AB12" s="1914"/>
      <c r="AC12" s="2027"/>
    </row>
    <row r="13" spans="1:39" ht="15">
      <c r="A13" s="1733" t="s">
        <v>936</v>
      </c>
      <c r="B13" s="1757" t="s">
        <v>1175</v>
      </c>
      <c r="C13" s="1735">
        <f>ROUND(C16*D16*E16*F16*G16*H16*I16*J16,4)</f>
        <v>0</v>
      </c>
      <c r="D13" s="1758" t="s">
        <v>1176</v>
      </c>
      <c r="E13" s="1759"/>
      <c r="F13" s="1759"/>
      <c r="G13" s="1759"/>
      <c r="H13" s="1759"/>
      <c r="I13" s="1759"/>
      <c r="J13" s="1940"/>
      <c r="K13" s="1941"/>
      <c r="L13" s="1941"/>
      <c r="M13" s="1941"/>
      <c r="N13" s="1941"/>
      <c r="O13" s="1941"/>
      <c r="P13" s="1914"/>
      <c r="Q13" s="1914"/>
      <c r="R13" s="2019">
        <v>12</v>
      </c>
      <c r="S13" s="2020"/>
      <c r="T13" s="2019" t="e">
        <f t="shared" si="0"/>
        <v>#DIV/0!</v>
      </c>
      <c r="U13" s="2020"/>
      <c r="V13" s="2019" t="e">
        <f t="shared" si="1"/>
        <v>#DIV/0!</v>
      </c>
      <c r="W13" s="1914"/>
      <c r="X13" s="1914"/>
      <c r="Y13" s="1914"/>
      <c r="Z13" s="1914"/>
      <c r="AA13" s="1914"/>
      <c r="AB13" s="1914"/>
      <c r="AC13" s="2027"/>
    </row>
    <row r="14" spans="1:39" ht="12.75" customHeight="1">
      <c r="A14" s="1760"/>
      <c r="B14" s="1588" t="s">
        <v>1177</v>
      </c>
      <c r="C14" s="1603" t="s">
        <v>1178</v>
      </c>
      <c r="D14" s="1578" t="s">
        <v>1179</v>
      </c>
      <c r="E14" s="1074" t="s">
        <v>1180</v>
      </c>
      <c r="F14" s="1761" t="s">
        <v>1181</v>
      </c>
      <c r="G14" s="1761" t="s">
        <v>1181</v>
      </c>
      <c r="H14" s="1762" t="s">
        <v>1181</v>
      </c>
      <c r="I14" s="1942" t="s">
        <v>1181</v>
      </c>
      <c r="J14" s="1942" t="s">
        <v>1181</v>
      </c>
      <c r="K14" s="1943"/>
      <c r="L14" s="1943"/>
      <c r="M14" s="1943"/>
      <c r="N14" s="1943"/>
      <c r="O14" s="1943"/>
      <c r="P14" s="1914"/>
      <c r="Q14" s="1914"/>
      <c r="R14" s="2019">
        <v>13</v>
      </c>
      <c r="S14" s="2020"/>
      <c r="T14" s="2019" t="e">
        <f t="shared" si="0"/>
        <v>#DIV/0!</v>
      </c>
      <c r="U14" s="2020"/>
      <c r="V14" s="2019" t="e">
        <f t="shared" si="1"/>
        <v>#DIV/0!</v>
      </c>
      <c r="W14" s="1914"/>
      <c r="X14" s="1914"/>
      <c r="Y14" s="1914"/>
      <c r="Z14" s="1914"/>
      <c r="AA14" s="1914"/>
      <c r="AB14" s="1914"/>
      <c r="AC14" s="2027"/>
    </row>
    <row r="15" spans="1:39" ht="13.5" customHeight="1">
      <c r="A15" s="1760"/>
      <c r="B15" s="1578"/>
      <c r="C15" s="1763"/>
      <c r="D15" s="1764"/>
      <c r="E15" s="1765"/>
      <c r="F15" s="1765"/>
      <c r="G15" s="1766" t="s">
        <v>1182</v>
      </c>
      <c r="H15" s="1767"/>
      <c r="I15" s="1944"/>
      <c r="J15" s="1945"/>
      <c r="K15" s="1946"/>
      <c r="L15" s="1947"/>
      <c r="M15" s="1947"/>
      <c r="N15" s="1947"/>
      <c r="O15" s="1947"/>
      <c r="P15" s="1914"/>
      <c r="Q15" s="1914"/>
      <c r="R15" s="2019">
        <v>14</v>
      </c>
      <c r="S15" s="2020"/>
      <c r="T15" s="2019" t="e">
        <f t="shared" si="0"/>
        <v>#DIV/0!</v>
      </c>
      <c r="U15" s="2020"/>
      <c r="V15" s="2019" t="e">
        <f t="shared" si="1"/>
        <v>#DIV/0!</v>
      </c>
      <c r="W15" s="1914"/>
      <c r="X15" s="1914"/>
      <c r="Y15" s="1914"/>
      <c r="Z15" s="1914"/>
      <c r="AA15" s="1914"/>
      <c r="AB15" s="1914"/>
      <c r="AC15" s="2027"/>
    </row>
    <row r="16" spans="1:39" ht="24.6" customHeight="1">
      <c r="A16" s="1760"/>
      <c r="B16" s="1587" t="s">
        <v>1183</v>
      </c>
      <c r="C16" s="1768"/>
      <c r="D16" s="1768"/>
      <c r="E16" s="1768"/>
      <c r="F16" s="1768"/>
      <c r="G16" s="1768">
        <v>1</v>
      </c>
      <c r="H16" s="1768">
        <v>1</v>
      </c>
      <c r="I16" s="1768">
        <v>1</v>
      </c>
      <c r="J16" s="1948">
        <v>1</v>
      </c>
      <c r="K16" s="1947"/>
      <c r="L16" s="1947"/>
      <c r="M16" s="1947"/>
      <c r="N16" s="1947"/>
      <c r="O16" s="1947"/>
      <c r="P16" s="1914"/>
      <c r="Q16" s="1914"/>
      <c r="R16" s="2019">
        <v>15</v>
      </c>
      <c r="S16" s="2020"/>
      <c r="T16" s="2019" t="e">
        <f t="shared" si="0"/>
        <v>#DIV/0!</v>
      </c>
      <c r="U16" s="2020"/>
      <c r="V16" s="2019" t="e">
        <f t="shared" si="1"/>
        <v>#DIV/0!</v>
      </c>
      <c r="W16" s="2024"/>
      <c r="X16" s="2024"/>
      <c r="Y16" s="2024"/>
      <c r="Z16" s="2024"/>
      <c r="AA16" s="2024"/>
      <c r="AB16" s="2024"/>
      <c r="AC16" s="1962"/>
    </row>
    <row r="17" spans="1:40" ht="24">
      <c r="A17" s="1769" t="s">
        <v>940</v>
      </c>
      <c r="B17" s="1770" t="s">
        <v>1184</v>
      </c>
      <c r="C17" s="1771">
        <f>ROUND(IF(OR(E2="工业",E2="公共服务"),1,IF(AND(E18=0,E19=0),1,IF(AND(E18=J24,E19=G19),0.8,IF(E19=0,1+E17*(-0.2),1+E17*G17*(-0.2))))),4)</f>
        <v>1</v>
      </c>
      <c r="D17" s="1772" t="s">
        <v>1185</v>
      </c>
      <c r="E17" s="1771" t="e">
        <f>ROUND(G18/I18,2)</f>
        <v>#DIV/0!</v>
      </c>
      <c r="F17" s="1772" t="s">
        <v>1186</v>
      </c>
      <c r="G17" s="1771" t="e">
        <f>ROUND(E19/G19,2)</f>
        <v>#DIV/0!</v>
      </c>
      <c r="H17" s="1771"/>
      <c r="I17" s="1771"/>
      <c r="J17" s="1949"/>
      <c r="K17" s="1947"/>
      <c r="L17" s="1947"/>
      <c r="M17" s="1947"/>
      <c r="N17" s="1947"/>
      <c r="O17" s="1947"/>
      <c r="P17" s="1914"/>
      <c r="Q17" s="1914"/>
      <c r="R17" s="1962"/>
      <c r="S17" s="1962"/>
      <c r="T17" s="1962"/>
      <c r="U17" s="1962"/>
      <c r="V17" s="1962"/>
      <c r="W17" s="2024"/>
      <c r="X17" s="2024"/>
      <c r="Y17" s="2024"/>
      <c r="Z17" s="2024"/>
      <c r="AA17" s="2024"/>
      <c r="AB17" s="2024"/>
      <c r="AC17" s="1962"/>
      <c r="AH17" s="1696"/>
      <c r="AI17" s="1696"/>
      <c r="AJ17" s="1700"/>
      <c r="AK17" s="1700"/>
      <c r="AL17" s="1700"/>
      <c r="AM17" s="1700"/>
    </row>
    <row r="18" spans="1:40" s="1695" customFormat="1" ht="14.25">
      <c r="A18" s="1760"/>
      <c r="B18" s="1575"/>
      <c r="C18" s="1773"/>
      <c r="D18" s="1774" t="s">
        <v>1187</v>
      </c>
      <c r="E18" s="1775"/>
      <c r="F18" s="1776" t="s">
        <v>1188</v>
      </c>
      <c r="G18" s="1773">
        <f>ROUND(1-(1/(POWER(1+G24,E18))),4)</f>
        <v>0</v>
      </c>
      <c r="H18" s="1776" t="s">
        <v>1189</v>
      </c>
      <c r="I18" s="1773">
        <f>ROUND(1-(1/(POWER(1+G24,J24))),4)</f>
        <v>0</v>
      </c>
      <c r="J18" s="1950"/>
      <c r="K18" s="1947"/>
      <c r="L18" s="1947"/>
      <c r="M18" s="1947"/>
      <c r="N18" s="1947"/>
      <c r="O18" s="1947"/>
      <c r="P18" s="1914"/>
      <c r="Q18" s="1914"/>
      <c r="R18" s="2025"/>
      <c r="S18" s="2025"/>
      <c r="T18" s="2025"/>
      <c r="U18" s="2025"/>
      <c r="V18" s="2025"/>
      <c r="W18" s="1962"/>
      <c r="X18" s="1962"/>
      <c r="Y18" s="1962"/>
      <c r="Z18" s="1962"/>
      <c r="AA18" s="2024"/>
      <c r="AB18" s="2024"/>
      <c r="AC18" s="1979"/>
      <c r="AD18" s="2036"/>
      <c r="AE18" s="2036"/>
      <c r="AF18" s="2036"/>
      <c r="AG18" s="2036"/>
      <c r="AH18" s="1701"/>
      <c r="AI18" s="1701"/>
      <c r="AJ18" s="1699"/>
      <c r="AK18" s="1699"/>
      <c r="AL18" s="1699"/>
    </row>
    <row r="19" spans="1:40" s="1695" customFormat="1" ht="14.25">
      <c r="A19" s="1777"/>
      <c r="B19" s="1581"/>
      <c r="C19" s="1778"/>
      <c r="D19" s="1778" t="s">
        <v>1190</v>
      </c>
      <c r="E19" s="1779"/>
      <c r="F19" s="1780" t="s">
        <v>1191</v>
      </c>
      <c r="G19" s="1779"/>
      <c r="H19" s="1778"/>
      <c r="I19" s="1778"/>
      <c r="J19" s="1951"/>
      <c r="K19" s="1947"/>
      <c r="L19" s="1947"/>
      <c r="M19" s="1947"/>
      <c r="N19" s="1947"/>
      <c r="O19" s="1947"/>
      <c r="P19" s="1914"/>
      <c r="Q19" s="1914"/>
      <c r="R19" s="1979"/>
      <c r="S19" s="1979"/>
      <c r="T19" s="1979"/>
      <c r="U19" s="1979"/>
      <c r="V19" s="1979"/>
      <c r="W19" s="1979"/>
      <c r="X19" s="1979"/>
      <c r="Y19" s="1701"/>
      <c r="Z19" s="1701"/>
      <c r="AA19" s="1701"/>
      <c r="AB19" s="1701"/>
      <c r="AC19" s="2036"/>
      <c r="AD19" s="2037"/>
      <c r="AE19" s="2038"/>
      <c r="AF19" s="1699"/>
      <c r="AG19" s="2039"/>
      <c r="AH19" s="2039"/>
      <c r="AI19" s="2039"/>
    </row>
    <row r="20" spans="1:40" s="1695" customFormat="1" ht="14.25">
      <c r="A20" s="3880" t="s">
        <v>941</v>
      </c>
      <c r="B20" s="1734" t="s">
        <v>1192</v>
      </c>
      <c r="C20" s="1781" t="e">
        <f>ROUND(IF(F21="与级别开发程度一致",0,(G21-E21)/C21),0)</f>
        <v>#DIV/0!</v>
      </c>
      <c r="D20" s="3876" t="s">
        <v>1193</v>
      </c>
      <c r="E20" s="3877"/>
      <c r="F20" s="3876" t="s">
        <v>1194</v>
      </c>
      <c r="G20" s="3877"/>
      <c r="H20" s="1782"/>
      <c r="I20" s="1782"/>
      <c r="J20" s="1782"/>
      <c r="K20" s="1782"/>
      <c r="L20" s="1782"/>
      <c r="M20" s="1782"/>
      <c r="N20" s="1782"/>
      <c r="O20" s="1952"/>
      <c r="P20" s="1914"/>
      <c r="Q20" s="2024"/>
      <c r="R20" s="1979"/>
      <c r="S20" s="1979"/>
      <c r="T20" s="1979"/>
      <c r="U20" s="1979"/>
      <c r="V20" s="1979"/>
      <c r="W20" s="1979"/>
      <c r="X20" s="1979"/>
      <c r="Y20" s="2036"/>
      <c r="Z20" s="2036"/>
      <c r="AA20" s="2036"/>
      <c r="AB20" s="2036"/>
      <c r="AC20" s="2036"/>
      <c r="AD20" s="2036"/>
    </row>
    <row r="21" spans="1:40" s="1695" customFormat="1" ht="14.25">
      <c r="A21" s="3881"/>
      <c r="B21" s="1783" t="s">
        <v>1195</v>
      </c>
      <c r="C21" s="1784">
        <f>IF(E3="M4科研用地",SUMPRODUCT((修正!A2:A7=E3)*(修正!B1:M1=G2)*(修正!B2:M7)),SUMPRODUCT((修正!A2:A7=E2)*(修正!B1:M1=G2)*(修正!B2:M7)))</f>
        <v>0</v>
      </c>
      <c r="D21" s="1785" t="str">
        <f>IF(OR(G2="八级",G2="九级",G2="十级",G2="十一级",G2="十二级"),"五通一平","七通一平")</f>
        <v>七通一平</v>
      </c>
      <c r="E21" s="1786">
        <f>SUMPRODUCT((修正!B1:M1=G2)*(修正!B17:M17))</f>
        <v>0</v>
      </c>
      <c r="F21" s="1787"/>
      <c r="G21" s="1786">
        <f>SUM(H21:O21)</f>
        <v>0</v>
      </c>
      <c r="H21" s="1788">
        <f>SUMPRODUCT((七通一平=H20)*(修正!B1:M1=G2)*(修正!B8:M16))</f>
        <v>0</v>
      </c>
      <c r="I21" s="1788">
        <f>SUMPRODUCT((七通一平=I20)*(修正!B1:M1=G2)*(修正!B8:M16))</f>
        <v>0</v>
      </c>
      <c r="J21" s="1788">
        <f>SUMPRODUCT((七通一平=J20)*(修正!B1:M1=G2)*(修正!B8:M16))</f>
        <v>0</v>
      </c>
      <c r="K21" s="1788">
        <f>SUMPRODUCT((七通一平=K20)*(修正!B1:M1=G2)*(修正!B8:M16))</f>
        <v>0</v>
      </c>
      <c r="L21" s="1788">
        <f>SUMPRODUCT((七通一平=L20)*(修正!B1:M1=G2)*(修正!B8:M16))</f>
        <v>0</v>
      </c>
      <c r="M21" s="1788">
        <f>SUMPRODUCT((七通一平=M20)*(修正!B1:M1=G2)*(修正!B8:M16))</f>
        <v>0</v>
      </c>
      <c r="N21" s="1788">
        <f>SUMPRODUCT((七通一平=N20)*(修正!B1:M1=G2)*(修正!B8:M16))</f>
        <v>0</v>
      </c>
      <c r="O21" s="1953">
        <f>SUMPRODUCT((七通一平=O20)*(修正!B1:M1=G2)*(修正!B8:M16))</f>
        <v>0</v>
      </c>
      <c r="P21" s="1914"/>
      <c r="Q21" s="2024"/>
      <c r="R21" s="1979"/>
      <c r="S21" s="1979"/>
      <c r="T21" s="1979"/>
      <c r="U21" s="1979"/>
      <c r="V21" s="1979"/>
      <c r="W21" s="1979"/>
      <c r="X21" s="1979"/>
      <c r="Y21" s="1701"/>
      <c r="Z21" s="1701"/>
      <c r="AA21" s="1701"/>
      <c r="AB21" s="1701"/>
      <c r="AC21" s="2036"/>
      <c r="AD21" s="2036"/>
    </row>
    <row r="22" spans="1:40" s="1695" customFormat="1" ht="15">
      <c r="A22" s="1789" t="s">
        <v>888</v>
      </c>
      <c r="B22" s="1790" t="s">
        <v>1196</v>
      </c>
      <c r="C22" s="1791">
        <f>SUMIF(修正!C20:C51,E3,修正!E20:E51)</f>
        <v>0</v>
      </c>
      <c r="D22" s="1792"/>
      <c r="E22" s="1793"/>
      <c r="F22" s="1794"/>
      <c r="G22" s="1795"/>
      <c r="H22" s="1795"/>
      <c r="I22" s="1795"/>
      <c r="J22" s="1954"/>
      <c r="K22" s="1928"/>
      <c r="L22" s="1795"/>
      <c r="M22" s="1795"/>
      <c r="N22" s="1795"/>
      <c r="O22" s="1795"/>
      <c r="P22" s="1955"/>
      <c r="Q22" s="2025"/>
      <c r="R22" s="1979"/>
      <c r="S22" s="1979"/>
      <c r="T22" s="1979"/>
      <c r="U22" s="1979"/>
      <c r="V22" s="1979"/>
      <c r="W22" s="1979"/>
      <c r="X22" s="1979"/>
      <c r="Y22" s="2036"/>
      <c r="Z22" s="2036"/>
      <c r="AA22" s="2036"/>
      <c r="AB22" s="2036"/>
      <c r="AC22" s="2036"/>
      <c r="AD22" s="2036"/>
    </row>
    <row r="23" spans="1:40" ht="27">
      <c r="A23" s="1796" t="s">
        <v>893</v>
      </c>
      <c r="B23" s="1797" t="s">
        <v>1197</v>
      </c>
      <c r="C23" s="1798">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13=YEAR(G23)&amp;"-"&amp;ROUNDUP(MONTH(G23)/3,0))*(地价!Y2:AD2=E2)*(地价!Y3:AD13)),IF(H23="地价指数",M24/M23,(1+I23)^O23))))),4)</f>
        <v>0</v>
      </c>
      <c r="D23" s="1799" t="s">
        <v>1198</v>
      </c>
      <c r="E23" s="1800">
        <v>44197</v>
      </c>
      <c r="F23" s="1799" t="s">
        <v>417</v>
      </c>
      <c r="G23" s="1801">
        <f>'数据-取费表'!B2</f>
        <v>45260</v>
      </c>
      <c r="H23" s="1802" t="s">
        <v>1199</v>
      </c>
      <c r="I23" s="1956" t="str">
        <f>IF(H23="季度增幅（自定义）",SUMIF(N25:N28,E2,O25:O28),"")</f>
        <v/>
      </c>
      <c r="J23" s="1957"/>
      <c r="K23" s="1928"/>
      <c r="L23" s="1958" t="s">
        <v>1200</v>
      </c>
      <c r="M23" s="1959">
        <f>ROUND(SUMIF(地价!B2:F2,E2,地价!B41:F41),0)</f>
        <v>0</v>
      </c>
      <c r="N23" s="1960" t="s">
        <v>1201</v>
      </c>
      <c r="O23" s="1961">
        <f>ROUNDDOWN(DATEDIF(E23,G23,"M")/3,0)</f>
        <v>11</v>
      </c>
      <c r="P23" s="1962"/>
      <c r="Q23" s="2026"/>
      <c r="R23" s="1979"/>
      <c r="S23" s="1979"/>
      <c r="T23" s="1979"/>
      <c r="U23" s="1979"/>
      <c r="V23" s="1979"/>
      <c r="W23" s="1979"/>
      <c r="X23" s="1979"/>
      <c r="Y23" s="1701"/>
      <c r="Z23" s="1701"/>
      <c r="AA23" s="1701"/>
      <c r="AB23" s="1701"/>
      <c r="AC23" s="1701"/>
      <c r="AE23" s="1699"/>
      <c r="AF23" s="1699"/>
      <c r="AG23" s="1699"/>
      <c r="AH23" s="1699"/>
      <c r="AI23" s="1699"/>
      <c r="AJ23" s="1700"/>
      <c r="AK23" s="1700"/>
      <c r="AL23" s="1700"/>
      <c r="AM23" s="1700"/>
    </row>
    <row r="24" spans="1:40" s="1695" customFormat="1" ht="24">
      <c r="A24" s="1789" t="s">
        <v>896</v>
      </c>
      <c r="B24" s="1803" t="s">
        <v>360</v>
      </c>
      <c r="C24" s="1804" t="e">
        <f>ROUND(POWER(1+G24,J24-I24)*(POWER(1+G24,I24)-1)/(POWER(1+G24,J24)-1),4)</f>
        <v>#DIV/0!</v>
      </c>
      <c r="D24" s="1805" t="s">
        <v>1202</v>
      </c>
      <c r="E24" s="1806">
        <f>存贷款利率!E24/100</f>
        <v>4.3499999999999997E-2</v>
      </c>
      <c r="F24" s="1805" t="s">
        <v>1203</v>
      </c>
      <c r="G24" s="1807">
        <f>SUMIF(M30:Q30,E2,M33:Q33)</f>
        <v>0</v>
      </c>
      <c r="H24" s="1805" t="s">
        <v>1204</v>
      </c>
      <c r="I24" s="1963" t="e">
        <f>SUMIF('数据-取费表'!C6:C15,E2,'数据-取费表'!F6:F15)/COUNTIF('数据-取费表'!C6:C15,E2)</f>
        <v>#DIV/0!</v>
      </c>
      <c r="J24" s="1964">
        <f>IF(E2="住宅",70,IF(E2="商业",40,50))</f>
        <v>50</v>
      </c>
      <c r="K24" s="1947"/>
      <c r="L24" s="1965" t="s">
        <v>1205</v>
      </c>
      <c r="M24" s="1966">
        <f>ROUND(SUMPRODUCT((地价!A4:A41=YEAR(G23)&amp;"-"&amp;ROUNDUP(MONTH(G23)/3,0))*(地价!B2:F2=E2)*(地价!B4:F41)),0)</f>
        <v>0</v>
      </c>
      <c r="N24" s="1967" t="s">
        <v>1206</v>
      </c>
      <c r="O24" s="1968" t="s">
        <v>1207</v>
      </c>
      <c r="P24" s="1969" t="s">
        <v>1208</v>
      </c>
      <c r="Q24" s="2026"/>
      <c r="R24" s="1979"/>
      <c r="S24" s="1979"/>
      <c r="T24" s="1979"/>
      <c r="U24" s="1979"/>
      <c r="V24" s="1979"/>
      <c r="W24" s="1979"/>
      <c r="X24" s="1979"/>
      <c r="Y24" s="2036"/>
      <c r="Z24" s="2036"/>
      <c r="AA24" s="2036"/>
      <c r="AB24" s="2036"/>
      <c r="AC24" s="2036"/>
      <c r="AD24" s="2036"/>
    </row>
    <row r="25" spans="1:40" ht="14.25">
      <c r="A25" s="1808" t="s">
        <v>921</v>
      </c>
      <c r="B25" s="1809" t="s">
        <v>176</v>
      </c>
      <c r="C25" s="1810">
        <f>IF(B25="容积率修正",IF(G3&lt;10,D26,J26),C27)</f>
        <v>0</v>
      </c>
      <c r="D25" s="1811"/>
      <c r="E25" s="1811"/>
      <c r="F25" s="1811"/>
      <c r="G25" s="1811"/>
      <c r="H25" s="1811"/>
      <c r="I25" s="1811"/>
      <c r="J25" s="1970"/>
      <c r="K25" s="1928"/>
      <c r="L25" s="1811"/>
      <c r="M25" s="1811"/>
      <c r="N25" s="1971" t="s">
        <v>437</v>
      </c>
      <c r="O25" s="1972"/>
      <c r="P25" s="1973">
        <f>SUMPRODUCT((地价!A3:A41=YEAR(G23)&amp;"-"&amp;ROUNDUP(MONTH(G23)/3,0))*(地价!AD2:AH2=N25)*(地价!AD3:AH41))</f>
        <v>0</v>
      </c>
      <c r="Q25" s="2026"/>
      <c r="R25" s="1979"/>
      <c r="S25" s="1979"/>
      <c r="T25" s="1979"/>
      <c r="U25" s="1979"/>
      <c r="V25" s="1979"/>
      <c r="W25" s="1979"/>
      <c r="X25" s="1979"/>
      <c r="Y25" s="1701"/>
      <c r="Z25" s="1701"/>
      <c r="AA25" s="1701"/>
      <c r="AB25" s="1701"/>
      <c r="AC25" s="1701"/>
      <c r="AE25" s="1699"/>
      <c r="AF25" s="1699"/>
      <c r="AG25" s="1699"/>
      <c r="AH25" s="1699"/>
      <c r="AI25" s="1700"/>
      <c r="AJ25" s="1700"/>
      <c r="AK25" s="1700"/>
      <c r="AL25" s="1700"/>
      <c r="AM25" s="1700"/>
    </row>
    <row r="26" spans="1:40" ht="14.25">
      <c r="A26" s="1812" t="s">
        <v>1132</v>
      </c>
      <c r="B26" s="1813" t="s">
        <v>1209</v>
      </c>
      <c r="C26" s="1814" t="s">
        <v>1210</v>
      </c>
      <c r="D26" s="1815">
        <f>IF(E26=G26,F26,IF(G3&lt;10,ROUND(F26+(H26-F26)*(G3-E26)/(G26-E26),4),"——"))</f>
        <v>0</v>
      </c>
      <c r="E26" s="1716">
        <f>ROUNDDOWN(G3,1)</f>
        <v>0</v>
      </c>
      <c r="F26" s="1815">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716">
        <f>ROUNDUP(G3,1)</f>
        <v>0</v>
      </c>
      <c r="H26" s="1815">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814" t="s">
        <v>1211</v>
      </c>
      <c r="J26" s="1815" t="str">
        <f>IF(G3&gt;=10,D116,"——")</f>
        <v>——</v>
      </c>
      <c r="K26" s="1974"/>
      <c r="L26" s="1811"/>
      <c r="M26" s="1811"/>
      <c r="N26" s="1971" t="s">
        <v>438</v>
      </c>
      <c r="O26" s="1972"/>
      <c r="P26" s="1973">
        <f>SUMPRODUCT((地价!A3:A41=YEAR(G23)&amp;"-"&amp;ROUNDUP(MONTH(G23)/3,0))*(地价!AD2:AH2=N26)*(地价!AD3:AH41))</f>
        <v>0</v>
      </c>
      <c r="Q26" s="2026"/>
      <c r="R26" s="1979"/>
      <c r="S26" s="1979"/>
      <c r="T26" s="1979"/>
      <c r="U26" s="1979"/>
      <c r="V26" s="1979"/>
      <c r="W26" s="1979"/>
      <c r="X26" s="1979"/>
      <c r="Y26" s="2036"/>
      <c r="Z26" s="2036"/>
      <c r="AA26" s="2036"/>
      <c r="AB26" s="2036"/>
      <c r="AC26" s="1701"/>
      <c r="AE26" s="1699"/>
      <c r="AF26" s="1699"/>
      <c r="AG26" s="1699"/>
      <c r="AH26" s="1699"/>
      <c r="AI26" s="1700"/>
      <c r="AJ26" s="1700"/>
      <c r="AK26" s="1700"/>
      <c r="AL26" s="1700"/>
      <c r="AM26" s="1700"/>
    </row>
    <row r="27" spans="1:40" ht="15">
      <c r="A27" s="1812" t="s">
        <v>1135</v>
      </c>
      <c r="B27" s="1813" t="s">
        <v>1212</v>
      </c>
      <c r="C27" s="1816">
        <f>ROUND(IF(I3&lt;6,SUMPRODUCT((B107:B111=I3)*(C106:N106=G2)*(C107:N111)),SUMIF(C106:N106,G2,C113:N113)),4)</f>
        <v>0</v>
      </c>
      <c r="D27" s="1817"/>
      <c r="E27" s="1817"/>
      <c r="F27" s="1818"/>
      <c r="G27" s="1819"/>
      <c r="H27" s="1820"/>
      <c r="I27" s="1975"/>
      <c r="J27" s="1975"/>
      <c r="K27" s="1976"/>
      <c r="L27" s="1707"/>
      <c r="M27" s="1707"/>
      <c r="N27" s="1971" t="s">
        <v>402</v>
      </c>
      <c r="O27" s="1972"/>
      <c r="P27" s="1973">
        <f>SUMPRODUCT((地价!A3:A41=YEAR(G23)&amp;"-"&amp;ROUNDUP(MONTH(G23)/3,0))*(地价!AD2:AH2=N27)*(地价!AD3:AH41))</f>
        <v>0</v>
      </c>
      <c r="Q27" s="2026"/>
      <c r="R27" s="2026"/>
      <c r="S27" s="2026"/>
      <c r="T27" s="2026"/>
      <c r="U27" s="2026"/>
      <c r="V27" s="2026"/>
      <c r="W27" s="1979"/>
      <c r="X27" s="1979"/>
      <c r="Y27" s="1979"/>
      <c r="Z27" s="1979"/>
      <c r="AA27" s="1979"/>
      <c r="AB27" s="1979"/>
      <c r="AC27" s="1979"/>
    </row>
    <row r="28" spans="1:40" ht="15">
      <c r="A28" s="1821" t="s">
        <v>1213</v>
      </c>
      <c r="B28" s="1723" t="s">
        <v>1214</v>
      </c>
      <c r="C28" s="1822">
        <f>SUMIF(A47:A101,E2,B47:B101)</f>
        <v>0</v>
      </c>
      <c r="D28" s="1823"/>
      <c r="E28" s="1824"/>
      <c r="F28" s="1824"/>
      <c r="G28" s="1824"/>
      <c r="H28" s="1824"/>
      <c r="I28" s="1824"/>
      <c r="J28" s="1824"/>
      <c r="K28" s="1976"/>
      <c r="L28" s="1811"/>
      <c r="M28" s="1811"/>
      <c r="N28" s="1971" t="s">
        <v>164</v>
      </c>
      <c r="O28" s="1977"/>
      <c r="P28" s="1973">
        <f>SUMPRODUCT((地价!A3:A41=YEAR(G23)&amp;"-"&amp;ROUNDUP(MONTH(G23)/3,0))*(地价!AD2:AH2=N28)*(地价!AD3:AH41))</f>
        <v>0</v>
      </c>
      <c r="Q28" s="2026"/>
      <c r="R28" s="2026"/>
      <c r="S28" s="2026"/>
      <c r="T28" s="2026"/>
      <c r="U28" s="2026"/>
      <c r="V28" s="2026"/>
      <c r="W28" s="1979"/>
      <c r="X28" s="1979"/>
      <c r="Y28" s="1979"/>
      <c r="Z28" s="1979"/>
      <c r="AA28" s="1979"/>
      <c r="AB28" s="1979"/>
      <c r="AC28" s="1979"/>
      <c r="AD28" s="2036"/>
      <c r="AE28" s="2036"/>
      <c r="AF28" s="2036"/>
      <c r="AG28" s="2036"/>
    </row>
    <row r="29" spans="1:40" ht="14.25">
      <c r="A29" s="1821" t="s">
        <v>1215</v>
      </c>
      <c r="B29" s="1825" t="s">
        <v>1216</v>
      </c>
      <c r="C29" s="1826"/>
      <c r="D29" s="1827"/>
      <c r="E29" s="1827"/>
      <c r="F29" s="1828"/>
      <c r="G29" s="1827"/>
      <c r="H29" s="1827"/>
      <c r="I29" s="1827"/>
      <c r="J29" s="1978"/>
      <c r="K29" s="1931"/>
      <c r="L29" s="1979"/>
      <c r="M29" s="1979"/>
      <c r="N29" s="1980" t="s">
        <v>1097</v>
      </c>
      <c r="O29" s="1981"/>
      <c r="P29" s="1982">
        <f>SUMPRODUCT((地价!A3:A41=YEAR(G23)&amp;"-"&amp;ROUNDUP(MONTH(G23)/3,0))*(地价!AD2:AH2=N29)*(地价!AD3:AH41))</f>
        <v>0</v>
      </c>
      <c r="Q29" s="2026"/>
      <c r="R29" s="1979"/>
      <c r="S29" s="1979"/>
      <c r="T29" s="1979"/>
      <c r="U29" s="1979"/>
      <c r="V29" s="1979"/>
      <c r="W29" s="2026"/>
      <c r="X29" s="2026"/>
      <c r="Y29" s="2026"/>
      <c r="Z29" s="2026"/>
      <c r="AA29" s="2026"/>
      <c r="AB29" s="1979"/>
      <c r="AC29" s="1979"/>
      <c r="AD29" s="1979"/>
      <c r="AE29" s="1979"/>
      <c r="AF29" s="1979"/>
      <c r="AG29" s="1979"/>
      <c r="AH29" s="1979"/>
      <c r="AJ29" s="1701"/>
      <c r="AK29" s="1701"/>
      <c r="AL29" s="1701"/>
      <c r="AM29" s="1696"/>
      <c r="AN29" s="1696"/>
    </row>
    <row r="30" spans="1:40" ht="13.5">
      <c r="A30" s="1829"/>
      <c r="B30" s="1813" t="s">
        <v>1217</v>
      </c>
      <c r="C30" s="1830" t="e">
        <f>IF(B25="容积率修正",E33+SUM(E37:E42),SUM(V2:V16)+SUM(E37:E42))</f>
        <v>#DIV/0!</v>
      </c>
      <c r="D30" s="1831"/>
      <c r="E30" s="1832"/>
      <c r="F30" s="1833"/>
      <c r="G30" s="1832"/>
      <c r="H30" s="1832"/>
      <c r="I30" s="1832"/>
      <c r="J30" s="1983"/>
      <c r="K30" s="1931"/>
      <c r="L30" s="1984" t="s">
        <v>352</v>
      </c>
      <c r="M30" s="1985" t="s">
        <v>437</v>
      </c>
      <c r="N30" s="1985" t="s">
        <v>438</v>
      </c>
      <c r="O30" s="1985" t="s">
        <v>402</v>
      </c>
      <c r="P30" s="1986" t="s">
        <v>164</v>
      </c>
      <c r="Q30" s="1986" t="s">
        <v>297</v>
      </c>
      <c r="R30" s="1914"/>
      <c r="S30" s="1914"/>
      <c r="T30" s="1914"/>
      <c r="U30" s="1914"/>
      <c r="V30" s="1914"/>
      <c r="W30" s="2027"/>
      <c r="X30" s="2027"/>
      <c r="Y30" s="2027"/>
      <c r="Z30" s="2027"/>
      <c r="AA30" s="2027"/>
      <c r="AB30" s="1914"/>
      <c r="AC30" s="1914"/>
      <c r="AD30" s="1914"/>
      <c r="AE30" s="1914"/>
      <c r="AF30" s="1914"/>
      <c r="AG30" s="1914"/>
      <c r="AH30" s="1914"/>
      <c r="AI30" s="2036"/>
      <c r="AJ30" s="2036"/>
      <c r="AK30" s="2036"/>
      <c r="AL30" s="2036"/>
      <c r="AM30" s="1696"/>
      <c r="AN30" s="1696"/>
    </row>
    <row r="31" spans="1:40" ht="13.5">
      <c r="A31" s="1829"/>
      <c r="B31" s="1834" t="s">
        <v>1218</v>
      </c>
      <c r="C31" s="1835" t="e">
        <f>E34+SUM(I37:I42)</f>
        <v>#DIV/0!</v>
      </c>
      <c r="D31" s="1836"/>
      <c r="E31" s="1837"/>
      <c r="F31" s="1838"/>
      <c r="G31" s="1837"/>
      <c r="H31" s="1837"/>
      <c r="I31" s="1837"/>
      <c r="J31" s="1987"/>
      <c r="K31" s="1931"/>
      <c r="L31" s="1988" t="s">
        <v>1219</v>
      </c>
      <c r="M31" s="1989">
        <v>0.25</v>
      </c>
      <c r="N31" s="1989">
        <v>0.2</v>
      </c>
      <c r="O31" s="1989">
        <v>0.15</v>
      </c>
      <c r="P31" s="1990">
        <v>0.1</v>
      </c>
      <c r="Q31" s="1990">
        <v>0.15</v>
      </c>
      <c r="R31" s="1914"/>
      <c r="S31" s="1914"/>
      <c r="T31" s="1914"/>
      <c r="U31" s="1914"/>
      <c r="V31" s="1914"/>
      <c r="W31" s="2027"/>
      <c r="X31" s="2027"/>
      <c r="Y31" s="2027"/>
      <c r="Z31" s="2027"/>
      <c r="AA31" s="2027"/>
      <c r="AB31" s="1914"/>
      <c r="AC31" s="1914"/>
      <c r="AD31" s="1914"/>
      <c r="AE31" s="1914"/>
      <c r="AF31" s="1914"/>
      <c r="AG31" s="1914"/>
      <c r="AH31" s="1914"/>
      <c r="AJ31" s="1701"/>
      <c r="AK31" s="1701"/>
      <c r="AL31" s="1701"/>
      <c r="AM31" s="1696"/>
      <c r="AN31" s="1696"/>
    </row>
    <row r="32" spans="1:40" ht="13.5">
      <c r="A32" s="1839"/>
      <c r="B32" s="1840" t="s">
        <v>1220</v>
      </c>
      <c r="C32" s="1841" t="s">
        <v>1221</v>
      </c>
      <c r="D32" s="1841" t="s">
        <v>446</v>
      </c>
      <c r="E32" s="1842" t="s">
        <v>649</v>
      </c>
      <c r="F32" s="1843"/>
      <c r="G32" s="1844"/>
      <c r="H32" s="1844"/>
      <c r="I32" s="1844"/>
      <c r="J32" s="1991"/>
      <c r="K32" s="1931"/>
      <c r="L32" s="1992" t="s">
        <v>1203</v>
      </c>
      <c r="M32" s="1993">
        <f>ROUND($E$24*(1+M31),3)</f>
        <v>5.3999999999999999E-2</v>
      </c>
      <c r="N32" s="1993">
        <f>ROUND($E$24*(1+N31),3)</f>
        <v>5.1999999999999998E-2</v>
      </c>
      <c r="O32" s="1993">
        <f>ROUND($E$24*(1+O31),3)</f>
        <v>0.05</v>
      </c>
      <c r="P32" s="1994">
        <f>ROUND($E$24*(1+P31),3)</f>
        <v>4.8000000000000001E-2</v>
      </c>
      <c r="Q32" s="1994">
        <f>ROUND($E$24*(1+Q31),3)</f>
        <v>0.05</v>
      </c>
      <c r="R32" s="1914"/>
      <c r="S32" s="1914"/>
      <c r="T32" s="1914"/>
      <c r="U32" s="1914"/>
      <c r="V32" s="1914"/>
      <c r="W32" s="2027"/>
      <c r="X32" s="2027"/>
      <c r="Y32" s="2027"/>
      <c r="Z32" s="2027"/>
      <c r="AA32" s="2027"/>
      <c r="AB32" s="1914"/>
      <c r="AC32" s="1914"/>
      <c r="AD32" s="1914"/>
      <c r="AE32" s="1914"/>
      <c r="AF32" s="1914"/>
      <c r="AG32" s="1914"/>
      <c r="AH32" s="1914"/>
      <c r="AI32" s="1696"/>
      <c r="AJ32" s="1696"/>
      <c r="AK32" s="1696"/>
      <c r="AL32" s="1696"/>
      <c r="AM32" s="1696"/>
      <c r="AN32" s="1696"/>
    </row>
    <row r="33" spans="1:44" ht="12.75">
      <c r="A33" s="1845"/>
      <c r="B33" s="1846" t="s">
        <v>1222</v>
      </c>
      <c r="C33" s="1847" t="e">
        <f>ROUND(C5*C22*C23*C24*C25*C28,0)</f>
        <v>#DIV/0!</v>
      </c>
      <c r="D33" s="1848"/>
      <c r="E33" s="1849" t="e">
        <f>ROUND(C33*D33/10000,0)</f>
        <v>#DIV/0!</v>
      </c>
      <c r="F33" s="1850" t="s">
        <v>1223</v>
      </c>
      <c r="G33" s="1851"/>
      <c r="H33" s="1851"/>
      <c r="I33" s="1851"/>
      <c r="J33" s="1995"/>
      <c r="K33" s="1996"/>
      <c r="L33" s="1997" t="s">
        <v>1224</v>
      </c>
      <c r="M33" s="1998">
        <v>5.5E-2</v>
      </c>
      <c r="N33" s="1998">
        <v>5.5E-2</v>
      </c>
      <c r="O33" s="1998">
        <v>0.05</v>
      </c>
      <c r="P33" s="1998">
        <v>0.05</v>
      </c>
      <c r="Q33" s="1998">
        <v>0.05</v>
      </c>
      <c r="R33" s="1914"/>
      <c r="S33" s="1914"/>
      <c r="T33" s="1914"/>
      <c r="U33" s="1914"/>
      <c r="V33" s="1914"/>
      <c r="W33" s="2027"/>
      <c r="X33" s="2027"/>
      <c r="Y33" s="2027"/>
      <c r="Z33" s="2027"/>
      <c r="AA33" s="2027"/>
      <c r="AB33" s="1914"/>
      <c r="AC33" s="1914"/>
      <c r="AD33" s="1914"/>
      <c r="AE33" s="1914"/>
      <c r="AF33" s="1914"/>
      <c r="AG33" s="1914"/>
      <c r="AH33" s="2027"/>
      <c r="AJ33" s="1701"/>
      <c r="AK33" s="1701"/>
      <c r="AL33" s="1701"/>
      <c r="AM33" s="1701"/>
      <c r="AN33" s="1701"/>
      <c r="AO33" s="1699"/>
      <c r="AP33" s="1699"/>
      <c r="AQ33" s="1699"/>
      <c r="AR33" s="1699"/>
    </row>
    <row r="34" spans="1:44" ht="12.75">
      <c r="A34" s="1852"/>
      <c r="B34" s="1853" t="s">
        <v>1225</v>
      </c>
      <c r="C34" s="1788" t="e">
        <f>ROUND(IF(E2="工业",C33*M42,IF(B25="楼层修正",SUM(V2:V16)*M41*10000/D34,C33*M41)),0)</f>
        <v>#DIV/0!</v>
      </c>
      <c r="D34" s="1854"/>
      <c r="E34" s="1849" t="e">
        <f>ROUND(IF(B25="楼层修正",SUM(V2:V16)*#REF!,C34*D34/10000),0)</f>
        <v>#DIV/0!</v>
      </c>
      <c r="F34" s="1855" t="s">
        <v>1226</v>
      </c>
      <c r="G34" s="1856"/>
      <c r="H34" s="1856"/>
      <c r="I34" s="1856"/>
      <c r="J34" s="1999"/>
      <c r="K34" s="1931"/>
      <c r="L34" s="1997" t="s">
        <v>1227</v>
      </c>
      <c r="M34" s="1998">
        <v>6.5000000000000002E-2</v>
      </c>
      <c r="N34" s="1998">
        <v>6.5000000000000002E-2</v>
      </c>
      <c r="O34" s="1998">
        <v>0.06</v>
      </c>
      <c r="P34" s="1998">
        <v>0.06</v>
      </c>
      <c r="Q34" s="1998">
        <v>0.06</v>
      </c>
      <c r="R34" s="1914"/>
      <c r="S34" s="1914"/>
      <c r="T34" s="1914"/>
      <c r="U34" s="1914"/>
      <c r="V34" s="1914"/>
      <c r="W34" s="2027"/>
      <c r="X34" s="2027"/>
      <c r="Y34" s="2027"/>
      <c r="Z34" s="2027"/>
      <c r="AA34" s="2027"/>
      <c r="AB34" s="1914"/>
      <c r="AC34" s="1914"/>
      <c r="AD34" s="1914"/>
      <c r="AE34" s="1914"/>
      <c r="AF34" s="1914"/>
      <c r="AG34" s="1914"/>
      <c r="AH34" s="2027"/>
      <c r="AJ34" s="1701"/>
      <c r="AK34" s="1701"/>
      <c r="AL34" s="1701"/>
      <c r="AM34" s="1701"/>
      <c r="AN34" s="1701"/>
      <c r="AO34" s="1699"/>
      <c r="AP34" s="1699"/>
      <c r="AQ34" s="1699"/>
      <c r="AR34" s="1699"/>
    </row>
    <row r="35" spans="1:44">
      <c r="A35" s="1857"/>
      <c r="B35" s="1858" t="s">
        <v>1228</v>
      </c>
      <c r="C35" s="1859" t="s">
        <v>1229</v>
      </c>
      <c r="D35" s="1844"/>
      <c r="E35" s="1859"/>
      <c r="F35" s="1859"/>
      <c r="G35" s="1860" t="s">
        <v>1230</v>
      </c>
      <c r="H35" s="1844"/>
      <c r="I35" s="2000"/>
      <c r="J35" s="1991"/>
      <c r="K35" s="1931"/>
      <c r="L35" s="1931"/>
      <c r="M35" s="1931"/>
      <c r="N35" s="1931"/>
      <c r="O35" s="1931"/>
      <c r="P35" s="1914"/>
      <c r="Q35" s="1914"/>
      <c r="R35" s="1914"/>
      <c r="S35" s="1914"/>
      <c r="T35" s="1914"/>
      <c r="U35" s="1914"/>
      <c r="V35" s="1914"/>
      <c r="W35" s="2027"/>
      <c r="X35" s="2027"/>
      <c r="Y35" s="2027"/>
      <c r="Z35" s="2027"/>
      <c r="AA35" s="2027"/>
      <c r="AB35" s="1914"/>
      <c r="AC35" s="1914"/>
      <c r="AD35" s="1914"/>
      <c r="AE35" s="1914"/>
      <c r="AF35" s="1914"/>
      <c r="AG35" s="1914"/>
      <c r="AH35" s="2027"/>
      <c r="AJ35" s="1701"/>
      <c r="AK35" s="1701"/>
      <c r="AL35" s="1701"/>
      <c r="AM35" s="1701"/>
      <c r="AN35" s="1701"/>
      <c r="AO35" s="1699"/>
      <c r="AP35" s="1699"/>
      <c r="AQ35" s="1699"/>
      <c r="AR35" s="1699"/>
    </row>
    <row r="36" spans="1:44" ht="24">
      <c r="A36" s="1845"/>
      <c r="B36" s="1861"/>
      <c r="C36" s="1862" t="s">
        <v>1221</v>
      </c>
      <c r="D36" s="1863" t="s">
        <v>446</v>
      </c>
      <c r="E36" s="1863" t="s">
        <v>649</v>
      </c>
      <c r="F36" s="1705" t="s">
        <v>1231</v>
      </c>
      <c r="G36" s="1864" t="s">
        <v>1221</v>
      </c>
      <c r="H36" s="1864" t="s">
        <v>446</v>
      </c>
      <c r="I36" s="1864" t="s">
        <v>649</v>
      </c>
      <c r="J36" s="2001"/>
      <c r="K36" s="2002" t="s">
        <v>1232</v>
      </c>
      <c r="L36" s="2003">
        <f ca="1">'数据-取费表'!B40</f>
        <v>3.4500000000000003E-2</v>
      </c>
      <c r="M36" s="2004">
        <f ca="1">ROUND($L$36*(1+M31),3)</f>
        <v>4.2999999999999997E-2</v>
      </c>
      <c r="N36" s="2004">
        <f ca="1">ROUND($L$36*(1+N31),3)</f>
        <v>4.1000000000000002E-2</v>
      </c>
      <c r="O36" s="2004">
        <f ca="1">ROUND($L$36*(1+O31),3)</f>
        <v>0.04</v>
      </c>
      <c r="P36" s="2004">
        <f ca="1">ROUND($L$36*(1+P31),3)</f>
        <v>3.7999999999999999E-2</v>
      </c>
      <c r="Q36" s="2004">
        <f ca="1">ROUND($L$36*(1+Q31),3)</f>
        <v>0.04</v>
      </c>
      <c r="R36" s="1914"/>
      <c r="S36" s="1914"/>
      <c r="T36" s="1914"/>
      <c r="U36" s="1914"/>
      <c r="V36" s="1914"/>
      <c r="W36" s="2027"/>
      <c r="X36" s="2027"/>
      <c r="Y36" s="2027"/>
      <c r="Z36" s="2027"/>
      <c r="AA36" s="2027"/>
      <c r="AB36" s="1914"/>
      <c r="AC36" s="1914"/>
      <c r="AD36" s="1914"/>
      <c r="AE36" s="1914"/>
      <c r="AF36" s="1914"/>
      <c r="AG36" s="1914"/>
      <c r="AH36" s="2027"/>
      <c r="AJ36" s="1701"/>
      <c r="AK36" s="1701"/>
      <c r="AL36" s="1701"/>
      <c r="AM36" s="1701"/>
      <c r="AN36" s="1701"/>
      <c r="AO36" s="1699"/>
      <c r="AP36" s="1699"/>
      <c r="AQ36" s="1699"/>
      <c r="AR36" s="1699"/>
    </row>
    <row r="37" spans="1:44" ht="12.75">
      <c r="A37" s="3882"/>
      <c r="B37" s="1865" t="s">
        <v>1233</v>
      </c>
      <c r="C37" s="1847" t="e">
        <f>ROUND(D5*C22*C23*C24*C28*F37,0)</f>
        <v>#DIV/0!</v>
      </c>
      <c r="D37" s="1866"/>
      <c r="E37" s="1867" t="e">
        <f>ROUND(C37*D37/10000,0)</f>
        <v>#DIV/0!</v>
      </c>
      <c r="F37" s="1867">
        <f>SUMIF(修正!A57:A68,G2,修正!B57:B68)</f>
        <v>0</v>
      </c>
      <c r="G37" s="1867" t="e">
        <f>ROUND(IF(E2="工业",C37*$M$42,C37*$M$41),0)</f>
        <v>#DIV/0!</v>
      </c>
      <c r="H37" s="1867">
        <f>D37</f>
        <v>0</v>
      </c>
      <c r="I37" s="1867" t="e">
        <f>ROUND(G37*H37/10000,0)</f>
        <v>#DIV/0!</v>
      </c>
      <c r="J37" s="3882"/>
      <c r="K37" s="2005" t="s">
        <v>1234</v>
      </c>
      <c r="L37" s="2003">
        <f ca="1">L36+K38</f>
        <v>3.95E-2</v>
      </c>
      <c r="M37" s="2004">
        <f ca="1">ROUND($L$37*(1+M31),3)</f>
        <v>4.9000000000000002E-2</v>
      </c>
      <c r="N37" s="2004">
        <f t="shared" ref="N37:Q37" ca="1" si="3">ROUND($L$37*(1+N31),3)</f>
        <v>4.7E-2</v>
      </c>
      <c r="O37" s="2004">
        <f t="shared" ca="1" si="3"/>
        <v>4.4999999999999998E-2</v>
      </c>
      <c r="P37" s="2004">
        <f t="shared" ca="1" si="3"/>
        <v>4.2999999999999997E-2</v>
      </c>
      <c r="Q37" s="2004">
        <f t="shared" ca="1" si="3"/>
        <v>4.4999999999999998E-2</v>
      </c>
      <c r="R37" s="2027"/>
      <c r="S37" s="2027"/>
      <c r="T37" s="2027"/>
      <c r="U37" s="2027"/>
      <c r="V37" s="2027"/>
      <c r="W37" s="1914"/>
      <c r="X37" s="1914"/>
      <c r="Y37" s="1914"/>
      <c r="Z37" s="1914"/>
      <c r="AA37" s="1914"/>
      <c r="AB37" s="1914"/>
      <c r="AC37" s="2027"/>
    </row>
    <row r="38" spans="1:44" ht="12.75">
      <c r="A38" s="3883"/>
      <c r="B38" s="1868" t="s">
        <v>1235</v>
      </c>
      <c r="C38" s="1847" t="e">
        <f>ROUND(D5*C22*C23*C24*C28*F38,0)</f>
        <v>#DIV/0!</v>
      </c>
      <c r="D38" s="1866"/>
      <c r="E38" s="1867" t="e">
        <f t="shared" ref="E38:E42" si="4">ROUND(C38*D38/10000,0)</f>
        <v>#DIV/0!</v>
      </c>
      <c r="F38" s="1867">
        <f>SUMIF(修正!A57:A68,G2,修正!C57:C68)</f>
        <v>0</v>
      </c>
      <c r="G38" s="1867" t="e">
        <f>ROUND(IF(E2="工业",C38*$M$42,C38*$M$41),0)</f>
        <v>#DIV/0!</v>
      </c>
      <c r="H38" s="1867">
        <f t="shared" ref="H38:H42" si="5">D38</f>
        <v>0</v>
      </c>
      <c r="I38" s="1867" t="e">
        <f t="shared" ref="I38:I42" si="6">ROUND(G38*H38/10000,0)</f>
        <v>#DIV/0!</v>
      </c>
      <c r="J38" s="3883"/>
      <c r="K38" s="2002">
        <v>5.0000000000000001E-3</v>
      </c>
      <c r="L38" s="2002"/>
      <c r="M38" s="2002"/>
      <c r="N38" s="2002"/>
      <c r="O38" s="2002"/>
      <c r="P38" s="2002"/>
      <c r="Q38" s="2002"/>
      <c r="R38" s="2027"/>
      <c r="S38" s="2027"/>
      <c r="T38" s="2027"/>
      <c r="U38" s="2027"/>
      <c r="V38" s="2027"/>
      <c r="W38" s="1914"/>
      <c r="X38" s="1914"/>
      <c r="Y38" s="1914"/>
      <c r="Z38" s="1914"/>
      <c r="AA38" s="1914"/>
      <c r="AB38" s="1914"/>
      <c r="AC38" s="2027"/>
    </row>
    <row r="39" spans="1:44" ht="12.75">
      <c r="A39" s="3883"/>
      <c r="B39" s="1869" t="s">
        <v>1236</v>
      </c>
      <c r="C39" s="1847" t="e">
        <f>ROUND(D5*C22*C23*C24*C28*F39,0)</f>
        <v>#DIV/0!</v>
      </c>
      <c r="D39" s="1866"/>
      <c r="E39" s="1867" t="e">
        <f t="shared" si="4"/>
        <v>#DIV/0!</v>
      </c>
      <c r="F39" s="1867">
        <f>SUMIF(修正!A57:A68,G2,修正!D57:D68)</f>
        <v>0</v>
      </c>
      <c r="G39" s="1867" t="e">
        <f>ROUND(IF(E2="工业",C39*$M$42,C39*$M$41),0)</f>
        <v>#DIV/0!</v>
      </c>
      <c r="H39" s="1867">
        <f t="shared" si="5"/>
        <v>0</v>
      </c>
      <c r="I39" s="1867" t="e">
        <f t="shared" si="6"/>
        <v>#DIV/0!</v>
      </c>
      <c r="J39" s="3883"/>
      <c r="K39" s="1941"/>
      <c r="L39" s="1941"/>
      <c r="M39" s="1941"/>
      <c r="N39" s="1941"/>
      <c r="O39" s="1941"/>
      <c r="P39" s="1914"/>
      <c r="Q39" s="1914"/>
      <c r="R39" s="2027"/>
      <c r="S39" s="2027"/>
      <c r="T39" s="2027"/>
      <c r="U39" s="2027"/>
      <c r="V39" s="2027"/>
      <c r="W39" s="1914"/>
      <c r="X39" s="1914"/>
      <c r="Y39" s="1914"/>
      <c r="Z39" s="1914"/>
      <c r="AA39" s="1914"/>
      <c r="AB39" s="1914"/>
      <c r="AC39" s="2027"/>
    </row>
    <row r="40" spans="1:44" s="1696" customFormat="1" ht="12.75">
      <c r="A40" s="1870"/>
      <c r="B40" s="1868" t="s">
        <v>1237</v>
      </c>
      <c r="C40" s="1867" t="e">
        <f>ROUND(D5*C22*C23*C24*C28*F40,0)</f>
        <v>#DIV/0!</v>
      </c>
      <c r="D40" s="1866"/>
      <c r="E40" s="1867" t="e">
        <f t="shared" si="4"/>
        <v>#DIV/0!</v>
      </c>
      <c r="F40" s="1847">
        <f>SUMIF(修正!A57:A68,G2,修正!E57:E68)</f>
        <v>0</v>
      </c>
      <c r="G40" s="1867" t="e">
        <f>ROUND(IF(E2="工业",C40*$M$42,C40*$M$41),0)</f>
        <v>#DIV/0!</v>
      </c>
      <c r="H40" s="1867">
        <f t="shared" si="5"/>
        <v>0</v>
      </c>
      <c r="I40" s="1867" t="e">
        <f t="shared" si="6"/>
        <v>#DIV/0!</v>
      </c>
      <c r="J40" s="2006"/>
      <c r="K40" s="1914"/>
      <c r="L40" s="2007" t="s">
        <v>1238</v>
      </c>
      <c r="M40" s="2008"/>
      <c r="N40" s="1914"/>
      <c r="O40" s="1914"/>
      <c r="P40" s="1914"/>
      <c r="Q40" s="1914"/>
      <c r="R40" s="2028"/>
      <c r="S40" s="2028"/>
      <c r="T40" s="2028"/>
      <c r="U40" s="2028"/>
      <c r="V40" s="2028"/>
      <c r="W40" s="1874"/>
      <c r="X40" s="1874"/>
      <c r="Y40" s="1874"/>
      <c r="Z40" s="1874"/>
      <c r="AA40" s="1874"/>
      <c r="AB40" s="1874"/>
      <c r="AC40" s="2028"/>
      <c r="AD40" s="1701"/>
      <c r="AE40" s="1701"/>
      <c r="AF40" s="1701"/>
      <c r="AG40" s="1701"/>
      <c r="AH40" s="1701"/>
      <c r="AI40" s="1701"/>
      <c r="AJ40" s="1701"/>
      <c r="AK40" s="1701"/>
      <c r="AL40" s="1701"/>
      <c r="AM40" s="1701"/>
    </row>
    <row r="41" spans="1:44" s="1696" customFormat="1" ht="12.75">
      <c r="A41" s="1870"/>
      <c r="B41" s="1868" t="s">
        <v>1239</v>
      </c>
      <c r="C41" s="1867" t="e">
        <f>ROUND(D5*C22*C23*C44*C28*F41,0)</f>
        <v>#DIV/0!</v>
      </c>
      <c r="D41" s="1866"/>
      <c r="E41" s="1867" t="e">
        <f t="shared" si="4"/>
        <v>#DIV/0!</v>
      </c>
      <c r="F41" s="1847">
        <f>SUMIF(修正!A57:A68,G2,修正!F57:F68)</f>
        <v>0</v>
      </c>
      <c r="G41" s="1867" t="e">
        <f>ROUND(IF(E2="工业",C41*$M$42,C41*$M$41),0)</f>
        <v>#DIV/0!</v>
      </c>
      <c r="H41" s="1867">
        <f t="shared" si="5"/>
        <v>0</v>
      </c>
      <c r="I41" s="1867" t="e">
        <f t="shared" si="6"/>
        <v>#DIV/0!</v>
      </c>
      <c r="J41" s="2006"/>
      <c r="K41" s="1914"/>
      <c r="L41" s="2009" t="s">
        <v>1240</v>
      </c>
      <c r="M41" s="2010">
        <v>0.25</v>
      </c>
      <c r="N41" s="1914"/>
      <c r="O41" s="1914"/>
      <c r="P41" s="1914"/>
      <c r="Q41" s="1914"/>
      <c r="R41" s="2028"/>
      <c r="S41" s="2028"/>
      <c r="T41" s="2028"/>
      <c r="U41" s="2028"/>
      <c r="V41" s="2028"/>
      <c r="W41" s="1874"/>
      <c r="X41" s="1874"/>
      <c r="Y41" s="1874"/>
      <c r="Z41" s="1874"/>
      <c r="AA41" s="1874"/>
      <c r="AB41" s="1874"/>
      <c r="AC41" s="2028"/>
      <c r="AD41" s="1701"/>
      <c r="AE41" s="1701"/>
      <c r="AF41" s="1701"/>
      <c r="AG41" s="1701"/>
      <c r="AH41" s="1701"/>
      <c r="AI41" s="1701"/>
      <c r="AJ41" s="1701"/>
      <c r="AK41" s="1701"/>
      <c r="AL41" s="1701"/>
      <c r="AM41" s="1701"/>
    </row>
    <row r="42" spans="1:44" s="1696" customFormat="1" ht="12.75">
      <c r="A42" s="1852"/>
      <c r="B42" s="1871" t="s">
        <v>1241</v>
      </c>
      <c r="C42" s="1788" t="e">
        <f>ROUND(D5*C22*C23*C44*C28*F42,0)</f>
        <v>#DIV/0!</v>
      </c>
      <c r="D42" s="1872"/>
      <c r="E42" s="1788" t="e">
        <f t="shared" si="4"/>
        <v>#DIV/0!</v>
      </c>
      <c r="F42" s="1873">
        <f>SUMIF(修正!A57:A68,G2,修正!G57:G68)</f>
        <v>0</v>
      </c>
      <c r="G42" s="1788" t="e">
        <f>ROUND(IF(E2="工业",C42*$M$42,C42*$M$41),0)</f>
        <v>#DIV/0!</v>
      </c>
      <c r="H42" s="1788">
        <f t="shared" si="5"/>
        <v>0</v>
      </c>
      <c r="I42" s="1788" t="e">
        <f t="shared" si="6"/>
        <v>#DIV/0!</v>
      </c>
      <c r="J42" s="2011"/>
      <c r="K42" s="1914"/>
      <c r="L42" s="2012" t="s">
        <v>1242</v>
      </c>
      <c r="M42" s="2013">
        <v>0.15</v>
      </c>
      <c r="N42" s="1914"/>
      <c r="O42" s="1914"/>
      <c r="P42" s="1914"/>
      <c r="Q42" s="1914"/>
      <c r="R42" s="2028"/>
      <c r="S42" s="2028"/>
      <c r="T42" s="2028"/>
      <c r="U42" s="2028"/>
      <c r="V42" s="2028"/>
      <c r="W42" s="1874"/>
      <c r="X42" s="1874"/>
      <c r="Y42" s="1874"/>
      <c r="Z42" s="1874"/>
      <c r="AA42" s="1874"/>
      <c r="AB42" s="1874"/>
      <c r="AC42" s="2028"/>
      <c r="AD42" s="1701"/>
      <c r="AE42" s="1701"/>
      <c r="AF42" s="1701"/>
      <c r="AG42" s="1701"/>
      <c r="AH42" s="1701"/>
      <c r="AI42" s="1701"/>
      <c r="AJ42" s="1701"/>
      <c r="AK42" s="1701"/>
      <c r="AL42" s="1701"/>
      <c r="AM42" s="1701"/>
    </row>
    <row r="43" spans="1:44" s="1696" customFormat="1">
      <c r="B43" s="1874"/>
      <c r="C43" s="1874"/>
      <c r="D43" s="1874"/>
      <c r="E43" s="1874"/>
      <c r="F43" s="1874"/>
      <c r="G43" s="1874"/>
      <c r="H43" s="1874"/>
      <c r="I43" s="1874"/>
      <c r="J43" s="1874"/>
      <c r="K43" s="1874"/>
      <c r="L43" s="1874"/>
      <c r="M43" s="1874"/>
      <c r="N43" s="1874"/>
      <c r="O43" s="1874"/>
      <c r="P43" s="1874"/>
      <c r="Q43" s="1874"/>
      <c r="R43" s="2028"/>
      <c r="S43" s="2028"/>
      <c r="T43" s="2028"/>
      <c r="U43" s="2028"/>
      <c r="V43" s="2028"/>
      <c r="W43" s="1874"/>
      <c r="X43" s="1874"/>
      <c r="Y43" s="1874"/>
      <c r="Z43" s="1874"/>
      <c r="AA43" s="1874"/>
      <c r="AB43" s="1874"/>
      <c r="AC43" s="2028"/>
      <c r="AD43" s="1701"/>
      <c r="AE43" s="1701"/>
      <c r="AF43" s="1701"/>
      <c r="AG43" s="1701"/>
      <c r="AH43" s="1701"/>
      <c r="AI43" s="1701"/>
      <c r="AJ43" s="1701"/>
      <c r="AK43" s="1701"/>
      <c r="AL43" s="1701"/>
      <c r="AM43" s="1701"/>
    </row>
    <row r="44" spans="1:44" s="1696" customFormat="1" ht="12.75">
      <c r="A44" s="1701"/>
      <c r="B44" s="1875" t="s">
        <v>1243</v>
      </c>
      <c r="C44" s="1156" t="e">
        <f>ROUND(POWER(1+E44,H44-G44)*(POWER(1+E44,G44)-1)/(POWER(1+E44,H44)-1),4)</f>
        <v>#DIV/0!</v>
      </c>
      <c r="D44" s="1876" t="s">
        <v>1244</v>
      </c>
      <c r="E44" s="1877">
        <f>G24</f>
        <v>0</v>
      </c>
      <c r="F44" s="1876" t="s">
        <v>1245</v>
      </c>
      <c r="G44" s="1878"/>
      <c r="H44" s="1876">
        <v>50</v>
      </c>
      <c r="I44" s="1874"/>
      <c r="J44" s="1874"/>
      <c r="K44" s="1874"/>
      <c r="L44" s="1874"/>
      <c r="M44" s="1874"/>
      <c r="N44" s="1874"/>
      <c r="O44" s="1874"/>
      <c r="P44" s="1874"/>
      <c r="Q44" s="1874"/>
      <c r="R44" s="2028"/>
      <c r="S44" s="2028"/>
      <c r="T44" s="2028"/>
      <c r="U44" s="2028"/>
      <c r="V44" s="2028"/>
      <c r="W44" s="1874"/>
      <c r="X44" s="1874"/>
      <c r="Y44" s="1874"/>
      <c r="Z44" s="1874"/>
      <c r="AA44" s="1874"/>
      <c r="AB44" s="1874"/>
      <c r="AC44" s="2028"/>
      <c r="AD44" s="1701"/>
      <c r="AE44" s="1701"/>
      <c r="AF44" s="1701"/>
      <c r="AG44" s="1701"/>
      <c r="AH44" s="1701"/>
      <c r="AI44" s="1701"/>
      <c r="AJ44" s="1701"/>
      <c r="AK44" s="1701"/>
      <c r="AL44" s="1701"/>
      <c r="AM44" s="1701"/>
    </row>
    <row r="45" spans="1:44" s="1696" customFormat="1">
      <c r="A45" s="1701"/>
      <c r="B45" s="1879"/>
      <c r="C45" s="1874"/>
      <c r="D45" s="1874"/>
      <c r="E45" s="1874"/>
      <c r="F45" s="1874"/>
      <c r="G45" s="1874"/>
      <c r="H45" s="1874"/>
      <c r="I45" s="1874"/>
      <c r="J45" s="1874"/>
      <c r="K45" s="1874"/>
      <c r="L45" s="1874"/>
      <c r="M45" s="1874"/>
      <c r="N45" s="1874"/>
      <c r="O45" s="1874"/>
      <c r="P45" s="1874"/>
      <c r="Q45" s="1874"/>
      <c r="R45" s="2028"/>
      <c r="S45" s="2028"/>
      <c r="T45" s="2028"/>
      <c r="U45" s="2028"/>
      <c r="V45" s="2028"/>
      <c r="W45" s="1874"/>
      <c r="X45" s="1874"/>
      <c r="Y45" s="1874"/>
      <c r="Z45" s="1874"/>
      <c r="AA45" s="1874"/>
      <c r="AB45" s="1874"/>
      <c r="AC45" s="1874"/>
      <c r="AD45" s="2028"/>
      <c r="AE45" s="1701"/>
      <c r="AF45" s="1701"/>
      <c r="AG45" s="1701"/>
      <c r="AH45" s="1701"/>
      <c r="AI45" s="1701"/>
      <c r="AJ45" s="1701"/>
      <c r="AK45" s="1701"/>
      <c r="AL45" s="1701"/>
      <c r="AM45" s="1701"/>
      <c r="AN45" s="1701"/>
    </row>
    <row r="46" spans="1:44" s="1696" customFormat="1">
      <c r="A46" s="1701"/>
      <c r="B46" s="1879"/>
      <c r="C46" s="1874"/>
      <c r="D46" s="1874"/>
      <c r="E46" s="1874"/>
      <c r="F46" s="1874"/>
      <c r="G46" s="1874"/>
      <c r="H46" s="1874"/>
      <c r="I46" s="1874"/>
      <c r="J46" s="1874"/>
      <c r="K46" s="1874"/>
      <c r="L46" s="1874"/>
      <c r="M46" s="1874"/>
      <c r="N46" s="1874"/>
      <c r="O46" s="1874"/>
      <c r="P46" s="1874"/>
      <c r="Q46" s="1874"/>
      <c r="R46" s="2028"/>
      <c r="S46" s="2028"/>
      <c r="T46" s="2028"/>
      <c r="U46" s="2028"/>
      <c r="V46" s="2028"/>
      <c r="W46" s="1874"/>
      <c r="X46" s="1874"/>
      <c r="Y46" s="1874"/>
      <c r="Z46" s="1874"/>
      <c r="AA46" s="1874"/>
      <c r="AB46" s="1874"/>
      <c r="AC46" s="1874"/>
      <c r="AD46" s="2028"/>
      <c r="AE46" s="1701"/>
      <c r="AF46" s="1701"/>
      <c r="AG46" s="1701"/>
      <c r="AH46" s="1701"/>
      <c r="AI46" s="1701"/>
      <c r="AJ46" s="1701"/>
      <c r="AK46" s="1701"/>
      <c r="AL46" s="1701"/>
      <c r="AM46" s="1701"/>
      <c r="AN46" s="1701"/>
    </row>
    <row r="47" spans="1:44" s="1697" customFormat="1" ht="14.25">
      <c r="A47" s="1880" t="s">
        <v>1246</v>
      </c>
      <c r="B47" s="1881"/>
      <c r="C47" s="1882"/>
      <c r="D47" s="1883"/>
      <c r="E47" s="1883"/>
      <c r="F47" s="1883"/>
      <c r="G47" s="1561"/>
      <c r="H47" s="1883"/>
      <c r="I47" s="1561"/>
      <c r="J47" s="1561"/>
      <c r="K47" s="1561"/>
      <c r="L47" s="1561"/>
      <c r="M47" s="1561"/>
      <c r="O47" s="1879"/>
      <c r="P47" s="1879"/>
      <c r="Q47" s="1879"/>
      <c r="R47" s="1879"/>
      <c r="S47" s="1879"/>
      <c r="T47" s="1879"/>
      <c r="U47" s="1879"/>
      <c r="V47" s="1879"/>
      <c r="W47" s="1879"/>
      <c r="X47" s="1879"/>
      <c r="Y47" s="1879"/>
      <c r="Z47" s="1879"/>
      <c r="AA47" s="1879"/>
      <c r="AB47" s="1879"/>
      <c r="AC47" s="1879"/>
      <c r="AD47" s="1879"/>
    </row>
    <row r="48" spans="1:44" s="1697" customFormat="1" ht="15">
      <c r="A48" s="1884" t="s">
        <v>437</v>
      </c>
      <c r="B48" s="1885">
        <f>1+E50</f>
        <v>1</v>
      </c>
      <c r="C48" s="1886"/>
      <c r="D48" s="1887"/>
      <c r="E48" s="1888"/>
      <c r="F48" s="1889"/>
      <c r="G48" s="1883"/>
      <c r="H48" s="1883"/>
      <c r="I48" s="1561"/>
      <c r="J48" s="1561"/>
      <c r="K48" s="1561"/>
      <c r="L48" s="1561"/>
      <c r="M48" s="1561"/>
      <c r="O48" s="1879"/>
      <c r="P48" s="1879"/>
      <c r="Q48" s="1879"/>
      <c r="R48" s="1879"/>
      <c r="S48" s="1879"/>
      <c r="T48" s="1879"/>
      <c r="U48" s="1879"/>
      <c r="V48" s="1879"/>
      <c r="W48" s="1879"/>
      <c r="X48" s="1879"/>
      <c r="Y48" s="1879"/>
      <c r="Z48" s="1879"/>
      <c r="AA48" s="1879"/>
      <c r="AB48" s="1879"/>
      <c r="AC48" s="1879"/>
      <c r="AD48" s="1879"/>
    </row>
    <row r="49" spans="1:30" s="1697" customFormat="1" ht="24">
      <c r="A49" s="1890" t="s">
        <v>1247</v>
      </c>
      <c r="B49" s="1891" t="s">
        <v>1248</v>
      </c>
      <c r="C49" s="1892" t="s">
        <v>1249</v>
      </c>
      <c r="D49" s="1893" t="s">
        <v>1250</v>
      </c>
      <c r="E49" s="1894" t="s">
        <v>1251</v>
      </c>
      <c r="F49" s="1895" t="s">
        <v>1252</v>
      </c>
      <c r="G49" s="1893" t="s">
        <v>1253</v>
      </c>
      <c r="H49" s="1896" t="s">
        <v>1254</v>
      </c>
      <c r="I49" s="1893" t="s">
        <v>1255</v>
      </c>
      <c r="J49" s="2014" t="s">
        <v>248</v>
      </c>
      <c r="K49" s="2014" t="s">
        <v>260</v>
      </c>
      <c r="L49" s="2014" t="s">
        <v>270</v>
      </c>
      <c r="M49" s="2014" t="s">
        <v>280</v>
      </c>
      <c r="N49" s="2014" t="s">
        <v>287</v>
      </c>
      <c r="P49" s="1879"/>
      <c r="Q49" s="1879"/>
      <c r="R49" s="1879"/>
      <c r="S49" s="1879"/>
      <c r="T49" s="1879"/>
      <c r="U49" s="1879"/>
      <c r="V49" s="1879"/>
      <c r="W49" s="1879"/>
      <c r="X49" s="1879"/>
      <c r="Y49" s="1879"/>
      <c r="Z49" s="1879"/>
      <c r="AA49" s="1879"/>
      <c r="AB49" s="1879"/>
      <c r="AC49" s="1879"/>
      <c r="AD49" s="1879"/>
    </row>
    <row r="50" spans="1:30" s="1697" customFormat="1" ht="36">
      <c r="A50" s="1890" t="s">
        <v>1256</v>
      </c>
      <c r="B50" s="1897" t="str">
        <f>估价对象房地状况!C16</f>
        <v>估价对象位于XX商圈，周边商业氛围成熟，人流量大，商业繁华度好</v>
      </c>
      <c r="C50" s="1898"/>
      <c r="D50" s="1899">
        <f t="shared" ref="D50:D58" si="7">SUMIF($J$49:$N$49,C50,J50:N50)</f>
        <v>0</v>
      </c>
      <c r="E50" s="1900">
        <f>ROUND(SUM(D50:D58),4)</f>
        <v>0</v>
      </c>
      <c r="F50" s="1901" t="str">
        <f>IF(E2="商业",SUMIF(L1:L12,G2,N1:N12),"——")</f>
        <v>——</v>
      </c>
      <c r="G50" s="1902"/>
      <c r="H50" s="1903" t="str">
        <f t="shared" ref="H50:H58" si="8">IFERROR(ROUNDDOWN(($F$50*I50/2),4),"——")</f>
        <v>——</v>
      </c>
      <c r="I50" s="2015">
        <v>0.3</v>
      </c>
      <c r="J50" s="2016">
        <f t="shared" ref="J50:J58" si="9">K50+$G50</f>
        <v>0</v>
      </c>
      <c r="K50" s="2016">
        <f t="shared" ref="K50:K58" si="10">$L50+$G50</f>
        <v>0</v>
      </c>
      <c r="L50" s="2016">
        <v>0</v>
      </c>
      <c r="M50" s="2016">
        <f t="shared" ref="M50:N58" si="11">L50-$G50</f>
        <v>0</v>
      </c>
      <c r="N50" s="2016">
        <f t="shared" si="11"/>
        <v>0</v>
      </c>
      <c r="P50" s="1879"/>
      <c r="Q50" s="1879"/>
      <c r="R50" s="1879"/>
      <c r="S50" s="1879"/>
      <c r="T50" s="1879"/>
      <c r="U50" s="1879"/>
      <c r="V50" s="1879"/>
      <c r="W50" s="1879"/>
      <c r="X50" s="1879"/>
      <c r="Y50" s="1879"/>
      <c r="Z50" s="1879"/>
      <c r="AA50" s="1879"/>
      <c r="AB50" s="1879"/>
      <c r="AC50" s="1879"/>
      <c r="AD50" s="1879"/>
    </row>
    <row r="51" spans="1:30" s="1697" customFormat="1" ht="36">
      <c r="A51" s="1890" t="s">
        <v>696</v>
      </c>
      <c r="B51" s="1891" t="str">
        <f>估价对象房地状况!C18</f>
        <v>估价对象周边道路状况、公共交通通达情况、停车便捷程度，综合评价交通便捷度较好</v>
      </c>
      <c r="C51" s="1898"/>
      <c r="D51" s="1899">
        <f t="shared" si="7"/>
        <v>0</v>
      </c>
      <c r="E51" s="1904"/>
      <c r="F51" s="1901"/>
      <c r="G51" s="1902"/>
      <c r="H51" s="1903" t="str">
        <f t="shared" si="8"/>
        <v>——</v>
      </c>
      <c r="I51" s="2015">
        <v>0.22</v>
      </c>
      <c r="J51" s="2016">
        <f t="shared" si="9"/>
        <v>0</v>
      </c>
      <c r="K51" s="2016">
        <f t="shared" si="10"/>
        <v>0</v>
      </c>
      <c r="L51" s="2016">
        <v>0</v>
      </c>
      <c r="M51" s="2016">
        <f t="shared" si="11"/>
        <v>0</v>
      </c>
      <c r="N51" s="2016">
        <f t="shared" si="11"/>
        <v>0</v>
      </c>
      <c r="P51" s="1879"/>
      <c r="Q51" s="1879"/>
      <c r="R51" s="1879"/>
      <c r="S51" s="1879"/>
      <c r="T51" s="1879"/>
      <c r="U51" s="1879"/>
      <c r="V51" s="1879"/>
      <c r="W51" s="1879"/>
      <c r="X51" s="1879"/>
      <c r="Y51" s="1879"/>
      <c r="Z51" s="1879"/>
      <c r="AA51" s="1879"/>
      <c r="AB51" s="1879"/>
      <c r="AC51" s="1879"/>
      <c r="AD51" s="1879"/>
    </row>
    <row r="52" spans="1:30" s="1697" customFormat="1" ht="36">
      <c r="A52" s="1905" t="s">
        <v>1257</v>
      </c>
      <c r="B52" s="1891">
        <f>估价对象房地状况!C19</f>
        <v>0</v>
      </c>
      <c r="C52" s="1898"/>
      <c r="D52" s="1899">
        <f t="shared" si="7"/>
        <v>0</v>
      </c>
      <c r="E52" s="1904"/>
      <c r="F52" s="1901"/>
      <c r="G52" s="1902"/>
      <c r="H52" s="1903" t="str">
        <f t="shared" si="8"/>
        <v>——</v>
      </c>
      <c r="I52" s="2015">
        <v>0.12</v>
      </c>
      <c r="J52" s="2016">
        <f t="shared" si="9"/>
        <v>0</v>
      </c>
      <c r="K52" s="2016">
        <f t="shared" si="10"/>
        <v>0</v>
      </c>
      <c r="L52" s="2016">
        <v>0</v>
      </c>
      <c r="M52" s="2016">
        <f t="shared" si="11"/>
        <v>0</v>
      </c>
      <c r="N52" s="2016">
        <f t="shared" si="11"/>
        <v>0</v>
      </c>
      <c r="P52" s="1879"/>
      <c r="Q52" s="1879"/>
      <c r="R52" s="1879"/>
      <c r="S52" s="1879"/>
      <c r="T52" s="1879"/>
      <c r="U52" s="1879"/>
      <c r="V52" s="1879"/>
      <c r="W52" s="1879"/>
      <c r="X52" s="1879"/>
      <c r="Y52" s="1879"/>
      <c r="Z52" s="1879"/>
      <c r="AA52" s="1879"/>
      <c r="AB52" s="1879"/>
      <c r="AC52" s="1879"/>
      <c r="AD52" s="1879"/>
    </row>
    <row r="53" spans="1:30" s="1697" customFormat="1" ht="36">
      <c r="A53" s="1890" t="s">
        <v>1258</v>
      </c>
      <c r="B53" s="1906" t="s">
        <v>1259</v>
      </c>
      <c r="C53" s="1898"/>
      <c r="D53" s="1899">
        <f t="shared" si="7"/>
        <v>0</v>
      </c>
      <c r="E53" s="1904"/>
      <c r="F53" s="1901"/>
      <c r="G53" s="1902"/>
      <c r="H53" s="1903" t="str">
        <f t="shared" si="8"/>
        <v>——</v>
      </c>
      <c r="I53" s="2015">
        <v>0.05</v>
      </c>
      <c r="J53" s="2016">
        <f t="shared" si="9"/>
        <v>0</v>
      </c>
      <c r="K53" s="2016">
        <f t="shared" si="10"/>
        <v>0</v>
      </c>
      <c r="L53" s="2016">
        <v>0</v>
      </c>
      <c r="M53" s="2016">
        <f t="shared" si="11"/>
        <v>0</v>
      </c>
      <c r="N53" s="2016">
        <f t="shared" si="11"/>
        <v>0</v>
      </c>
      <c r="P53" s="1879"/>
      <c r="Q53" s="1879"/>
      <c r="R53" s="1879"/>
      <c r="S53" s="1879"/>
      <c r="T53" s="1879"/>
      <c r="U53" s="1879"/>
      <c r="V53" s="1879"/>
      <c r="W53" s="1879"/>
      <c r="X53" s="1879"/>
      <c r="Y53" s="1879"/>
      <c r="Z53" s="1879"/>
      <c r="AA53" s="1879"/>
      <c r="AB53" s="1879"/>
      <c r="AC53" s="1879"/>
      <c r="AD53" s="1879"/>
    </row>
    <row r="54" spans="1:30" s="1697" customFormat="1" ht="24">
      <c r="A54" s="1890" t="s">
        <v>1260</v>
      </c>
      <c r="B54" s="1891">
        <f>估价对象房地状况!C24</f>
        <v>0</v>
      </c>
      <c r="C54" s="1898"/>
      <c r="D54" s="1899">
        <f t="shared" si="7"/>
        <v>0</v>
      </c>
      <c r="E54" s="1904"/>
      <c r="F54" s="1901"/>
      <c r="G54" s="1902"/>
      <c r="H54" s="1903" t="str">
        <f t="shared" si="8"/>
        <v>——</v>
      </c>
      <c r="I54" s="2015">
        <v>0.08</v>
      </c>
      <c r="J54" s="2016">
        <f t="shared" si="9"/>
        <v>0</v>
      </c>
      <c r="K54" s="2016">
        <f t="shared" si="10"/>
        <v>0</v>
      </c>
      <c r="L54" s="2016">
        <v>0</v>
      </c>
      <c r="M54" s="2016">
        <f t="shared" si="11"/>
        <v>0</v>
      </c>
      <c r="N54" s="2016">
        <f t="shared" si="11"/>
        <v>0</v>
      </c>
      <c r="P54" s="1879"/>
      <c r="Q54" s="1879"/>
      <c r="R54" s="1879"/>
      <c r="S54" s="1879"/>
      <c r="T54" s="1879"/>
      <c r="U54" s="1879"/>
      <c r="V54" s="1879"/>
      <c r="W54" s="1879"/>
      <c r="X54" s="1879"/>
      <c r="Y54" s="1879"/>
      <c r="Z54" s="1879"/>
      <c r="AA54" s="1879"/>
      <c r="AB54" s="1879"/>
      <c r="AC54" s="1879"/>
      <c r="AD54" s="1879"/>
    </row>
    <row r="55" spans="1:30" s="1697" customFormat="1" ht="24">
      <c r="A55" s="1890" t="s">
        <v>1261</v>
      </c>
      <c r="B55" s="1907" t="s">
        <v>1262</v>
      </c>
      <c r="C55" s="1898"/>
      <c r="D55" s="1899">
        <f t="shared" si="7"/>
        <v>0</v>
      </c>
      <c r="E55" s="1904"/>
      <c r="F55" s="1901"/>
      <c r="G55" s="1902"/>
      <c r="H55" s="1903" t="str">
        <f t="shared" si="8"/>
        <v>——</v>
      </c>
      <c r="I55" s="2015">
        <v>0.05</v>
      </c>
      <c r="J55" s="2016">
        <f t="shared" si="9"/>
        <v>0</v>
      </c>
      <c r="K55" s="2016">
        <f t="shared" si="10"/>
        <v>0</v>
      </c>
      <c r="L55" s="2016">
        <v>0</v>
      </c>
      <c r="M55" s="2016">
        <f t="shared" si="11"/>
        <v>0</v>
      </c>
      <c r="N55" s="2016">
        <f t="shared" si="11"/>
        <v>0</v>
      </c>
      <c r="P55" s="1879"/>
      <c r="Q55" s="1879"/>
      <c r="R55" s="1879"/>
      <c r="S55" s="1879"/>
      <c r="T55" s="1879"/>
      <c r="U55" s="1879"/>
      <c r="V55" s="1879"/>
      <c r="W55" s="1879"/>
      <c r="X55" s="1879"/>
      <c r="Y55" s="1879"/>
      <c r="Z55" s="1879"/>
      <c r="AA55" s="1879"/>
      <c r="AB55" s="1879"/>
      <c r="AC55" s="1879"/>
      <c r="AD55" s="1879"/>
    </row>
    <row r="56" spans="1:30" s="1697" customFormat="1" ht="24">
      <c r="A56" s="1908" t="s">
        <v>1263</v>
      </c>
      <c r="B56" s="1909" t="str">
        <f>估价对象房地状况!C21</f>
        <v>估价对象所在区域公共配套设施齐备情况</v>
      </c>
      <c r="C56" s="1898"/>
      <c r="D56" s="1899">
        <f t="shared" si="7"/>
        <v>0</v>
      </c>
      <c r="E56" s="1904"/>
      <c r="F56" s="1901"/>
      <c r="G56" s="1902"/>
      <c r="H56" s="1903" t="str">
        <f t="shared" si="8"/>
        <v>——</v>
      </c>
      <c r="I56" s="2015">
        <v>0.05</v>
      </c>
      <c r="J56" s="2016">
        <f t="shared" si="9"/>
        <v>0</v>
      </c>
      <c r="K56" s="2016">
        <f t="shared" si="10"/>
        <v>0</v>
      </c>
      <c r="L56" s="2016">
        <v>0</v>
      </c>
      <c r="M56" s="2016">
        <f t="shared" si="11"/>
        <v>0</v>
      </c>
      <c r="N56" s="2016">
        <f t="shared" si="11"/>
        <v>0</v>
      </c>
      <c r="P56" s="1879"/>
      <c r="Q56" s="1879"/>
      <c r="R56" s="1879"/>
      <c r="S56" s="1879"/>
      <c r="T56" s="1879"/>
      <c r="U56" s="1879"/>
      <c r="V56" s="1879"/>
      <c r="W56" s="1879"/>
      <c r="X56" s="1879"/>
      <c r="Y56" s="1879"/>
      <c r="Z56" s="1879"/>
      <c r="AA56" s="1879"/>
      <c r="AB56" s="1879"/>
      <c r="AC56" s="1879"/>
      <c r="AD56" s="1879"/>
    </row>
    <row r="57" spans="1:30" s="1697" customFormat="1" ht="24">
      <c r="A57" s="1908" t="s">
        <v>1264</v>
      </c>
      <c r="B57" s="1891" t="str">
        <f>估价对象房地状况!C22</f>
        <v>估价对象所在区域基础设施水平</v>
      </c>
      <c r="C57" s="1898"/>
      <c r="D57" s="1899">
        <f t="shared" si="7"/>
        <v>0</v>
      </c>
      <c r="E57" s="1904"/>
      <c r="F57" s="1901"/>
      <c r="G57" s="1902"/>
      <c r="H57" s="1903" t="str">
        <f t="shared" si="8"/>
        <v>——</v>
      </c>
      <c r="I57" s="2015">
        <v>0.08</v>
      </c>
      <c r="J57" s="2016">
        <f t="shared" si="9"/>
        <v>0</v>
      </c>
      <c r="K57" s="2016">
        <f t="shared" si="10"/>
        <v>0</v>
      </c>
      <c r="L57" s="2016">
        <v>0</v>
      </c>
      <c r="M57" s="2016">
        <f t="shared" si="11"/>
        <v>0</v>
      </c>
      <c r="N57" s="2016">
        <f t="shared" si="11"/>
        <v>0</v>
      </c>
      <c r="P57" s="1879"/>
      <c r="Q57" s="1879"/>
      <c r="R57" s="1879"/>
      <c r="S57" s="1879"/>
      <c r="T57" s="1879"/>
      <c r="U57" s="1879"/>
      <c r="V57" s="1879"/>
      <c r="W57" s="1879"/>
      <c r="X57" s="1879"/>
      <c r="Y57" s="1879"/>
      <c r="Z57" s="1879"/>
      <c r="AA57" s="1879"/>
      <c r="AB57" s="1879"/>
      <c r="AC57" s="1879"/>
      <c r="AD57" s="1879"/>
    </row>
    <row r="58" spans="1:30" s="1697" customFormat="1" ht="24">
      <c r="A58" s="1910" t="s">
        <v>1265</v>
      </c>
      <c r="B58" s="1911" t="str">
        <f>估价对象房地状况!C20</f>
        <v>区域自然环境：；人文环境；综合评价环境状况一般</v>
      </c>
      <c r="C58" s="1898"/>
      <c r="D58" s="1899">
        <f t="shared" si="7"/>
        <v>0</v>
      </c>
      <c r="E58" s="1912"/>
      <c r="F58" s="1901"/>
      <c r="G58" s="1902"/>
      <c r="H58" s="1903" t="str">
        <f t="shared" si="8"/>
        <v>——</v>
      </c>
      <c r="I58" s="2017">
        <v>0.05</v>
      </c>
      <c r="J58" s="2016">
        <f t="shared" si="9"/>
        <v>0</v>
      </c>
      <c r="K58" s="2016">
        <f t="shared" si="10"/>
        <v>0</v>
      </c>
      <c r="L58" s="2016">
        <v>0</v>
      </c>
      <c r="M58" s="2016">
        <f t="shared" si="11"/>
        <v>0</v>
      </c>
      <c r="N58" s="2016">
        <f t="shared" si="11"/>
        <v>0</v>
      </c>
      <c r="P58" s="1879"/>
      <c r="Q58" s="1879"/>
      <c r="R58" s="1879"/>
      <c r="S58" s="1879"/>
      <c r="T58" s="1879"/>
      <c r="U58" s="1879"/>
      <c r="V58" s="1879"/>
      <c r="W58" s="1879"/>
      <c r="X58" s="1879"/>
      <c r="Y58" s="1879"/>
      <c r="Z58" s="1879"/>
      <c r="AA58" s="1879"/>
      <c r="AB58" s="1879"/>
      <c r="AC58" s="1879"/>
      <c r="AD58" s="1879"/>
    </row>
    <row r="59" spans="1:30" s="1697" customFormat="1" ht="15">
      <c r="A59" s="1884" t="s">
        <v>438</v>
      </c>
      <c r="B59" s="1885">
        <f>1+E61</f>
        <v>1</v>
      </c>
      <c r="C59" s="1913"/>
      <c r="D59" s="1887"/>
      <c r="E59" s="1888"/>
      <c r="F59" s="1889"/>
      <c r="G59" s="1883"/>
      <c r="H59" s="1883"/>
      <c r="I59" s="1883"/>
      <c r="J59" s="1561"/>
      <c r="K59" s="1561"/>
      <c r="L59" s="1561"/>
      <c r="M59" s="1561"/>
      <c r="N59" s="1561"/>
      <c r="P59" s="1879"/>
      <c r="Q59" s="1879"/>
      <c r="R59" s="1879"/>
      <c r="S59" s="1879"/>
      <c r="T59" s="1879"/>
      <c r="U59" s="1879"/>
      <c r="V59" s="1879"/>
      <c r="W59" s="1879"/>
      <c r="X59" s="1879"/>
      <c r="Y59" s="1879"/>
      <c r="Z59" s="1879"/>
      <c r="AA59" s="1879"/>
      <c r="AB59" s="1879"/>
      <c r="AC59" s="1879"/>
      <c r="AD59" s="1879"/>
    </row>
    <row r="60" spans="1:30" s="1697" customFormat="1" ht="24">
      <c r="A60" s="1890" t="s">
        <v>1247</v>
      </c>
      <c r="B60" s="1891"/>
      <c r="C60" s="1892" t="s">
        <v>1249</v>
      </c>
      <c r="D60" s="1893" t="s">
        <v>1250</v>
      </c>
      <c r="E60" s="1894" t="s">
        <v>1251</v>
      </c>
      <c r="F60" s="1895" t="s">
        <v>1252</v>
      </c>
      <c r="G60" s="1893" t="s">
        <v>1253</v>
      </c>
      <c r="H60" s="1896" t="s">
        <v>1254</v>
      </c>
      <c r="I60" s="1893" t="s">
        <v>1255</v>
      </c>
      <c r="J60" s="2014" t="s">
        <v>248</v>
      </c>
      <c r="K60" s="2014" t="s">
        <v>260</v>
      </c>
      <c r="L60" s="2014" t="s">
        <v>270</v>
      </c>
      <c r="M60" s="2014" t="s">
        <v>280</v>
      </c>
      <c r="N60" s="2014" t="s">
        <v>287</v>
      </c>
      <c r="P60" s="1879"/>
      <c r="Q60" s="1879"/>
      <c r="R60" s="1879"/>
      <c r="S60" s="1879"/>
      <c r="T60" s="1879"/>
      <c r="U60" s="1879"/>
      <c r="V60" s="1879"/>
      <c r="W60" s="1879"/>
      <c r="X60" s="1879"/>
      <c r="Y60" s="1879"/>
      <c r="Z60" s="1879"/>
      <c r="AA60" s="1879"/>
      <c r="AB60" s="1879"/>
      <c r="AC60" s="1879"/>
      <c r="AD60" s="1879"/>
    </row>
    <row r="61" spans="1:30" s="1697" customFormat="1" ht="36">
      <c r="A61" s="1890" t="s">
        <v>698</v>
      </c>
      <c r="B61" s="1897" t="str">
        <f>估价对象房地状况!C17</f>
        <v>估价对象位于XX商圈，周边办公楼项目较多，入驻率高，办公集聚程度较好</v>
      </c>
      <c r="C61" s="1898"/>
      <c r="D61" s="1899">
        <f t="shared" ref="D61:D69" si="12">SUMIF($J$60:$N$60,C61,J61:N61)</f>
        <v>0</v>
      </c>
      <c r="E61" s="1900">
        <f>ROUND(SUM(D61:D69),4)</f>
        <v>0</v>
      </c>
      <c r="F61" s="1901" t="str">
        <f>IF(E2="办公",SUMIF(L1:L12,G2,N1:N12),"——")</f>
        <v>——</v>
      </c>
      <c r="G61" s="1902"/>
      <c r="H61" s="1903" t="str">
        <f>IFERROR(ROUNDDOWN($F$61*I61/2,4),"——")</f>
        <v>——</v>
      </c>
      <c r="I61" s="2015">
        <v>0.25</v>
      </c>
      <c r="J61" s="2016">
        <f t="shared" ref="J61:J69" si="13">K61+$G61</f>
        <v>0</v>
      </c>
      <c r="K61" s="2016">
        <f t="shared" ref="K61:K69" si="14">$L61+$G61</f>
        <v>0</v>
      </c>
      <c r="L61" s="2016">
        <v>0</v>
      </c>
      <c r="M61" s="2016">
        <f t="shared" ref="M61:N69" si="15">L61-$G61</f>
        <v>0</v>
      </c>
      <c r="N61" s="2016">
        <f t="shared" si="15"/>
        <v>0</v>
      </c>
      <c r="P61" s="1879"/>
      <c r="Q61" s="1879"/>
      <c r="R61" s="1879"/>
      <c r="S61" s="1879"/>
      <c r="T61" s="1879"/>
      <c r="U61" s="1879"/>
      <c r="V61" s="1879"/>
      <c r="W61" s="1879"/>
      <c r="X61" s="1879"/>
      <c r="Y61" s="1879"/>
      <c r="Z61" s="1879"/>
      <c r="AA61" s="1879"/>
      <c r="AB61" s="1879"/>
      <c r="AC61" s="1879"/>
      <c r="AD61" s="1879"/>
    </row>
    <row r="62" spans="1:30" s="1697" customFormat="1" ht="36">
      <c r="A62" s="1890" t="s">
        <v>696</v>
      </c>
      <c r="B62" s="1891" t="str">
        <f>估价对象房地状况!C18</f>
        <v>估价对象周边道路状况、公共交通通达情况、停车便捷程度，综合评价交通便捷度较好</v>
      </c>
      <c r="C62" s="1898"/>
      <c r="D62" s="1899">
        <f t="shared" si="12"/>
        <v>0</v>
      </c>
      <c r="E62" s="1904"/>
      <c r="F62" s="1901"/>
      <c r="G62" s="1902"/>
      <c r="H62" s="1903" t="str">
        <f t="shared" ref="H62:H69" si="16">IFERROR(ROUNDDOWN($F$61*I62/2,4),"——")</f>
        <v>——</v>
      </c>
      <c r="I62" s="2015">
        <v>0.26</v>
      </c>
      <c r="J62" s="2016">
        <f t="shared" si="13"/>
        <v>0</v>
      </c>
      <c r="K62" s="2016">
        <f t="shared" si="14"/>
        <v>0</v>
      </c>
      <c r="L62" s="2016">
        <v>0</v>
      </c>
      <c r="M62" s="2016">
        <f t="shared" si="15"/>
        <v>0</v>
      </c>
      <c r="N62" s="2016">
        <f t="shared" si="15"/>
        <v>0</v>
      </c>
      <c r="P62" s="1879"/>
      <c r="Q62" s="1879"/>
      <c r="R62" s="1879"/>
      <c r="S62" s="1879"/>
      <c r="T62" s="1879"/>
      <c r="U62" s="1879"/>
      <c r="V62" s="1879"/>
      <c r="W62" s="1879"/>
      <c r="X62" s="1879"/>
      <c r="Y62" s="1879"/>
      <c r="Z62" s="1879"/>
      <c r="AA62" s="1879"/>
      <c r="AB62" s="1879"/>
      <c r="AC62" s="1879"/>
      <c r="AD62" s="1879"/>
    </row>
    <row r="63" spans="1:30" s="1697" customFormat="1" ht="36">
      <c r="A63" s="1905" t="s">
        <v>1257</v>
      </c>
      <c r="B63" s="1891">
        <f>估价对象房地状况!C19</f>
        <v>0</v>
      </c>
      <c r="C63" s="1898"/>
      <c r="D63" s="1899">
        <f t="shared" si="12"/>
        <v>0</v>
      </c>
      <c r="E63" s="1904"/>
      <c r="F63" s="1901"/>
      <c r="G63" s="1902"/>
      <c r="H63" s="1903" t="str">
        <f t="shared" si="16"/>
        <v>——</v>
      </c>
      <c r="I63" s="2015">
        <v>0.11</v>
      </c>
      <c r="J63" s="2016">
        <f t="shared" si="13"/>
        <v>0</v>
      </c>
      <c r="K63" s="2016">
        <f t="shared" si="14"/>
        <v>0</v>
      </c>
      <c r="L63" s="2016">
        <v>0</v>
      </c>
      <c r="M63" s="2016">
        <f t="shared" si="15"/>
        <v>0</v>
      </c>
      <c r="N63" s="2016">
        <f t="shared" si="15"/>
        <v>0</v>
      </c>
      <c r="P63" s="1879"/>
      <c r="Q63" s="1879"/>
      <c r="R63" s="1879"/>
      <c r="S63" s="1879"/>
      <c r="T63" s="1879"/>
      <c r="U63" s="1879"/>
      <c r="V63" s="1879"/>
      <c r="W63" s="1879"/>
      <c r="X63" s="1879"/>
      <c r="Y63" s="1879"/>
      <c r="Z63" s="1879"/>
      <c r="AA63" s="1879"/>
      <c r="AB63" s="1879"/>
      <c r="AC63" s="1879"/>
      <c r="AD63" s="1879"/>
    </row>
    <row r="64" spans="1:30" s="1697" customFormat="1" ht="36">
      <c r="A64" s="1890" t="s">
        <v>1258</v>
      </c>
      <c r="B64" s="1906" t="s">
        <v>1259</v>
      </c>
      <c r="C64" s="1898"/>
      <c r="D64" s="1899">
        <f t="shared" si="12"/>
        <v>0</v>
      </c>
      <c r="E64" s="1904"/>
      <c r="F64" s="1901"/>
      <c r="G64" s="1902"/>
      <c r="H64" s="1903" t="str">
        <f t="shared" si="16"/>
        <v>——</v>
      </c>
      <c r="I64" s="2015">
        <v>0.05</v>
      </c>
      <c r="J64" s="2016">
        <f t="shared" si="13"/>
        <v>0</v>
      </c>
      <c r="K64" s="2016">
        <f t="shared" si="14"/>
        <v>0</v>
      </c>
      <c r="L64" s="2016">
        <v>0</v>
      </c>
      <c r="M64" s="2016">
        <f t="shared" si="15"/>
        <v>0</v>
      </c>
      <c r="N64" s="2016">
        <f t="shared" si="15"/>
        <v>0</v>
      </c>
      <c r="P64" s="1879"/>
      <c r="Q64" s="1879"/>
      <c r="R64" s="1879"/>
      <c r="S64" s="1879"/>
      <c r="T64" s="1879"/>
      <c r="U64" s="1879"/>
      <c r="V64" s="1879"/>
      <c r="W64" s="1879"/>
      <c r="X64" s="1879"/>
      <c r="Y64" s="1879"/>
      <c r="Z64" s="1879"/>
      <c r="AA64" s="1879"/>
      <c r="AB64" s="1879"/>
      <c r="AC64" s="1879"/>
      <c r="AD64" s="1879"/>
    </row>
    <row r="65" spans="1:36" s="1697" customFormat="1" ht="24">
      <c r="A65" s="1890" t="s">
        <v>1260</v>
      </c>
      <c r="B65" s="1891">
        <f>估价对象房地状况!C24</f>
        <v>0</v>
      </c>
      <c r="C65" s="1898"/>
      <c r="D65" s="1899">
        <f t="shared" si="12"/>
        <v>0</v>
      </c>
      <c r="E65" s="1904"/>
      <c r="F65" s="1901"/>
      <c r="G65" s="1902"/>
      <c r="H65" s="1903" t="str">
        <f t="shared" si="16"/>
        <v>——</v>
      </c>
      <c r="I65" s="2015">
        <v>0.05</v>
      </c>
      <c r="J65" s="2016">
        <f t="shared" si="13"/>
        <v>0</v>
      </c>
      <c r="K65" s="2016">
        <f t="shared" si="14"/>
        <v>0</v>
      </c>
      <c r="L65" s="2016">
        <v>0</v>
      </c>
      <c r="M65" s="2016">
        <f t="shared" si="15"/>
        <v>0</v>
      </c>
      <c r="N65" s="2016">
        <f t="shared" si="15"/>
        <v>0</v>
      </c>
      <c r="P65" s="1879"/>
      <c r="Q65" s="1879"/>
      <c r="R65" s="1879"/>
      <c r="S65" s="1879"/>
      <c r="T65" s="1879"/>
      <c r="U65" s="1879"/>
      <c r="V65" s="1879"/>
      <c r="W65" s="1879"/>
      <c r="X65" s="1879"/>
      <c r="Y65" s="1879"/>
      <c r="Z65" s="1879"/>
      <c r="AA65" s="1879"/>
      <c r="AB65" s="1879"/>
      <c r="AC65" s="1879"/>
      <c r="AD65" s="1879"/>
    </row>
    <row r="66" spans="1:36" s="1697" customFormat="1" ht="24">
      <c r="A66" s="1890" t="s">
        <v>1261</v>
      </c>
      <c r="B66" s="1907" t="s">
        <v>1262</v>
      </c>
      <c r="C66" s="1898"/>
      <c r="D66" s="1899">
        <f t="shared" si="12"/>
        <v>0</v>
      </c>
      <c r="E66" s="1904"/>
      <c r="F66" s="1901"/>
      <c r="G66" s="1902"/>
      <c r="H66" s="1903" t="str">
        <f t="shared" si="16"/>
        <v>——</v>
      </c>
      <c r="I66" s="2015">
        <v>0.06</v>
      </c>
      <c r="J66" s="2016">
        <f t="shared" si="13"/>
        <v>0</v>
      </c>
      <c r="K66" s="2016">
        <f t="shared" si="14"/>
        <v>0</v>
      </c>
      <c r="L66" s="2016">
        <v>0</v>
      </c>
      <c r="M66" s="2016">
        <f t="shared" si="15"/>
        <v>0</v>
      </c>
      <c r="N66" s="2016">
        <f t="shared" si="15"/>
        <v>0</v>
      </c>
      <c r="P66" s="1879"/>
      <c r="Q66" s="1879"/>
      <c r="R66" s="1879"/>
      <c r="S66" s="1879"/>
      <c r="T66" s="1879"/>
      <c r="U66" s="1879"/>
      <c r="V66" s="1879"/>
      <c r="W66" s="1879"/>
      <c r="X66" s="1879"/>
      <c r="Y66" s="1879"/>
      <c r="Z66" s="1879"/>
      <c r="AA66" s="1879"/>
      <c r="AB66" s="1879"/>
      <c r="AC66" s="1879"/>
      <c r="AD66" s="1879"/>
    </row>
    <row r="67" spans="1:36" s="1697" customFormat="1" ht="24">
      <c r="A67" s="1890" t="s">
        <v>1263</v>
      </c>
      <c r="B67" s="1909" t="str">
        <f>估价对象房地状况!C21</f>
        <v>估价对象所在区域公共配套设施齐备情况</v>
      </c>
      <c r="C67" s="1898"/>
      <c r="D67" s="1899">
        <f t="shared" si="12"/>
        <v>0</v>
      </c>
      <c r="E67" s="1904"/>
      <c r="F67" s="1901"/>
      <c r="G67" s="1902"/>
      <c r="H67" s="1903" t="str">
        <f t="shared" si="16"/>
        <v>——</v>
      </c>
      <c r="I67" s="2015">
        <v>0.06</v>
      </c>
      <c r="J67" s="2016">
        <f t="shared" si="13"/>
        <v>0</v>
      </c>
      <c r="K67" s="2016">
        <f t="shared" si="14"/>
        <v>0</v>
      </c>
      <c r="L67" s="2016">
        <v>0</v>
      </c>
      <c r="M67" s="2016">
        <f t="shared" si="15"/>
        <v>0</v>
      </c>
      <c r="N67" s="2016">
        <f t="shared" si="15"/>
        <v>0</v>
      </c>
      <c r="P67" s="1879"/>
      <c r="Q67" s="1879"/>
      <c r="R67" s="1879"/>
      <c r="S67" s="1879"/>
      <c r="T67" s="1879"/>
      <c r="U67" s="1879"/>
      <c r="V67" s="1879"/>
      <c r="W67" s="1879"/>
      <c r="X67" s="1879"/>
      <c r="Y67" s="1879"/>
      <c r="Z67" s="1879"/>
      <c r="AA67" s="1879"/>
      <c r="AB67" s="1879"/>
      <c r="AC67" s="1879"/>
      <c r="AD67" s="1879"/>
    </row>
    <row r="68" spans="1:36" s="1697" customFormat="1" ht="24">
      <c r="A68" s="1890" t="s">
        <v>1264</v>
      </c>
      <c r="B68" s="1909" t="str">
        <f>估价对象房地状况!C22</f>
        <v>估价对象所在区域基础设施水平</v>
      </c>
      <c r="C68" s="1898"/>
      <c r="D68" s="1899">
        <f t="shared" si="12"/>
        <v>0</v>
      </c>
      <c r="E68" s="1904"/>
      <c r="F68" s="1901"/>
      <c r="G68" s="1902"/>
      <c r="H68" s="1903" t="str">
        <f t="shared" si="16"/>
        <v>——</v>
      </c>
      <c r="I68" s="2015">
        <v>0.09</v>
      </c>
      <c r="J68" s="2016">
        <f t="shared" si="13"/>
        <v>0</v>
      </c>
      <c r="K68" s="2016">
        <f t="shared" si="14"/>
        <v>0</v>
      </c>
      <c r="L68" s="2016">
        <v>0</v>
      </c>
      <c r="M68" s="2016">
        <f t="shared" si="15"/>
        <v>0</v>
      </c>
      <c r="N68" s="2016">
        <f t="shared" si="15"/>
        <v>0</v>
      </c>
      <c r="P68" s="1879"/>
      <c r="Q68" s="1879"/>
      <c r="R68" s="1879"/>
      <c r="S68" s="1879"/>
      <c r="T68" s="1879"/>
      <c r="U68" s="1879"/>
      <c r="V68" s="1879"/>
      <c r="W68" s="1879"/>
      <c r="X68" s="1879"/>
      <c r="Y68" s="1879"/>
      <c r="Z68" s="1879"/>
      <c r="AA68" s="1879"/>
      <c r="AB68" s="1879"/>
      <c r="AC68" s="1879"/>
      <c r="AD68" s="1879"/>
    </row>
    <row r="69" spans="1:36" s="1697" customFormat="1" ht="24">
      <c r="A69" s="1910" t="s">
        <v>1265</v>
      </c>
      <c r="B69" s="2041" t="str">
        <f>估价对象房地状况!C20</f>
        <v>区域自然环境：；人文环境；综合评价环境状况一般</v>
      </c>
      <c r="C69" s="1898"/>
      <c r="D69" s="1899">
        <f t="shared" si="12"/>
        <v>0</v>
      </c>
      <c r="E69" s="1912"/>
      <c r="F69" s="1901"/>
      <c r="G69" s="1902"/>
      <c r="H69" s="1903" t="str">
        <f t="shared" si="16"/>
        <v>——</v>
      </c>
      <c r="I69" s="2017">
        <v>7.0000000000000007E-2</v>
      </c>
      <c r="J69" s="2016">
        <f t="shared" si="13"/>
        <v>0</v>
      </c>
      <c r="K69" s="2016">
        <f t="shared" si="14"/>
        <v>0</v>
      </c>
      <c r="L69" s="2016">
        <v>0</v>
      </c>
      <c r="M69" s="2016">
        <f t="shared" si="15"/>
        <v>0</v>
      </c>
      <c r="N69" s="2016">
        <f t="shared" si="15"/>
        <v>0</v>
      </c>
      <c r="P69" s="1879"/>
      <c r="Q69" s="1879"/>
      <c r="R69" s="1879"/>
      <c r="S69" s="1879"/>
      <c r="T69" s="1879"/>
      <c r="U69" s="1879"/>
      <c r="V69" s="1879"/>
      <c r="W69" s="1879"/>
      <c r="X69" s="1879"/>
      <c r="Y69" s="1879"/>
      <c r="Z69" s="1879"/>
      <c r="AA69" s="1879"/>
      <c r="AB69" s="1879"/>
      <c r="AC69" s="1879"/>
      <c r="AD69" s="1879"/>
    </row>
    <row r="70" spans="1:36" s="1697" customFormat="1" ht="15">
      <c r="A70" s="1884" t="s">
        <v>402</v>
      </c>
      <c r="B70" s="1885">
        <f>1+E72</f>
        <v>1</v>
      </c>
      <c r="C70" s="1913"/>
      <c r="D70" s="1887"/>
      <c r="E70" s="1888"/>
      <c r="F70" s="1889"/>
      <c r="G70" s="1883"/>
      <c r="H70" s="1883"/>
      <c r="I70" s="1883"/>
      <c r="J70" s="1561"/>
      <c r="K70" s="1561"/>
      <c r="L70" s="1561"/>
      <c r="M70" s="1561"/>
      <c r="N70" s="1561"/>
      <c r="P70" s="1879"/>
      <c r="Q70" s="1879"/>
      <c r="R70" s="1879"/>
      <c r="S70" s="1879"/>
      <c r="T70" s="1879"/>
      <c r="U70" s="1879"/>
      <c r="V70" s="1879"/>
      <c r="W70" s="1879"/>
      <c r="X70" s="1879"/>
      <c r="Y70" s="1879"/>
      <c r="Z70" s="1879"/>
      <c r="AA70" s="1879"/>
      <c r="AB70" s="1879"/>
      <c r="AC70" s="1879"/>
      <c r="AD70" s="1879"/>
    </row>
    <row r="71" spans="1:36" s="1697" customFormat="1" ht="24">
      <c r="A71" s="1890" t="s">
        <v>1247</v>
      </c>
      <c r="B71" s="1891"/>
      <c r="C71" s="1892" t="s">
        <v>1249</v>
      </c>
      <c r="D71" s="1893" t="s">
        <v>1250</v>
      </c>
      <c r="E71" s="1894" t="s">
        <v>1251</v>
      </c>
      <c r="F71" s="1895" t="s">
        <v>1252</v>
      </c>
      <c r="G71" s="1893" t="s">
        <v>1253</v>
      </c>
      <c r="H71" s="1896" t="s">
        <v>1254</v>
      </c>
      <c r="I71" s="1893" t="s">
        <v>1255</v>
      </c>
      <c r="J71" s="2014" t="s">
        <v>248</v>
      </c>
      <c r="K71" s="2014" t="s">
        <v>260</v>
      </c>
      <c r="L71" s="2014" t="s">
        <v>270</v>
      </c>
      <c r="M71" s="2014" t="s">
        <v>280</v>
      </c>
      <c r="N71" s="2014" t="s">
        <v>287</v>
      </c>
      <c r="P71" s="1879"/>
      <c r="Q71" s="1879"/>
      <c r="R71" s="1879"/>
      <c r="S71" s="1879"/>
      <c r="T71" s="1879"/>
      <c r="U71" s="1879"/>
      <c r="V71" s="1879"/>
      <c r="W71" s="1879"/>
      <c r="X71" s="1879"/>
      <c r="Y71" s="1879"/>
      <c r="Z71" s="1879"/>
      <c r="AA71" s="1879"/>
      <c r="AB71" s="1879"/>
      <c r="AC71" s="1879"/>
      <c r="AD71" s="1879"/>
    </row>
    <row r="72" spans="1:36" s="1697" customFormat="1" ht="48">
      <c r="A72" s="1890" t="s">
        <v>690</v>
      </c>
      <c r="B72" s="1891" t="str">
        <f>估价对象房地状况!C15</f>
        <v>估价对象周边居住用地比例、居住小区规模和社区发展完善程度，综合评价居住社区成熟度一般</v>
      </c>
      <c r="C72" s="2042"/>
      <c r="D72" s="1899">
        <f t="shared" ref="D72:D80" si="17">SUMIF($J$71:$N$71,C72,J72:N72)</f>
        <v>0</v>
      </c>
      <c r="E72" s="1900">
        <f>ROUND(SUM(D72:D80),4)</f>
        <v>0</v>
      </c>
      <c r="F72" s="1901" t="str">
        <f>IF(E2="住宅",SUMIF(L1:L12,G2,N1:N12),"——")</f>
        <v>——</v>
      </c>
      <c r="G72" s="2043"/>
      <c r="H72" s="2044" t="str">
        <f t="shared" ref="H72:H80" si="18">IFERROR(ROUNDDOWN($F$72*I72/2,4),"——")</f>
        <v>——</v>
      </c>
      <c r="I72" s="2015">
        <v>0.2</v>
      </c>
      <c r="J72" s="2016">
        <f t="shared" ref="J72:J80" si="19">K72+$G72</f>
        <v>0</v>
      </c>
      <c r="K72" s="2016">
        <f t="shared" ref="K72:K80" si="20">$L72+$G72</f>
        <v>0</v>
      </c>
      <c r="L72" s="2016">
        <v>0</v>
      </c>
      <c r="M72" s="2016">
        <f t="shared" ref="M72:N80" si="21">L72-$G72</f>
        <v>0</v>
      </c>
      <c r="N72" s="2016">
        <f t="shared" si="21"/>
        <v>0</v>
      </c>
      <c r="P72" s="1879"/>
      <c r="Q72" s="1879"/>
      <c r="R72" s="1879"/>
      <c r="S72" s="1879"/>
      <c r="T72" s="1879"/>
      <c r="U72" s="1879"/>
      <c r="V72" s="1879"/>
      <c r="W72" s="1879"/>
      <c r="X72" s="1879"/>
      <c r="Y72" s="1879"/>
      <c r="Z72" s="1879"/>
      <c r="AA72" s="1879"/>
      <c r="AB72" s="1879"/>
      <c r="AC72" s="1879"/>
      <c r="AD72" s="1879"/>
    </row>
    <row r="73" spans="1:36" s="1697" customFormat="1" ht="36">
      <c r="A73" s="1890" t="s">
        <v>696</v>
      </c>
      <c r="B73" s="1891" t="str">
        <f>估价对象房地状况!C18</f>
        <v>估价对象周边道路状况、公共交通通达情况、停车便捷程度，综合评价交通便捷度较好</v>
      </c>
      <c r="C73" s="2042"/>
      <c r="D73" s="1899">
        <f t="shared" si="17"/>
        <v>0</v>
      </c>
      <c r="E73" s="1904"/>
      <c r="F73" s="1901"/>
      <c r="G73" s="2043"/>
      <c r="H73" s="2044" t="str">
        <f t="shared" si="18"/>
        <v>——</v>
      </c>
      <c r="I73" s="2015">
        <v>0.26</v>
      </c>
      <c r="J73" s="2016">
        <f t="shared" si="19"/>
        <v>0</v>
      </c>
      <c r="K73" s="2016">
        <f t="shared" si="20"/>
        <v>0</v>
      </c>
      <c r="L73" s="2016">
        <v>0</v>
      </c>
      <c r="M73" s="2016">
        <f t="shared" si="21"/>
        <v>0</v>
      </c>
      <c r="N73" s="2016">
        <f t="shared" si="21"/>
        <v>0</v>
      </c>
      <c r="P73" s="1879"/>
      <c r="Q73" s="1879"/>
      <c r="R73" s="1879"/>
      <c r="S73" s="1879"/>
      <c r="T73" s="1879"/>
      <c r="U73" s="1879"/>
      <c r="V73" s="1879"/>
      <c r="W73" s="1879"/>
      <c r="X73" s="1879"/>
      <c r="Y73" s="1879"/>
      <c r="Z73" s="1879"/>
      <c r="AA73" s="1879"/>
      <c r="AB73" s="1879"/>
      <c r="AC73" s="1879"/>
      <c r="AD73" s="1879"/>
    </row>
    <row r="74" spans="1:36" s="1697" customFormat="1" ht="36">
      <c r="A74" s="1905" t="s">
        <v>1257</v>
      </c>
      <c r="B74" s="1891">
        <f>估价对象房地状况!C19</f>
        <v>0</v>
      </c>
      <c r="C74" s="2042"/>
      <c r="D74" s="1899">
        <f t="shared" si="17"/>
        <v>0</v>
      </c>
      <c r="E74" s="1904"/>
      <c r="F74" s="1901"/>
      <c r="G74" s="2043"/>
      <c r="H74" s="2044" t="str">
        <f t="shared" si="18"/>
        <v>——</v>
      </c>
      <c r="I74" s="2015">
        <v>0.1</v>
      </c>
      <c r="J74" s="2016">
        <f t="shared" si="19"/>
        <v>0</v>
      </c>
      <c r="K74" s="2016">
        <f t="shared" si="20"/>
        <v>0</v>
      </c>
      <c r="L74" s="2016">
        <v>0</v>
      </c>
      <c r="M74" s="2016">
        <f t="shared" si="21"/>
        <v>0</v>
      </c>
      <c r="N74" s="2016">
        <f t="shared" si="21"/>
        <v>0</v>
      </c>
      <c r="P74" s="1879"/>
      <c r="Q74" s="1879"/>
      <c r="R74" s="1879"/>
      <c r="S74" s="1879"/>
      <c r="T74" s="1879"/>
      <c r="U74" s="1879"/>
      <c r="V74" s="1879"/>
      <c r="W74" s="1879"/>
      <c r="X74" s="1879"/>
      <c r="Y74" s="1879"/>
      <c r="Z74" s="1879"/>
      <c r="AA74" s="1879"/>
      <c r="AB74" s="1879"/>
      <c r="AC74" s="1879"/>
      <c r="AD74" s="1879"/>
    </row>
    <row r="75" spans="1:36" s="1698" customFormat="1" ht="14.25">
      <c r="A75" s="1890" t="s">
        <v>1266</v>
      </c>
      <c r="B75" s="1891">
        <f>估价对象房地状况!C24</f>
        <v>0</v>
      </c>
      <c r="C75" s="2042"/>
      <c r="D75" s="1899">
        <f t="shared" si="17"/>
        <v>0</v>
      </c>
      <c r="E75" s="1904"/>
      <c r="F75" s="1901"/>
      <c r="G75" s="2043"/>
      <c r="H75" s="2044" t="str">
        <f t="shared" si="18"/>
        <v>——</v>
      </c>
      <c r="I75" s="2015">
        <v>0.05</v>
      </c>
      <c r="J75" s="2016">
        <f t="shared" si="19"/>
        <v>0</v>
      </c>
      <c r="K75" s="2016">
        <f t="shared" si="20"/>
        <v>0</v>
      </c>
      <c r="L75" s="2016">
        <v>0</v>
      </c>
      <c r="M75" s="2016">
        <f t="shared" si="21"/>
        <v>0</v>
      </c>
      <c r="N75" s="2016">
        <f t="shared" si="21"/>
        <v>0</v>
      </c>
      <c r="O75" s="1697"/>
      <c r="P75" s="1879"/>
      <c r="Q75" s="1879"/>
      <c r="R75" s="2085"/>
      <c r="S75" s="2085"/>
      <c r="T75" s="2085"/>
      <c r="U75" s="2085"/>
      <c r="V75" s="2085"/>
      <c r="W75" s="2085"/>
      <c r="X75" s="2085"/>
      <c r="Y75" s="2085"/>
      <c r="Z75" s="2085"/>
      <c r="AA75" s="2085"/>
      <c r="AB75" s="2085"/>
      <c r="AC75" s="2085"/>
      <c r="AD75" s="2085"/>
      <c r="AE75" s="1697"/>
      <c r="AF75" s="1697"/>
      <c r="AG75" s="1697"/>
      <c r="AH75" s="1697"/>
      <c r="AI75" s="1697"/>
      <c r="AJ75" s="1697"/>
    </row>
    <row r="76" spans="1:36" s="1698" customFormat="1" ht="24">
      <c r="A76" s="1890" t="s">
        <v>1263</v>
      </c>
      <c r="B76" s="1909" t="str">
        <f>估价对象房地状况!C21</f>
        <v>估价对象所在区域公共配套设施齐备情况</v>
      </c>
      <c r="C76" s="2042"/>
      <c r="D76" s="1899">
        <f t="shared" si="17"/>
        <v>0</v>
      </c>
      <c r="E76" s="1904"/>
      <c r="F76" s="1901"/>
      <c r="G76" s="2043"/>
      <c r="H76" s="2044" t="str">
        <f t="shared" si="18"/>
        <v>——</v>
      </c>
      <c r="I76" s="2015">
        <v>0.08</v>
      </c>
      <c r="J76" s="2016">
        <f t="shared" si="19"/>
        <v>0</v>
      </c>
      <c r="K76" s="2016">
        <f t="shared" si="20"/>
        <v>0</v>
      </c>
      <c r="L76" s="2016">
        <v>0</v>
      </c>
      <c r="M76" s="2016">
        <f t="shared" si="21"/>
        <v>0</v>
      </c>
      <c r="N76" s="2016">
        <f t="shared" si="21"/>
        <v>0</v>
      </c>
      <c r="O76" s="1697"/>
      <c r="P76" s="1879"/>
      <c r="Q76" s="1879"/>
      <c r="AE76" s="1697"/>
      <c r="AF76" s="1697"/>
      <c r="AG76" s="1697"/>
      <c r="AH76" s="1697"/>
      <c r="AI76" s="1697"/>
      <c r="AJ76" s="1697"/>
    </row>
    <row r="77" spans="1:36" s="1698" customFormat="1" ht="24">
      <c r="A77" s="1890" t="s">
        <v>1264</v>
      </c>
      <c r="B77" s="1909" t="str">
        <f>估价对象房地状况!C22</f>
        <v>估价对象所在区域基础设施水平</v>
      </c>
      <c r="C77" s="2042"/>
      <c r="D77" s="1899">
        <f t="shared" si="17"/>
        <v>0</v>
      </c>
      <c r="E77" s="1904"/>
      <c r="F77" s="1901"/>
      <c r="G77" s="2043"/>
      <c r="H77" s="2044" t="str">
        <f t="shared" si="18"/>
        <v>——</v>
      </c>
      <c r="I77" s="2015">
        <v>0.09</v>
      </c>
      <c r="J77" s="2016">
        <f t="shared" si="19"/>
        <v>0</v>
      </c>
      <c r="K77" s="2016">
        <f t="shared" si="20"/>
        <v>0</v>
      </c>
      <c r="L77" s="2016">
        <v>0</v>
      </c>
      <c r="M77" s="2016">
        <f t="shared" si="21"/>
        <v>0</v>
      </c>
      <c r="N77" s="2016">
        <f t="shared" si="21"/>
        <v>0</v>
      </c>
      <c r="O77" s="1697"/>
      <c r="P77" s="1879"/>
      <c r="Q77" s="1879"/>
      <c r="AE77" s="1697"/>
      <c r="AF77" s="1697"/>
      <c r="AG77" s="1697"/>
      <c r="AH77" s="1697"/>
      <c r="AI77" s="1697"/>
      <c r="AJ77" s="1697"/>
    </row>
    <row r="78" spans="1:36" s="1698" customFormat="1" ht="24">
      <c r="A78" s="1890" t="s">
        <v>1261</v>
      </c>
      <c r="B78" s="1907" t="s">
        <v>1262</v>
      </c>
      <c r="C78" s="2042"/>
      <c r="D78" s="1899">
        <f t="shared" si="17"/>
        <v>0</v>
      </c>
      <c r="E78" s="1904"/>
      <c r="F78" s="1901"/>
      <c r="G78" s="2043"/>
      <c r="H78" s="2044" t="str">
        <f t="shared" si="18"/>
        <v>——</v>
      </c>
      <c r="I78" s="2015">
        <v>0.05</v>
      </c>
      <c r="J78" s="2016">
        <f t="shared" si="19"/>
        <v>0</v>
      </c>
      <c r="K78" s="2016">
        <f t="shared" si="20"/>
        <v>0</v>
      </c>
      <c r="L78" s="2016">
        <v>0</v>
      </c>
      <c r="M78" s="2016">
        <f t="shared" si="21"/>
        <v>0</v>
      </c>
      <c r="N78" s="2016">
        <f t="shared" si="21"/>
        <v>0</v>
      </c>
      <c r="O78" s="1697"/>
      <c r="P78" s="1879"/>
      <c r="Q78" s="1879"/>
      <c r="AE78" s="1697"/>
      <c r="AF78" s="1697"/>
      <c r="AG78" s="1697"/>
      <c r="AH78" s="1697"/>
      <c r="AI78" s="1697"/>
      <c r="AJ78" s="1697"/>
    </row>
    <row r="79" spans="1:36" s="1698" customFormat="1" ht="24">
      <c r="A79" s="1890" t="s">
        <v>1265</v>
      </c>
      <c r="B79" s="1897" t="str">
        <f>估价对象房地状况!C20</f>
        <v>区域自然环境：；人文环境；综合评价环境状况一般</v>
      </c>
      <c r="C79" s="2042"/>
      <c r="D79" s="1899">
        <f t="shared" si="17"/>
        <v>0</v>
      </c>
      <c r="E79" s="1904"/>
      <c r="F79" s="1901"/>
      <c r="G79" s="2043"/>
      <c r="H79" s="2044" t="str">
        <f t="shared" si="18"/>
        <v>——</v>
      </c>
      <c r="I79" s="2015">
        <v>0.12</v>
      </c>
      <c r="J79" s="2016">
        <f t="shared" si="19"/>
        <v>0</v>
      </c>
      <c r="K79" s="2016">
        <f t="shared" si="20"/>
        <v>0</v>
      </c>
      <c r="L79" s="2016">
        <v>0</v>
      </c>
      <c r="M79" s="2016">
        <f t="shared" si="21"/>
        <v>0</v>
      </c>
      <c r="N79" s="2016">
        <f t="shared" si="21"/>
        <v>0</v>
      </c>
      <c r="P79" s="2085"/>
      <c r="Q79" s="2085"/>
      <c r="AE79" s="1697"/>
      <c r="AF79" s="1697"/>
      <c r="AG79" s="1697"/>
      <c r="AH79" s="1697"/>
      <c r="AI79" s="1697"/>
      <c r="AJ79" s="1697"/>
    </row>
    <row r="80" spans="1:36" s="1698" customFormat="1" ht="24">
      <c r="A80" s="1910" t="s">
        <v>1267</v>
      </c>
      <c r="B80" s="2045"/>
      <c r="C80" s="2042"/>
      <c r="D80" s="1899">
        <f t="shared" si="17"/>
        <v>0</v>
      </c>
      <c r="E80" s="1912"/>
      <c r="F80" s="1901"/>
      <c r="G80" s="2043"/>
      <c r="H80" s="2044" t="str">
        <f t="shared" si="18"/>
        <v>——</v>
      </c>
      <c r="I80" s="2017">
        <v>0.05</v>
      </c>
      <c r="J80" s="2016">
        <f t="shared" si="19"/>
        <v>0</v>
      </c>
      <c r="K80" s="2016">
        <f t="shared" si="20"/>
        <v>0</v>
      </c>
      <c r="L80" s="2016">
        <v>0</v>
      </c>
      <c r="M80" s="2016">
        <f t="shared" si="21"/>
        <v>0</v>
      </c>
      <c r="N80" s="2016">
        <f t="shared" si="21"/>
        <v>0</v>
      </c>
      <c r="AE80" s="1697"/>
      <c r="AF80" s="1697"/>
      <c r="AG80" s="1697"/>
      <c r="AH80" s="1697"/>
      <c r="AI80" s="1697"/>
      <c r="AJ80" s="1697"/>
    </row>
    <row r="81" spans="1:36" s="1698" customFormat="1" ht="15">
      <c r="A81" s="1884" t="s">
        <v>164</v>
      </c>
      <c r="B81" s="1885">
        <f>1+E83</f>
        <v>1</v>
      </c>
      <c r="C81" s="1913"/>
      <c r="D81" s="1887"/>
      <c r="E81" s="1888"/>
      <c r="F81" s="1889"/>
      <c r="G81" s="1883"/>
      <c r="H81" s="1883"/>
      <c r="I81" s="1883"/>
      <c r="J81" s="1561"/>
      <c r="K81" s="1561"/>
      <c r="L81" s="1561"/>
      <c r="M81" s="1561"/>
      <c r="N81" s="1561"/>
      <c r="AE81" s="1697"/>
      <c r="AF81" s="1697"/>
      <c r="AG81" s="1697"/>
      <c r="AH81" s="1697"/>
      <c r="AI81" s="1697"/>
      <c r="AJ81" s="1697"/>
    </row>
    <row r="82" spans="1:36" s="1698" customFormat="1" ht="24">
      <c r="A82" s="1890" t="s">
        <v>1247</v>
      </c>
      <c r="B82" s="1891"/>
      <c r="C82" s="1892" t="s">
        <v>1249</v>
      </c>
      <c r="D82" s="1893" t="s">
        <v>1250</v>
      </c>
      <c r="E82" s="1894" t="s">
        <v>1251</v>
      </c>
      <c r="F82" s="1895" t="s">
        <v>1252</v>
      </c>
      <c r="G82" s="1893" t="s">
        <v>1253</v>
      </c>
      <c r="H82" s="1896" t="s">
        <v>1254</v>
      </c>
      <c r="I82" s="1893" t="s">
        <v>1255</v>
      </c>
      <c r="J82" s="2014" t="s">
        <v>248</v>
      </c>
      <c r="K82" s="2014" t="s">
        <v>260</v>
      </c>
      <c r="L82" s="2014" t="s">
        <v>270</v>
      </c>
      <c r="M82" s="2014" t="s">
        <v>280</v>
      </c>
      <c r="N82" s="2014" t="s">
        <v>287</v>
      </c>
      <c r="AE82" s="1697"/>
      <c r="AF82" s="1697"/>
      <c r="AG82" s="1697"/>
      <c r="AH82" s="1697"/>
      <c r="AI82" s="1697"/>
      <c r="AJ82" s="1697"/>
    </row>
    <row r="83" spans="1:36" s="1698" customFormat="1" ht="24">
      <c r="A83" s="1890" t="s">
        <v>692</v>
      </c>
      <c r="B83" s="1891" t="str">
        <f>估价对象房地状况!G15</f>
        <v>估价对象位于XX开发区，园区建设成熟度XX，产业集聚程度XX</v>
      </c>
      <c r="C83" s="1898"/>
      <c r="D83" s="1899">
        <f t="shared" ref="D83:D90" si="22">SUMIF($J$82:$N$82,C83,J83:N83)</f>
        <v>0</v>
      </c>
      <c r="E83" s="1900">
        <f>ROUND(SUM(D83:D90),4)</f>
        <v>0</v>
      </c>
      <c r="F83" s="1901" t="str">
        <f>IF(E2="工业",SUMIF(L1:L12,G2,N1:N12),"——")</f>
        <v>——</v>
      </c>
      <c r="G83" s="1902"/>
      <c r="H83" s="1903" t="str">
        <f t="shared" ref="H83:H90" si="23">IFERROR(ROUNDDOWN($F$83*I83/2,4),"——")</f>
        <v>——</v>
      </c>
      <c r="I83" s="2015">
        <v>0.26</v>
      </c>
      <c r="J83" s="2016">
        <f t="shared" ref="J83:J90" si="24">K83+$G83</f>
        <v>0</v>
      </c>
      <c r="K83" s="2016">
        <f t="shared" ref="K83:K90" si="25">$L83+$G83</f>
        <v>0</v>
      </c>
      <c r="L83" s="2016">
        <v>0</v>
      </c>
      <c r="M83" s="2016">
        <f t="shared" ref="M83:N90" si="26">L83-$G83</f>
        <v>0</v>
      </c>
      <c r="N83" s="2016">
        <f t="shared" si="26"/>
        <v>0</v>
      </c>
      <c r="AE83" s="1697"/>
      <c r="AF83" s="1697"/>
      <c r="AG83" s="1697"/>
      <c r="AH83" s="1697"/>
      <c r="AI83" s="1697"/>
      <c r="AJ83" s="1697"/>
    </row>
    <row r="84" spans="1:36" s="1698" customFormat="1" ht="36">
      <c r="A84" s="1890" t="s">
        <v>696</v>
      </c>
      <c r="B84" s="1891" t="str">
        <f>估价对象房地状况!G16</f>
        <v>估价对象周边道路状况、公共交通通达情况、停车便捷程度，综合评价交通便捷度较好</v>
      </c>
      <c r="C84" s="1898"/>
      <c r="D84" s="1899">
        <f t="shared" si="22"/>
        <v>0</v>
      </c>
      <c r="E84" s="1904"/>
      <c r="F84" s="1901"/>
      <c r="G84" s="1902"/>
      <c r="H84" s="1903" t="str">
        <f t="shared" si="23"/>
        <v>——</v>
      </c>
      <c r="I84" s="2015">
        <v>0.3</v>
      </c>
      <c r="J84" s="2016">
        <f t="shared" si="24"/>
        <v>0</v>
      </c>
      <c r="K84" s="2016">
        <f t="shared" si="25"/>
        <v>0</v>
      </c>
      <c r="L84" s="2016">
        <v>0</v>
      </c>
      <c r="M84" s="2016">
        <f t="shared" si="26"/>
        <v>0</v>
      </c>
      <c r="N84" s="2016">
        <f t="shared" si="26"/>
        <v>0</v>
      </c>
      <c r="AE84" s="1697"/>
      <c r="AF84" s="1697"/>
      <c r="AG84" s="1697"/>
      <c r="AH84" s="1697"/>
      <c r="AI84" s="1697"/>
      <c r="AJ84" s="1697"/>
    </row>
    <row r="85" spans="1:36" s="1698" customFormat="1" ht="24">
      <c r="A85" s="1890" t="s">
        <v>708</v>
      </c>
      <c r="B85" s="1891">
        <f>估价对象房地状况!G17</f>
        <v>0</v>
      </c>
      <c r="C85" s="1898"/>
      <c r="D85" s="1899">
        <f t="shared" si="22"/>
        <v>0</v>
      </c>
      <c r="E85" s="1904"/>
      <c r="F85" s="1901"/>
      <c r="G85" s="1902"/>
      <c r="H85" s="1903" t="str">
        <f t="shared" si="23"/>
        <v>——</v>
      </c>
      <c r="I85" s="2015">
        <v>0.1</v>
      </c>
      <c r="J85" s="2016">
        <f t="shared" si="24"/>
        <v>0</v>
      </c>
      <c r="K85" s="2016">
        <f t="shared" si="25"/>
        <v>0</v>
      </c>
      <c r="L85" s="2016">
        <v>0</v>
      </c>
      <c r="M85" s="2016">
        <f t="shared" si="26"/>
        <v>0</v>
      </c>
      <c r="N85" s="2016">
        <f t="shared" si="26"/>
        <v>0</v>
      </c>
      <c r="AE85" s="1697"/>
      <c r="AF85" s="1697"/>
      <c r="AG85" s="1697"/>
      <c r="AH85" s="1697"/>
      <c r="AI85" s="1697"/>
      <c r="AJ85" s="1697"/>
    </row>
    <row r="86" spans="1:36" s="1698" customFormat="1" ht="14.25">
      <c r="A86" s="1890" t="s">
        <v>1266</v>
      </c>
      <c r="B86" s="1891">
        <f>估价对象房地状况!G22</f>
        <v>0</v>
      </c>
      <c r="C86" s="1898"/>
      <c r="D86" s="1899">
        <f t="shared" si="22"/>
        <v>0</v>
      </c>
      <c r="E86" s="1904"/>
      <c r="F86" s="1901"/>
      <c r="G86" s="1902"/>
      <c r="H86" s="1903" t="str">
        <f t="shared" si="23"/>
        <v>——</v>
      </c>
      <c r="I86" s="2015">
        <v>0.05</v>
      </c>
      <c r="J86" s="2016">
        <f t="shared" si="24"/>
        <v>0</v>
      </c>
      <c r="K86" s="2016">
        <f t="shared" si="25"/>
        <v>0</v>
      </c>
      <c r="L86" s="2016">
        <v>0</v>
      </c>
      <c r="M86" s="2016">
        <f t="shared" si="26"/>
        <v>0</v>
      </c>
      <c r="N86" s="2016">
        <f t="shared" si="26"/>
        <v>0</v>
      </c>
      <c r="AE86" s="1697"/>
      <c r="AF86" s="1697"/>
      <c r="AG86" s="1697"/>
      <c r="AH86" s="1697"/>
      <c r="AI86" s="1697"/>
      <c r="AJ86" s="1697"/>
    </row>
    <row r="87" spans="1:36" s="1698" customFormat="1" ht="24">
      <c r="A87" s="1890" t="s">
        <v>1263</v>
      </c>
      <c r="B87" s="1909" t="str">
        <f>估价对象房地状况!G19</f>
        <v>估价对象所在区域公共配套设施齐备情况</v>
      </c>
      <c r="C87" s="1898"/>
      <c r="D87" s="1899">
        <f t="shared" si="22"/>
        <v>0</v>
      </c>
      <c r="E87" s="1904"/>
      <c r="F87" s="1901"/>
      <c r="G87" s="1902"/>
      <c r="H87" s="1903" t="str">
        <f t="shared" si="23"/>
        <v>——</v>
      </c>
      <c r="I87" s="2015">
        <v>0.06</v>
      </c>
      <c r="J87" s="2016">
        <f t="shared" si="24"/>
        <v>0</v>
      </c>
      <c r="K87" s="2016">
        <f t="shared" si="25"/>
        <v>0</v>
      </c>
      <c r="L87" s="2016">
        <v>0</v>
      </c>
      <c r="M87" s="2016">
        <f t="shared" si="26"/>
        <v>0</v>
      </c>
      <c r="N87" s="2016">
        <f t="shared" si="26"/>
        <v>0</v>
      </c>
      <c r="AE87" s="1697"/>
      <c r="AF87" s="1697"/>
      <c r="AG87" s="1697"/>
      <c r="AH87" s="1697"/>
      <c r="AI87" s="1697"/>
      <c r="AJ87" s="1697"/>
    </row>
    <row r="88" spans="1:36" s="1698" customFormat="1" ht="24">
      <c r="A88" s="1890" t="s">
        <v>1264</v>
      </c>
      <c r="B88" s="1909" t="str">
        <f>估价对象房地状况!G20</f>
        <v>估价对象所在区域基础设施水平</v>
      </c>
      <c r="C88" s="1898"/>
      <c r="D88" s="1899">
        <f t="shared" si="22"/>
        <v>0</v>
      </c>
      <c r="E88" s="1904"/>
      <c r="F88" s="1901"/>
      <c r="G88" s="1902"/>
      <c r="H88" s="1903" t="str">
        <f t="shared" si="23"/>
        <v>——</v>
      </c>
      <c r="I88" s="2015">
        <v>0.12</v>
      </c>
      <c r="J88" s="2016">
        <f t="shared" si="24"/>
        <v>0</v>
      </c>
      <c r="K88" s="2016">
        <f t="shared" si="25"/>
        <v>0</v>
      </c>
      <c r="L88" s="2016">
        <v>0</v>
      </c>
      <c r="M88" s="2016">
        <f t="shared" si="26"/>
        <v>0</v>
      </c>
      <c r="N88" s="2016">
        <f t="shared" si="26"/>
        <v>0</v>
      </c>
      <c r="AE88" s="1697"/>
      <c r="AF88" s="1697"/>
      <c r="AG88" s="1697"/>
      <c r="AH88" s="1697"/>
      <c r="AI88" s="1697"/>
      <c r="AJ88" s="1697"/>
    </row>
    <row r="89" spans="1:36" s="1698" customFormat="1" ht="24">
      <c r="A89" s="1890" t="s">
        <v>1261</v>
      </c>
      <c r="B89" s="1907" t="s">
        <v>1262</v>
      </c>
      <c r="C89" s="1898"/>
      <c r="D89" s="1899">
        <f t="shared" si="22"/>
        <v>0</v>
      </c>
      <c r="E89" s="1904"/>
      <c r="F89" s="1901"/>
      <c r="G89" s="1902"/>
      <c r="H89" s="1903" t="str">
        <f t="shared" si="23"/>
        <v>——</v>
      </c>
      <c r="I89" s="2015">
        <v>0.06</v>
      </c>
      <c r="J89" s="2016">
        <f t="shared" si="24"/>
        <v>0</v>
      </c>
      <c r="K89" s="2016">
        <f t="shared" si="25"/>
        <v>0</v>
      </c>
      <c r="L89" s="2016">
        <v>0</v>
      </c>
      <c r="M89" s="2016">
        <f t="shared" si="26"/>
        <v>0</v>
      </c>
      <c r="N89" s="2016">
        <f t="shared" si="26"/>
        <v>0</v>
      </c>
      <c r="AE89" s="1697"/>
      <c r="AF89" s="1697"/>
      <c r="AG89" s="1697"/>
      <c r="AH89" s="1697"/>
      <c r="AI89" s="1697"/>
      <c r="AJ89" s="1697"/>
    </row>
    <row r="90" spans="1:36" s="1698" customFormat="1" ht="36">
      <c r="A90" s="1910" t="s">
        <v>702</v>
      </c>
      <c r="B90" s="2046" t="str">
        <f>估价对象房地状况!G18</f>
        <v>该园区内是否有污染型企业，绿化情况，卫生条件，整体环境状况判断</v>
      </c>
      <c r="C90" s="1898"/>
      <c r="D90" s="1899">
        <f t="shared" si="22"/>
        <v>0</v>
      </c>
      <c r="E90" s="1912"/>
      <c r="F90" s="1901"/>
      <c r="G90" s="1902"/>
      <c r="H90" s="1903" t="str">
        <f t="shared" si="23"/>
        <v>——</v>
      </c>
      <c r="I90" s="2017">
        <v>0.05</v>
      </c>
      <c r="J90" s="2016">
        <f t="shared" si="24"/>
        <v>0</v>
      </c>
      <c r="K90" s="2016">
        <f t="shared" si="25"/>
        <v>0</v>
      </c>
      <c r="L90" s="2016">
        <v>0</v>
      </c>
      <c r="M90" s="2016">
        <f t="shared" si="26"/>
        <v>0</v>
      </c>
      <c r="N90" s="2016">
        <f t="shared" si="26"/>
        <v>0</v>
      </c>
      <c r="AE90" s="1697"/>
      <c r="AF90" s="1697"/>
      <c r="AG90" s="1697"/>
      <c r="AH90" s="1697"/>
      <c r="AI90" s="1697"/>
      <c r="AJ90" s="1697"/>
    </row>
    <row r="91" spans="1:36" s="1698" customFormat="1" ht="15">
      <c r="A91" s="2047" t="s">
        <v>297</v>
      </c>
      <c r="B91" s="1885">
        <f>1+E93</f>
        <v>1</v>
      </c>
      <c r="C91" s="2048"/>
      <c r="D91" s="2048"/>
      <c r="E91" s="2049"/>
      <c r="F91" s="1901"/>
      <c r="G91" s="2050"/>
      <c r="H91" s="2051"/>
      <c r="I91" s="2086"/>
      <c r="J91" s="2087"/>
      <c r="K91" s="2087"/>
      <c r="L91" s="2087"/>
      <c r="M91" s="2087"/>
      <c r="N91" s="2087"/>
      <c r="AE91" s="1697"/>
      <c r="AF91" s="1697"/>
      <c r="AG91" s="1697"/>
      <c r="AH91" s="1697"/>
      <c r="AI91" s="1697"/>
      <c r="AJ91" s="1697"/>
    </row>
    <row r="92" spans="1:36" s="1698" customFormat="1" ht="24">
      <c r="A92" s="2052" t="s">
        <v>1268</v>
      </c>
      <c r="B92" s="2052"/>
      <c r="C92" s="2052" t="s">
        <v>1269</v>
      </c>
      <c r="D92" s="2052" t="s">
        <v>1270</v>
      </c>
      <c r="E92" s="2053" t="s">
        <v>1271</v>
      </c>
      <c r="F92" s="2054" t="s">
        <v>1252</v>
      </c>
      <c r="G92" s="1893" t="s">
        <v>1253</v>
      </c>
      <c r="H92" s="1896" t="s">
        <v>1254</v>
      </c>
      <c r="I92" s="1893" t="s">
        <v>1255</v>
      </c>
      <c r="J92" s="2014" t="s">
        <v>248</v>
      </c>
      <c r="K92" s="2014" t="s">
        <v>260</v>
      </c>
      <c r="L92" s="2014" t="s">
        <v>270</v>
      </c>
      <c r="M92" s="2014" t="s">
        <v>280</v>
      </c>
      <c r="N92" s="2014" t="s">
        <v>287</v>
      </c>
      <c r="AE92" s="1697"/>
      <c r="AF92" s="1697"/>
      <c r="AG92" s="1697"/>
      <c r="AH92" s="1697"/>
      <c r="AI92" s="1697"/>
      <c r="AJ92" s="1697"/>
    </row>
    <row r="93" spans="1:36" s="1698" customFormat="1" ht="24">
      <c r="A93" s="2055" t="s">
        <v>1272</v>
      </c>
      <c r="B93" s="2056"/>
      <c r="C93" s="1898"/>
      <c r="D93" s="1899">
        <f>SUMIF($J$92:$N$92,C93,J93:N93)</f>
        <v>0</v>
      </c>
      <c r="E93" s="2057">
        <f>ROUND(SUM(D93:D101),4)</f>
        <v>0</v>
      </c>
      <c r="F93" s="1901" t="str">
        <f>IF(E2="公共服务",SUMIF(L1:L12,G2,N1:N12),"——")</f>
        <v>——</v>
      </c>
      <c r="G93" s="2043"/>
      <c r="H93" s="1903" t="str">
        <f>IFERROR(ROUNDDOWN($F$93*I93/2,4),"——")</f>
        <v>——</v>
      </c>
      <c r="I93" s="2015">
        <v>0.25</v>
      </c>
      <c r="J93" s="2088">
        <f>K93+$G93</f>
        <v>0</v>
      </c>
      <c r="K93" s="2088">
        <f t="shared" ref="K93:K101" si="27">$L93+$G93</f>
        <v>0</v>
      </c>
      <c r="L93" s="2088">
        <v>0</v>
      </c>
      <c r="M93" s="2088">
        <f t="shared" ref="M93:N93" si="28">L93-$G93</f>
        <v>0</v>
      </c>
      <c r="N93" s="2088">
        <f t="shared" si="28"/>
        <v>0</v>
      </c>
      <c r="AE93" s="1697"/>
      <c r="AF93" s="1697"/>
      <c r="AG93" s="1697"/>
      <c r="AH93" s="1697"/>
      <c r="AI93" s="1697"/>
      <c r="AJ93" s="1697"/>
    </row>
    <row r="94" spans="1:36" s="1698" customFormat="1" ht="36">
      <c r="A94" s="2052" t="s">
        <v>1273</v>
      </c>
      <c r="B94" s="1891" t="str">
        <f>估价对象房地状况!G16</f>
        <v>估价对象周边道路状况、公共交通通达情况、停车便捷程度，综合评价交通便捷度较好</v>
      </c>
      <c r="C94" s="1898"/>
      <c r="D94" s="1899">
        <f t="shared" ref="D94:D101" si="29">SUMIF($J$92:$N$92,C94,J94:N94)</f>
        <v>0</v>
      </c>
      <c r="E94" s="2049"/>
      <c r="F94" s="1901"/>
      <c r="G94" s="2043"/>
      <c r="H94" s="1903" t="str">
        <f t="shared" ref="H94:H101" si="30">IFERROR(ROUNDDOWN($F$93*I94/2,4),"——")</f>
        <v>——</v>
      </c>
      <c r="I94" s="2015">
        <v>0.26</v>
      </c>
      <c r="J94" s="2088">
        <f>K94+$G94</f>
        <v>0</v>
      </c>
      <c r="K94" s="2088">
        <f t="shared" si="27"/>
        <v>0</v>
      </c>
      <c r="L94" s="2088">
        <v>0</v>
      </c>
      <c r="M94" s="2088">
        <f t="shared" ref="M94:M101" si="31">L94-$G94</f>
        <v>0</v>
      </c>
      <c r="N94" s="2088">
        <f t="shared" ref="N94:N101" si="32">M94-$G94</f>
        <v>0</v>
      </c>
      <c r="AE94" s="1697"/>
      <c r="AF94" s="1697"/>
      <c r="AG94" s="1697"/>
      <c r="AH94" s="1697"/>
      <c r="AI94" s="1697"/>
      <c r="AJ94" s="1697"/>
    </row>
    <row r="95" spans="1:36" s="1698" customFormat="1" ht="36">
      <c r="A95" s="2055" t="s">
        <v>1257</v>
      </c>
      <c r="B95" s="1891">
        <f>估价对象房地状况!G17</f>
        <v>0</v>
      </c>
      <c r="C95" s="1898"/>
      <c r="D95" s="1899">
        <f t="shared" si="29"/>
        <v>0</v>
      </c>
      <c r="E95" s="2049"/>
      <c r="F95" s="1901"/>
      <c r="G95" s="2043"/>
      <c r="H95" s="1903" t="str">
        <f t="shared" si="30"/>
        <v>——</v>
      </c>
      <c r="I95" s="2015">
        <v>0.11</v>
      </c>
      <c r="J95" s="2088">
        <f t="shared" ref="J95:J101" si="33">K95+$G95</f>
        <v>0</v>
      </c>
      <c r="K95" s="2088">
        <f t="shared" si="27"/>
        <v>0</v>
      </c>
      <c r="L95" s="2088">
        <v>0</v>
      </c>
      <c r="M95" s="2088">
        <f t="shared" si="31"/>
        <v>0</v>
      </c>
      <c r="N95" s="2088">
        <f t="shared" si="32"/>
        <v>0</v>
      </c>
      <c r="AE95" s="1697"/>
      <c r="AF95" s="1697"/>
      <c r="AG95" s="1697"/>
      <c r="AH95" s="1697"/>
      <c r="AI95" s="1697"/>
      <c r="AJ95" s="1697"/>
    </row>
    <row r="96" spans="1:36" s="1698" customFormat="1" ht="36.75">
      <c r="A96" s="2052" t="s">
        <v>1274</v>
      </c>
      <c r="B96" s="2058" t="s">
        <v>1275</v>
      </c>
      <c r="C96" s="1898"/>
      <c r="D96" s="1899">
        <f t="shared" si="29"/>
        <v>0</v>
      </c>
      <c r="E96" s="2049"/>
      <c r="F96" s="1901"/>
      <c r="G96" s="2043"/>
      <c r="H96" s="1903" t="str">
        <f t="shared" si="30"/>
        <v>——</v>
      </c>
      <c r="I96" s="2015">
        <v>0.05</v>
      </c>
      <c r="J96" s="2088">
        <f t="shared" si="33"/>
        <v>0</v>
      </c>
      <c r="K96" s="2088">
        <f t="shared" si="27"/>
        <v>0</v>
      </c>
      <c r="L96" s="2088">
        <v>0</v>
      </c>
      <c r="M96" s="2088">
        <f t="shared" si="31"/>
        <v>0</v>
      </c>
      <c r="N96" s="2088">
        <f t="shared" si="32"/>
        <v>0</v>
      </c>
      <c r="AE96" s="1697"/>
      <c r="AF96" s="1697"/>
      <c r="AG96" s="1697"/>
      <c r="AH96" s="1697"/>
      <c r="AI96" s="1697"/>
      <c r="AJ96" s="1697"/>
    </row>
    <row r="97" spans="1:36" s="1698" customFormat="1" ht="24">
      <c r="A97" s="2052" t="s">
        <v>1276</v>
      </c>
      <c r="B97" s="1891">
        <f>估价对象房地状况!G22</f>
        <v>0</v>
      </c>
      <c r="C97" s="1898"/>
      <c r="D97" s="1899">
        <f t="shared" si="29"/>
        <v>0</v>
      </c>
      <c r="E97" s="2049"/>
      <c r="F97" s="1901"/>
      <c r="G97" s="2043"/>
      <c r="H97" s="1903" t="str">
        <f t="shared" si="30"/>
        <v>——</v>
      </c>
      <c r="I97" s="2015">
        <v>0.05</v>
      </c>
      <c r="J97" s="2088">
        <f t="shared" si="33"/>
        <v>0</v>
      </c>
      <c r="K97" s="2088">
        <f t="shared" si="27"/>
        <v>0</v>
      </c>
      <c r="L97" s="2088">
        <v>0</v>
      </c>
      <c r="M97" s="2088">
        <f t="shared" si="31"/>
        <v>0</v>
      </c>
      <c r="N97" s="2088">
        <f t="shared" si="32"/>
        <v>0</v>
      </c>
      <c r="AE97" s="1697"/>
      <c r="AF97" s="1697"/>
      <c r="AG97" s="1697"/>
      <c r="AH97" s="1697"/>
      <c r="AI97" s="1697"/>
      <c r="AJ97" s="1697"/>
    </row>
    <row r="98" spans="1:36" s="1698" customFormat="1" ht="24">
      <c r="A98" s="2052" t="s">
        <v>1277</v>
      </c>
      <c r="B98" s="1906" t="s">
        <v>1262</v>
      </c>
      <c r="C98" s="1898"/>
      <c r="D98" s="1899">
        <f t="shared" si="29"/>
        <v>0</v>
      </c>
      <c r="E98" s="2049"/>
      <c r="F98" s="1901"/>
      <c r="G98" s="2043"/>
      <c r="H98" s="1903" t="str">
        <f t="shared" si="30"/>
        <v>——</v>
      </c>
      <c r="I98" s="2015">
        <v>0.06</v>
      </c>
      <c r="J98" s="2088">
        <f t="shared" si="33"/>
        <v>0</v>
      </c>
      <c r="K98" s="2088">
        <f t="shared" si="27"/>
        <v>0</v>
      </c>
      <c r="L98" s="2088">
        <v>0</v>
      </c>
      <c r="M98" s="2088">
        <f t="shared" si="31"/>
        <v>0</v>
      </c>
      <c r="N98" s="2088">
        <f t="shared" si="32"/>
        <v>0</v>
      </c>
      <c r="AE98" s="1697"/>
      <c r="AF98" s="1697"/>
      <c r="AG98" s="1697"/>
      <c r="AH98" s="1697"/>
      <c r="AI98" s="1697"/>
      <c r="AJ98" s="1697"/>
    </row>
    <row r="99" spans="1:36" s="1698" customFormat="1" ht="24">
      <c r="A99" s="2052" t="s">
        <v>1278</v>
      </c>
      <c r="B99" s="1891" t="str">
        <f>估价对象房地状况!C21</f>
        <v>估价对象所在区域公共配套设施齐备情况</v>
      </c>
      <c r="C99" s="1898"/>
      <c r="D99" s="1899">
        <f t="shared" si="29"/>
        <v>0</v>
      </c>
      <c r="E99" s="2049"/>
      <c r="F99" s="1901"/>
      <c r="G99" s="2043"/>
      <c r="H99" s="1903" t="str">
        <f t="shared" si="30"/>
        <v>——</v>
      </c>
      <c r="I99" s="2015">
        <v>0.06</v>
      </c>
      <c r="J99" s="2088">
        <f t="shared" si="33"/>
        <v>0</v>
      </c>
      <c r="K99" s="2088">
        <f t="shared" si="27"/>
        <v>0</v>
      </c>
      <c r="L99" s="2088">
        <v>0</v>
      </c>
      <c r="M99" s="2088">
        <f t="shared" si="31"/>
        <v>0</v>
      </c>
      <c r="N99" s="2088">
        <f t="shared" si="32"/>
        <v>0</v>
      </c>
      <c r="AE99" s="1697"/>
      <c r="AF99" s="1697"/>
      <c r="AG99" s="1697"/>
      <c r="AH99" s="1697"/>
      <c r="AI99" s="1697"/>
      <c r="AJ99" s="1697"/>
    </row>
    <row r="100" spans="1:36" s="1698" customFormat="1" ht="24">
      <c r="A100" s="2052" t="s">
        <v>1279</v>
      </c>
      <c r="B100" s="1891" t="str">
        <f>估价对象房地状况!C22</f>
        <v>估价对象所在区域基础设施水平</v>
      </c>
      <c r="C100" s="1898"/>
      <c r="D100" s="1899">
        <f t="shared" si="29"/>
        <v>0</v>
      </c>
      <c r="E100" s="2049"/>
      <c r="F100" s="1901"/>
      <c r="G100" s="2043"/>
      <c r="H100" s="1903" t="str">
        <f t="shared" si="30"/>
        <v>——</v>
      </c>
      <c r="I100" s="2015">
        <v>0.09</v>
      </c>
      <c r="J100" s="2088">
        <f t="shared" si="33"/>
        <v>0</v>
      </c>
      <c r="K100" s="2088">
        <f t="shared" si="27"/>
        <v>0</v>
      </c>
      <c r="L100" s="2088">
        <v>0</v>
      </c>
      <c r="M100" s="2088">
        <f t="shared" si="31"/>
        <v>0</v>
      </c>
      <c r="N100" s="2088">
        <f t="shared" si="32"/>
        <v>0</v>
      </c>
      <c r="AE100" s="1697"/>
      <c r="AF100" s="1697"/>
      <c r="AG100" s="1697"/>
      <c r="AH100" s="1697"/>
      <c r="AI100" s="1697"/>
      <c r="AJ100" s="1697"/>
    </row>
    <row r="101" spans="1:36" s="1698" customFormat="1" ht="24">
      <c r="A101" s="2052" t="s">
        <v>1280</v>
      </c>
      <c r="B101" s="1897" t="str">
        <f>估价对象房地状况!C20</f>
        <v>区域自然环境：；人文环境；综合评价环境状况一般</v>
      </c>
      <c r="C101" s="1898"/>
      <c r="D101" s="1899">
        <f t="shared" si="29"/>
        <v>0</v>
      </c>
      <c r="E101" s="2049"/>
      <c r="F101" s="1901"/>
      <c r="G101" s="2043"/>
      <c r="H101" s="1903" t="str">
        <f t="shared" si="30"/>
        <v>——</v>
      </c>
      <c r="I101" s="2017">
        <v>7.0000000000000007E-2</v>
      </c>
      <c r="J101" s="2088">
        <f t="shared" si="33"/>
        <v>0</v>
      </c>
      <c r="K101" s="2088">
        <f t="shared" si="27"/>
        <v>0</v>
      </c>
      <c r="L101" s="2088">
        <v>0</v>
      </c>
      <c r="M101" s="2088">
        <f t="shared" si="31"/>
        <v>0</v>
      </c>
      <c r="N101" s="2088">
        <f t="shared" si="32"/>
        <v>0</v>
      </c>
      <c r="AE101" s="1697"/>
      <c r="AF101" s="1697"/>
      <c r="AG101" s="1697"/>
      <c r="AH101" s="1697"/>
      <c r="AI101" s="1697"/>
      <c r="AJ101" s="1697"/>
    </row>
    <row r="102" spans="1:36" s="1698" customFormat="1" ht="14.25">
      <c r="A102" s="2059"/>
      <c r="B102" s="2060"/>
      <c r="C102" s="2061"/>
      <c r="D102" s="2048"/>
      <c r="E102" s="2049"/>
      <c r="F102" s="1901"/>
      <c r="G102" s="2062"/>
      <c r="H102" s="2051"/>
      <c r="I102" s="2089"/>
      <c r="J102" s="2090"/>
      <c r="K102" s="2090"/>
      <c r="L102" s="2090"/>
      <c r="M102" s="2090"/>
      <c r="N102" s="2090"/>
      <c r="AE102" s="1697"/>
      <c r="AF102" s="1697"/>
      <c r="AG102" s="1697"/>
      <c r="AH102" s="1697"/>
      <c r="AI102" s="1697"/>
      <c r="AJ102" s="1697"/>
    </row>
    <row r="103" spans="1:36" s="1698" customFormat="1">
      <c r="K103" s="1697"/>
      <c r="AD103" s="1697"/>
      <c r="AE103" s="1697"/>
      <c r="AF103" s="1697"/>
      <c r="AG103" s="1697"/>
      <c r="AH103" s="1697"/>
      <c r="AI103" s="1697"/>
    </row>
    <row r="104" spans="1:36">
      <c r="A104" s="3878" t="s">
        <v>1281</v>
      </c>
      <c r="B104" s="3878"/>
      <c r="C104" s="3878"/>
      <c r="D104" s="3878"/>
      <c r="E104" s="3878"/>
      <c r="F104" s="3878"/>
      <c r="G104" s="3878"/>
      <c r="H104" s="3878"/>
      <c r="I104" s="3878"/>
      <c r="J104" s="3878"/>
      <c r="K104" s="1694"/>
      <c r="L104" s="1694"/>
      <c r="M104" s="1694"/>
      <c r="N104" s="1694"/>
    </row>
    <row r="105" spans="1:36">
      <c r="A105" s="3884" t="s">
        <v>352</v>
      </c>
      <c r="B105" s="3884" t="s">
        <v>1282</v>
      </c>
      <c r="C105" s="2063" t="s">
        <v>1118</v>
      </c>
      <c r="D105" s="2064"/>
      <c r="E105" s="2064"/>
      <c r="F105" s="2064"/>
      <c r="G105" s="2064"/>
      <c r="H105" s="2064"/>
      <c r="I105" s="2064"/>
      <c r="J105" s="2091"/>
      <c r="K105" s="1658"/>
      <c r="L105" s="1658"/>
      <c r="M105" s="1658"/>
      <c r="N105" s="1658"/>
    </row>
    <row r="106" spans="1:36">
      <c r="A106" s="3884"/>
      <c r="B106" s="3884"/>
      <c r="C106" s="1690" t="s">
        <v>238</v>
      </c>
      <c r="D106" s="1690" t="s">
        <v>251</v>
      </c>
      <c r="E106" s="1690" t="s">
        <v>263</v>
      </c>
      <c r="F106" s="1690" t="s">
        <v>273</v>
      </c>
      <c r="G106" s="1690" t="s">
        <v>282</v>
      </c>
      <c r="H106" s="1690" t="s">
        <v>290</v>
      </c>
      <c r="I106" s="1690" t="s">
        <v>295</v>
      </c>
      <c r="J106" s="1690" t="s">
        <v>301</v>
      </c>
      <c r="K106" s="1690" t="s">
        <v>305</v>
      </c>
      <c r="L106" s="1690" t="s">
        <v>309</v>
      </c>
      <c r="M106" s="1690" t="s">
        <v>313</v>
      </c>
      <c r="N106" s="1690" t="s">
        <v>317</v>
      </c>
    </row>
    <row r="107" spans="1:36">
      <c r="A107" s="3885" t="s">
        <v>1283</v>
      </c>
      <c r="B107" s="2065">
        <v>1</v>
      </c>
      <c r="C107" s="2066">
        <v>1.5206</v>
      </c>
      <c r="D107" s="2066">
        <v>1.5206</v>
      </c>
      <c r="E107" s="2066">
        <v>1.5019</v>
      </c>
      <c r="F107" s="2066">
        <v>1.5019</v>
      </c>
      <c r="G107" s="2066">
        <v>1.5019</v>
      </c>
      <c r="H107" s="2066">
        <v>1.5019</v>
      </c>
      <c r="I107" s="2066">
        <v>1.5019</v>
      </c>
      <c r="J107" s="2066">
        <v>1.5418000000000001</v>
      </c>
      <c r="K107" s="2066">
        <v>1.5418000000000001</v>
      </c>
      <c r="L107" s="2066">
        <v>1.5418000000000001</v>
      </c>
      <c r="M107" s="2066">
        <v>1.5418000000000001</v>
      </c>
      <c r="N107" s="2066">
        <v>1.5418000000000001</v>
      </c>
    </row>
    <row r="108" spans="1:36">
      <c r="A108" s="3886"/>
      <c r="B108" s="2065">
        <v>2</v>
      </c>
      <c r="C108" s="2066">
        <v>1.2072000000000001</v>
      </c>
      <c r="D108" s="2066">
        <v>1.2072000000000001</v>
      </c>
      <c r="E108" s="2066">
        <v>1.1838</v>
      </c>
      <c r="F108" s="2066">
        <v>1.1838</v>
      </c>
      <c r="G108" s="2066">
        <v>1.1838</v>
      </c>
      <c r="H108" s="2066">
        <v>1.1838</v>
      </c>
      <c r="I108" s="2066">
        <v>1.1838</v>
      </c>
      <c r="J108" s="2066">
        <v>1.1883999999999999</v>
      </c>
      <c r="K108" s="2066">
        <v>1.1883999999999999</v>
      </c>
      <c r="L108" s="2066">
        <v>1.1883999999999999</v>
      </c>
      <c r="M108" s="2066">
        <v>1.1883999999999999</v>
      </c>
      <c r="N108" s="2066">
        <v>1.1883999999999999</v>
      </c>
    </row>
    <row r="109" spans="1:36">
      <c r="A109" s="3886"/>
      <c r="B109" s="2065">
        <v>3</v>
      </c>
      <c r="C109" s="2066">
        <v>1.0430999999999999</v>
      </c>
      <c r="D109" s="2066">
        <v>1.0430999999999999</v>
      </c>
      <c r="E109" s="2066">
        <v>1.0004999999999999</v>
      </c>
      <c r="F109" s="2066">
        <v>1.0004999999999999</v>
      </c>
      <c r="G109" s="2066">
        <v>1.0004999999999999</v>
      </c>
      <c r="H109" s="2066">
        <v>1.0004999999999999</v>
      </c>
      <c r="I109" s="2066">
        <v>1.0004999999999999</v>
      </c>
      <c r="J109" s="2066">
        <v>0.96940000000000004</v>
      </c>
      <c r="K109" s="2066">
        <v>0.96940000000000004</v>
      </c>
      <c r="L109" s="2066">
        <v>0.96940000000000004</v>
      </c>
      <c r="M109" s="2066">
        <v>0.96940000000000004</v>
      </c>
      <c r="N109" s="2066">
        <v>0.96940000000000004</v>
      </c>
    </row>
    <row r="110" spans="1:36">
      <c r="A110" s="3886"/>
      <c r="B110" s="2065">
        <v>4</v>
      </c>
      <c r="C110" s="2066">
        <v>0.94389999999999996</v>
      </c>
      <c r="D110" s="2066">
        <v>0.94389999999999996</v>
      </c>
      <c r="E110" s="2066">
        <v>0.88239999999999996</v>
      </c>
      <c r="F110" s="2066">
        <v>0.88239999999999996</v>
      </c>
      <c r="G110" s="2066">
        <v>0.88239999999999996</v>
      </c>
      <c r="H110" s="2066">
        <v>0.88239999999999996</v>
      </c>
      <c r="I110" s="2066">
        <v>0.88239999999999996</v>
      </c>
      <c r="J110" s="2066">
        <v>0.82299999999999995</v>
      </c>
      <c r="K110" s="2066">
        <v>0.82299999999999995</v>
      </c>
      <c r="L110" s="2066">
        <v>0.82299999999999995</v>
      </c>
      <c r="M110" s="2066">
        <v>0.82299999999999995</v>
      </c>
      <c r="N110" s="2066">
        <v>0.82299999999999995</v>
      </c>
    </row>
    <row r="111" spans="1:36">
      <c r="A111" s="3886"/>
      <c r="B111" s="2065">
        <v>5</v>
      </c>
      <c r="C111" s="2066">
        <v>0.89959999999999996</v>
      </c>
      <c r="D111" s="2066">
        <v>0.89959999999999996</v>
      </c>
      <c r="E111" s="2066">
        <v>0.84799999999999998</v>
      </c>
      <c r="F111" s="2066">
        <v>0.84799999999999998</v>
      </c>
      <c r="G111" s="2066">
        <v>0.84799999999999998</v>
      </c>
      <c r="H111" s="2066">
        <v>0.84799999999999998</v>
      </c>
      <c r="I111" s="2066">
        <v>0.84799999999999998</v>
      </c>
      <c r="J111" s="2066">
        <v>0.74980000000000002</v>
      </c>
      <c r="K111" s="2066">
        <v>0.74980000000000002</v>
      </c>
      <c r="L111" s="2066">
        <v>0.74980000000000002</v>
      </c>
      <c r="M111" s="2066">
        <v>0.74980000000000002</v>
      </c>
      <c r="N111" s="2066">
        <v>0.74980000000000002</v>
      </c>
    </row>
    <row r="112" spans="1:36">
      <c r="A112" s="3886"/>
      <c r="B112" s="2065" t="s">
        <v>1284</v>
      </c>
      <c r="C112" s="2067">
        <f>$I$3</f>
        <v>0</v>
      </c>
      <c r="D112" s="2067">
        <f t="shared" ref="D112:N112" si="34">$I$3</f>
        <v>0</v>
      </c>
      <c r="E112" s="2067">
        <f t="shared" si="34"/>
        <v>0</v>
      </c>
      <c r="F112" s="2067">
        <f t="shared" si="34"/>
        <v>0</v>
      </c>
      <c r="G112" s="2067">
        <f t="shared" si="34"/>
        <v>0</v>
      </c>
      <c r="H112" s="2067">
        <f t="shared" si="34"/>
        <v>0</v>
      </c>
      <c r="I112" s="2067">
        <f t="shared" si="34"/>
        <v>0</v>
      </c>
      <c r="J112" s="2067">
        <f t="shared" si="34"/>
        <v>0</v>
      </c>
      <c r="K112" s="2067">
        <f t="shared" si="34"/>
        <v>0</v>
      </c>
      <c r="L112" s="2067">
        <f t="shared" si="34"/>
        <v>0</v>
      </c>
      <c r="M112" s="2067">
        <f t="shared" si="34"/>
        <v>0</v>
      </c>
      <c r="N112" s="2067">
        <f t="shared" si="34"/>
        <v>0</v>
      </c>
    </row>
    <row r="113" spans="1:14">
      <c r="A113" s="3887"/>
      <c r="B113" s="2065">
        <v>6</v>
      </c>
      <c r="C113" s="2068">
        <f>(-0.5556*(C112^2)-0.2719*C112+8944)*(10^(-4))</f>
        <v>0.89439999999999997</v>
      </c>
      <c r="D113" s="2068">
        <f>(-0.5556*(D112^2)-0.2719*D112+8944)*(10^(-4))</f>
        <v>0.89439999999999997</v>
      </c>
      <c r="E113" s="2068">
        <f>(-0.7912*(E112^2)-11.3794*E112+8482)*(10^(-4))</f>
        <v>0.84819999999999995</v>
      </c>
      <c r="F113" s="2068">
        <f>(-0.7912*(F112^2)-11.3794*F112+8482)*(10^(-4))</f>
        <v>0.84819999999999995</v>
      </c>
      <c r="G113" s="2068">
        <f>(-0.7912*(G112^2)-11.3794*G112+8482)*(10^(-4))</f>
        <v>0.84819999999999995</v>
      </c>
      <c r="H113" s="2068">
        <f>(-0.7912*(H112^2)-11.3794*H112+8482)*(10^(-4))</f>
        <v>0.84819999999999995</v>
      </c>
      <c r="I113" s="2068">
        <f>(-0.7912*(I112^2)-11.3794*I112+8482)*(10^(-4))</f>
        <v>0.84819999999999995</v>
      </c>
      <c r="J113" s="2068">
        <f>(-0.989*(J112^2)-63.78*J112+7771)*(10^(-4))</f>
        <v>0.77710000000000001</v>
      </c>
      <c r="K113" s="2068">
        <f>(-0.989*(K112^2)-63.78*K112+7771)*(10^(-4))</f>
        <v>0.77710000000000001</v>
      </c>
      <c r="L113" s="2068">
        <f>(-0.989*(L112^2)-63.78*L112+7771)*(10^(-4))</f>
        <v>0.77710000000000001</v>
      </c>
      <c r="M113" s="2068">
        <f>(-0.989*(M112^2)-63.78*M112+7771)*(10^(-4))</f>
        <v>0.77710000000000001</v>
      </c>
      <c r="N113" s="2068">
        <f>(-0.989*(N112^2)-63.78*N112+7771)*(10^(-4))</f>
        <v>0.77710000000000001</v>
      </c>
    </row>
    <row r="114" spans="1:14">
      <c r="A114" s="3879" t="s">
        <v>1285</v>
      </c>
      <c r="B114" s="3879"/>
      <c r="C114" s="3879"/>
      <c r="D114" s="3879"/>
      <c r="E114" s="3879"/>
      <c r="F114" s="3879"/>
      <c r="G114" s="3879"/>
      <c r="H114" s="3879"/>
      <c r="I114" s="3879"/>
      <c r="J114" s="3879"/>
      <c r="K114" s="2069"/>
      <c r="L114" s="2069"/>
      <c r="M114" s="2069"/>
      <c r="N114" s="2069"/>
    </row>
    <row r="117" spans="1:14" ht="24.75">
      <c r="A117" s="2070" t="s">
        <v>1286</v>
      </c>
      <c r="B117" s="2071">
        <f>G3</f>
        <v>0</v>
      </c>
      <c r="C117" s="2072" t="s">
        <v>1287</v>
      </c>
      <c r="D117" s="2073" t="e">
        <f>SUMPRODUCT((A118:A122=F116)*(B117:M117=H116)*B118:M122)</f>
        <v>#VALUE!</v>
      </c>
      <c r="E117" s="2074" t="s">
        <v>352</v>
      </c>
      <c r="F117" s="2075">
        <f>E2</f>
        <v>0</v>
      </c>
      <c r="G117" s="2074" t="s">
        <v>215</v>
      </c>
      <c r="H117" s="2075">
        <f>G2</f>
        <v>0</v>
      </c>
      <c r="I117" s="2074"/>
      <c r="J117" s="1542"/>
      <c r="K117" s="1542"/>
      <c r="L117" s="1542"/>
      <c r="M117" s="1542"/>
    </row>
    <row r="118" spans="1:14" ht="12.75">
      <c r="A118" s="2076"/>
      <c r="B118" s="2077" t="s">
        <v>238</v>
      </c>
      <c r="C118" s="2077" t="s">
        <v>251</v>
      </c>
      <c r="D118" s="2077" t="s">
        <v>263</v>
      </c>
      <c r="E118" s="2078" t="s">
        <v>273</v>
      </c>
      <c r="F118" s="2078" t="s">
        <v>282</v>
      </c>
      <c r="G118" s="2078" t="s">
        <v>290</v>
      </c>
      <c r="H118" s="2079" t="s">
        <v>295</v>
      </c>
      <c r="I118" s="2079" t="s">
        <v>301</v>
      </c>
      <c r="J118" s="2092" t="s">
        <v>305</v>
      </c>
      <c r="K118" s="2092" t="s">
        <v>309</v>
      </c>
      <c r="L118" s="2092" t="s">
        <v>313</v>
      </c>
      <c r="M118" s="2093" t="s">
        <v>317</v>
      </c>
    </row>
    <row r="119" spans="1:14" ht="12.75">
      <c r="A119" s="2080" t="s">
        <v>1288</v>
      </c>
      <c r="B119" s="2081">
        <f>ROUND(0.9968-0.011*B117,4)</f>
        <v>0.99680000000000002</v>
      </c>
      <c r="C119" s="2081">
        <f>B119</f>
        <v>0.99680000000000002</v>
      </c>
      <c r="D119" s="2081">
        <f>ROUND(0.949-0.014*B117,4)</f>
        <v>0.94899999999999995</v>
      </c>
      <c r="E119" s="2081">
        <f>D119</f>
        <v>0.94899999999999995</v>
      </c>
      <c r="F119" s="2081">
        <f>E119</f>
        <v>0.94899999999999995</v>
      </c>
      <c r="G119" s="2081">
        <f>F119</f>
        <v>0.94899999999999995</v>
      </c>
      <c r="H119" s="2081">
        <f>G119</f>
        <v>0.94899999999999995</v>
      </c>
      <c r="I119" s="2081">
        <f>ROUND(0.8486-0.018*B117,4)</f>
        <v>0.84860000000000002</v>
      </c>
      <c r="J119" s="2081">
        <f t="shared" ref="J119:M123" si="35">I119</f>
        <v>0.84860000000000002</v>
      </c>
      <c r="K119" s="2081">
        <f t="shared" si="35"/>
        <v>0.84860000000000002</v>
      </c>
      <c r="L119" s="2081">
        <f t="shared" si="35"/>
        <v>0.84860000000000002</v>
      </c>
      <c r="M119" s="2094">
        <f t="shared" si="35"/>
        <v>0.84860000000000002</v>
      </c>
    </row>
    <row r="120" spans="1:14" ht="12.75">
      <c r="A120" s="2080" t="s">
        <v>1289</v>
      </c>
      <c r="B120" s="2081">
        <f>ROUND(0.993-0.0112*B117,4)</f>
        <v>0.99299999999999999</v>
      </c>
      <c r="C120" s="2081">
        <f>B120</f>
        <v>0.99299999999999999</v>
      </c>
      <c r="D120" s="2081">
        <f>ROUND(0.9415-0.0142*B117,4)</f>
        <v>0.9415</v>
      </c>
      <c r="E120" s="2081">
        <f t="shared" ref="E120:H121" si="36">D120</f>
        <v>0.9415</v>
      </c>
      <c r="F120" s="2081">
        <f t="shared" si="36"/>
        <v>0.9415</v>
      </c>
      <c r="G120" s="2081">
        <f t="shared" si="36"/>
        <v>0.9415</v>
      </c>
      <c r="H120" s="2081">
        <f t="shared" si="36"/>
        <v>0.9415</v>
      </c>
      <c r="I120" s="2081">
        <f>ROUND(0.838-0.0182*B117,4)</f>
        <v>0.83799999999999997</v>
      </c>
      <c r="J120" s="2081">
        <f t="shared" si="35"/>
        <v>0.83799999999999997</v>
      </c>
      <c r="K120" s="2081">
        <f t="shared" si="35"/>
        <v>0.83799999999999997</v>
      </c>
      <c r="L120" s="2081">
        <f t="shared" si="35"/>
        <v>0.83799999999999997</v>
      </c>
      <c r="M120" s="2094">
        <f t="shared" si="35"/>
        <v>0.83799999999999997</v>
      </c>
    </row>
    <row r="121" spans="1:14" ht="12.75">
      <c r="A121" s="2080" t="s">
        <v>1290</v>
      </c>
      <c r="B121" s="2081">
        <f>ROUND(0.9448-0.0115*B117,4)</f>
        <v>0.94479999999999997</v>
      </c>
      <c r="C121" s="2081">
        <f>B121</f>
        <v>0.94479999999999997</v>
      </c>
      <c r="D121" s="2081">
        <f>ROUND(0.937-0.0145*B117,4)</f>
        <v>0.93700000000000006</v>
      </c>
      <c r="E121" s="2081">
        <f t="shared" si="36"/>
        <v>0.93700000000000006</v>
      </c>
      <c r="F121" s="2081">
        <f t="shared" si="36"/>
        <v>0.93700000000000006</v>
      </c>
      <c r="G121" s="2081">
        <f t="shared" si="36"/>
        <v>0.93700000000000006</v>
      </c>
      <c r="H121" s="2081">
        <f t="shared" si="36"/>
        <v>0.93700000000000006</v>
      </c>
      <c r="I121" s="2081">
        <f>ROUND(0.7965-0.0185*B117,4)</f>
        <v>0.79649999999999999</v>
      </c>
      <c r="J121" s="2081">
        <f t="shared" si="35"/>
        <v>0.79649999999999999</v>
      </c>
      <c r="K121" s="2081">
        <f t="shared" si="35"/>
        <v>0.79649999999999999</v>
      </c>
      <c r="L121" s="2081">
        <f t="shared" si="35"/>
        <v>0.79649999999999999</v>
      </c>
      <c r="M121" s="2094">
        <f t="shared" si="35"/>
        <v>0.79649999999999999</v>
      </c>
    </row>
    <row r="122" spans="1:14" ht="12.75">
      <c r="A122" s="2082" t="s">
        <v>1291</v>
      </c>
      <c r="B122" s="2083">
        <f>ROUND(0.7836-0.012*B117,4)</f>
        <v>0.78359999999999996</v>
      </c>
      <c r="C122" s="2083">
        <f>B122</f>
        <v>0.78359999999999996</v>
      </c>
      <c r="D122" s="2083">
        <f>ROUND(0.753-0.015*B117,4)</f>
        <v>0.753</v>
      </c>
      <c r="E122" s="2083">
        <f>D122</f>
        <v>0.753</v>
      </c>
      <c r="F122" s="2083">
        <f>E122</f>
        <v>0.753</v>
      </c>
      <c r="G122" s="2083">
        <f>ROUND(0.6612-0.018*B117,4)</f>
        <v>0.66120000000000001</v>
      </c>
      <c r="H122" s="2083">
        <f>G122</f>
        <v>0.66120000000000001</v>
      </c>
      <c r="I122" s="2083">
        <f>ROUND(0.5905-0.019*B117,4)</f>
        <v>0.59050000000000002</v>
      </c>
      <c r="J122" s="2083">
        <f t="shared" si="35"/>
        <v>0.59050000000000002</v>
      </c>
      <c r="K122" s="2083">
        <f t="shared" si="35"/>
        <v>0.59050000000000002</v>
      </c>
      <c r="L122" s="2083">
        <f t="shared" si="35"/>
        <v>0.59050000000000002</v>
      </c>
      <c r="M122" s="2095">
        <f t="shared" si="35"/>
        <v>0.59050000000000002</v>
      </c>
    </row>
    <row r="123" spans="1:14" ht="12.75">
      <c r="A123" s="2084" t="s">
        <v>297</v>
      </c>
      <c r="B123" s="2081">
        <f>ROUND(0.9404-0.0106*B117,4)</f>
        <v>0.94040000000000001</v>
      </c>
      <c r="C123" s="2081">
        <f>B123</f>
        <v>0.94040000000000001</v>
      </c>
      <c r="D123" s="2081">
        <f>ROUND(0.8955-0.0135*B117,4)</f>
        <v>0.89549999999999996</v>
      </c>
      <c r="E123" s="2081">
        <f t="shared" ref="E123:H123" si="37">D123</f>
        <v>0.89549999999999996</v>
      </c>
      <c r="F123" s="2081">
        <f t="shared" si="37"/>
        <v>0.89549999999999996</v>
      </c>
      <c r="G123" s="2081">
        <f t="shared" si="37"/>
        <v>0.89549999999999996</v>
      </c>
      <c r="H123" s="2081">
        <f t="shared" si="37"/>
        <v>0.89549999999999996</v>
      </c>
      <c r="I123" s="2081">
        <f>ROUND(0.7632-0.0166*B117,4)</f>
        <v>0.76319999999999999</v>
      </c>
      <c r="J123" s="2081">
        <f t="shared" si="35"/>
        <v>0.76319999999999999</v>
      </c>
      <c r="K123" s="2081">
        <f t="shared" si="35"/>
        <v>0.76319999999999999</v>
      </c>
      <c r="L123" s="2081">
        <f t="shared" si="35"/>
        <v>0.76319999999999999</v>
      </c>
      <c r="M123" s="2094">
        <f t="shared" si="35"/>
        <v>0.76319999999999999</v>
      </c>
    </row>
  </sheetData>
  <sheetProtection password="CEE9" sheet="1" objects="1" scenarios="1" formatCells="0" formatColumns="0" formatRows="0"/>
  <mergeCells count="12">
    <mergeCell ref="W8:X8"/>
    <mergeCell ref="D20:E20"/>
    <mergeCell ref="F20:G20"/>
    <mergeCell ref="A104:J104"/>
    <mergeCell ref="A114:J114"/>
    <mergeCell ref="A20:A21"/>
    <mergeCell ref="A37:A39"/>
    <mergeCell ref="A105:A106"/>
    <mergeCell ref="A107:A113"/>
    <mergeCell ref="B105:B106"/>
    <mergeCell ref="J37:J39"/>
    <mergeCell ref="W9:W10"/>
  </mergeCells>
  <phoneticPr fontId="254" type="noConversion"/>
  <conditionalFormatting sqref="F50">
    <cfRule type="cellIs" dxfId="132" priority="7" stopIfTrue="1" operator="notEqual">
      <formula>"——"</formula>
    </cfRule>
  </conditionalFormatting>
  <conditionalFormatting sqref="F61">
    <cfRule type="cellIs" dxfId="131" priority="6" stopIfTrue="1" operator="notEqual">
      <formula>"——"</formula>
    </cfRule>
  </conditionalFormatting>
  <conditionalFormatting sqref="F72">
    <cfRule type="cellIs" dxfId="130" priority="5" stopIfTrue="1" operator="notEqual">
      <formula>"——"</formula>
    </cfRule>
  </conditionalFormatting>
  <conditionalFormatting sqref="F83">
    <cfRule type="cellIs" dxfId="129" priority="4" stopIfTrue="1" operator="notEqual">
      <formula>"——"</formula>
    </cfRule>
  </conditionalFormatting>
  <conditionalFormatting sqref="H50:H58 H72:H80 H83:H91 H93:H102 H61:H69">
    <cfRule type="cellIs" dxfId="128" priority="3"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0 C93:C102">
      <formula1>五等判定</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1"/>
  <sheetViews>
    <sheetView zoomScale="60" zoomScaleNormal="60" workbookViewId="0">
      <selection sqref="A1:XFD1048576"/>
    </sheetView>
  </sheetViews>
  <sheetFormatPr defaultColWidth="13.875" defaultRowHeight="13.5"/>
  <cols>
    <col min="1" max="1" width="13.875" style="1562"/>
    <col min="2" max="9" width="13.875" style="1624"/>
    <col min="10" max="16384" width="13.875" style="1562"/>
  </cols>
  <sheetData>
    <row r="1" spans="1:13">
      <c r="A1" s="1625" t="s">
        <v>215</v>
      </c>
      <c r="B1" s="1626" t="s">
        <v>238</v>
      </c>
      <c r="C1" s="1626" t="s">
        <v>251</v>
      </c>
      <c r="D1" s="1626" t="s">
        <v>263</v>
      </c>
      <c r="E1" s="1626" t="s">
        <v>273</v>
      </c>
      <c r="F1" s="1626" t="s">
        <v>282</v>
      </c>
      <c r="G1" s="1626" t="s">
        <v>290</v>
      </c>
      <c r="H1" s="1626" t="s">
        <v>295</v>
      </c>
      <c r="I1" s="1626" t="s">
        <v>301</v>
      </c>
      <c r="J1" s="1626" t="s">
        <v>305</v>
      </c>
      <c r="K1" s="1626" t="s">
        <v>309</v>
      </c>
      <c r="L1" s="1626" t="s">
        <v>313</v>
      </c>
      <c r="M1" s="1679" t="s">
        <v>317</v>
      </c>
    </row>
    <row r="2" spans="1:13">
      <c r="A2" s="1627" t="s">
        <v>437</v>
      </c>
      <c r="B2" s="1628">
        <v>3.5</v>
      </c>
      <c r="C2" s="1628">
        <v>3.5</v>
      </c>
      <c r="D2" s="1629">
        <v>2.5</v>
      </c>
      <c r="E2" s="1629">
        <v>2.5</v>
      </c>
      <c r="F2" s="1629">
        <v>2.5</v>
      </c>
      <c r="G2" s="1629">
        <v>2.5</v>
      </c>
      <c r="H2" s="1629">
        <v>2.5</v>
      </c>
      <c r="I2" s="1628">
        <v>2</v>
      </c>
      <c r="J2" s="1628">
        <v>2</v>
      </c>
      <c r="K2" s="1628">
        <v>2</v>
      </c>
      <c r="L2" s="1628">
        <v>2</v>
      </c>
      <c r="M2" s="1680">
        <v>2</v>
      </c>
    </row>
    <row r="3" spans="1:13">
      <c r="A3" s="1630" t="s">
        <v>438</v>
      </c>
      <c r="B3" s="1631">
        <v>3.5</v>
      </c>
      <c r="C3" s="1631">
        <v>3.5</v>
      </c>
      <c r="D3" s="1632">
        <v>2.5</v>
      </c>
      <c r="E3" s="1632">
        <v>2.5</v>
      </c>
      <c r="F3" s="1632">
        <v>2.5</v>
      </c>
      <c r="G3" s="1632">
        <v>2.5</v>
      </c>
      <c r="H3" s="1632">
        <v>2.5</v>
      </c>
      <c r="I3" s="1631">
        <v>2</v>
      </c>
      <c r="J3" s="1631">
        <v>2</v>
      </c>
      <c r="K3" s="1631">
        <v>2</v>
      </c>
      <c r="L3" s="1631">
        <v>2</v>
      </c>
      <c r="M3" s="1681">
        <v>2</v>
      </c>
    </row>
    <row r="4" spans="1:13">
      <c r="A4" s="1630" t="s">
        <v>402</v>
      </c>
      <c r="B4" s="1632">
        <v>2.5</v>
      </c>
      <c r="C4" s="1632">
        <v>2.5</v>
      </c>
      <c r="D4" s="1632">
        <v>2.5</v>
      </c>
      <c r="E4" s="1632">
        <v>2.5</v>
      </c>
      <c r="F4" s="1632">
        <v>2.5</v>
      </c>
      <c r="G4" s="1632">
        <v>2.5</v>
      </c>
      <c r="H4" s="1632">
        <v>2.5</v>
      </c>
      <c r="I4" s="1631">
        <v>1.5</v>
      </c>
      <c r="J4" s="1631">
        <v>1.5</v>
      </c>
      <c r="K4" s="1631">
        <v>1.5</v>
      </c>
      <c r="L4" s="1631">
        <v>1.5</v>
      </c>
      <c r="M4" s="1681">
        <v>1.5</v>
      </c>
    </row>
    <row r="5" spans="1:13">
      <c r="A5" s="1633" t="s">
        <v>164</v>
      </c>
      <c r="B5" s="1631">
        <v>1.5</v>
      </c>
      <c r="C5" s="1631">
        <v>1.5</v>
      </c>
      <c r="D5" s="1631">
        <v>1.5</v>
      </c>
      <c r="E5" s="1631">
        <v>1.5</v>
      </c>
      <c r="F5" s="1631">
        <v>1.5</v>
      </c>
      <c r="G5" s="1631">
        <v>1.2</v>
      </c>
      <c r="H5" s="1631">
        <v>1.2</v>
      </c>
      <c r="I5" s="1631">
        <v>1</v>
      </c>
      <c r="J5" s="1631">
        <v>1</v>
      </c>
      <c r="K5" s="1631">
        <v>1</v>
      </c>
      <c r="L5" s="1631">
        <v>1</v>
      </c>
      <c r="M5" s="1681">
        <v>1</v>
      </c>
    </row>
    <row r="6" spans="1:13">
      <c r="A6" s="1634" t="s">
        <v>1292</v>
      </c>
      <c r="B6" s="1635">
        <v>2.5</v>
      </c>
      <c r="C6" s="1635">
        <v>2.5</v>
      </c>
      <c r="D6" s="1635">
        <v>2</v>
      </c>
      <c r="E6" s="1635">
        <v>2</v>
      </c>
      <c r="F6" s="1635">
        <v>2</v>
      </c>
      <c r="G6" s="1635">
        <v>2</v>
      </c>
      <c r="H6" s="1635">
        <v>2</v>
      </c>
      <c r="I6" s="1682">
        <v>1.5</v>
      </c>
      <c r="J6" s="1682">
        <v>1.5</v>
      </c>
      <c r="K6" s="1682">
        <v>1.5</v>
      </c>
      <c r="L6" s="1682">
        <v>1.5</v>
      </c>
      <c r="M6" s="1683">
        <v>1.5</v>
      </c>
    </row>
    <row r="7" spans="1:13">
      <c r="A7" s="1636" t="s">
        <v>297</v>
      </c>
      <c r="B7" s="1637">
        <v>2.5</v>
      </c>
      <c r="C7" s="1637">
        <v>2.5</v>
      </c>
      <c r="D7" s="1637">
        <v>2</v>
      </c>
      <c r="E7" s="1637">
        <v>2</v>
      </c>
      <c r="F7" s="1637">
        <v>2</v>
      </c>
      <c r="G7" s="1637">
        <v>2</v>
      </c>
      <c r="H7" s="1637">
        <v>2</v>
      </c>
      <c r="I7" s="1684">
        <v>1.5</v>
      </c>
      <c r="J7" s="1684">
        <v>1.5</v>
      </c>
      <c r="K7" s="1684">
        <v>1.5</v>
      </c>
      <c r="L7" s="1684">
        <v>1.5</v>
      </c>
      <c r="M7" s="1685">
        <v>1.5</v>
      </c>
    </row>
    <row r="8" spans="1:13">
      <c r="A8" s="1638" t="s">
        <v>1293</v>
      </c>
      <c r="B8" s="1639">
        <v>80</v>
      </c>
      <c r="C8" s="1639">
        <v>80</v>
      </c>
      <c r="D8" s="1639">
        <v>70</v>
      </c>
      <c r="E8" s="1639">
        <v>70</v>
      </c>
      <c r="F8" s="1639">
        <v>70</v>
      </c>
      <c r="G8" s="1639">
        <v>70</v>
      </c>
      <c r="H8" s="1639">
        <v>70</v>
      </c>
      <c r="I8" s="1639">
        <v>60</v>
      </c>
      <c r="J8" s="1639">
        <v>60</v>
      </c>
      <c r="K8" s="1639">
        <v>60</v>
      </c>
      <c r="L8" s="1639">
        <v>60</v>
      </c>
      <c r="M8" s="1686">
        <v>60</v>
      </c>
    </row>
    <row r="9" spans="1:13">
      <c r="A9" s="1640" t="s">
        <v>1294</v>
      </c>
      <c r="B9" s="1641">
        <v>70</v>
      </c>
      <c r="C9" s="1641">
        <v>70</v>
      </c>
      <c r="D9" s="1641">
        <v>60</v>
      </c>
      <c r="E9" s="1641">
        <v>60</v>
      </c>
      <c r="F9" s="1641">
        <v>60</v>
      </c>
      <c r="G9" s="1641">
        <v>60</v>
      </c>
      <c r="H9" s="1641">
        <v>60</v>
      </c>
      <c r="I9" s="1641">
        <v>50</v>
      </c>
      <c r="J9" s="1641">
        <v>50</v>
      </c>
      <c r="K9" s="1641">
        <v>50</v>
      </c>
      <c r="L9" s="1641">
        <v>50</v>
      </c>
      <c r="M9" s="1687">
        <v>50</v>
      </c>
    </row>
    <row r="10" spans="1:13">
      <c r="A10" s="1640" t="s">
        <v>1295</v>
      </c>
      <c r="B10" s="1641">
        <v>20</v>
      </c>
      <c r="C10" s="1641">
        <v>20</v>
      </c>
      <c r="D10" s="1641">
        <v>15</v>
      </c>
      <c r="E10" s="1641">
        <v>15</v>
      </c>
      <c r="F10" s="1641">
        <v>15</v>
      </c>
      <c r="G10" s="1641">
        <v>15</v>
      </c>
      <c r="H10" s="1641">
        <v>15</v>
      </c>
      <c r="I10" s="1641">
        <v>10</v>
      </c>
      <c r="J10" s="1641">
        <v>10</v>
      </c>
      <c r="K10" s="1641">
        <v>10</v>
      </c>
      <c r="L10" s="1641">
        <v>10</v>
      </c>
      <c r="M10" s="1687">
        <v>10</v>
      </c>
    </row>
    <row r="11" spans="1:13">
      <c r="A11" s="1640" t="s">
        <v>1296</v>
      </c>
      <c r="B11" s="1641">
        <v>30</v>
      </c>
      <c r="C11" s="1641">
        <v>30</v>
      </c>
      <c r="D11" s="1641">
        <v>25</v>
      </c>
      <c r="E11" s="1641">
        <v>25</v>
      </c>
      <c r="F11" s="1641">
        <v>25</v>
      </c>
      <c r="G11" s="1641">
        <v>25</v>
      </c>
      <c r="H11" s="1641">
        <v>25</v>
      </c>
      <c r="I11" s="1641">
        <v>20</v>
      </c>
      <c r="J11" s="1641">
        <v>20</v>
      </c>
      <c r="K11" s="1641">
        <v>20</v>
      </c>
      <c r="L11" s="1641">
        <v>20</v>
      </c>
      <c r="M11" s="1687">
        <v>20</v>
      </c>
    </row>
    <row r="12" spans="1:13">
      <c r="A12" s="1640" t="s">
        <v>1297</v>
      </c>
      <c r="B12" s="1641">
        <v>45</v>
      </c>
      <c r="C12" s="1641">
        <v>45</v>
      </c>
      <c r="D12" s="1641">
        <v>40</v>
      </c>
      <c r="E12" s="1641">
        <v>40</v>
      </c>
      <c r="F12" s="1641">
        <v>40</v>
      </c>
      <c r="G12" s="1641">
        <v>40</v>
      </c>
      <c r="H12" s="1641">
        <v>40</v>
      </c>
      <c r="I12" s="1641">
        <v>35</v>
      </c>
      <c r="J12" s="1641">
        <v>35</v>
      </c>
      <c r="K12" s="1641">
        <v>35</v>
      </c>
      <c r="L12" s="1641">
        <v>35</v>
      </c>
      <c r="M12" s="1687">
        <v>35</v>
      </c>
    </row>
    <row r="13" spans="1:13">
      <c r="A13" s="1640" t="s">
        <v>1298</v>
      </c>
      <c r="B13" s="1641">
        <v>60</v>
      </c>
      <c r="C13" s="1641">
        <v>60</v>
      </c>
      <c r="D13" s="1641">
        <v>50</v>
      </c>
      <c r="E13" s="1641">
        <v>50</v>
      </c>
      <c r="F13" s="1641">
        <v>50</v>
      </c>
      <c r="G13" s="1641">
        <v>50</v>
      </c>
      <c r="H13" s="1641">
        <v>50</v>
      </c>
      <c r="I13" s="1641">
        <v>40</v>
      </c>
      <c r="J13" s="1641">
        <v>40</v>
      </c>
      <c r="K13" s="1641">
        <v>40</v>
      </c>
      <c r="L13" s="1641">
        <v>40</v>
      </c>
      <c r="M13" s="1687">
        <v>40</v>
      </c>
    </row>
    <row r="14" spans="1:13">
      <c r="A14" s="1640" t="s">
        <v>1299</v>
      </c>
      <c r="B14" s="1641">
        <v>50</v>
      </c>
      <c r="C14" s="1641">
        <v>50</v>
      </c>
      <c r="D14" s="1641">
        <v>40</v>
      </c>
      <c r="E14" s="1641">
        <v>40</v>
      </c>
      <c r="F14" s="1641">
        <v>40</v>
      </c>
      <c r="G14" s="1641">
        <v>40</v>
      </c>
      <c r="H14" s="1641">
        <v>40</v>
      </c>
      <c r="I14" s="1641">
        <v>30</v>
      </c>
      <c r="J14" s="1641">
        <v>30</v>
      </c>
      <c r="K14" s="1641">
        <v>30</v>
      </c>
      <c r="L14" s="1641">
        <v>30</v>
      </c>
      <c r="M14" s="1687">
        <v>30</v>
      </c>
    </row>
    <row r="15" spans="1:13">
      <c r="A15" s="1642" t="s">
        <v>1300</v>
      </c>
      <c r="B15" s="1643">
        <v>20</v>
      </c>
      <c r="C15" s="1643">
        <v>20</v>
      </c>
      <c r="D15" s="1643">
        <v>15</v>
      </c>
      <c r="E15" s="1643">
        <v>15</v>
      </c>
      <c r="F15" s="1643">
        <v>15</v>
      </c>
      <c r="G15" s="1643">
        <v>15</v>
      </c>
      <c r="H15" s="1643">
        <v>15</v>
      </c>
      <c r="I15" s="1643">
        <v>10</v>
      </c>
      <c r="J15" s="1643">
        <v>10</v>
      </c>
      <c r="K15" s="1643">
        <v>10</v>
      </c>
      <c r="L15" s="1643">
        <v>10</v>
      </c>
      <c r="M15" s="1688">
        <v>10</v>
      </c>
    </row>
    <row r="16" spans="1:13">
      <c r="A16" s="1644" t="s">
        <v>138</v>
      </c>
      <c r="B16" s="1645">
        <v>0</v>
      </c>
      <c r="C16" s="1645">
        <v>0</v>
      </c>
      <c r="D16" s="1645">
        <v>0</v>
      </c>
      <c r="E16" s="1645">
        <v>0</v>
      </c>
      <c r="F16" s="1645">
        <v>0</v>
      </c>
      <c r="G16" s="1645">
        <v>0</v>
      </c>
      <c r="H16" s="1645">
        <v>0</v>
      </c>
      <c r="I16" s="1645">
        <v>0</v>
      </c>
      <c r="J16" s="1645">
        <v>0</v>
      </c>
      <c r="K16" s="1645">
        <v>0</v>
      </c>
      <c r="L16" s="1645">
        <v>0</v>
      </c>
      <c r="M16" s="1645">
        <v>0</v>
      </c>
    </row>
    <row r="17" spans="1:13">
      <c r="A17" s="1646" t="s">
        <v>1193</v>
      </c>
      <c r="B17" s="1647">
        <f>SUM(B8:B15)</f>
        <v>375</v>
      </c>
      <c r="C17" s="1647">
        <f t="shared" ref="C17:H17" si="0">SUM(C8:C15)</f>
        <v>375</v>
      </c>
      <c r="D17" s="1647">
        <f t="shared" si="0"/>
        <v>315</v>
      </c>
      <c r="E17" s="1647">
        <f t="shared" si="0"/>
        <v>315</v>
      </c>
      <c r="F17" s="1647">
        <f t="shared" si="0"/>
        <v>315</v>
      </c>
      <c r="G17" s="1647">
        <f t="shared" si="0"/>
        <v>315</v>
      </c>
      <c r="H17" s="1647">
        <f t="shared" si="0"/>
        <v>315</v>
      </c>
      <c r="I17" s="1647">
        <f>SUM(I8:I15)-I13-I14</f>
        <v>185</v>
      </c>
      <c r="J17" s="1647">
        <f>SUM(J8:J15)-J13-J14</f>
        <v>185</v>
      </c>
      <c r="K17" s="1647">
        <f>SUM(K8:K15)-K13-K14</f>
        <v>185</v>
      </c>
      <c r="L17" s="1647">
        <f>SUM(L8:L15)-L13-L14</f>
        <v>185</v>
      </c>
      <c r="M17" s="1647">
        <f>SUM(M8:M15)-M13-M14</f>
        <v>185</v>
      </c>
    </row>
    <row r="18" spans="1:13">
      <c r="A18" s="1648" t="s">
        <v>1301</v>
      </c>
      <c r="B18" s="1648"/>
      <c r="C18" s="1649"/>
      <c r="D18" s="1649"/>
      <c r="E18" s="1648"/>
      <c r="F18" s="1649"/>
      <c r="G18" s="1649"/>
    </row>
    <row r="19" spans="1:13">
      <c r="A19" s="1643" t="s">
        <v>1302</v>
      </c>
      <c r="B19" s="1650" t="s">
        <v>1303</v>
      </c>
      <c r="C19" s="1651" t="s">
        <v>1304</v>
      </c>
      <c r="D19" s="1652"/>
      <c r="E19" s="1641" t="s">
        <v>1196</v>
      </c>
      <c r="F19" s="1653"/>
      <c r="G19" s="1653"/>
    </row>
    <row r="20" spans="1:13" s="1623" customFormat="1">
      <c r="A20" s="3889" t="s">
        <v>437</v>
      </c>
      <c r="B20" s="3895" t="s">
        <v>1305</v>
      </c>
      <c r="C20" s="1654" t="s">
        <v>1306</v>
      </c>
      <c r="D20" s="1655"/>
      <c r="E20" s="1656">
        <v>1</v>
      </c>
      <c r="F20" s="1657" t="s">
        <v>1307</v>
      </c>
      <c r="G20" s="1658"/>
      <c r="H20" s="1624"/>
      <c r="I20" s="1624"/>
    </row>
    <row r="21" spans="1:13" s="1623" customFormat="1">
      <c r="A21" s="3890"/>
      <c r="B21" s="3896"/>
      <c r="C21" s="1659" t="s">
        <v>1308</v>
      </c>
      <c r="D21" s="1660"/>
      <c r="E21" s="1661">
        <v>1</v>
      </c>
      <c r="F21" s="1657" t="s">
        <v>1309</v>
      </c>
      <c r="G21" s="1658"/>
      <c r="H21" s="1624"/>
      <c r="I21" s="1624"/>
    </row>
    <row r="22" spans="1:13" s="1623" customFormat="1">
      <c r="A22" s="3890"/>
      <c r="B22" s="3896"/>
      <c r="C22" s="1659" t="s">
        <v>1310</v>
      </c>
      <c r="D22" s="1660"/>
      <c r="E22" s="1661">
        <v>0.9</v>
      </c>
      <c r="F22" s="1657" t="s">
        <v>1311</v>
      </c>
      <c r="G22" s="1658"/>
      <c r="H22" s="1624"/>
      <c r="I22" s="1624"/>
    </row>
    <row r="23" spans="1:13" s="1623" customFormat="1">
      <c r="A23" s="3890"/>
      <c r="B23" s="3896"/>
      <c r="C23" s="1659" t="s">
        <v>1312</v>
      </c>
      <c r="D23" s="1660"/>
      <c r="E23" s="1661">
        <v>0.9</v>
      </c>
      <c r="F23" s="1657" t="s">
        <v>1313</v>
      </c>
      <c r="G23" s="1658"/>
      <c r="H23" s="1624"/>
      <c r="I23" s="1624"/>
    </row>
    <row r="24" spans="1:13" s="1623" customFormat="1">
      <c r="A24" s="3890"/>
      <c r="B24" s="3896"/>
      <c r="C24" s="1659" t="s">
        <v>1314</v>
      </c>
      <c r="D24" s="1660"/>
      <c r="E24" s="1661">
        <v>0.8</v>
      </c>
      <c r="F24" s="1657" t="s">
        <v>1315</v>
      </c>
      <c r="G24" s="1658"/>
      <c r="H24" s="1624"/>
      <c r="I24" s="1624"/>
    </row>
    <row r="25" spans="1:13" s="1623" customFormat="1">
      <c r="A25" s="3891"/>
      <c r="B25" s="3897"/>
      <c r="C25" s="1662" t="s">
        <v>1316</v>
      </c>
      <c r="D25" s="1663"/>
      <c r="E25" s="1664">
        <v>0.8</v>
      </c>
      <c r="F25" s="1657" t="s">
        <v>1317</v>
      </c>
      <c r="G25" s="1658"/>
      <c r="H25" s="1624"/>
      <c r="I25" s="1624"/>
    </row>
    <row r="26" spans="1:13" s="1623" customFormat="1">
      <c r="A26" s="1665" t="s">
        <v>438</v>
      </c>
      <c r="B26" s="1666" t="s">
        <v>1305</v>
      </c>
      <c r="C26" s="1667" t="s">
        <v>1318</v>
      </c>
      <c r="D26" s="1668"/>
      <c r="E26" s="1669">
        <v>1</v>
      </c>
      <c r="F26" s="1657" t="s">
        <v>1319</v>
      </c>
      <c r="G26" s="1658"/>
      <c r="H26" s="1624"/>
      <c r="I26" s="1624"/>
    </row>
    <row r="27" spans="1:13" s="1623" customFormat="1">
      <c r="A27" s="3892" t="s">
        <v>297</v>
      </c>
      <c r="B27" s="3895" t="s">
        <v>297</v>
      </c>
      <c r="C27" s="1654" t="s">
        <v>1320</v>
      </c>
      <c r="D27" s="1655"/>
      <c r="E27" s="1656">
        <v>1</v>
      </c>
      <c r="F27" s="1657" t="s">
        <v>1321</v>
      </c>
      <c r="G27" s="1658"/>
      <c r="H27" s="1624"/>
      <c r="I27" s="1624"/>
    </row>
    <row r="28" spans="1:13" s="1623" customFormat="1">
      <c r="A28" s="3893"/>
      <c r="B28" s="3896"/>
      <c r="C28" s="1659" t="s">
        <v>1322</v>
      </c>
      <c r="D28" s="1660"/>
      <c r="E28" s="1661">
        <v>1</v>
      </c>
      <c r="F28" s="1657" t="s">
        <v>1323</v>
      </c>
      <c r="G28" s="1658"/>
      <c r="H28" s="1624"/>
      <c r="I28" s="1624"/>
    </row>
    <row r="29" spans="1:13" s="1623" customFormat="1">
      <c r="A29" s="3893"/>
      <c r="B29" s="3896"/>
      <c r="C29" s="1659" t="s">
        <v>1324</v>
      </c>
      <c r="D29" s="1660"/>
      <c r="E29" s="1661">
        <v>0.8</v>
      </c>
      <c r="F29" s="1657" t="s">
        <v>1325</v>
      </c>
      <c r="G29" s="1658"/>
      <c r="H29" s="1624"/>
      <c r="I29" s="1624"/>
    </row>
    <row r="30" spans="1:13" s="1623" customFormat="1">
      <c r="A30" s="3893"/>
      <c r="B30" s="3896"/>
      <c r="C30" s="1659" t="s">
        <v>1326</v>
      </c>
      <c r="D30" s="1660"/>
      <c r="E30" s="1661">
        <v>0.8</v>
      </c>
      <c r="F30" s="1657" t="s">
        <v>1327</v>
      </c>
      <c r="G30" s="1658"/>
      <c r="H30" s="1624"/>
      <c r="I30" s="1624"/>
    </row>
    <row r="31" spans="1:13" s="1623" customFormat="1">
      <c r="A31" s="3893"/>
      <c r="B31" s="3896"/>
      <c r="C31" s="1659" t="s">
        <v>1328</v>
      </c>
      <c r="D31" s="1660"/>
      <c r="E31" s="1661">
        <v>0.8</v>
      </c>
      <c r="F31" s="1657" t="s">
        <v>1329</v>
      </c>
      <c r="G31" s="1658"/>
      <c r="H31" s="1624"/>
      <c r="I31" s="1624"/>
    </row>
    <row r="32" spans="1:13" s="1623" customFormat="1">
      <c r="A32" s="3893"/>
      <c r="B32" s="3896"/>
      <c r="C32" s="1659" t="s">
        <v>1330</v>
      </c>
      <c r="D32" s="1660"/>
      <c r="E32" s="1661">
        <v>0.7</v>
      </c>
      <c r="F32" s="1657" t="s">
        <v>1331</v>
      </c>
      <c r="G32" s="1658"/>
      <c r="H32" s="1624"/>
      <c r="I32" s="1624"/>
    </row>
    <row r="33" spans="1:9" s="1623" customFormat="1">
      <c r="A33" s="3893"/>
      <c r="B33" s="3896"/>
      <c r="C33" s="1659" t="s">
        <v>1332</v>
      </c>
      <c r="D33" s="1660"/>
      <c r="E33" s="1661">
        <v>0.8</v>
      </c>
      <c r="F33" s="1657" t="s">
        <v>1333</v>
      </c>
      <c r="G33" s="1658"/>
      <c r="H33" s="1624"/>
      <c r="I33" s="1624"/>
    </row>
    <row r="34" spans="1:9" s="1623" customFormat="1">
      <c r="A34" s="3893"/>
      <c r="B34" s="3896"/>
      <c r="C34" s="1659" t="s">
        <v>1334</v>
      </c>
      <c r="D34" s="1660"/>
      <c r="E34" s="1661">
        <v>0.6</v>
      </c>
      <c r="F34" s="1657" t="s">
        <v>1335</v>
      </c>
      <c r="G34" s="1658"/>
      <c r="H34" s="1624"/>
      <c r="I34" s="1624"/>
    </row>
    <row r="35" spans="1:9" s="1623" customFormat="1">
      <c r="A35" s="3893"/>
      <c r="B35" s="3896"/>
      <c r="C35" s="1659" t="s">
        <v>1336</v>
      </c>
      <c r="D35" s="1660"/>
      <c r="E35" s="1661">
        <v>0.2</v>
      </c>
      <c r="F35" s="1657" t="s">
        <v>1337</v>
      </c>
      <c r="G35" s="1658"/>
      <c r="H35" s="1624"/>
      <c r="I35" s="1624"/>
    </row>
    <row r="36" spans="1:9" s="1623" customFormat="1">
      <c r="A36" s="3893"/>
      <c r="B36" s="3896"/>
      <c r="C36" s="1659" t="s">
        <v>1338</v>
      </c>
      <c r="D36" s="1660"/>
      <c r="E36" s="1661">
        <v>0.2</v>
      </c>
      <c r="F36" s="1657" t="s">
        <v>1339</v>
      </c>
      <c r="G36" s="1658"/>
      <c r="H36" s="1624"/>
      <c r="I36" s="1624"/>
    </row>
    <row r="37" spans="1:9" s="1623" customFormat="1">
      <c r="A37" s="3893"/>
      <c r="B37" s="3898" t="s">
        <v>1340</v>
      </c>
      <c r="C37" s="1659" t="s">
        <v>1341</v>
      </c>
      <c r="D37" s="1660"/>
      <c r="E37" s="1661">
        <v>0.6</v>
      </c>
      <c r="F37" s="1657" t="s">
        <v>1342</v>
      </c>
      <c r="G37" s="1658"/>
      <c r="H37" s="1624"/>
      <c r="I37" s="1624"/>
    </row>
    <row r="38" spans="1:9" s="1623" customFormat="1">
      <c r="A38" s="3893"/>
      <c r="B38" s="3896"/>
      <c r="C38" s="1659" t="s">
        <v>1343</v>
      </c>
      <c r="D38" s="1660"/>
      <c r="E38" s="1661">
        <v>0.6</v>
      </c>
      <c r="F38" s="1657" t="s">
        <v>1344</v>
      </c>
      <c r="G38" s="1658"/>
      <c r="H38" s="1624"/>
      <c r="I38" s="1624"/>
    </row>
    <row r="39" spans="1:9" s="1623" customFormat="1">
      <c r="A39" s="3894"/>
      <c r="B39" s="3897"/>
      <c r="C39" s="1662" t="s">
        <v>1345</v>
      </c>
      <c r="D39" s="1663"/>
      <c r="E39" s="1664">
        <v>0.6</v>
      </c>
      <c r="F39" s="1657" t="s">
        <v>1346</v>
      </c>
      <c r="G39" s="1658"/>
      <c r="H39" s="1624"/>
      <c r="I39" s="1624"/>
    </row>
    <row r="40" spans="1:9" s="1623" customFormat="1">
      <c r="A40" s="1665" t="s">
        <v>402</v>
      </c>
      <c r="B40" s="1666" t="s">
        <v>402</v>
      </c>
      <c r="C40" s="1667" t="s">
        <v>1347</v>
      </c>
      <c r="D40" s="1668"/>
      <c r="E40" s="1669">
        <v>1</v>
      </c>
      <c r="F40" s="1657" t="s">
        <v>1348</v>
      </c>
      <c r="G40" s="1658"/>
      <c r="H40" s="1624"/>
      <c r="I40" s="1624"/>
    </row>
    <row r="41" spans="1:9" s="1623" customFormat="1">
      <c r="A41" s="3889" t="s">
        <v>164</v>
      </c>
      <c r="B41" s="3895" t="s">
        <v>1349</v>
      </c>
      <c r="C41" s="1654" t="s">
        <v>1350</v>
      </c>
      <c r="D41" s="1655"/>
      <c r="E41" s="1656">
        <v>1</v>
      </c>
      <c r="F41" s="1657" t="s">
        <v>1351</v>
      </c>
      <c r="G41" s="1658"/>
      <c r="H41" s="1624"/>
      <c r="I41" s="1624"/>
    </row>
    <row r="42" spans="1:9" s="1623" customFormat="1">
      <c r="A42" s="3890"/>
      <c r="B42" s="3896"/>
      <c r="C42" s="1659" t="s">
        <v>1352</v>
      </c>
      <c r="D42" s="1660"/>
      <c r="E42" s="1661">
        <v>1</v>
      </c>
      <c r="F42" s="1657" t="s">
        <v>1353</v>
      </c>
      <c r="G42" s="1658"/>
      <c r="H42" s="1624"/>
      <c r="I42" s="1624"/>
    </row>
    <row r="43" spans="1:9" s="1623" customFormat="1">
      <c r="A43" s="3890"/>
      <c r="B43" s="3899"/>
      <c r="C43" s="1659" t="s">
        <v>1354</v>
      </c>
      <c r="D43" s="1660"/>
      <c r="E43" s="1661">
        <v>1.5</v>
      </c>
      <c r="F43" s="1657" t="s">
        <v>1355</v>
      </c>
      <c r="G43" s="1658"/>
      <c r="H43" s="1624"/>
      <c r="I43" s="1624"/>
    </row>
    <row r="44" spans="1:9" s="1623" customFormat="1">
      <c r="A44" s="3890"/>
      <c r="B44" s="1670" t="s">
        <v>297</v>
      </c>
      <c r="C44" s="1659" t="s">
        <v>1292</v>
      </c>
      <c r="D44" s="1660"/>
      <c r="E44" s="1661">
        <v>2</v>
      </c>
      <c r="F44" s="1657" t="s">
        <v>1356</v>
      </c>
      <c r="G44" s="1658"/>
      <c r="H44" s="1624"/>
      <c r="I44" s="1624"/>
    </row>
    <row r="45" spans="1:9" s="1623" customFormat="1">
      <c r="A45" s="3890"/>
      <c r="B45" s="3898" t="s">
        <v>1357</v>
      </c>
      <c r="C45" s="1659" t="s">
        <v>1358</v>
      </c>
      <c r="D45" s="1660"/>
      <c r="E45" s="1661">
        <v>1</v>
      </c>
      <c r="F45" s="1657" t="s">
        <v>1359</v>
      </c>
      <c r="G45" s="1658"/>
      <c r="H45" s="1624"/>
      <c r="I45" s="1624"/>
    </row>
    <row r="46" spans="1:9" s="1623" customFormat="1">
      <c r="A46" s="3890"/>
      <c r="B46" s="3896"/>
      <c r="C46" s="1659" t="s">
        <v>1360</v>
      </c>
      <c r="D46" s="1660"/>
      <c r="E46" s="1661">
        <v>1</v>
      </c>
      <c r="F46" s="1657" t="s">
        <v>1361</v>
      </c>
      <c r="G46" s="1658"/>
      <c r="H46" s="1624"/>
      <c r="I46" s="1624"/>
    </row>
    <row r="47" spans="1:9" s="1623" customFormat="1">
      <c r="A47" s="3890"/>
      <c r="B47" s="3896"/>
      <c r="C47" s="1659" t="s">
        <v>1362</v>
      </c>
      <c r="D47" s="1660"/>
      <c r="E47" s="1661">
        <v>1</v>
      </c>
      <c r="F47" s="1657" t="s">
        <v>1363</v>
      </c>
      <c r="G47" s="1658"/>
      <c r="H47" s="1624"/>
      <c r="I47" s="1624"/>
    </row>
    <row r="48" spans="1:9" s="1623" customFormat="1">
      <c r="A48" s="3890"/>
      <c r="B48" s="3896"/>
      <c r="C48" s="1659" t="s">
        <v>1364</v>
      </c>
      <c r="D48" s="1660"/>
      <c r="E48" s="1661">
        <v>1</v>
      </c>
      <c r="F48" s="1657" t="s">
        <v>1365</v>
      </c>
      <c r="G48" s="1658"/>
      <c r="H48" s="1624"/>
      <c r="I48" s="1624"/>
    </row>
    <row r="49" spans="1:9" s="1623" customFormat="1">
      <c r="A49" s="3890"/>
      <c r="B49" s="3896"/>
      <c r="C49" s="1659" t="s">
        <v>1366</v>
      </c>
      <c r="D49" s="1660"/>
      <c r="E49" s="1661">
        <v>1</v>
      </c>
      <c r="F49" s="1657" t="s">
        <v>1367</v>
      </c>
      <c r="G49" s="1658"/>
      <c r="H49" s="1624"/>
      <c r="I49" s="1624"/>
    </row>
    <row r="50" spans="1:9" s="1623" customFormat="1">
      <c r="A50" s="3890"/>
      <c r="B50" s="3896"/>
      <c r="C50" s="1659" t="s">
        <v>1368</v>
      </c>
      <c r="D50" s="1660"/>
      <c r="E50" s="1661">
        <v>1</v>
      </c>
      <c r="F50" s="1657" t="s">
        <v>1369</v>
      </c>
      <c r="G50" s="1658"/>
      <c r="H50" s="1624"/>
      <c r="I50" s="1624"/>
    </row>
    <row r="51" spans="1:9" s="1623" customFormat="1">
      <c r="A51" s="3891"/>
      <c r="B51" s="3897"/>
      <c r="C51" s="1662" t="s">
        <v>1370</v>
      </c>
      <c r="D51" s="1663"/>
      <c r="E51" s="1664">
        <v>1</v>
      </c>
      <c r="F51" s="1657" t="s">
        <v>1371</v>
      </c>
      <c r="G51" s="1658"/>
      <c r="H51" s="1624"/>
      <c r="I51" s="1624"/>
    </row>
    <row r="52" spans="1:9" s="1623" customFormat="1">
      <c r="A52" s="1671"/>
      <c r="B52" s="1671"/>
      <c r="C52" s="1671"/>
      <c r="D52" s="1671"/>
      <c r="E52" s="1671"/>
      <c r="F52" s="1672"/>
      <c r="G52" s="1672"/>
      <c r="H52" s="1624"/>
      <c r="I52" s="1624"/>
    </row>
    <row r="54" spans="1:9">
      <c r="A54" s="1673"/>
      <c r="B54" s="1644" t="s">
        <v>1372</v>
      </c>
      <c r="C54" s="1644" t="s">
        <v>1372</v>
      </c>
      <c r="D54" s="1644" t="s">
        <v>1372</v>
      </c>
      <c r="E54" s="1674" t="s">
        <v>1372</v>
      </c>
      <c r="F54" s="1674" t="s">
        <v>1239</v>
      </c>
      <c r="G54" s="1674" t="s">
        <v>1372</v>
      </c>
      <c r="I54" s="1562"/>
    </row>
    <row r="55" spans="1:9">
      <c r="A55" s="1675"/>
      <c r="B55" s="1674" t="s">
        <v>437</v>
      </c>
      <c r="C55" s="1674" t="s">
        <v>437</v>
      </c>
      <c r="D55" s="1674" t="s">
        <v>437</v>
      </c>
      <c r="E55" s="1644" t="s">
        <v>438</v>
      </c>
      <c r="F55" s="1644" t="s">
        <v>164</v>
      </c>
      <c r="G55" s="1644" t="s">
        <v>439</v>
      </c>
      <c r="I55" s="1562"/>
    </row>
    <row r="56" spans="1:9">
      <c r="A56" s="1676"/>
      <c r="B56" s="1644">
        <v>1</v>
      </c>
      <c r="C56" s="1644">
        <v>2</v>
      </c>
      <c r="D56" s="1644">
        <v>3</v>
      </c>
      <c r="E56" s="1677" t="s">
        <v>1373</v>
      </c>
      <c r="F56" s="1677" t="s">
        <v>1373</v>
      </c>
      <c r="G56" s="1677" t="s">
        <v>1373</v>
      </c>
      <c r="I56" s="1562"/>
    </row>
    <row r="57" spans="1:9">
      <c r="A57" s="1678" t="s">
        <v>238</v>
      </c>
      <c r="B57" s="1641">
        <v>0.7</v>
      </c>
      <c r="C57" s="1641">
        <v>0.4</v>
      </c>
      <c r="D57" s="1641">
        <v>0.3</v>
      </c>
      <c r="E57" s="1652">
        <v>0.3</v>
      </c>
      <c r="F57" s="1641">
        <v>0.3</v>
      </c>
      <c r="G57" s="1641">
        <v>0.2</v>
      </c>
      <c r="I57" s="1562"/>
    </row>
    <row r="58" spans="1:9">
      <c r="A58" s="1678" t="s">
        <v>251</v>
      </c>
      <c r="B58" s="1641">
        <v>0.7</v>
      </c>
      <c r="C58" s="1641">
        <v>0.4</v>
      </c>
      <c r="D58" s="1641">
        <v>0.3</v>
      </c>
      <c r="E58" s="1641">
        <v>0.3</v>
      </c>
      <c r="F58" s="1641">
        <v>0.3</v>
      </c>
      <c r="G58" s="1641">
        <v>0.2</v>
      </c>
      <c r="I58" s="1562"/>
    </row>
    <row r="59" spans="1:9">
      <c r="A59" s="1678" t="s">
        <v>263</v>
      </c>
      <c r="B59" s="1641">
        <v>0.6</v>
      </c>
      <c r="C59" s="1641">
        <v>0.3</v>
      </c>
      <c r="D59" s="1641">
        <v>0.25</v>
      </c>
      <c r="E59" s="1641">
        <v>0.25</v>
      </c>
      <c r="F59" s="1641">
        <v>0.25</v>
      </c>
      <c r="G59" s="1641">
        <v>0.15</v>
      </c>
      <c r="I59" s="1562"/>
    </row>
    <row r="60" spans="1:9">
      <c r="A60" s="1678" t="s">
        <v>273</v>
      </c>
      <c r="B60" s="1641">
        <v>0.6</v>
      </c>
      <c r="C60" s="1641">
        <v>0.3</v>
      </c>
      <c r="D60" s="1641">
        <v>0.25</v>
      </c>
      <c r="E60" s="1641">
        <v>0.25</v>
      </c>
      <c r="F60" s="1641">
        <v>0.25</v>
      </c>
      <c r="G60" s="1641">
        <v>0.15</v>
      </c>
      <c r="I60" s="1562"/>
    </row>
    <row r="61" spans="1:9" s="1624" customFormat="1">
      <c r="A61" s="1678" t="s">
        <v>282</v>
      </c>
      <c r="B61" s="1641">
        <v>0.6</v>
      </c>
      <c r="C61" s="1641">
        <v>0.3</v>
      </c>
      <c r="D61" s="1641">
        <v>0.25</v>
      </c>
      <c r="E61" s="1641">
        <v>0.25</v>
      </c>
      <c r="F61" s="1641">
        <v>0.25</v>
      </c>
      <c r="G61" s="1641">
        <v>0.15</v>
      </c>
    </row>
    <row r="62" spans="1:9" s="1624" customFormat="1">
      <c r="A62" s="1678" t="s">
        <v>290</v>
      </c>
      <c r="B62" s="1641">
        <v>0.6</v>
      </c>
      <c r="C62" s="1641">
        <v>0.3</v>
      </c>
      <c r="D62" s="1641">
        <v>0.25</v>
      </c>
      <c r="E62" s="1641">
        <v>0.25</v>
      </c>
      <c r="F62" s="1641">
        <v>0.25</v>
      </c>
      <c r="G62" s="1641">
        <v>0.15</v>
      </c>
    </row>
    <row r="63" spans="1:9" s="1624" customFormat="1">
      <c r="A63" s="1678" t="s">
        <v>295</v>
      </c>
      <c r="B63" s="1641">
        <v>0.6</v>
      </c>
      <c r="C63" s="1641">
        <v>0.3</v>
      </c>
      <c r="D63" s="1641">
        <v>0.25</v>
      </c>
      <c r="E63" s="1641">
        <v>0.25</v>
      </c>
      <c r="F63" s="1641">
        <v>0.25</v>
      </c>
      <c r="G63" s="1641">
        <v>0.15</v>
      </c>
    </row>
    <row r="64" spans="1:9" s="1624" customFormat="1">
      <c r="A64" s="1678" t="s">
        <v>301</v>
      </c>
      <c r="B64" s="1641">
        <v>0.5</v>
      </c>
      <c r="C64" s="1641">
        <v>0.2</v>
      </c>
      <c r="D64" s="1641">
        <v>0.2</v>
      </c>
      <c r="E64" s="1641">
        <v>0.2</v>
      </c>
      <c r="F64" s="1641">
        <v>0.2</v>
      </c>
      <c r="G64" s="1641">
        <v>0.1</v>
      </c>
    </row>
    <row r="65" spans="1:8" s="1624" customFormat="1">
      <c r="A65" s="1678" t="s">
        <v>305</v>
      </c>
      <c r="B65" s="1641">
        <v>0.5</v>
      </c>
      <c r="C65" s="1641">
        <v>0.2</v>
      </c>
      <c r="D65" s="1641">
        <v>0.2</v>
      </c>
      <c r="E65" s="1641">
        <v>0.2</v>
      </c>
      <c r="F65" s="1641">
        <v>0.2</v>
      </c>
      <c r="G65" s="1641">
        <v>0.1</v>
      </c>
    </row>
    <row r="66" spans="1:8" s="1624" customFormat="1">
      <c r="A66" s="1678" t="s">
        <v>309</v>
      </c>
      <c r="B66" s="1641">
        <v>0.5</v>
      </c>
      <c r="C66" s="1641">
        <v>0.2</v>
      </c>
      <c r="D66" s="1641">
        <v>0.2</v>
      </c>
      <c r="E66" s="1641">
        <v>0.2</v>
      </c>
      <c r="F66" s="1641">
        <v>0.2</v>
      </c>
      <c r="G66" s="1641">
        <v>0.1</v>
      </c>
    </row>
    <row r="67" spans="1:8" s="1624" customFormat="1">
      <c r="A67" s="1678" t="s">
        <v>313</v>
      </c>
      <c r="B67" s="1641">
        <v>0.5</v>
      </c>
      <c r="C67" s="1641">
        <v>0.2</v>
      </c>
      <c r="D67" s="1641">
        <v>0.2</v>
      </c>
      <c r="E67" s="1641">
        <v>0.2</v>
      </c>
      <c r="F67" s="1641">
        <v>0.2</v>
      </c>
      <c r="G67" s="1641">
        <v>0.1</v>
      </c>
    </row>
    <row r="68" spans="1:8" s="1624" customFormat="1">
      <c r="A68" s="1678" t="s">
        <v>317</v>
      </c>
      <c r="B68" s="1641">
        <v>0.5</v>
      </c>
      <c r="C68" s="1641">
        <v>0.2</v>
      </c>
      <c r="D68" s="1641">
        <v>0.2</v>
      </c>
      <c r="E68" s="1641">
        <v>0.2</v>
      </c>
      <c r="F68" s="1641">
        <v>0.2</v>
      </c>
      <c r="G68" s="1641">
        <v>0.1</v>
      </c>
    </row>
    <row r="70" spans="1:8" s="1624" customFormat="1">
      <c r="A70" s="1689"/>
      <c r="B70" s="1648"/>
      <c r="C70" s="1648"/>
      <c r="D70" s="1648" t="s">
        <v>1374</v>
      </c>
      <c r="E70" s="1648"/>
      <c r="F70" s="1648"/>
    </row>
    <row r="71" spans="1:8" s="1624" customFormat="1">
      <c r="A71" s="1690" t="s">
        <v>1375</v>
      </c>
      <c r="B71" s="1690" t="s">
        <v>1376</v>
      </c>
      <c r="C71" s="1690" t="s">
        <v>1377</v>
      </c>
      <c r="D71" s="1690" t="s">
        <v>1378</v>
      </c>
      <c r="E71" s="1690" t="s">
        <v>1158</v>
      </c>
      <c r="F71" s="1690" t="s">
        <v>1379</v>
      </c>
    </row>
    <row r="72" spans="1:8" s="1624" customFormat="1">
      <c r="A72" s="1690"/>
      <c r="B72" s="1690"/>
      <c r="C72" s="1690" t="s">
        <v>1380</v>
      </c>
      <c r="D72" s="1690"/>
      <c r="E72" s="1691" t="s">
        <v>138</v>
      </c>
      <c r="F72" s="1690" t="s">
        <v>138</v>
      </c>
    </row>
    <row r="73" spans="1:8" s="1624" customFormat="1">
      <c r="A73" s="1670">
        <v>1</v>
      </c>
      <c r="B73" s="3898" t="s">
        <v>1381</v>
      </c>
      <c r="C73" s="1641" t="s">
        <v>1382</v>
      </c>
      <c r="D73" s="1641" t="s">
        <v>1383</v>
      </c>
      <c r="E73" s="1692">
        <v>0.2</v>
      </c>
      <c r="F73" s="1670">
        <v>25</v>
      </c>
      <c r="H73" s="1624">
        <f>SUMIF(C71:C139,基准地价!C8,E71:E139)</f>
        <v>0</v>
      </c>
    </row>
    <row r="74" spans="1:8" s="1624" customFormat="1" ht="24">
      <c r="A74" s="1670">
        <v>2</v>
      </c>
      <c r="B74" s="3896"/>
      <c r="C74" s="1641" t="s">
        <v>1384</v>
      </c>
      <c r="D74" s="1641" t="s">
        <v>1385</v>
      </c>
      <c r="E74" s="1692">
        <v>0.2</v>
      </c>
      <c r="F74" s="1670">
        <v>25</v>
      </c>
    </row>
    <row r="75" spans="1:8" s="1624" customFormat="1" ht="24">
      <c r="A75" s="1670">
        <v>3</v>
      </c>
      <c r="B75" s="3896"/>
      <c r="C75" s="1641" t="s">
        <v>1386</v>
      </c>
      <c r="D75" s="1641" t="s">
        <v>1387</v>
      </c>
      <c r="E75" s="1692">
        <v>0.2</v>
      </c>
      <c r="F75" s="1670">
        <v>25</v>
      </c>
    </row>
    <row r="76" spans="1:8" s="1624" customFormat="1">
      <c r="A76" s="1670">
        <v>4</v>
      </c>
      <c r="B76" s="3896"/>
      <c r="C76" s="1641" t="s">
        <v>1388</v>
      </c>
      <c r="D76" s="1641" t="s">
        <v>1389</v>
      </c>
      <c r="E76" s="1692">
        <v>0.15</v>
      </c>
      <c r="F76" s="1670">
        <v>20</v>
      </c>
    </row>
    <row r="77" spans="1:8" s="1624" customFormat="1" ht="24">
      <c r="A77" s="1670">
        <v>5</v>
      </c>
      <c r="B77" s="3896"/>
      <c r="C77" s="1641" t="s">
        <v>1390</v>
      </c>
      <c r="D77" s="1641" t="s">
        <v>1391</v>
      </c>
      <c r="E77" s="1692">
        <v>0.15</v>
      </c>
      <c r="F77" s="1670">
        <v>20</v>
      </c>
    </row>
    <row r="78" spans="1:8" s="1624" customFormat="1" ht="24">
      <c r="A78" s="1670">
        <v>6</v>
      </c>
      <c r="B78" s="3896"/>
      <c r="C78" s="1641" t="s">
        <v>1392</v>
      </c>
      <c r="D78" s="1641" t="s">
        <v>1393</v>
      </c>
      <c r="E78" s="1692">
        <v>0.15</v>
      </c>
      <c r="F78" s="1670">
        <v>20</v>
      </c>
    </row>
    <row r="79" spans="1:8" s="1624" customFormat="1" ht="24">
      <c r="A79" s="1670">
        <v>7</v>
      </c>
      <c r="B79" s="3896"/>
      <c r="C79" s="1641" t="s">
        <v>1394</v>
      </c>
      <c r="D79" s="1641" t="s">
        <v>1395</v>
      </c>
      <c r="E79" s="1692">
        <v>0.15</v>
      </c>
      <c r="F79" s="1670">
        <v>20</v>
      </c>
    </row>
    <row r="80" spans="1:8" s="1624" customFormat="1" ht="24">
      <c r="A80" s="1670">
        <v>8</v>
      </c>
      <c r="B80" s="3896"/>
      <c r="C80" s="1641" t="s">
        <v>1396</v>
      </c>
      <c r="D80" s="1641" t="s">
        <v>1397</v>
      </c>
      <c r="E80" s="1692">
        <v>0.1</v>
      </c>
      <c r="F80" s="1670">
        <v>15</v>
      </c>
    </row>
    <row r="81" spans="1:6" s="1624" customFormat="1" ht="24">
      <c r="A81" s="1670">
        <v>9</v>
      </c>
      <c r="B81" s="3896"/>
      <c r="C81" s="1641" t="s">
        <v>1398</v>
      </c>
      <c r="D81" s="1641" t="s">
        <v>1399</v>
      </c>
      <c r="E81" s="1692">
        <v>0.1</v>
      </c>
      <c r="F81" s="1670">
        <v>15</v>
      </c>
    </row>
    <row r="82" spans="1:6" s="1624" customFormat="1" ht="24">
      <c r="A82" s="1670">
        <v>10</v>
      </c>
      <c r="B82" s="3896"/>
      <c r="C82" s="1641" t="s">
        <v>1400</v>
      </c>
      <c r="D82" s="1641" t="s">
        <v>1401</v>
      </c>
      <c r="E82" s="1692">
        <v>0.1</v>
      </c>
      <c r="F82" s="1670">
        <v>15</v>
      </c>
    </row>
    <row r="83" spans="1:6" s="1624" customFormat="1" ht="24">
      <c r="A83" s="1670">
        <v>11</v>
      </c>
      <c r="B83" s="3896"/>
      <c r="C83" s="1641" t="s">
        <v>1402</v>
      </c>
      <c r="D83" s="1641" t="s">
        <v>1403</v>
      </c>
      <c r="E83" s="1692">
        <v>0.1</v>
      </c>
      <c r="F83" s="1670">
        <v>15</v>
      </c>
    </row>
    <row r="84" spans="1:6" s="1624" customFormat="1" ht="24">
      <c r="A84" s="1670">
        <v>12</v>
      </c>
      <c r="B84" s="3896"/>
      <c r="C84" s="1641" t="s">
        <v>1404</v>
      </c>
      <c r="D84" s="1641" t="s">
        <v>1405</v>
      </c>
      <c r="E84" s="1692">
        <v>0.1</v>
      </c>
      <c r="F84" s="1670">
        <v>15</v>
      </c>
    </row>
    <row r="85" spans="1:6" s="1624" customFormat="1">
      <c r="A85" s="1670">
        <v>13</v>
      </c>
      <c r="B85" s="3896"/>
      <c r="C85" s="1641" t="s">
        <v>1406</v>
      </c>
      <c r="D85" s="1641" t="s">
        <v>1407</v>
      </c>
      <c r="E85" s="1692">
        <v>0.1</v>
      </c>
      <c r="F85" s="1670">
        <v>15</v>
      </c>
    </row>
    <row r="86" spans="1:6" s="1624" customFormat="1">
      <c r="A86" s="1670">
        <v>14</v>
      </c>
      <c r="B86" s="3896"/>
      <c r="C86" s="1641" t="s">
        <v>1408</v>
      </c>
      <c r="D86" s="1641" t="s">
        <v>1409</v>
      </c>
      <c r="E86" s="1692">
        <v>0.1</v>
      </c>
      <c r="F86" s="1670">
        <v>15</v>
      </c>
    </row>
    <row r="87" spans="1:6" s="1624" customFormat="1">
      <c r="A87" s="1670">
        <v>15</v>
      </c>
      <c r="B87" s="3896"/>
      <c r="C87" s="1641" t="s">
        <v>1410</v>
      </c>
      <c r="D87" s="1641" t="s">
        <v>1411</v>
      </c>
      <c r="E87" s="1692">
        <v>0.1</v>
      </c>
      <c r="F87" s="1670">
        <v>15</v>
      </c>
    </row>
    <row r="88" spans="1:6" s="1624" customFormat="1" ht="24">
      <c r="A88" s="1670">
        <v>16</v>
      </c>
      <c r="B88" s="3896"/>
      <c r="C88" s="1641" t="s">
        <v>1412</v>
      </c>
      <c r="D88" s="1641" t="s">
        <v>1413</v>
      </c>
      <c r="E88" s="1692">
        <v>0.1</v>
      </c>
      <c r="F88" s="1670">
        <v>15</v>
      </c>
    </row>
    <row r="89" spans="1:6" s="1624" customFormat="1" ht="24">
      <c r="A89" s="1670">
        <v>17</v>
      </c>
      <c r="B89" s="3899"/>
      <c r="C89" s="1641" t="s">
        <v>1414</v>
      </c>
      <c r="D89" s="1641" t="s">
        <v>1415</v>
      </c>
      <c r="E89" s="1692">
        <v>0.1</v>
      </c>
      <c r="F89" s="1670">
        <v>15</v>
      </c>
    </row>
    <row r="90" spans="1:6" s="1624" customFormat="1">
      <c r="A90" s="1670">
        <v>18</v>
      </c>
      <c r="B90" s="3898" t="s">
        <v>1416</v>
      </c>
      <c r="C90" s="1641" t="s">
        <v>1417</v>
      </c>
      <c r="D90" s="1641" t="s">
        <v>1418</v>
      </c>
      <c r="E90" s="1692">
        <v>0.2</v>
      </c>
      <c r="F90" s="1670">
        <v>25</v>
      </c>
    </row>
    <row r="91" spans="1:6" s="1624" customFormat="1" ht="24">
      <c r="A91" s="1670">
        <v>19</v>
      </c>
      <c r="B91" s="3896"/>
      <c r="C91" s="1641" t="s">
        <v>1419</v>
      </c>
      <c r="D91" s="1641" t="s">
        <v>1420</v>
      </c>
      <c r="E91" s="1692">
        <v>0.2</v>
      </c>
      <c r="F91" s="1670">
        <v>25</v>
      </c>
    </row>
    <row r="92" spans="1:6" s="1624" customFormat="1">
      <c r="A92" s="1670">
        <v>20</v>
      </c>
      <c r="B92" s="3896"/>
      <c r="C92" s="1641" t="s">
        <v>1421</v>
      </c>
      <c r="D92" s="1641" t="s">
        <v>1422</v>
      </c>
      <c r="E92" s="1692">
        <v>0.15</v>
      </c>
      <c r="F92" s="1670">
        <v>20</v>
      </c>
    </row>
    <row r="93" spans="1:6" s="1624" customFormat="1" ht="24">
      <c r="A93" s="1670">
        <v>21</v>
      </c>
      <c r="B93" s="3896"/>
      <c r="C93" s="1641" t="s">
        <v>1423</v>
      </c>
      <c r="D93" s="1641" t="s">
        <v>1424</v>
      </c>
      <c r="E93" s="1692">
        <v>0.15</v>
      </c>
      <c r="F93" s="1670">
        <v>20</v>
      </c>
    </row>
    <row r="94" spans="1:6" s="1624" customFormat="1" ht="24">
      <c r="A94" s="1670">
        <v>22</v>
      </c>
      <c r="B94" s="3896"/>
      <c r="C94" s="1641" t="s">
        <v>1425</v>
      </c>
      <c r="D94" s="1641" t="s">
        <v>1426</v>
      </c>
      <c r="E94" s="1692">
        <v>0.15</v>
      </c>
      <c r="F94" s="1670">
        <v>20</v>
      </c>
    </row>
    <row r="95" spans="1:6" s="1624" customFormat="1" ht="36">
      <c r="A95" s="1670">
        <v>23</v>
      </c>
      <c r="B95" s="3896"/>
      <c r="C95" s="1641" t="s">
        <v>1427</v>
      </c>
      <c r="D95" s="1641" t="s">
        <v>1428</v>
      </c>
      <c r="E95" s="1692">
        <v>0.15</v>
      </c>
      <c r="F95" s="1670">
        <v>20</v>
      </c>
    </row>
    <row r="96" spans="1:6" s="1624" customFormat="1">
      <c r="A96" s="1670">
        <v>24</v>
      </c>
      <c r="B96" s="3896"/>
      <c r="C96" s="1641" t="s">
        <v>1429</v>
      </c>
      <c r="D96" s="1641" t="s">
        <v>1430</v>
      </c>
      <c r="E96" s="1692">
        <v>0.1</v>
      </c>
      <c r="F96" s="1670">
        <v>15</v>
      </c>
    </row>
    <row r="97" spans="1:6" s="1624" customFormat="1" ht="24">
      <c r="A97" s="1670">
        <v>25</v>
      </c>
      <c r="B97" s="3896"/>
      <c r="C97" s="1641" t="s">
        <v>1431</v>
      </c>
      <c r="D97" s="1641" t="s">
        <v>1432</v>
      </c>
      <c r="E97" s="1692">
        <v>0.1</v>
      </c>
      <c r="F97" s="1670">
        <v>15</v>
      </c>
    </row>
    <row r="98" spans="1:6" s="1624" customFormat="1" ht="24">
      <c r="A98" s="1670">
        <v>26</v>
      </c>
      <c r="B98" s="3896"/>
      <c r="C98" s="1641" t="s">
        <v>1433</v>
      </c>
      <c r="D98" s="1641" t="s">
        <v>1434</v>
      </c>
      <c r="E98" s="1692">
        <v>0.1</v>
      </c>
      <c r="F98" s="1670">
        <v>15</v>
      </c>
    </row>
    <row r="99" spans="1:6" s="1624" customFormat="1" ht="24">
      <c r="A99" s="1670">
        <v>27</v>
      </c>
      <c r="B99" s="3896"/>
      <c r="C99" s="1641" t="s">
        <v>1435</v>
      </c>
      <c r="D99" s="1641" t="s">
        <v>1436</v>
      </c>
      <c r="E99" s="1692">
        <v>0.1</v>
      </c>
      <c r="F99" s="1670">
        <v>15</v>
      </c>
    </row>
    <row r="100" spans="1:6" s="1624" customFormat="1" ht="24">
      <c r="A100" s="1670">
        <v>28</v>
      </c>
      <c r="B100" s="3896"/>
      <c r="C100" s="1641" t="s">
        <v>1437</v>
      </c>
      <c r="D100" s="1641" t="s">
        <v>1438</v>
      </c>
      <c r="E100" s="1692">
        <v>0.1</v>
      </c>
      <c r="F100" s="1670">
        <v>15</v>
      </c>
    </row>
    <row r="101" spans="1:6" s="1624" customFormat="1" ht="24">
      <c r="A101" s="1670">
        <v>29</v>
      </c>
      <c r="B101" s="3896"/>
      <c r="C101" s="1641" t="s">
        <v>1439</v>
      </c>
      <c r="D101" s="1641" t="s">
        <v>1440</v>
      </c>
      <c r="E101" s="1692">
        <v>0.1</v>
      </c>
      <c r="F101" s="1670">
        <v>15</v>
      </c>
    </row>
    <row r="102" spans="1:6" s="1624" customFormat="1" ht="24">
      <c r="A102" s="1670">
        <v>30</v>
      </c>
      <c r="B102" s="3896"/>
      <c r="C102" s="1641" t="s">
        <v>1441</v>
      </c>
      <c r="D102" s="1641" t="s">
        <v>1442</v>
      </c>
      <c r="E102" s="1692">
        <v>0.1</v>
      </c>
      <c r="F102" s="1670">
        <v>15</v>
      </c>
    </row>
    <row r="103" spans="1:6" s="1624" customFormat="1" ht="24">
      <c r="A103" s="1670">
        <v>31</v>
      </c>
      <c r="B103" s="3896"/>
      <c r="C103" s="1641" t="s">
        <v>1443</v>
      </c>
      <c r="D103" s="1641" t="s">
        <v>1444</v>
      </c>
      <c r="E103" s="1692">
        <v>0.1</v>
      </c>
      <c r="F103" s="1670">
        <v>15</v>
      </c>
    </row>
    <row r="104" spans="1:6" s="1624" customFormat="1" ht="24">
      <c r="A104" s="1670">
        <v>32</v>
      </c>
      <c r="B104" s="3896"/>
      <c r="C104" s="1641" t="s">
        <v>1445</v>
      </c>
      <c r="D104" s="1641" t="s">
        <v>1446</v>
      </c>
      <c r="E104" s="1692">
        <v>0.1</v>
      </c>
      <c r="F104" s="1670">
        <v>15</v>
      </c>
    </row>
    <row r="105" spans="1:6" s="1624" customFormat="1" ht="24">
      <c r="A105" s="1670">
        <v>33</v>
      </c>
      <c r="B105" s="3896"/>
      <c r="C105" s="1641" t="s">
        <v>1447</v>
      </c>
      <c r="D105" s="1641" t="s">
        <v>1448</v>
      </c>
      <c r="E105" s="1692">
        <v>0.1</v>
      </c>
      <c r="F105" s="1670">
        <v>15</v>
      </c>
    </row>
    <row r="106" spans="1:6" s="1624" customFormat="1" ht="24">
      <c r="A106" s="1670">
        <v>34</v>
      </c>
      <c r="B106" s="3899"/>
      <c r="C106" s="1641" t="s">
        <v>1449</v>
      </c>
      <c r="D106" s="1641" t="s">
        <v>1450</v>
      </c>
      <c r="E106" s="1692">
        <v>0.1</v>
      </c>
      <c r="F106" s="1670">
        <v>15</v>
      </c>
    </row>
    <row r="107" spans="1:6" s="1624" customFormat="1" ht="24">
      <c r="A107" s="1670">
        <v>35</v>
      </c>
      <c r="B107" s="3898" t="s">
        <v>1451</v>
      </c>
      <c r="C107" s="1670" t="s">
        <v>1452</v>
      </c>
      <c r="D107" s="1641" t="s">
        <v>1453</v>
      </c>
      <c r="E107" s="1692">
        <v>0.15</v>
      </c>
      <c r="F107" s="1670">
        <v>20</v>
      </c>
    </row>
    <row r="108" spans="1:6" s="1624" customFormat="1" ht="24">
      <c r="A108" s="1670">
        <v>36</v>
      </c>
      <c r="B108" s="3896"/>
      <c r="C108" s="1670" t="s">
        <v>1454</v>
      </c>
      <c r="D108" s="1641" t="s">
        <v>1455</v>
      </c>
      <c r="E108" s="1692">
        <v>0.15</v>
      </c>
      <c r="F108" s="1670">
        <v>20</v>
      </c>
    </row>
    <row r="109" spans="1:6" s="1624" customFormat="1" ht="24">
      <c r="A109" s="1670">
        <v>37</v>
      </c>
      <c r="B109" s="3896"/>
      <c r="C109" s="1670" t="s">
        <v>1456</v>
      </c>
      <c r="D109" s="1641" t="s">
        <v>1457</v>
      </c>
      <c r="E109" s="1692">
        <v>0.15</v>
      </c>
      <c r="F109" s="1670">
        <v>20</v>
      </c>
    </row>
    <row r="110" spans="1:6" s="1624" customFormat="1">
      <c r="A110" s="1670">
        <v>38</v>
      </c>
      <c r="B110" s="3896"/>
      <c r="C110" s="1670" t="s">
        <v>1458</v>
      </c>
      <c r="D110" s="1641" t="s">
        <v>1459</v>
      </c>
      <c r="E110" s="1692">
        <v>0.1</v>
      </c>
      <c r="F110" s="1670">
        <v>15</v>
      </c>
    </row>
    <row r="111" spans="1:6" s="1624" customFormat="1" ht="24">
      <c r="A111" s="1670">
        <v>39</v>
      </c>
      <c r="B111" s="3896"/>
      <c r="C111" s="1670" t="s">
        <v>1460</v>
      </c>
      <c r="D111" s="1641" t="s">
        <v>1461</v>
      </c>
      <c r="E111" s="1692">
        <v>0.1</v>
      </c>
      <c r="F111" s="1670">
        <v>15</v>
      </c>
    </row>
    <row r="112" spans="1:6" s="1624" customFormat="1" ht="24">
      <c r="A112" s="1670">
        <v>40</v>
      </c>
      <c r="B112" s="3899"/>
      <c r="C112" s="1670" t="s">
        <v>1462</v>
      </c>
      <c r="D112" s="1641" t="s">
        <v>1463</v>
      </c>
      <c r="E112" s="1692">
        <v>0.1</v>
      </c>
      <c r="F112" s="1670">
        <v>15</v>
      </c>
    </row>
    <row r="113" spans="1:6" s="1624" customFormat="1" ht="24">
      <c r="A113" s="1670">
        <v>41</v>
      </c>
      <c r="B113" s="3900" t="s">
        <v>1464</v>
      </c>
      <c r="C113" s="1670" t="s">
        <v>1465</v>
      </c>
      <c r="D113" s="1641" t="s">
        <v>1466</v>
      </c>
      <c r="E113" s="1692">
        <v>0.1</v>
      </c>
      <c r="F113" s="1670">
        <v>15</v>
      </c>
    </row>
    <row r="114" spans="1:6" s="1624" customFormat="1">
      <c r="A114" s="1670">
        <v>42</v>
      </c>
      <c r="B114" s="3900"/>
      <c r="C114" s="1670" t="s">
        <v>1467</v>
      </c>
      <c r="D114" s="1641" t="s">
        <v>1468</v>
      </c>
      <c r="E114" s="1692">
        <v>0.1</v>
      </c>
      <c r="F114" s="1670">
        <v>15</v>
      </c>
    </row>
    <row r="115" spans="1:6" s="1624" customFormat="1" ht="24">
      <c r="A115" s="1670">
        <v>43</v>
      </c>
      <c r="B115" s="3900"/>
      <c r="C115" s="1670" t="s">
        <v>1469</v>
      </c>
      <c r="D115" s="1641" t="s">
        <v>1470</v>
      </c>
      <c r="E115" s="1692">
        <v>0.1</v>
      </c>
      <c r="F115" s="1670">
        <v>15</v>
      </c>
    </row>
    <row r="116" spans="1:6" s="1624" customFormat="1" ht="24">
      <c r="A116" s="1670">
        <v>44</v>
      </c>
      <c r="B116" s="3898" t="s">
        <v>1471</v>
      </c>
      <c r="C116" s="1670" t="s">
        <v>1472</v>
      </c>
      <c r="D116" s="1641" t="s">
        <v>1473</v>
      </c>
      <c r="E116" s="1692">
        <v>0.1</v>
      </c>
      <c r="F116" s="1670">
        <v>15</v>
      </c>
    </row>
    <row r="117" spans="1:6" s="1624" customFormat="1" ht="24">
      <c r="A117" s="1670">
        <v>45</v>
      </c>
      <c r="B117" s="3899"/>
      <c r="C117" s="1641" t="s">
        <v>1474</v>
      </c>
      <c r="D117" s="1641" t="s">
        <v>1475</v>
      </c>
      <c r="E117" s="1692">
        <v>0.1</v>
      </c>
      <c r="F117" s="1670">
        <v>15</v>
      </c>
    </row>
    <row r="118" spans="1:6" s="1624" customFormat="1" ht="24">
      <c r="A118" s="1670">
        <v>46</v>
      </c>
      <c r="B118" s="3898" t="s">
        <v>1476</v>
      </c>
      <c r="C118" s="1670" t="s">
        <v>1477</v>
      </c>
      <c r="D118" s="1641" t="s">
        <v>1478</v>
      </c>
      <c r="E118" s="1692">
        <v>0.1</v>
      </c>
      <c r="F118" s="1670">
        <v>15</v>
      </c>
    </row>
    <row r="119" spans="1:6" s="1624" customFormat="1" ht="24">
      <c r="A119" s="1670">
        <v>47</v>
      </c>
      <c r="B119" s="3899"/>
      <c r="C119" s="1670" t="s">
        <v>1479</v>
      </c>
      <c r="D119" s="1641" t="s">
        <v>1480</v>
      </c>
      <c r="E119" s="1692">
        <v>0.1</v>
      </c>
      <c r="F119" s="1670">
        <v>15</v>
      </c>
    </row>
    <row r="120" spans="1:6" s="1624" customFormat="1" ht="24">
      <c r="A120" s="1670">
        <v>48</v>
      </c>
      <c r="B120" s="3898" t="s">
        <v>1481</v>
      </c>
      <c r="C120" s="1670" t="s">
        <v>1482</v>
      </c>
      <c r="D120" s="1641" t="s">
        <v>1483</v>
      </c>
      <c r="E120" s="1692">
        <v>0.1</v>
      </c>
      <c r="F120" s="1670">
        <v>15</v>
      </c>
    </row>
    <row r="121" spans="1:6" s="1624" customFormat="1">
      <c r="A121" s="1670">
        <v>49</v>
      </c>
      <c r="B121" s="3899"/>
      <c r="C121" s="1670" t="s">
        <v>1484</v>
      </c>
      <c r="D121" s="1641" t="s">
        <v>1485</v>
      </c>
      <c r="E121" s="1692">
        <v>0.1</v>
      </c>
      <c r="F121" s="1670">
        <v>15</v>
      </c>
    </row>
    <row r="122" spans="1:6" s="1624" customFormat="1" ht="24">
      <c r="A122" s="1670">
        <v>50</v>
      </c>
      <c r="B122" s="3900" t="s">
        <v>1486</v>
      </c>
      <c r="C122" s="1670" t="s">
        <v>1487</v>
      </c>
      <c r="D122" s="1641" t="s">
        <v>1488</v>
      </c>
      <c r="E122" s="1692">
        <v>0.1</v>
      </c>
      <c r="F122" s="1670">
        <v>15</v>
      </c>
    </row>
    <row r="123" spans="1:6" s="1624" customFormat="1" ht="24">
      <c r="A123" s="1670">
        <v>51</v>
      </c>
      <c r="B123" s="3900"/>
      <c r="C123" s="1670" t="s">
        <v>1489</v>
      </c>
      <c r="D123" s="1641" t="s">
        <v>1490</v>
      </c>
      <c r="E123" s="1692">
        <v>0.1</v>
      </c>
      <c r="F123" s="1670">
        <v>15</v>
      </c>
    </row>
    <row r="124" spans="1:6" s="1624" customFormat="1" ht="24">
      <c r="A124" s="1670">
        <v>52</v>
      </c>
      <c r="B124" s="3900" t="s">
        <v>1491</v>
      </c>
      <c r="C124" s="1670" t="s">
        <v>1492</v>
      </c>
      <c r="D124" s="1641" t="s">
        <v>1493</v>
      </c>
      <c r="E124" s="1692">
        <v>0.1</v>
      </c>
      <c r="F124" s="1670">
        <v>15</v>
      </c>
    </row>
    <row r="125" spans="1:6" s="1624" customFormat="1" ht="24">
      <c r="A125" s="1670">
        <v>53</v>
      </c>
      <c r="B125" s="3900"/>
      <c r="C125" s="1670" t="s">
        <v>1494</v>
      </c>
      <c r="D125" s="1641" t="s">
        <v>1495</v>
      </c>
      <c r="E125" s="1692">
        <v>0.1</v>
      </c>
      <c r="F125" s="1670">
        <v>15</v>
      </c>
    </row>
    <row r="126" spans="1:6" ht="24">
      <c r="A126" s="1670">
        <v>54</v>
      </c>
      <c r="B126" s="1670" t="s">
        <v>1496</v>
      </c>
      <c r="C126" s="1670" t="s">
        <v>1497</v>
      </c>
      <c r="D126" s="1641" t="s">
        <v>1498</v>
      </c>
      <c r="E126" s="1692">
        <v>0.1</v>
      </c>
      <c r="F126" s="1670">
        <v>15</v>
      </c>
    </row>
    <row r="127" spans="1:6">
      <c r="A127" s="1670">
        <v>55</v>
      </c>
      <c r="B127" s="3900" t="s">
        <v>1499</v>
      </c>
      <c r="C127" s="1670" t="s">
        <v>1500</v>
      </c>
      <c r="D127" s="1641" t="s">
        <v>1501</v>
      </c>
      <c r="E127" s="1692">
        <v>0.1</v>
      </c>
      <c r="F127" s="1670">
        <v>15</v>
      </c>
    </row>
    <row r="128" spans="1:6">
      <c r="A128" s="1670">
        <v>56</v>
      </c>
      <c r="B128" s="3900"/>
      <c r="C128" s="1670" t="s">
        <v>1502</v>
      </c>
      <c r="D128" s="1641" t="s">
        <v>1503</v>
      </c>
      <c r="E128" s="1692">
        <v>0.1</v>
      </c>
      <c r="F128" s="1670">
        <v>15</v>
      </c>
    </row>
    <row r="129" spans="1:14" ht="24">
      <c r="A129" s="1670">
        <v>57</v>
      </c>
      <c r="B129" s="3900"/>
      <c r="C129" s="1670" t="s">
        <v>1504</v>
      </c>
      <c r="D129" s="1641" t="s">
        <v>1505</v>
      </c>
      <c r="E129" s="1692">
        <v>0.1</v>
      </c>
      <c r="F129" s="1670">
        <v>15</v>
      </c>
    </row>
    <row r="130" spans="1:14" ht="24">
      <c r="A130" s="1670">
        <v>58</v>
      </c>
      <c r="B130" s="3900" t="s">
        <v>1506</v>
      </c>
      <c r="C130" s="1670" t="s">
        <v>1507</v>
      </c>
      <c r="D130" s="1641" t="s">
        <v>1508</v>
      </c>
      <c r="E130" s="1692">
        <v>0.1</v>
      </c>
      <c r="F130" s="1670">
        <v>15</v>
      </c>
    </row>
    <row r="131" spans="1:14" ht="24">
      <c r="A131" s="1670">
        <v>59</v>
      </c>
      <c r="B131" s="3900"/>
      <c r="C131" s="1670" t="s">
        <v>1509</v>
      </c>
      <c r="D131" s="1641" t="s">
        <v>1510</v>
      </c>
      <c r="E131" s="1692">
        <v>0.1</v>
      </c>
      <c r="F131" s="1670">
        <v>15</v>
      </c>
    </row>
    <row r="132" spans="1:14" ht="24">
      <c r="A132" s="1670">
        <v>60</v>
      </c>
      <c r="B132" s="3898" t="s">
        <v>1511</v>
      </c>
      <c r="C132" s="1670" t="s">
        <v>1512</v>
      </c>
      <c r="D132" s="1641" t="s">
        <v>1513</v>
      </c>
      <c r="E132" s="1692">
        <v>0.1</v>
      </c>
      <c r="F132" s="1670">
        <v>15</v>
      </c>
    </row>
    <row r="133" spans="1:14" ht="24">
      <c r="A133" s="1670">
        <v>61</v>
      </c>
      <c r="B133" s="3899"/>
      <c r="C133" s="1670" t="s">
        <v>1514</v>
      </c>
      <c r="D133" s="1641" t="s">
        <v>1515</v>
      </c>
      <c r="E133" s="1692">
        <v>0.1</v>
      </c>
      <c r="F133" s="1670">
        <v>15</v>
      </c>
    </row>
    <row r="134" spans="1:14" ht="24">
      <c r="A134" s="1670">
        <v>62</v>
      </c>
      <c r="B134" s="1670" t="s">
        <v>1516</v>
      </c>
      <c r="C134" s="1670" t="s">
        <v>1517</v>
      </c>
      <c r="D134" s="1641" t="s">
        <v>1518</v>
      </c>
      <c r="E134" s="1692">
        <v>0.1</v>
      </c>
      <c r="F134" s="1670">
        <v>15</v>
      </c>
    </row>
    <row r="135" spans="1:14" ht="24">
      <c r="A135" s="1670">
        <v>63</v>
      </c>
      <c r="B135" s="3900" t="s">
        <v>1519</v>
      </c>
      <c r="C135" s="1670" t="s">
        <v>1520</v>
      </c>
      <c r="D135" s="1641" t="s">
        <v>1521</v>
      </c>
      <c r="E135" s="1692">
        <v>0.1</v>
      </c>
      <c r="F135" s="1670">
        <v>15</v>
      </c>
    </row>
    <row r="136" spans="1:14">
      <c r="A136" s="1670">
        <v>64</v>
      </c>
      <c r="B136" s="3900"/>
      <c r="C136" s="1670" t="s">
        <v>1522</v>
      </c>
      <c r="D136" s="1641" t="s">
        <v>1523</v>
      </c>
      <c r="E136" s="1692">
        <v>0.1</v>
      </c>
      <c r="F136" s="1670">
        <v>15</v>
      </c>
    </row>
    <row r="137" spans="1:14" ht="24">
      <c r="A137" s="1670">
        <v>65</v>
      </c>
      <c r="B137" s="1670" t="s">
        <v>1524</v>
      </c>
      <c r="C137" s="1670" t="s">
        <v>1525</v>
      </c>
      <c r="D137" s="1641" t="s">
        <v>1526</v>
      </c>
      <c r="E137" s="1692">
        <v>0.1</v>
      </c>
      <c r="F137" s="1670">
        <v>15</v>
      </c>
    </row>
    <row r="138" spans="1:14">
      <c r="A138" s="1690"/>
      <c r="B138" s="1690"/>
      <c r="C138" s="1690"/>
      <c r="D138" s="1644"/>
      <c r="E138" s="1691"/>
      <c r="F138" s="1690"/>
    </row>
    <row r="139" spans="1:14">
      <c r="A139" s="1690"/>
      <c r="B139" s="1690"/>
      <c r="C139" s="1690"/>
      <c r="D139" s="1690"/>
      <c r="E139" s="1691"/>
      <c r="F139" s="1690"/>
    </row>
    <row r="141" spans="1:14">
      <c r="A141" s="1693"/>
      <c r="B141" s="1693"/>
      <c r="C141" s="1693"/>
      <c r="D141" s="1693"/>
      <c r="E141" s="1693"/>
      <c r="F141" s="1693"/>
      <c r="G141" s="1693"/>
      <c r="H141" s="1693"/>
      <c r="I141" s="1693"/>
      <c r="J141" s="1693"/>
      <c r="K141" s="1694"/>
      <c r="L141" s="1694"/>
      <c r="M141" s="1694"/>
      <c r="N141" s="1694"/>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54" type="noConversion"/>
  <pageMargins left="0.7" right="0.7" top="0.75" bottom="0.75" header="0.3" footer="0.3"/>
  <pageSetup paperSize="9"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84"/>
  <sheetViews>
    <sheetView zoomScale="70" zoomScaleNormal="70" workbookViewId="0">
      <selection activeCell="I16" sqref="I16"/>
    </sheetView>
  </sheetViews>
  <sheetFormatPr defaultColWidth="9" defaultRowHeight="13.5"/>
  <cols>
    <col min="1" max="1" width="12.625" style="1561" customWidth="1"/>
    <col min="2" max="2" width="15" style="1561" customWidth="1"/>
    <col min="3" max="6" width="10.25" style="1561" customWidth="1"/>
    <col min="7" max="7" width="9" style="1561"/>
    <col min="8" max="8" width="9" style="1560"/>
    <col min="9" max="9" width="9" style="1562"/>
    <col min="10" max="10" width="17.375" style="1563" customWidth="1"/>
    <col min="11" max="21" width="17.375" style="1561" customWidth="1"/>
    <col min="22" max="16384" width="9" style="1562"/>
  </cols>
  <sheetData>
    <row r="1" spans="1:21">
      <c r="A1" s="3901" t="s">
        <v>1527</v>
      </c>
      <c r="B1" s="3901"/>
      <c r="C1" s="3901"/>
      <c r="D1" s="3901"/>
      <c r="E1" s="3901"/>
      <c r="F1" s="3901"/>
      <c r="G1" s="3902"/>
      <c r="I1" s="1559"/>
      <c r="J1" s="1595" t="s">
        <v>238</v>
      </c>
      <c r="K1" s="1596" t="s">
        <v>251</v>
      </c>
      <c r="L1" s="1596" t="s">
        <v>263</v>
      </c>
      <c r="M1" s="1596" t="s">
        <v>273</v>
      </c>
      <c r="N1" s="1596" t="s">
        <v>282</v>
      </c>
      <c r="O1" s="1596" t="s">
        <v>290</v>
      </c>
      <c r="P1" s="1596" t="s">
        <v>295</v>
      </c>
      <c r="Q1" s="1596" t="s">
        <v>301</v>
      </c>
      <c r="R1" s="1596" t="s">
        <v>305</v>
      </c>
      <c r="S1" s="1596" t="s">
        <v>309</v>
      </c>
      <c r="T1" s="1596" t="s">
        <v>313</v>
      </c>
      <c r="U1" s="1607" t="s">
        <v>317</v>
      </c>
    </row>
    <row r="2" spans="1:21">
      <c r="A2" s="1564" t="s">
        <v>1528</v>
      </c>
      <c r="B2" s="1564"/>
      <c r="C2" s="1564"/>
      <c r="D2" s="1564"/>
      <c r="E2" s="1564"/>
      <c r="F2" s="1564"/>
      <c r="G2" s="1565" t="s">
        <v>1529</v>
      </c>
      <c r="J2" s="1597" t="s">
        <v>1530</v>
      </c>
      <c r="K2" s="1575" t="s">
        <v>1531</v>
      </c>
      <c r="L2" s="1575" t="s">
        <v>1532</v>
      </c>
      <c r="M2" s="1575" t="s">
        <v>1533</v>
      </c>
      <c r="N2" s="1575" t="s">
        <v>1534</v>
      </c>
      <c r="O2" s="1575" t="s">
        <v>1535</v>
      </c>
      <c r="P2" s="1575" t="s">
        <v>1536</v>
      </c>
      <c r="Q2" s="1575" t="s">
        <v>1537</v>
      </c>
      <c r="R2" s="1575" t="s">
        <v>1538</v>
      </c>
      <c r="S2" s="1575" t="s">
        <v>1539</v>
      </c>
      <c r="T2" s="1575" t="s">
        <v>1540</v>
      </c>
      <c r="U2" s="1575" t="s">
        <v>1541</v>
      </c>
    </row>
    <row r="3" spans="1:21" s="1559" customFormat="1" ht="19.5" customHeight="1">
      <c r="A3" s="3903" t="s">
        <v>1542</v>
      </c>
      <c r="B3" s="1566"/>
      <c r="C3" s="1567" t="s">
        <v>437</v>
      </c>
      <c r="D3" s="1567" t="s">
        <v>438</v>
      </c>
      <c r="E3" s="1567" t="s">
        <v>402</v>
      </c>
      <c r="F3" s="1567" t="s">
        <v>164</v>
      </c>
      <c r="G3" s="1567" t="s">
        <v>297</v>
      </c>
      <c r="H3" s="1568"/>
      <c r="J3" s="1597" t="s">
        <v>1543</v>
      </c>
      <c r="K3" s="1575" t="s">
        <v>1544</v>
      </c>
      <c r="L3" s="1575" t="s">
        <v>1545</v>
      </c>
      <c r="M3" s="1575" t="s">
        <v>1546</v>
      </c>
      <c r="N3" s="1575" t="s">
        <v>1547</v>
      </c>
      <c r="O3" s="1575" t="s">
        <v>1548</v>
      </c>
      <c r="P3" s="1575" t="s">
        <v>1549</v>
      </c>
      <c r="Q3" s="1575" t="s">
        <v>1550</v>
      </c>
      <c r="R3" s="1575" t="s">
        <v>1551</v>
      </c>
      <c r="S3" s="1575" t="s">
        <v>1552</v>
      </c>
      <c r="T3" s="1575" t="s">
        <v>1553</v>
      </c>
      <c r="U3" s="1575" t="s">
        <v>1554</v>
      </c>
    </row>
    <row r="4" spans="1:21" s="1559" customFormat="1" ht="19.5" customHeight="1">
      <c r="A4" s="3904"/>
      <c r="B4" s="1569" t="s">
        <v>481</v>
      </c>
      <c r="C4" s="1569" t="s">
        <v>1555</v>
      </c>
      <c r="D4" s="1569" t="s">
        <v>1555</v>
      </c>
      <c r="E4" s="1569" t="s">
        <v>1555</v>
      </c>
      <c r="F4" s="1570" t="s">
        <v>1555</v>
      </c>
      <c r="G4" s="1570" t="s">
        <v>1555</v>
      </c>
      <c r="H4" s="1568"/>
      <c r="J4" s="1597" t="s">
        <v>1556</v>
      </c>
      <c r="K4" s="1575" t="s">
        <v>1557</v>
      </c>
      <c r="L4" s="1575" t="s">
        <v>1558</v>
      </c>
      <c r="M4" s="1575" t="s">
        <v>1559</v>
      </c>
      <c r="N4" s="1575" t="s">
        <v>1560</v>
      </c>
      <c r="O4" s="1575" t="s">
        <v>1561</v>
      </c>
      <c r="P4" s="1575" t="s">
        <v>1562</v>
      </c>
      <c r="Q4" s="1575" t="s">
        <v>1563</v>
      </c>
      <c r="R4" s="1575" t="s">
        <v>1564</v>
      </c>
      <c r="S4" s="1575" t="s">
        <v>1565</v>
      </c>
      <c r="T4" s="1575" t="s">
        <v>1566</v>
      </c>
      <c r="U4" s="1575" t="s">
        <v>1567</v>
      </c>
    </row>
    <row r="5" spans="1:21" ht="14.25" customHeight="1">
      <c r="A5" s="1571" t="s">
        <v>238</v>
      </c>
      <c r="B5" s="1572" t="s">
        <v>1530</v>
      </c>
      <c r="C5" s="1572">
        <v>34550</v>
      </c>
      <c r="D5" s="1572">
        <v>34470</v>
      </c>
      <c r="E5" s="1572">
        <v>34330</v>
      </c>
      <c r="F5" s="1573">
        <v>13400</v>
      </c>
      <c r="G5" s="1573">
        <v>25450</v>
      </c>
      <c r="H5" s="1574" t="s">
        <v>238</v>
      </c>
      <c r="I5" s="1598">
        <f>SUMPRODUCT((B5:B9=基准地价!I2)*(C3:G3=基准地价!E2)*(C5:G9))</f>
        <v>0</v>
      </c>
      <c r="J5" s="1597" t="s">
        <v>1568</v>
      </c>
      <c r="K5" s="1575" t="s">
        <v>1569</v>
      </c>
      <c r="L5" s="1575" t="s">
        <v>1570</v>
      </c>
      <c r="M5" s="1575" t="s">
        <v>1571</v>
      </c>
      <c r="N5" s="1575" t="s">
        <v>1572</v>
      </c>
      <c r="O5" s="1575" t="s">
        <v>1573</v>
      </c>
      <c r="P5" s="1575" t="s">
        <v>1574</v>
      </c>
      <c r="Q5" s="1575" t="s">
        <v>1575</v>
      </c>
      <c r="R5" s="1575" t="s">
        <v>1576</v>
      </c>
      <c r="S5" s="1575" t="s">
        <v>1577</v>
      </c>
      <c r="T5" s="1575" t="s">
        <v>1578</v>
      </c>
      <c r="U5" s="1575" t="s">
        <v>1579</v>
      </c>
    </row>
    <row r="6" spans="1:21" ht="14.25" customHeight="1">
      <c r="A6" s="1575" t="s">
        <v>238</v>
      </c>
      <c r="B6" s="1575" t="s">
        <v>1543</v>
      </c>
      <c r="C6" s="1575">
        <v>36990</v>
      </c>
      <c r="D6" s="1575">
        <v>36850</v>
      </c>
      <c r="E6" s="1575">
        <v>36700</v>
      </c>
      <c r="F6" s="1576">
        <v>14590</v>
      </c>
      <c r="G6" s="1576">
        <v>27450</v>
      </c>
      <c r="H6" s="1577" t="s">
        <v>251</v>
      </c>
      <c r="I6" s="1599">
        <f>SUMPRODUCT((B10:B29=基准地价!I2)*(C3:G3=基准地价!E2)*(C10:G29))</f>
        <v>0</v>
      </c>
      <c r="J6" s="1597" t="s">
        <v>1580</v>
      </c>
      <c r="K6" s="1575" t="s">
        <v>1581</v>
      </c>
      <c r="L6" s="1575" t="s">
        <v>1582</v>
      </c>
      <c r="M6" s="1575" t="s">
        <v>1583</v>
      </c>
      <c r="N6" s="1575" t="s">
        <v>1584</v>
      </c>
      <c r="O6" s="1575" t="s">
        <v>1585</v>
      </c>
      <c r="P6" s="1575" t="s">
        <v>1586</v>
      </c>
      <c r="Q6" s="1575" t="s">
        <v>1587</v>
      </c>
      <c r="R6" s="1575" t="s">
        <v>1588</v>
      </c>
      <c r="S6" s="1575" t="s">
        <v>1589</v>
      </c>
      <c r="T6" s="1575" t="s">
        <v>1590</v>
      </c>
      <c r="U6" s="1575" t="s">
        <v>1591</v>
      </c>
    </row>
    <row r="7" spans="1:21" ht="14.25" customHeight="1">
      <c r="A7" s="1575" t="s">
        <v>238</v>
      </c>
      <c r="B7" s="1578" t="s">
        <v>1556</v>
      </c>
      <c r="C7" s="1575">
        <v>34850</v>
      </c>
      <c r="D7" s="1575">
        <v>34690</v>
      </c>
      <c r="E7" s="1575">
        <v>34550</v>
      </c>
      <c r="F7" s="1576">
        <v>14360</v>
      </c>
      <c r="G7" s="1576">
        <v>25620</v>
      </c>
      <c r="H7" s="1577" t="s">
        <v>263</v>
      </c>
      <c r="I7" s="1599">
        <f>SUMPRODUCT((B30:B54=基准地价!I2)*(C3:G3=基准地价!E2)*(C30:G54))</f>
        <v>0</v>
      </c>
      <c r="K7" s="1575" t="s">
        <v>1592</v>
      </c>
      <c r="L7" s="1575" t="s">
        <v>1593</v>
      </c>
      <c r="M7" s="1575" t="s">
        <v>1594</v>
      </c>
      <c r="N7" s="1575" t="s">
        <v>1595</v>
      </c>
      <c r="O7" s="1575" t="s">
        <v>1596</v>
      </c>
      <c r="P7" s="1575" t="s">
        <v>1597</v>
      </c>
      <c r="Q7" s="1575" t="s">
        <v>1598</v>
      </c>
      <c r="R7" s="1575" t="s">
        <v>1599</v>
      </c>
      <c r="S7" s="1575" t="s">
        <v>1600</v>
      </c>
      <c r="T7" s="1575" t="s">
        <v>1601</v>
      </c>
      <c r="U7" s="1578" t="s">
        <v>1602</v>
      </c>
    </row>
    <row r="8" spans="1:21" ht="14.25" customHeight="1">
      <c r="A8" s="1575" t="s">
        <v>238</v>
      </c>
      <c r="B8" s="1575" t="s">
        <v>1568</v>
      </c>
      <c r="C8" s="1575">
        <v>32630</v>
      </c>
      <c r="D8" s="1575">
        <v>32510</v>
      </c>
      <c r="E8" s="1575">
        <v>32420</v>
      </c>
      <c r="F8" s="1576">
        <v>13300</v>
      </c>
      <c r="G8" s="1576">
        <v>24010</v>
      </c>
      <c r="H8" s="1577" t="s">
        <v>273</v>
      </c>
      <c r="I8" s="1599">
        <f>SUMPRODUCT((B55:B86=基准地价!I2)*(C3:G3=基准地价!E2)*(C55:G86))</f>
        <v>0</v>
      </c>
      <c r="K8" s="1575" t="s">
        <v>1603</v>
      </c>
      <c r="L8" s="1575" t="s">
        <v>1604</v>
      </c>
      <c r="M8" s="1575" t="s">
        <v>1605</v>
      </c>
      <c r="N8" s="1575" t="s">
        <v>1606</v>
      </c>
      <c r="O8" s="1575" t="s">
        <v>1607</v>
      </c>
      <c r="P8" s="1575" t="s">
        <v>1608</v>
      </c>
      <c r="Q8" s="1575" t="s">
        <v>1609</v>
      </c>
      <c r="R8" s="1575" t="s">
        <v>1610</v>
      </c>
      <c r="S8" s="1575" t="s">
        <v>1611</v>
      </c>
      <c r="T8" s="1575" t="s">
        <v>1612</v>
      </c>
      <c r="U8" s="1575" t="s">
        <v>1613</v>
      </c>
    </row>
    <row r="9" spans="1:21" ht="14.25" customHeight="1">
      <c r="A9" s="1579" t="s">
        <v>238</v>
      </c>
      <c r="B9" s="1580" t="s">
        <v>1580</v>
      </c>
      <c r="C9" s="1581">
        <v>36370</v>
      </c>
      <c r="D9" s="1581">
        <v>36210</v>
      </c>
      <c r="E9" s="1581">
        <v>36050</v>
      </c>
      <c r="F9" s="1582"/>
      <c r="G9" s="1583">
        <v>26740</v>
      </c>
      <c r="H9" s="1577" t="s">
        <v>282</v>
      </c>
      <c r="I9" s="1599">
        <f>SUMPRODUCT((B87:B126=基准地价!I2)*(C3:G3=基准地价!E2)*(C87:G126))</f>
        <v>0</v>
      </c>
      <c r="K9" s="1575" t="s">
        <v>1614</v>
      </c>
      <c r="L9" s="1575" t="s">
        <v>1615</v>
      </c>
      <c r="M9" s="1575" t="s">
        <v>1616</v>
      </c>
      <c r="N9" s="1575" t="s">
        <v>1617</v>
      </c>
      <c r="O9" s="1575" t="s">
        <v>1618</v>
      </c>
      <c r="P9" s="1575" t="s">
        <v>1619</v>
      </c>
      <c r="Q9" s="1575" t="s">
        <v>1620</v>
      </c>
      <c r="R9" s="1575" t="s">
        <v>1621</v>
      </c>
      <c r="S9" s="1575" t="s">
        <v>1622</v>
      </c>
      <c r="T9" s="1575" t="s">
        <v>1623</v>
      </c>
    </row>
    <row r="10" spans="1:21" ht="14.25" customHeight="1">
      <c r="A10" s="1571" t="s">
        <v>251</v>
      </c>
      <c r="B10" s="1572" t="s">
        <v>1531</v>
      </c>
      <c r="C10" s="1572">
        <v>32350</v>
      </c>
      <c r="D10" s="1572">
        <v>31430</v>
      </c>
      <c r="E10" s="1572">
        <v>31320</v>
      </c>
      <c r="F10" s="1573">
        <v>10850</v>
      </c>
      <c r="G10" s="1573">
        <v>22860</v>
      </c>
      <c r="H10" s="1577" t="s">
        <v>290</v>
      </c>
      <c r="I10" s="1599">
        <f>SUMPRODUCT((B127:B189=基准地价!I2)*(C3:G3=基准地价!E2)*(C127:G189))</f>
        <v>0</v>
      </c>
      <c r="K10" s="1575" t="s">
        <v>1624</v>
      </c>
      <c r="L10" s="1575" t="s">
        <v>1625</v>
      </c>
      <c r="M10" s="1575" t="s">
        <v>1626</v>
      </c>
      <c r="N10" s="1575" t="s">
        <v>1627</v>
      </c>
      <c r="O10" s="1575" t="s">
        <v>1628</v>
      </c>
      <c r="P10" s="1575" t="s">
        <v>1629</v>
      </c>
      <c r="Q10" s="1575" t="s">
        <v>1630</v>
      </c>
      <c r="R10" s="1575" t="s">
        <v>1631</v>
      </c>
      <c r="S10" s="1575" t="s">
        <v>1632</v>
      </c>
      <c r="T10" s="1575" t="s">
        <v>1633</v>
      </c>
    </row>
    <row r="11" spans="1:21" ht="14.25" customHeight="1">
      <c r="A11" s="1575" t="s">
        <v>251</v>
      </c>
      <c r="B11" s="1578" t="s">
        <v>1544</v>
      </c>
      <c r="C11" s="1575">
        <v>31590</v>
      </c>
      <c r="D11" s="1575">
        <v>29490</v>
      </c>
      <c r="E11" s="1575">
        <v>28700</v>
      </c>
      <c r="F11" s="1584">
        <v>10410</v>
      </c>
      <c r="G11" s="1584">
        <v>21460</v>
      </c>
      <c r="H11" s="1577" t="s">
        <v>295</v>
      </c>
      <c r="I11" s="1599">
        <f>SUMPRODUCT((B190:B233=基准地价!I2)*(C3:G3=基准地价!E2)*(C190:G233))</f>
        <v>0</v>
      </c>
      <c r="K11" s="1575" t="s">
        <v>1634</v>
      </c>
      <c r="L11" s="1575" t="s">
        <v>1635</v>
      </c>
      <c r="M11" s="1575" t="s">
        <v>1636</v>
      </c>
      <c r="N11" s="1575" t="s">
        <v>1637</v>
      </c>
      <c r="O11" s="1575" t="s">
        <v>1638</v>
      </c>
      <c r="P11" s="1575" t="s">
        <v>1639</v>
      </c>
      <c r="Q11" s="1575" t="s">
        <v>1640</v>
      </c>
      <c r="R11" s="1575" t="s">
        <v>1641</v>
      </c>
      <c r="S11" s="1575" t="s">
        <v>1642</v>
      </c>
      <c r="T11" s="1575" t="s">
        <v>1643</v>
      </c>
    </row>
    <row r="12" spans="1:21" ht="14.25" customHeight="1">
      <c r="A12" s="1575" t="s">
        <v>251</v>
      </c>
      <c r="B12" s="1578" t="s">
        <v>1557</v>
      </c>
      <c r="C12" s="1575">
        <v>29640</v>
      </c>
      <c r="D12" s="1575">
        <v>27550</v>
      </c>
      <c r="E12" s="1575">
        <v>28010</v>
      </c>
      <c r="F12" s="1584">
        <v>8730</v>
      </c>
      <c r="G12" s="1584">
        <v>20050</v>
      </c>
      <c r="H12" s="1577" t="s">
        <v>301</v>
      </c>
      <c r="I12" s="1599">
        <f>SUMPRODUCT((B234:B276=基准地价!I2)*(C3:G3=基准地价!E2)*(C234:G276))</f>
        <v>0</v>
      </c>
      <c r="K12" s="1575" t="s">
        <v>1644</v>
      </c>
      <c r="L12" s="1575" t="s">
        <v>1645</v>
      </c>
      <c r="M12" s="1575" t="s">
        <v>1646</v>
      </c>
      <c r="N12" s="1575" t="s">
        <v>1647</v>
      </c>
      <c r="O12" s="1575" t="s">
        <v>1648</v>
      </c>
      <c r="P12" s="1575" t="s">
        <v>1649</v>
      </c>
      <c r="Q12" s="1575" t="s">
        <v>1650</v>
      </c>
      <c r="R12" s="1575" t="s">
        <v>1651</v>
      </c>
      <c r="S12" s="1575" t="s">
        <v>1652</v>
      </c>
      <c r="T12" s="1575" t="s">
        <v>1653</v>
      </c>
    </row>
    <row r="13" spans="1:21" ht="14.25" customHeight="1">
      <c r="A13" s="1575" t="s">
        <v>251</v>
      </c>
      <c r="B13" s="1578" t="s">
        <v>1569</v>
      </c>
      <c r="C13" s="1575">
        <v>29680</v>
      </c>
      <c r="D13" s="1575">
        <v>27660</v>
      </c>
      <c r="E13" s="1575">
        <v>28210</v>
      </c>
      <c r="F13" s="1584">
        <v>9590</v>
      </c>
      <c r="G13" s="1584">
        <v>20120</v>
      </c>
      <c r="H13" s="1577" t="s">
        <v>305</v>
      </c>
      <c r="I13" s="1599">
        <f>SUMPRODUCT((B277:B326=基准地价!I2)*(C3:G3=基准地价!E2)*(C277:G326))</f>
        <v>0</v>
      </c>
      <c r="K13" s="1575" t="s">
        <v>1654</v>
      </c>
      <c r="L13" s="1575" t="s">
        <v>1655</v>
      </c>
      <c r="M13" s="1575" t="s">
        <v>1656</v>
      </c>
      <c r="N13" s="1575" t="s">
        <v>1657</v>
      </c>
      <c r="O13" s="1575" t="s">
        <v>1658</v>
      </c>
      <c r="P13" s="1575" t="s">
        <v>1659</v>
      </c>
      <c r="Q13" s="1575" t="s">
        <v>1660</v>
      </c>
      <c r="R13" s="1575" t="s">
        <v>1661</v>
      </c>
      <c r="S13" s="1575" t="s">
        <v>1662</v>
      </c>
      <c r="T13" s="1575" t="s">
        <v>1663</v>
      </c>
    </row>
    <row r="14" spans="1:21" ht="14.25" customHeight="1">
      <c r="A14" s="1575" t="s">
        <v>251</v>
      </c>
      <c r="B14" s="1578" t="s">
        <v>1581</v>
      </c>
      <c r="C14" s="1575">
        <v>30520</v>
      </c>
      <c r="D14" s="1575">
        <v>29510</v>
      </c>
      <c r="E14" s="1575">
        <v>29400</v>
      </c>
      <c r="F14" s="1584">
        <v>9630</v>
      </c>
      <c r="G14" s="1584">
        <v>21480</v>
      </c>
      <c r="H14" s="1577" t="s">
        <v>309</v>
      </c>
      <c r="I14" s="1599">
        <f>SUMPRODUCT((B327:B357=基准地价!I2)*(C3:G3=基准地价!E2)*(C327:G357))</f>
        <v>0</v>
      </c>
      <c r="K14" s="1575" t="s">
        <v>1664</v>
      </c>
      <c r="L14" s="1575" t="s">
        <v>1665</v>
      </c>
      <c r="M14" s="1575" t="s">
        <v>1666</v>
      </c>
      <c r="N14" s="1575" t="s">
        <v>1667</v>
      </c>
      <c r="O14" s="1575" t="s">
        <v>1668</v>
      </c>
      <c r="P14" s="1575" t="s">
        <v>1669</v>
      </c>
      <c r="Q14" s="1575" t="s">
        <v>1670</v>
      </c>
      <c r="R14" s="1575" t="s">
        <v>1671</v>
      </c>
      <c r="S14" s="1575" t="s">
        <v>1672</v>
      </c>
      <c r="T14" s="1575" t="s">
        <v>1673</v>
      </c>
    </row>
    <row r="15" spans="1:21" ht="14.25" customHeight="1">
      <c r="A15" s="1575" t="s">
        <v>251</v>
      </c>
      <c r="B15" s="1578" t="s">
        <v>1592</v>
      </c>
      <c r="C15" s="1575">
        <v>29090</v>
      </c>
      <c r="D15" s="1575">
        <v>27590</v>
      </c>
      <c r="E15" s="1575">
        <v>28120</v>
      </c>
      <c r="F15" s="1584">
        <v>9110</v>
      </c>
      <c r="G15" s="1584">
        <v>20070</v>
      </c>
      <c r="H15" s="1577" t="s">
        <v>313</v>
      </c>
      <c r="I15" s="1599">
        <f>SUMPRODUCT((B358:B377=基准地价!I2)*(C3:G3=基准地价!E2)*(C358:G377))</f>
        <v>0</v>
      </c>
      <c r="K15" s="1575" t="s">
        <v>1674</v>
      </c>
      <c r="L15" s="1575" t="s">
        <v>1675</v>
      </c>
      <c r="M15" s="1575" t="s">
        <v>1676</v>
      </c>
      <c r="N15" s="1575" t="s">
        <v>1677</v>
      </c>
      <c r="O15" s="1575" t="s">
        <v>1678</v>
      </c>
      <c r="P15" s="1575" t="s">
        <v>1679</v>
      </c>
      <c r="Q15" s="1575" t="s">
        <v>1680</v>
      </c>
      <c r="R15" s="1575" t="s">
        <v>1681</v>
      </c>
      <c r="S15" s="1575" t="s">
        <v>1682</v>
      </c>
      <c r="T15" s="1575" t="s">
        <v>1683</v>
      </c>
    </row>
    <row r="16" spans="1:21" ht="14.25" customHeight="1">
      <c r="A16" s="1575" t="s">
        <v>251</v>
      </c>
      <c r="B16" s="1578" t="s">
        <v>1603</v>
      </c>
      <c r="C16" s="1575">
        <v>26790</v>
      </c>
      <c r="D16" s="1575">
        <v>30370</v>
      </c>
      <c r="E16" s="1575">
        <v>30240</v>
      </c>
      <c r="F16" s="1584">
        <v>11590</v>
      </c>
      <c r="G16" s="1584">
        <v>22090</v>
      </c>
      <c r="H16" s="1585" t="s">
        <v>317</v>
      </c>
      <c r="I16" s="1600">
        <f>SUMPRODUCT((B378:B384=基准地价!I2)*(C3:G3=基准地价!E2)*(C378:G384))</f>
        <v>0</v>
      </c>
      <c r="K16" s="1575" t="s">
        <v>1684</v>
      </c>
      <c r="L16" s="1575" t="s">
        <v>1685</v>
      </c>
      <c r="M16" s="1575" t="s">
        <v>1686</v>
      </c>
      <c r="N16" s="1575" t="s">
        <v>1687</v>
      </c>
      <c r="O16" s="1575" t="s">
        <v>1688</v>
      </c>
      <c r="P16" s="1575" t="s">
        <v>1689</v>
      </c>
      <c r="Q16" s="1575" t="s">
        <v>1690</v>
      </c>
      <c r="R16" s="1575" t="s">
        <v>1691</v>
      </c>
      <c r="S16" s="1575" t="s">
        <v>1692</v>
      </c>
      <c r="T16" s="1575" t="s">
        <v>1693</v>
      </c>
    </row>
    <row r="17" spans="1:20" ht="14.25" customHeight="1">
      <c r="A17" s="1575" t="s">
        <v>251</v>
      </c>
      <c r="B17" s="1578" t="s">
        <v>1614</v>
      </c>
      <c r="C17" s="1575">
        <v>29180</v>
      </c>
      <c r="D17" s="1575">
        <v>27620</v>
      </c>
      <c r="E17" s="1575">
        <v>28180</v>
      </c>
      <c r="F17" s="1584">
        <v>10790</v>
      </c>
      <c r="G17" s="1586">
        <v>20090</v>
      </c>
      <c r="I17" s="1601"/>
      <c r="K17" s="1575" t="s">
        <v>1694</v>
      </c>
      <c r="L17" s="1575" t="s">
        <v>1695</v>
      </c>
      <c r="M17" s="1575" t="s">
        <v>1696</v>
      </c>
      <c r="N17" s="1575" t="s">
        <v>1697</v>
      </c>
      <c r="O17" s="1575" t="s">
        <v>1698</v>
      </c>
      <c r="P17" s="1575" t="s">
        <v>1699</v>
      </c>
      <c r="Q17" s="1575" t="s">
        <v>1700</v>
      </c>
      <c r="R17" s="1575" t="s">
        <v>1701</v>
      </c>
      <c r="S17" s="1575" t="s">
        <v>1702</v>
      </c>
      <c r="T17" s="1575" t="s">
        <v>1703</v>
      </c>
    </row>
    <row r="18" spans="1:20" ht="14.25" customHeight="1">
      <c r="A18" s="1575" t="s">
        <v>251</v>
      </c>
      <c r="B18" s="1578" t="s">
        <v>1624</v>
      </c>
      <c r="C18" s="1575">
        <v>26840</v>
      </c>
      <c r="D18" s="1575">
        <v>28930</v>
      </c>
      <c r="E18" s="1575">
        <v>28820</v>
      </c>
      <c r="F18" s="1584"/>
      <c r="G18" s="1586">
        <v>21050</v>
      </c>
      <c r="I18" s="1601"/>
      <c r="K18" s="1575" t="s">
        <v>1704</v>
      </c>
      <c r="L18" s="1575" t="s">
        <v>1705</v>
      </c>
      <c r="M18" s="1575" t="s">
        <v>1706</v>
      </c>
      <c r="N18" s="1575" t="s">
        <v>1707</v>
      </c>
      <c r="O18" s="1575" t="s">
        <v>1708</v>
      </c>
      <c r="P18" s="1575" t="s">
        <v>1709</v>
      </c>
      <c r="Q18" s="1575" t="s">
        <v>1710</v>
      </c>
      <c r="R18" s="1575" t="s">
        <v>1711</v>
      </c>
      <c r="S18" s="1575" t="s">
        <v>1712</v>
      </c>
      <c r="T18" s="1575" t="s">
        <v>1713</v>
      </c>
    </row>
    <row r="19" spans="1:20" ht="14.25" customHeight="1">
      <c r="A19" s="1575" t="s">
        <v>251</v>
      </c>
      <c r="B19" s="1578" t="s">
        <v>1634</v>
      </c>
      <c r="C19" s="1575">
        <v>27750</v>
      </c>
      <c r="D19" s="1575">
        <v>26680</v>
      </c>
      <c r="E19" s="1575">
        <v>26590</v>
      </c>
      <c r="F19" s="1584"/>
      <c r="G19" s="1586">
        <v>19420</v>
      </c>
      <c r="I19" s="1601"/>
      <c r="K19" s="1575" t="s">
        <v>1714</v>
      </c>
      <c r="L19" s="1575" t="s">
        <v>1715</v>
      </c>
      <c r="M19" s="1575" t="s">
        <v>1716</v>
      </c>
      <c r="N19" s="1575" t="s">
        <v>1717</v>
      </c>
      <c r="O19" s="1575" t="s">
        <v>1718</v>
      </c>
      <c r="P19" s="1575" t="s">
        <v>1719</v>
      </c>
      <c r="Q19" s="1575" t="s">
        <v>1720</v>
      </c>
      <c r="R19" s="1575" t="s">
        <v>1721</v>
      </c>
      <c r="S19" s="1575" t="s">
        <v>1722</v>
      </c>
      <c r="T19" s="1575" t="s">
        <v>1723</v>
      </c>
    </row>
    <row r="20" spans="1:20" ht="14.25" customHeight="1">
      <c r="A20" s="1575" t="s">
        <v>251</v>
      </c>
      <c r="B20" s="1578" t="s">
        <v>1644</v>
      </c>
      <c r="C20" s="1575">
        <v>27050</v>
      </c>
      <c r="D20" s="1575">
        <v>29010</v>
      </c>
      <c r="E20" s="1575">
        <v>28910</v>
      </c>
      <c r="F20" s="1584"/>
      <c r="G20" s="1586">
        <v>21110</v>
      </c>
      <c r="K20" s="1575" t="s">
        <v>1724</v>
      </c>
      <c r="L20" s="1575" t="s">
        <v>1725</v>
      </c>
      <c r="M20" s="1575" t="s">
        <v>1726</v>
      </c>
      <c r="N20" s="1575" t="s">
        <v>1727</v>
      </c>
      <c r="O20" s="1575" t="s">
        <v>1728</v>
      </c>
      <c r="P20" s="1575" t="s">
        <v>1729</v>
      </c>
      <c r="Q20" s="1575" t="s">
        <v>1730</v>
      </c>
      <c r="R20" s="1575" t="s">
        <v>1731</v>
      </c>
      <c r="S20" s="1575" t="s">
        <v>1732</v>
      </c>
      <c r="T20" s="1575" t="s">
        <v>1733</v>
      </c>
    </row>
    <row r="21" spans="1:20" ht="14.25" customHeight="1">
      <c r="A21" s="1575" t="s">
        <v>251</v>
      </c>
      <c r="B21" s="1578" t="s">
        <v>1654</v>
      </c>
      <c r="C21" s="1575">
        <v>32370</v>
      </c>
      <c r="D21" s="1575">
        <v>26730</v>
      </c>
      <c r="E21" s="1575">
        <v>26640</v>
      </c>
      <c r="F21" s="1584"/>
      <c r="G21" s="1586">
        <v>19440</v>
      </c>
      <c r="K21" s="1602" t="s">
        <v>1734</v>
      </c>
      <c r="L21" s="1575" t="s">
        <v>1735</v>
      </c>
      <c r="M21" s="1575" t="s">
        <v>1736</v>
      </c>
      <c r="N21" s="1575" t="s">
        <v>1737</v>
      </c>
      <c r="O21" s="1575" t="s">
        <v>1738</v>
      </c>
      <c r="P21" s="1575" t="s">
        <v>1739</v>
      </c>
      <c r="Q21" s="1575" t="s">
        <v>1740</v>
      </c>
      <c r="R21" s="1575" t="s">
        <v>1741</v>
      </c>
      <c r="S21" s="1575" t="s">
        <v>1742</v>
      </c>
      <c r="T21" s="1575" t="s">
        <v>1743</v>
      </c>
    </row>
    <row r="22" spans="1:20" ht="14.25" customHeight="1">
      <c r="A22" s="1575" t="s">
        <v>251</v>
      </c>
      <c r="B22" s="1578" t="s">
        <v>1664</v>
      </c>
      <c r="C22" s="1575">
        <v>29830</v>
      </c>
      <c r="D22" s="1575">
        <v>27600</v>
      </c>
      <c r="E22" s="1575">
        <v>28150</v>
      </c>
      <c r="F22" s="1584"/>
      <c r="G22" s="1586">
        <v>20080</v>
      </c>
      <c r="L22" s="1602" t="s">
        <v>1744</v>
      </c>
      <c r="M22" s="1575" t="s">
        <v>1745</v>
      </c>
      <c r="N22" s="1575" t="s">
        <v>1746</v>
      </c>
      <c r="O22" s="1575" t="s">
        <v>1747</v>
      </c>
      <c r="P22" s="1575" t="s">
        <v>1748</v>
      </c>
      <c r="Q22" s="1575" t="s">
        <v>1749</v>
      </c>
      <c r="R22" s="1575" t="s">
        <v>1750</v>
      </c>
      <c r="S22" s="1575" t="s">
        <v>1751</v>
      </c>
      <c r="T22" s="1578"/>
    </row>
    <row r="23" spans="1:20" ht="14.25" customHeight="1">
      <c r="A23" s="1575" t="s">
        <v>251</v>
      </c>
      <c r="B23" s="1578" t="s">
        <v>1674</v>
      </c>
      <c r="C23" s="1575">
        <v>27800</v>
      </c>
      <c r="D23" s="1575">
        <v>26900</v>
      </c>
      <c r="E23" s="1575">
        <v>27170</v>
      </c>
      <c r="F23" s="1584"/>
      <c r="G23" s="1586">
        <v>19570</v>
      </c>
      <c r="L23" s="1602" t="s">
        <v>1752</v>
      </c>
      <c r="M23" s="1575" t="s">
        <v>1753</v>
      </c>
      <c r="N23" s="1575" t="s">
        <v>1754</v>
      </c>
      <c r="O23" s="1575" t="s">
        <v>1755</v>
      </c>
      <c r="P23" s="1575" t="s">
        <v>1756</v>
      </c>
      <c r="Q23" s="1575" t="s">
        <v>1757</v>
      </c>
      <c r="R23" s="1575" t="s">
        <v>1758</v>
      </c>
      <c r="S23" s="1575" t="s">
        <v>1759</v>
      </c>
    </row>
    <row r="24" spans="1:20" ht="14.25" customHeight="1">
      <c r="A24" s="1575" t="s">
        <v>251</v>
      </c>
      <c r="B24" s="1578" t="s">
        <v>1684</v>
      </c>
      <c r="C24" s="1575">
        <v>27930</v>
      </c>
      <c r="D24" s="1575">
        <v>32260</v>
      </c>
      <c r="E24" s="1575">
        <v>32120</v>
      </c>
      <c r="F24" s="1584"/>
      <c r="G24" s="1586">
        <v>23470</v>
      </c>
      <c r="L24" s="1602" t="s">
        <v>1760</v>
      </c>
      <c r="M24" s="1575" t="s">
        <v>1761</v>
      </c>
      <c r="N24" s="1575" t="s">
        <v>1762</v>
      </c>
      <c r="O24" s="1575" t="s">
        <v>1763</v>
      </c>
      <c r="P24" s="1575" t="s">
        <v>1764</v>
      </c>
      <c r="Q24" s="1575" t="s">
        <v>1765</v>
      </c>
      <c r="R24" s="1575" t="s">
        <v>1766</v>
      </c>
      <c r="S24" s="1575" t="s">
        <v>1767</v>
      </c>
    </row>
    <row r="25" spans="1:20" ht="14.25" customHeight="1">
      <c r="A25" s="1575" t="s">
        <v>251</v>
      </c>
      <c r="B25" s="1578" t="s">
        <v>1694</v>
      </c>
      <c r="C25" s="1575">
        <v>32230</v>
      </c>
      <c r="D25" s="1575">
        <v>29640</v>
      </c>
      <c r="E25" s="1575">
        <v>29510</v>
      </c>
      <c r="F25" s="1584"/>
      <c r="G25" s="1586">
        <v>21560</v>
      </c>
      <c r="L25" s="1602" t="s">
        <v>1768</v>
      </c>
      <c r="M25" s="1575" t="s">
        <v>1769</v>
      </c>
      <c r="N25" s="1575" t="s">
        <v>1770</v>
      </c>
      <c r="O25" s="1575" t="s">
        <v>1771</v>
      </c>
      <c r="P25" s="1575" t="s">
        <v>1772</v>
      </c>
      <c r="Q25" s="1575" t="s">
        <v>1773</v>
      </c>
      <c r="R25" s="1575" t="s">
        <v>1774</v>
      </c>
      <c r="S25" s="1575" t="s">
        <v>1775</v>
      </c>
    </row>
    <row r="26" spans="1:20" ht="14.25" customHeight="1">
      <c r="A26" s="1575" t="s">
        <v>251</v>
      </c>
      <c r="B26" s="1578" t="s">
        <v>1704</v>
      </c>
      <c r="C26" s="1575">
        <v>31690</v>
      </c>
      <c r="D26" s="1575">
        <v>27650</v>
      </c>
      <c r="E26" s="1575">
        <v>28200</v>
      </c>
      <c r="F26" s="1584"/>
      <c r="G26" s="1586">
        <v>20110</v>
      </c>
      <c r="L26" s="1602" t="s">
        <v>1776</v>
      </c>
      <c r="M26" s="1575" t="s">
        <v>1777</v>
      </c>
      <c r="N26" s="1575" t="s">
        <v>1778</v>
      </c>
      <c r="O26" s="1575" t="s">
        <v>1779</v>
      </c>
      <c r="P26" s="1575" t="s">
        <v>1780</v>
      </c>
      <c r="Q26" s="1575" t="s">
        <v>1781</v>
      </c>
      <c r="R26" s="1575" t="s">
        <v>1782</v>
      </c>
      <c r="S26" s="1575" t="s">
        <v>1783</v>
      </c>
    </row>
    <row r="27" spans="1:20" ht="14.25" customHeight="1">
      <c r="A27" s="1575" t="s">
        <v>251</v>
      </c>
      <c r="B27" s="1578" t="s">
        <v>1714</v>
      </c>
      <c r="C27" s="1575">
        <v>29610</v>
      </c>
      <c r="D27" s="1575">
        <v>27770</v>
      </c>
      <c r="E27" s="1575">
        <v>28300</v>
      </c>
      <c r="F27" s="1584"/>
      <c r="G27" s="1586">
        <v>20210</v>
      </c>
      <c r="M27" s="1575" t="s">
        <v>1784</v>
      </c>
      <c r="N27" s="1575" t="s">
        <v>1785</v>
      </c>
      <c r="O27" s="1575" t="s">
        <v>1786</v>
      </c>
      <c r="P27" s="1575" t="s">
        <v>1787</v>
      </c>
      <c r="Q27" s="1575" t="s">
        <v>1788</v>
      </c>
      <c r="R27" s="1575" t="s">
        <v>1789</v>
      </c>
      <c r="S27" s="1575" t="s">
        <v>1790</v>
      </c>
    </row>
    <row r="28" spans="1:20" ht="14.25" customHeight="1">
      <c r="A28" s="1579" t="s">
        <v>251</v>
      </c>
      <c r="B28" s="1587" t="s">
        <v>1724</v>
      </c>
      <c r="C28" s="1588"/>
      <c r="D28" s="1588">
        <v>31520</v>
      </c>
      <c r="E28" s="1588">
        <v>31410</v>
      </c>
      <c r="F28" s="1589"/>
      <c r="G28" s="1590">
        <v>22940</v>
      </c>
      <c r="M28" s="1575" t="s">
        <v>1791</v>
      </c>
      <c r="N28" s="1575" t="s">
        <v>1792</v>
      </c>
      <c r="O28" s="1575" t="s">
        <v>1793</v>
      </c>
      <c r="P28" s="1575" t="s">
        <v>1794</v>
      </c>
      <c r="Q28" s="1575" t="s">
        <v>1795</v>
      </c>
      <c r="R28" s="1575" t="s">
        <v>1796</v>
      </c>
      <c r="S28" s="1602" t="s">
        <v>1797</v>
      </c>
    </row>
    <row r="29" spans="1:20" ht="14.25" customHeight="1">
      <c r="A29" s="1591" t="s">
        <v>251</v>
      </c>
      <c r="B29" s="1581" t="s">
        <v>1734</v>
      </c>
      <c r="C29" s="1581"/>
      <c r="D29" s="1581">
        <v>29460</v>
      </c>
      <c r="E29" s="1581">
        <v>28640</v>
      </c>
      <c r="F29" s="1582"/>
      <c r="G29" s="1592">
        <v>21430</v>
      </c>
      <c r="M29" s="1602" t="s">
        <v>1798</v>
      </c>
      <c r="N29" s="1575" t="s">
        <v>1799</v>
      </c>
      <c r="O29" s="1575" t="s">
        <v>1800</v>
      </c>
      <c r="P29" s="1575" t="s">
        <v>1801</v>
      </c>
      <c r="Q29" s="1575" t="s">
        <v>1802</v>
      </c>
      <c r="R29" s="1575" t="s">
        <v>1803</v>
      </c>
      <c r="S29" s="1602" t="s">
        <v>1804</v>
      </c>
    </row>
    <row r="30" spans="1:20" ht="14.25" customHeight="1">
      <c r="A30" s="1579" t="s">
        <v>263</v>
      </c>
      <c r="B30" s="1578" t="s">
        <v>1532</v>
      </c>
      <c r="C30" s="1578">
        <v>26890</v>
      </c>
      <c r="D30" s="1578">
        <v>26770</v>
      </c>
      <c r="E30" s="1578">
        <v>25700</v>
      </c>
      <c r="F30" s="1576">
        <v>8180</v>
      </c>
      <c r="G30" s="1576">
        <v>18740</v>
      </c>
      <c r="I30" s="1601"/>
      <c r="M30" s="1602" t="s">
        <v>1805</v>
      </c>
      <c r="N30" s="1575" t="s">
        <v>1806</v>
      </c>
      <c r="O30" s="1575" t="s">
        <v>1807</v>
      </c>
      <c r="P30" s="1575" t="s">
        <v>1808</v>
      </c>
      <c r="Q30" s="1575" t="s">
        <v>1809</v>
      </c>
      <c r="R30" s="1575" t="s">
        <v>1810</v>
      </c>
      <c r="S30" s="1602" t="s">
        <v>1811</v>
      </c>
    </row>
    <row r="31" spans="1:20" ht="14.25" customHeight="1">
      <c r="A31" s="1575" t="s">
        <v>263</v>
      </c>
      <c r="B31" s="1578" t="s">
        <v>1545</v>
      </c>
      <c r="C31" s="1575">
        <v>24550</v>
      </c>
      <c r="D31" s="1575">
        <v>23990</v>
      </c>
      <c r="E31" s="1575">
        <v>22930</v>
      </c>
      <c r="F31" s="1584">
        <v>7470</v>
      </c>
      <c r="G31" s="1584">
        <v>16790</v>
      </c>
      <c r="I31" s="1601"/>
      <c r="M31" s="1602" t="s">
        <v>1812</v>
      </c>
      <c r="N31" s="1575" t="s">
        <v>1813</v>
      </c>
      <c r="O31" s="1575" t="s">
        <v>1814</v>
      </c>
      <c r="P31" s="1575" t="s">
        <v>1815</v>
      </c>
      <c r="Q31" s="1575" t="s">
        <v>1816</v>
      </c>
      <c r="R31" s="1575" t="s">
        <v>1817</v>
      </c>
      <c r="S31" s="1602" t="s">
        <v>1818</v>
      </c>
    </row>
    <row r="32" spans="1:20" ht="14.25" customHeight="1">
      <c r="A32" s="1575" t="s">
        <v>263</v>
      </c>
      <c r="B32" s="1578" t="s">
        <v>1558</v>
      </c>
      <c r="C32" s="1575">
        <v>27210</v>
      </c>
      <c r="D32" s="1575">
        <v>23240</v>
      </c>
      <c r="E32" s="1575">
        <v>23260</v>
      </c>
      <c r="F32" s="1584">
        <v>7130</v>
      </c>
      <c r="G32" s="1584">
        <v>16270</v>
      </c>
      <c r="I32" s="1601"/>
      <c r="M32" s="1602" t="s">
        <v>1819</v>
      </c>
      <c r="N32" s="1575" t="s">
        <v>1820</v>
      </c>
      <c r="O32" s="1575" t="s">
        <v>1821</v>
      </c>
      <c r="P32" s="1575" t="s">
        <v>1822</v>
      </c>
      <c r="Q32" s="1575" t="s">
        <v>1823</v>
      </c>
      <c r="R32" s="1575" t="s">
        <v>1824</v>
      </c>
      <c r="S32" s="1602" t="s">
        <v>1825</v>
      </c>
    </row>
    <row r="33" spans="1:18" ht="14.25" customHeight="1">
      <c r="A33" s="1575" t="s">
        <v>263</v>
      </c>
      <c r="B33" s="1578" t="s">
        <v>1570</v>
      </c>
      <c r="C33" s="1575">
        <v>27300</v>
      </c>
      <c r="D33" s="1575">
        <v>22980</v>
      </c>
      <c r="E33" s="1575">
        <v>24260</v>
      </c>
      <c r="F33" s="1584">
        <v>5860</v>
      </c>
      <c r="G33" s="1584">
        <v>16090</v>
      </c>
      <c r="I33" s="1601"/>
      <c r="M33" s="1602" t="s">
        <v>1826</v>
      </c>
      <c r="N33" s="1575" t="s">
        <v>1827</v>
      </c>
      <c r="O33" s="1575" t="s">
        <v>1828</v>
      </c>
      <c r="P33" s="1575" t="s">
        <v>1829</v>
      </c>
      <c r="Q33" s="1575" t="s">
        <v>1830</v>
      </c>
      <c r="R33" s="1575" t="s">
        <v>1831</v>
      </c>
    </row>
    <row r="34" spans="1:18" ht="14.25" customHeight="1">
      <c r="A34" s="1575" t="s">
        <v>263</v>
      </c>
      <c r="B34" s="1578" t="s">
        <v>1582</v>
      </c>
      <c r="C34" s="1575">
        <v>23090</v>
      </c>
      <c r="D34" s="1575">
        <v>23390</v>
      </c>
      <c r="E34" s="1575">
        <v>23510</v>
      </c>
      <c r="F34" s="1584">
        <v>6700</v>
      </c>
      <c r="G34" s="1584">
        <v>16370</v>
      </c>
      <c r="I34" s="1601"/>
      <c r="N34" s="1575" t="s">
        <v>1832</v>
      </c>
      <c r="O34" s="1575" t="s">
        <v>1833</v>
      </c>
      <c r="P34" s="1575" t="s">
        <v>1834</v>
      </c>
      <c r="Q34" s="1575" t="s">
        <v>1835</v>
      </c>
      <c r="R34" s="1575" t="s">
        <v>1836</v>
      </c>
    </row>
    <row r="35" spans="1:18" ht="14.25" customHeight="1">
      <c r="A35" s="1575" t="s">
        <v>263</v>
      </c>
      <c r="B35" s="1578" t="s">
        <v>1593</v>
      </c>
      <c r="C35" s="1575">
        <v>27270</v>
      </c>
      <c r="D35" s="1575">
        <v>24270</v>
      </c>
      <c r="E35" s="1575">
        <v>24950</v>
      </c>
      <c r="F35" s="1584">
        <v>6600</v>
      </c>
      <c r="G35" s="1584">
        <v>16990</v>
      </c>
      <c r="I35" s="1601"/>
      <c r="N35" s="1575" t="s">
        <v>1837</v>
      </c>
      <c r="O35" s="1575" t="s">
        <v>1838</v>
      </c>
      <c r="P35" s="1575" t="s">
        <v>1839</v>
      </c>
      <c r="Q35" s="1575" t="s">
        <v>1840</v>
      </c>
      <c r="R35" s="1575" t="s">
        <v>1841</v>
      </c>
    </row>
    <row r="36" spans="1:18" ht="14.25" customHeight="1">
      <c r="A36" s="1575" t="s">
        <v>263</v>
      </c>
      <c r="B36" s="1578" t="s">
        <v>1604</v>
      </c>
      <c r="C36" s="1575">
        <v>23490</v>
      </c>
      <c r="D36" s="1575">
        <v>23020</v>
      </c>
      <c r="E36" s="1575">
        <v>25230</v>
      </c>
      <c r="F36" s="1584">
        <v>6780</v>
      </c>
      <c r="G36" s="1584">
        <v>16120</v>
      </c>
      <c r="I36" s="1601"/>
      <c r="N36" s="1602" t="s">
        <v>1842</v>
      </c>
      <c r="O36" s="1603" t="s">
        <v>1843</v>
      </c>
      <c r="P36" s="1575" t="s">
        <v>1844</v>
      </c>
      <c r="Q36" s="1575" t="s">
        <v>1845</v>
      </c>
      <c r="R36" s="1575" t="s">
        <v>1846</v>
      </c>
    </row>
    <row r="37" spans="1:18" ht="14.25" customHeight="1">
      <c r="A37" s="1575" t="s">
        <v>263</v>
      </c>
      <c r="B37" s="1578" t="s">
        <v>1615</v>
      </c>
      <c r="C37" s="1575">
        <v>24380</v>
      </c>
      <c r="D37" s="1575">
        <v>22240</v>
      </c>
      <c r="E37" s="1575">
        <v>25980</v>
      </c>
      <c r="F37" s="1584">
        <v>8160</v>
      </c>
      <c r="G37" s="1584">
        <v>15570</v>
      </c>
      <c r="I37" s="1604"/>
      <c r="N37" s="1602" t="s">
        <v>1847</v>
      </c>
      <c r="O37" s="1603" t="s">
        <v>1848</v>
      </c>
      <c r="P37" s="1575" t="s">
        <v>1849</v>
      </c>
      <c r="Q37" s="1575" t="s">
        <v>1850</v>
      </c>
      <c r="R37" s="1575" t="s">
        <v>1851</v>
      </c>
    </row>
    <row r="38" spans="1:18" ht="14.25" customHeight="1">
      <c r="A38" s="1575" t="s">
        <v>263</v>
      </c>
      <c r="B38" s="1578" t="s">
        <v>1625</v>
      </c>
      <c r="C38" s="1575">
        <v>23120</v>
      </c>
      <c r="D38" s="1575">
        <v>24630</v>
      </c>
      <c r="E38" s="1575">
        <v>25030</v>
      </c>
      <c r="F38" s="1584">
        <v>7710</v>
      </c>
      <c r="G38" s="1584">
        <v>17240</v>
      </c>
      <c r="I38" s="1605"/>
      <c r="N38" s="1602" t="s">
        <v>1852</v>
      </c>
      <c r="O38" s="1603" t="s">
        <v>1853</v>
      </c>
      <c r="P38" s="1575" t="s">
        <v>1854</v>
      </c>
      <c r="Q38" s="1575" t="s">
        <v>1855</v>
      </c>
      <c r="R38" s="1575" t="s">
        <v>1856</v>
      </c>
    </row>
    <row r="39" spans="1:18" ht="14.25" customHeight="1">
      <c r="A39" s="1575" t="s">
        <v>263</v>
      </c>
      <c r="B39" s="1578" t="s">
        <v>1635</v>
      </c>
      <c r="C39" s="1575">
        <v>22330</v>
      </c>
      <c r="D39" s="1575">
        <v>21140</v>
      </c>
      <c r="E39" s="1575">
        <v>23970</v>
      </c>
      <c r="F39" s="1584">
        <v>7940</v>
      </c>
      <c r="G39" s="1584">
        <v>14790</v>
      </c>
      <c r="I39" s="1605"/>
      <c r="N39" s="1602" t="s">
        <v>1857</v>
      </c>
      <c r="O39" s="1603" t="s">
        <v>1858</v>
      </c>
      <c r="P39" s="1575" t="s">
        <v>1859</v>
      </c>
      <c r="Q39" s="1575" t="s">
        <v>1860</v>
      </c>
      <c r="R39" s="1575" t="s">
        <v>1861</v>
      </c>
    </row>
    <row r="40" spans="1:18" ht="14.25" customHeight="1">
      <c r="A40" s="1575" t="s">
        <v>263</v>
      </c>
      <c r="B40" s="1578" t="s">
        <v>1645</v>
      </c>
      <c r="C40" s="1575">
        <v>24740</v>
      </c>
      <c r="D40" s="1575">
        <v>24690</v>
      </c>
      <c r="E40" s="1575">
        <v>22610</v>
      </c>
      <c r="F40" s="1584"/>
      <c r="G40" s="1584">
        <v>17280</v>
      </c>
      <c r="I40" s="1605"/>
      <c r="N40" s="1602" t="s">
        <v>1862</v>
      </c>
      <c r="O40" s="1603" t="s">
        <v>1863</v>
      </c>
      <c r="P40" s="1575" t="s">
        <v>1864</v>
      </c>
      <c r="Q40" s="1575" t="s">
        <v>1865</v>
      </c>
      <c r="R40" s="1575" t="s">
        <v>1866</v>
      </c>
    </row>
    <row r="41" spans="1:18" ht="14.25" customHeight="1">
      <c r="A41" s="1575" t="s">
        <v>263</v>
      </c>
      <c r="B41" s="1578" t="s">
        <v>1655</v>
      </c>
      <c r="C41" s="1575">
        <v>21220</v>
      </c>
      <c r="D41" s="1575">
        <v>21120</v>
      </c>
      <c r="E41" s="1575">
        <v>22590</v>
      </c>
      <c r="F41" s="1584"/>
      <c r="G41" s="1584">
        <v>14780</v>
      </c>
      <c r="I41" s="1605"/>
      <c r="N41" s="1602" t="s">
        <v>1867</v>
      </c>
      <c r="O41" s="1606" t="s">
        <v>1868</v>
      </c>
      <c r="P41" s="1578" t="s">
        <v>1869</v>
      </c>
      <c r="Q41" s="1602" t="s">
        <v>1870</v>
      </c>
      <c r="R41" s="1578" t="s">
        <v>1871</v>
      </c>
    </row>
    <row r="42" spans="1:18" ht="14.25" customHeight="1">
      <c r="A42" s="1575" t="s">
        <v>263</v>
      </c>
      <c r="B42" s="1578" t="s">
        <v>1665</v>
      </c>
      <c r="C42" s="1575">
        <v>24800</v>
      </c>
      <c r="D42" s="1575">
        <v>22280</v>
      </c>
      <c r="E42" s="1575">
        <v>24350</v>
      </c>
      <c r="F42" s="1584"/>
      <c r="G42" s="1584">
        <v>15590</v>
      </c>
      <c r="I42" s="1605"/>
      <c r="O42" s="1575" t="s">
        <v>1872</v>
      </c>
      <c r="P42" s="1575" t="s">
        <v>1873</v>
      </c>
      <c r="Q42" s="1602" t="s">
        <v>1874</v>
      </c>
      <c r="R42" s="1575" t="s">
        <v>1875</v>
      </c>
    </row>
    <row r="43" spans="1:18" ht="14.25" customHeight="1">
      <c r="A43" s="1575" t="s">
        <v>263</v>
      </c>
      <c r="B43" s="1578" t="s">
        <v>1675</v>
      </c>
      <c r="C43" s="1575">
        <v>21210</v>
      </c>
      <c r="D43" s="1575">
        <v>21160</v>
      </c>
      <c r="E43" s="1575">
        <v>22650</v>
      </c>
      <c r="F43" s="1584"/>
      <c r="G43" s="1584">
        <v>14800</v>
      </c>
      <c r="I43" s="1605"/>
      <c r="O43" s="1575" t="s">
        <v>1876</v>
      </c>
      <c r="P43" s="1575" t="s">
        <v>1877</v>
      </c>
      <c r="Q43" s="1602" t="s">
        <v>1878</v>
      </c>
      <c r="R43" s="1575" t="s">
        <v>1879</v>
      </c>
    </row>
    <row r="44" spans="1:18" ht="14.25" customHeight="1">
      <c r="A44" s="1575" t="s">
        <v>263</v>
      </c>
      <c r="B44" s="1578" t="s">
        <v>1685</v>
      </c>
      <c r="C44" s="1575">
        <v>22370</v>
      </c>
      <c r="D44" s="1575">
        <v>23140</v>
      </c>
      <c r="E44" s="1575">
        <v>25090</v>
      </c>
      <c r="F44" s="1584"/>
      <c r="G44" s="1584">
        <v>16190</v>
      </c>
      <c r="I44" s="1605"/>
      <c r="O44" s="1575" t="s">
        <v>1880</v>
      </c>
      <c r="P44" s="1575" t="s">
        <v>1881</v>
      </c>
      <c r="Q44" s="1602" t="s">
        <v>1882</v>
      </c>
      <c r="R44" s="1575" t="s">
        <v>1883</v>
      </c>
    </row>
    <row r="45" spans="1:18" ht="14.25" customHeight="1">
      <c r="A45" s="1575" t="s">
        <v>263</v>
      </c>
      <c r="B45" s="1578" t="s">
        <v>1695</v>
      </c>
      <c r="C45" s="1575">
        <v>21240</v>
      </c>
      <c r="D45" s="1575">
        <v>27050</v>
      </c>
      <c r="E45" s="1575">
        <v>28000</v>
      </c>
      <c r="F45" s="1584"/>
      <c r="G45" s="1584">
        <v>18940</v>
      </c>
      <c r="I45" s="1601"/>
      <c r="O45" s="1575" t="s">
        <v>1884</v>
      </c>
      <c r="P45" s="1575" t="s">
        <v>1885</v>
      </c>
      <c r="R45" s="1575" t="s">
        <v>1886</v>
      </c>
    </row>
    <row r="46" spans="1:18" ht="14.25" customHeight="1">
      <c r="A46" s="1575" t="s">
        <v>263</v>
      </c>
      <c r="B46" s="1578" t="s">
        <v>1705</v>
      </c>
      <c r="C46" s="1575">
        <v>23240</v>
      </c>
      <c r="D46" s="1575">
        <v>23000</v>
      </c>
      <c r="E46" s="1575">
        <v>24980</v>
      </c>
      <c r="F46" s="1584"/>
      <c r="G46" s="1584">
        <v>16100</v>
      </c>
      <c r="I46" s="1605"/>
      <c r="O46" s="1575" t="s">
        <v>1887</v>
      </c>
      <c r="P46" s="1575"/>
      <c r="R46" s="1575" t="s">
        <v>1888</v>
      </c>
    </row>
    <row r="47" spans="1:18" ht="14.25" customHeight="1">
      <c r="A47" s="1575" t="s">
        <v>263</v>
      </c>
      <c r="B47" s="1587" t="s">
        <v>1715</v>
      </c>
      <c r="C47" s="1588">
        <v>27150</v>
      </c>
      <c r="D47" s="1588">
        <v>23310</v>
      </c>
      <c r="E47" s="1588">
        <v>25150</v>
      </c>
      <c r="F47" s="1589"/>
      <c r="G47" s="1589">
        <v>16310</v>
      </c>
      <c r="I47" s="1605"/>
      <c r="O47" s="1575" t="s">
        <v>1889</v>
      </c>
      <c r="P47" s="1575"/>
      <c r="R47" s="1602" t="s">
        <v>1890</v>
      </c>
    </row>
    <row r="48" spans="1:18" ht="14.25" customHeight="1">
      <c r="A48" s="1575" t="s">
        <v>263</v>
      </c>
      <c r="B48" s="1575" t="s">
        <v>1725</v>
      </c>
      <c r="C48" s="1575">
        <v>23100</v>
      </c>
      <c r="D48" s="1575">
        <v>21110</v>
      </c>
      <c r="E48" s="1575">
        <v>23080</v>
      </c>
      <c r="F48" s="1584"/>
      <c r="G48" s="1593">
        <v>14780</v>
      </c>
      <c r="I48" s="1601"/>
      <c r="O48" s="1575" t="s">
        <v>1891</v>
      </c>
      <c r="P48" s="1575"/>
      <c r="R48" s="1602" t="s">
        <v>1892</v>
      </c>
    </row>
    <row r="49" spans="1:18" ht="14.25" customHeight="1">
      <c r="A49" s="1575" t="s">
        <v>263</v>
      </c>
      <c r="B49" s="1578" t="s">
        <v>1735</v>
      </c>
      <c r="C49" s="1578">
        <v>23400</v>
      </c>
      <c r="D49" s="1578">
        <v>22920</v>
      </c>
      <c r="E49" s="1578">
        <v>24900</v>
      </c>
      <c r="F49" s="1576"/>
      <c r="G49" s="1576">
        <v>16040</v>
      </c>
      <c r="I49" s="1605"/>
      <c r="O49" s="1575" t="s">
        <v>1893</v>
      </c>
      <c r="P49" s="1575"/>
      <c r="R49" s="1602" t="s">
        <v>1894</v>
      </c>
    </row>
    <row r="50" spans="1:18" ht="14.25" customHeight="1">
      <c r="A50" s="1575" t="s">
        <v>263</v>
      </c>
      <c r="B50" s="1575" t="s">
        <v>1744</v>
      </c>
      <c r="C50" s="1575">
        <v>21200</v>
      </c>
      <c r="D50" s="1575">
        <v>26540</v>
      </c>
      <c r="E50" s="1575">
        <v>23200</v>
      </c>
      <c r="F50" s="1584"/>
      <c r="G50" s="1584">
        <v>18580</v>
      </c>
      <c r="I50" s="1605"/>
      <c r="O50" s="1602" t="s">
        <v>1895</v>
      </c>
      <c r="R50" s="1602" t="s">
        <v>1896</v>
      </c>
    </row>
    <row r="51" spans="1:18" ht="14.25" customHeight="1">
      <c r="A51" s="1575" t="s">
        <v>263</v>
      </c>
      <c r="B51" s="1575" t="s">
        <v>1752</v>
      </c>
      <c r="C51" s="1575">
        <v>23000</v>
      </c>
      <c r="D51" s="1575">
        <v>23460</v>
      </c>
      <c r="E51" s="1575">
        <v>25290</v>
      </c>
      <c r="F51" s="1584"/>
      <c r="G51" s="1584">
        <v>16420</v>
      </c>
      <c r="I51" s="1605"/>
      <c r="O51" s="1602" t="s">
        <v>1897</v>
      </c>
      <c r="R51" s="1602" t="s">
        <v>1898</v>
      </c>
    </row>
    <row r="52" spans="1:18" ht="14.25" customHeight="1">
      <c r="A52" s="1575" t="s">
        <v>263</v>
      </c>
      <c r="B52" s="1575" t="s">
        <v>1760</v>
      </c>
      <c r="C52" s="1575">
        <v>26660</v>
      </c>
      <c r="D52" s="1575">
        <v>22350</v>
      </c>
      <c r="E52" s="1575">
        <v>22920</v>
      </c>
      <c r="F52" s="1584"/>
      <c r="G52" s="1584">
        <v>15640</v>
      </c>
      <c r="I52" s="1605"/>
      <c r="O52" s="1602" t="s">
        <v>1899</v>
      </c>
    </row>
    <row r="53" spans="1:18" ht="14.25" customHeight="1">
      <c r="A53" s="1575" t="s">
        <v>263</v>
      </c>
      <c r="B53" s="1575" t="s">
        <v>1768</v>
      </c>
      <c r="C53" s="1575">
        <v>23580</v>
      </c>
      <c r="D53" s="1575"/>
      <c r="E53" s="1575">
        <v>24280</v>
      </c>
      <c r="F53" s="1584"/>
      <c r="G53" s="1584"/>
      <c r="I53" s="1605"/>
      <c r="O53" s="1602" t="s">
        <v>1900</v>
      </c>
    </row>
    <row r="54" spans="1:18" ht="14.25" customHeight="1">
      <c r="A54" s="1591" t="s">
        <v>263</v>
      </c>
      <c r="B54" s="1581" t="s">
        <v>1776</v>
      </c>
      <c r="C54" s="1581">
        <v>22460</v>
      </c>
      <c r="D54" s="1581"/>
      <c r="E54" s="1581"/>
      <c r="F54" s="1582"/>
      <c r="G54" s="1592"/>
      <c r="I54" s="1605"/>
      <c r="O54" s="1602" t="s">
        <v>1901</v>
      </c>
    </row>
    <row r="55" spans="1:18" ht="14.25" customHeight="1">
      <c r="A55" s="1579" t="s">
        <v>273</v>
      </c>
      <c r="B55" s="1578" t="s">
        <v>1533</v>
      </c>
      <c r="C55" s="1578">
        <v>21970</v>
      </c>
      <c r="D55" s="1578">
        <v>20370</v>
      </c>
      <c r="E55" s="1578">
        <v>20180</v>
      </c>
      <c r="F55" s="1576">
        <v>5730</v>
      </c>
      <c r="G55" s="1576">
        <v>13820</v>
      </c>
      <c r="I55" s="1605"/>
      <c r="O55" s="1602" t="s">
        <v>1902</v>
      </c>
    </row>
    <row r="56" spans="1:18" ht="14.25" customHeight="1">
      <c r="A56" s="1575" t="s">
        <v>273</v>
      </c>
      <c r="B56" s="1575" t="s">
        <v>1546</v>
      </c>
      <c r="C56" s="1575">
        <v>20470</v>
      </c>
      <c r="D56" s="1575">
        <v>20700</v>
      </c>
      <c r="E56" s="1575">
        <v>20380</v>
      </c>
      <c r="F56" s="1584">
        <v>4760</v>
      </c>
      <c r="G56" s="1584">
        <v>14050</v>
      </c>
      <c r="I56" s="1605"/>
      <c r="O56" s="1602" t="s">
        <v>1903</v>
      </c>
    </row>
    <row r="57" spans="1:18" ht="14.25" customHeight="1">
      <c r="A57" s="1575" t="s">
        <v>273</v>
      </c>
      <c r="B57" s="1575" t="s">
        <v>1559</v>
      </c>
      <c r="C57" s="1575">
        <v>20790</v>
      </c>
      <c r="D57" s="1575">
        <v>21370</v>
      </c>
      <c r="E57" s="1575">
        <v>20890</v>
      </c>
      <c r="F57" s="1584">
        <v>4910</v>
      </c>
      <c r="G57" s="1584">
        <v>14510</v>
      </c>
      <c r="I57" s="1605"/>
      <c r="O57" s="1602" t="s">
        <v>1904</v>
      </c>
    </row>
    <row r="58" spans="1:18" ht="14.25" customHeight="1">
      <c r="A58" s="1575" t="s">
        <v>273</v>
      </c>
      <c r="B58" s="1575" t="s">
        <v>1571</v>
      </c>
      <c r="C58" s="1575">
        <v>21460</v>
      </c>
      <c r="D58" s="1575">
        <v>20920</v>
      </c>
      <c r="E58" s="1575">
        <v>23410</v>
      </c>
      <c r="F58" s="1584">
        <v>5100</v>
      </c>
      <c r="G58" s="1584">
        <v>14200</v>
      </c>
      <c r="I58" s="1605"/>
      <c r="O58" s="1602" t="s">
        <v>1905</v>
      </c>
    </row>
    <row r="59" spans="1:18" ht="14.25" customHeight="1">
      <c r="A59" s="1575" t="s">
        <v>273</v>
      </c>
      <c r="B59" s="1575" t="s">
        <v>1583</v>
      </c>
      <c r="C59" s="1575">
        <v>21000</v>
      </c>
      <c r="D59" s="1575">
        <v>21550</v>
      </c>
      <c r="E59" s="1575">
        <v>21150</v>
      </c>
      <c r="F59" s="1584">
        <v>5250</v>
      </c>
      <c r="G59" s="1584">
        <v>14630</v>
      </c>
      <c r="I59" s="1605"/>
      <c r="O59" s="1602" t="s">
        <v>1906</v>
      </c>
    </row>
    <row r="60" spans="1:18" ht="14.25" customHeight="1">
      <c r="A60" s="1575" t="s">
        <v>273</v>
      </c>
      <c r="B60" s="1575" t="s">
        <v>1594</v>
      </c>
      <c r="C60" s="1575">
        <v>21640</v>
      </c>
      <c r="D60" s="1575">
        <v>21260</v>
      </c>
      <c r="E60" s="1575">
        <v>24040</v>
      </c>
      <c r="F60" s="1584">
        <v>4470</v>
      </c>
      <c r="G60" s="1584">
        <v>14430</v>
      </c>
      <c r="I60" s="1605"/>
      <c r="O60" s="1602" t="s">
        <v>1907</v>
      </c>
    </row>
    <row r="61" spans="1:18" ht="14.25" customHeight="1">
      <c r="A61" s="1575" t="s">
        <v>273</v>
      </c>
      <c r="B61" s="1575" t="s">
        <v>1605</v>
      </c>
      <c r="C61" s="1575">
        <v>21330</v>
      </c>
      <c r="D61" s="1575">
        <v>18640</v>
      </c>
      <c r="E61" s="1575">
        <v>21190</v>
      </c>
      <c r="F61" s="1584">
        <v>4180</v>
      </c>
      <c r="G61" s="1594">
        <v>12650</v>
      </c>
      <c r="I61" s="1605"/>
      <c r="O61" s="1602" t="s">
        <v>1908</v>
      </c>
    </row>
    <row r="62" spans="1:18" ht="14.25" customHeight="1">
      <c r="A62" s="1575" t="s">
        <v>273</v>
      </c>
      <c r="B62" s="1575" t="s">
        <v>1616</v>
      </c>
      <c r="C62" s="1575">
        <v>18710</v>
      </c>
      <c r="D62" s="1575">
        <v>19400</v>
      </c>
      <c r="E62" s="1575">
        <v>23750</v>
      </c>
      <c r="F62" s="1584">
        <v>4860</v>
      </c>
      <c r="G62" s="1594">
        <v>13170</v>
      </c>
      <c r="I62" s="1605"/>
      <c r="O62" s="1602" t="s">
        <v>1909</v>
      </c>
    </row>
    <row r="63" spans="1:18" ht="14.25" customHeight="1">
      <c r="A63" s="1575" t="s">
        <v>273</v>
      </c>
      <c r="B63" s="1575" t="s">
        <v>1626</v>
      </c>
      <c r="C63" s="1575">
        <v>19480</v>
      </c>
      <c r="D63" s="1575">
        <v>16830</v>
      </c>
      <c r="E63" s="1575">
        <v>21590</v>
      </c>
      <c r="F63" s="1584">
        <v>4560</v>
      </c>
      <c r="G63" s="1594">
        <v>11420</v>
      </c>
      <c r="I63" s="1605"/>
      <c r="O63" s="1602" t="s">
        <v>1910</v>
      </c>
    </row>
    <row r="64" spans="1:18" ht="14.25" customHeight="1">
      <c r="A64" s="1575" t="s">
        <v>273</v>
      </c>
      <c r="B64" s="1575" t="s">
        <v>1636</v>
      </c>
      <c r="C64" s="1575">
        <v>16920</v>
      </c>
      <c r="D64" s="1575">
        <v>19190</v>
      </c>
      <c r="E64" s="1575">
        <v>22200</v>
      </c>
      <c r="F64" s="1584">
        <v>4390</v>
      </c>
      <c r="G64" s="1594">
        <v>13030</v>
      </c>
      <c r="I64" s="1605"/>
      <c r="O64" s="1602" t="s">
        <v>1911</v>
      </c>
    </row>
    <row r="65" spans="1:21" s="1560" customFormat="1" ht="14.25" customHeight="1">
      <c r="A65" s="1575" t="s">
        <v>273</v>
      </c>
      <c r="B65" s="1575" t="s">
        <v>1646</v>
      </c>
      <c r="C65" s="1575">
        <v>19290</v>
      </c>
      <c r="D65" s="1575">
        <v>17020</v>
      </c>
      <c r="E65" s="1575">
        <v>19880</v>
      </c>
      <c r="F65" s="1584">
        <v>4070</v>
      </c>
      <c r="G65" s="1584">
        <v>11550</v>
      </c>
      <c r="I65" s="1605"/>
      <c r="J65" s="1563"/>
      <c r="K65" s="1563"/>
      <c r="L65" s="1563"/>
      <c r="M65" s="1563"/>
      <c r="N65" s="1563"/>
      <c r="O65" s="1563"/>
      <c r="P65" s="1563"/>
      <c r="Q65" s="1563"/>
      <c r="R65" s="1563"/>
      <c r="S65" s="1563"/>
      <c r="T65" s="1563"/>
      <c r="U65" s="1563"/>
    </row>
    <row r="66" spans="1:21" s="1560" customFormat="1" ht="14.25" customHeight="1">
      <c r="A66" s="1575" t="s">
        <v>273</v>
      </c>
      <c r="B66" s="1575" t="s">
        <v>1656</v>
      </c>
      <c r="C66" s="1575">
        <v>17090</v>
      </c>
      <c r="D66" s="1575">
        <v>18340</v>
      </c>
      <c r="E66" s="1575">
        <v>21830</v>
      </c>
      <c r="F66" s="1584">
        <v>4690</v>
      </c>
      <c r="G66" s="1584">
        <v>12450</v>
      </c>
      <c r="I66" s="1605"/>
      <c r="J66" s="1563"/>
      <c r="K66" s="1563"/>
      <c r="L66" s="1563"/>
      <c r="M66" s="1563"/>
      <c r="N66" s="1563"/>
      <c r="O66" s="1563"/>
      <c r="P66" s="1563"/>
      <c r="Q66" s="1563"/>
      <c r="R66" s="1563"/>
      <c r="S66" s="1563"/>
      <c r="T66" s="1563"/>
      <c r="U66" s="1563"/>
    </row>
    <row r="67" spans="1:21" s="1560" customFormat="1" ht="14.25" customHeight="1">
      <c r="A67" s="1575" t="s">
        <v>273</v>
      </c>
      <c r="B67" s="1575" t="s">
        <v>1666</v>
      </c>
      <c r="C67" s="1575">
        <v>18420</v>
      </c>
      <c r="D67" s="1575">
        <v>16360</v>
      </c>
      <c r="E67" s="1575">
        <v>20020</v>
      </c>
      <c r="F67" s="1584">
        <v>5150</v>
      </c>
      <c r="G67" s="1584">
        <v>11110</v>
      </c>
      <c r="I67" s="1605"/>
      <c r="J67" s="1563"/>
      <c r="K67" s="1563"/>
      <c r="L67" s="1563"/>
      <c r="M67" s="1563"/>
      <c r="N67" s="1563"/>
      <c r="O67" s="1563"/>
      <c r="P67" s="1563"/>
      <c r="Q67" s="1563"/>
      <c r="R67" s="1563"/>
      <c r="S67" s="1563"/>
      <c r="T67" s="1563"/>
      <c r="U67" s="1563"/>
    </row>
    <row r="68" spans="1:21" s="1560" customFormat="1" ht="14.25" customHeight="1">
      <c r="A68" s="1575" t="s">
        <v>273</v>
      </c>
      <c r="B68" s="1575" t="s">
        <v>1676</v>
      </c>
      <c r="C68" s="1575">
        <v>16450</v>
      </c>
      <c r="D68" s="1575">
        <v>18430</v>
      </c>
      <c r="E68" s="1575">
        <v>21010</v>
      </c>
      <c r="F68" s="1584">
        <v>4720</v>
      </c>
      <c r="G68" s="1584">
        <v>12510</v>
      </c>
      <c r="I68" s="1605"/>
      <c r="J68" s="1563"/>
      <c r="K68" s="1563"/>
      <c r="L68" s="1563"/>
      <c r="M68" s="1563"/>
      <c r="N68" s="1563"/>
      <c r="O68" s="1563"/>
      <c r="P68" s="1563"/>
      <c r="Q68" s="1563"/>
      <c r="R68" s="1563"/>
      <c r="S68" s="1563"/>
      <c r="T68" s="1563"/>
      <c r="U68" s="1563"/>
    </row>
    <row r="69" spans="1:21" s="1560" customFormat="1" ht="14.25" customHeight="1">
      <c r="A69" s="1575" t="s">
        <v>273</v>
      </c>
      <c r="B69" s="1575" t="s">
        <v>1686</v>
      </c>
      <c r="C69" s="1575">
        <v>18510</v>
      </c>
      <c r="D69" s="1575">
        <v>16300</v>
      </c>
      <c r="E69" s="1575">
        <v>18830</v>
      </c>
      <c r="F69" s="1584">
        <v>5400</v>
      </c>
      <c r="G69" s="1584">
        <v>11070</v>
      </c>
      <c r="I69" s="1605"/>
      <c r="J69" s="1563"/>
      <c r="K69" s="1563"/>
      <c r="L69" s="1563"/>
      <c r="M69" s="1563"/>
      <c r="N69" s="1563"/>
      <c r="O69" s="1563"/>
      <c r="P69" s="1563"/>
      <c r="Q69" s="1563"/>
      <c r="R69" s="1563"/>
      <c r="S69" s="1563"/>
      <c r="T69" s="1563"/>
      <c r="U69" s="1563"/>
    </row>
    <row r="70" spans="1:21" s="1560" customFormat="1" ht="14.25" customHeight="1">
      <c r="A70" s="1575" t="s">
        <v>273</v>
      </c>
      <c r="B70" s="1575" t="s">
        <v>1696</v>
      </c>
      <c r="C70" s="1575">
        <v>16370</v>
      </c>
      <c r="D70" s="1575">
        <v>18620</v>
      </c>
      <c r="E70" s="1575">
        <v>21100</v>
      </c>
      <c r="F70" s="1584">
        <v>5700</v>
      </c>
      <c r="G70" s="1584">
        <v>12640</v>
      </c>
      <c r="I70" s="1605"/>
      <c r="J70" s="1563"/>
      <c r="K70" s="1563"/>
      <c r="L70" s="1563"/>
      <c r="M70" s="1563"/>
      <c r="N70" s="1563"/>
      <c r="O70" s="1563"/>
      <c r="P70" s="1563"/>
      <c r="Q70" s="1563"/>
      <c r="R70" s="1563"/>
      <c r="S70" s="1563"/>
      <c r="T70" s="1563"/>
      <c r="U70" s="1563"/>
    </row>
    <row r="71" spans="1:21" s="1560" customFormat="1" ht="14.25" customHeight="1">
      <c r="A71" s="1575" t="s">
        <v>273</v>
      </c>
      <c r="B71" s="1575" t="s">
        <v>1706</v>
      </c>
      <c r="C71" s="1575">
        <v>18700</v>
      </c>
      <c r="D71" s="1575">
        <v>16290</v>
      </c>
      <c r="E71" s="1575">
        <v>18760</v>
      </c>
      <c r="F71" s="1584">
        <v>4780</v>
      </c>
      <c r="G71" s="1584">
        <v>11050</v>
      </c>
      <c r="I71" s="1605"/>
      <c r="J71" s="1563"/>
      <c r="K71" s="1563"/>
      <c r="L71" s="1563"/>
      <c r="M71" s="1563"/>
      <c r="N71" s="1563"/>
      <c r="O71" s="1563"/>
      <c r="P71" s="1563"/>
      <c r="Q71" s="1563"/>
      <c r="R71" s="1563"/>
      <c r="S71" s="1563"/>
      <c r="T71" s="1563"/>
      <c r="U71" s="1563"/>
    </row>
    <row r="72" spans="1:21" s="1560" customFormat="1" ht="14.25" customHeight="1">
      <c r="A72" s="1575" t="s">
        <v>273</v>
      </c>
      <c r="B72" s="1575" t="s">
        <v>1716</v>
      </c>
      <c r="C72" s="1575">
        <v>16340</v>
      </c>
      <c r="D72" s="1575">
        <v>17520</v>
      </c>
      <c r="E72" s="1575">
        <v>21170</v>
      </c>
      <c r="F72" s="1584"/>
      <c r="G72" s="1584">
        <v>11900</v>
      </c>
      <c r="I72" s="1605"/>
      <c r="J72" s="1563"/>
      <c r="K72" s="1563"/>
      <c r="L72" s="1563"/>
      <c r="M72" s="1563"/>
      <c r="N72" s="1563"/>
      <c r="O72" s="1563"/>
      <c r="P72" s="1563"/>
      <c r="Q72" s="1563"/>
      <c r="R72" s="1563"/>
      <c r="S72" s="1563"/>
      <c r="T72" s="1563"/>
      <c r="U72" s="1563"/>
    </row>
    <row r="73" spans="1:21" s="1560" customFormat="1" ht="14.25" customHeight="1">
      <c r="A73" s="1575" t="s">
        <v>273</v>
      </c>
      <c r="B73" s="1575" t="s">
        <v>1726</v>
      </c>
      <c r="C73" s="1575">
        <v>17610</v>
      </c>
      <c r="D73" s="1575">
        <v>18520</v>
      </c>
      <c r="E73" s="1575">
        <v>18720</v>
      </c>
      <c r="F73" s="1584"/>
      <c r="G73" s="1584">
        <v>12570</v>
      </c>
      <c r="I73" s="1605"/>
      <c r="J73" s="1563"/>
      <c r="K73" s="1563"/>
      <c r="L73" s="1563"/>
      <c r="M73" s="1563"/>
      <c r="N73" s="1563"/>
      <c r="O73" s="1563"/>
      <c r="P73" s="1563"/>
      <c r="Q73" s="1563"/>
      <c r="R73" s="1563"/>
      <c r="S73" s="1563"/>
      <c r="T73" s="1563"/>
      <c r="U73" s="1563"/>
    </row>
    <row r="74" spans="1:21" s="1560" customFormat="1" ht="14.25" customHeight="1">
      <c r="A74" s="1575" t="s">
        <v>273</v>
      </c>
      <c r="B74" s="1575" t="s">
        <v>1736</v>
      </c>
      <c r="C74" s="1575">
        <v>18600</v>
      </c>
      <c r="D74" s="1575">
        <v>16480</v>
      </c>
      <c r="E74" s="1575">
        <v>20100</v>
      </c>
      <c r="F74" s="1584"/>
      <c r="G74" s="1584">
        <v>11190</v>
      </c>
      <c r="I74" s="1605"/>
      <c r="J74" s="1563"/>
      <c r="K74" s="1563"/>
      <c r="L74" s="1563"/>
      <c r="M74" s="1563"/>
      <c r="N74" s="1563"/>
      <c r="O74" s="1563"/>
      <c r="P74" s="1563"/>
      <c r="Q74" s="1563"/>
      <c r="R74" s="1563"/>
      <c r="S74" s="1563"/>
      <c r="T74" s="1563"/>
      <c r="U74" s="1563"/>
    </row>
    <row r="75" spans="1:21" s="1560" customFormat="1" ht="14.25" customHeight="1">
      <c r="A75" s="1575" t="s">
        <v>273</v>
      </c>
      <c r="B75" s="1575" t="s">
        <v>1745</v>
      </c>
      <c r="C75" s="1575">
        <v>16570</v>
      </c>
      <c r="D75" s="1575">
        <v>17530</v>
      </c>
      <c r="E75" s="1575">
        <v>21030</v>
      </c>
      <c r="F75" s="1584"/>
      <c r="G75" s="1593">
        <v>11900</v>
      </c>
      <c r="I75" s="1605"/>
      <c r="J75" s="1563"/>
      <c r="K75" s="1563"/>
      <c r="L75" s="1563"/>
      <c r="M75" s="1563"/>
      <c r="N75" s="1563"/>
      <c r="O75" s="1563"/>
      <c r="P75" s="1563"/>
      <c r="Q75" s="1563"/>
      <c r="R75" s="1563"/>
      <c r="S75" s="1563"/>
      <c r="T75" s="1563"/>
      <c r="U75" s="1563"/>
    </row>
    <row r="76" spans="1:21" s="1560" customFormat="1" ht="14.25" customHeight="1">
      <c r="A76" s="1575" t="s">
        <v>273</v>
      </c>
      <c r="B76" s="1578" t="s">
        <v>1753</v>
      </c>
      <c r="C76" s="1578">
        <v>17610</v>
      </c>
      <c r="D76" s="1578">
        <v>20800</v>
      </c>
      <c r="E76" s="1578">
        <v>18920</v>
      </c>
      <c r="F76" s="1576"/>
      <c r="G76" s="1576">
        <v>14120</v>
      </c>
      <c r="I76" s="1605"/>
      <c r="J76" s="1563"/>
      <c r="K76" s="1563"/>
      <c r="L76" s="1563"/>
      <c r="M76" s="1563"/>
      <c r="N76" s="1563"/>
      <c r="O76" s="1563"/>
      <c r="P76" s="1563"/>
      <c r="Q76" s="1563"/>
      <c r="R76" s="1563"/>
      <c r="S76" s="1563"/>
      <c r="T76" s="1563"/>
      <c r="U76" s="1563"/>
    </row>
    <row r="77" spans="1:21" s="1560" customFormat="1" ht="14.25" customHeight="1">
      <c r="A77" s="1575" t="s">
        <v>273</v>
      </c>
      <c r="B77" s="1575" t="s">
        <v>1761</v>
      </c>
      <c r="C77" s="1575">
        <v>20890</v>
      </c>
      <c r="D77" s="1575">
        <v>19740</v>
      </c>
      <c r="E77" s="1575">
        <v>20110</v>
      </c>
      <c r="F77" s="1584"/>
      <c r="G77" s="1584">
        <v>13400</v>
      </c>
      <c r="I77" s="1605"/>
      <c r="J77" s="1563"/>
      <c r="K77" s="1563"/>
      <c r="L77" s="1563"/>
      <c r="M77" s="1563"/>
      <c r="N77" s="1563"/>
      <c r="O77" s="1563"/>
      <c r="P77" s="1563"/>
      <c r="Q77" s="1563"/>
      <c r="R77" s="1563"/>
      <c r="S77" s="1563"/>
      <c r="T77" s="1563"/>
      <c r="U77" s="1563"/>
    </row>
    <row r="78" spans="1:21" s="1560" customFormat="1" ht="14.25" customHeight="1">
      <c r="A78" s="1575" t="s">
        <v>273</v>
      </c>
      <c r="B78" s="1575" t="s">
        <v>1769</v>
      </c>
      <c r="C78" s="1575">
        <v>19820</v>
      </c>
      <c r="D78" s="1575">
        <v>19780</v>
      </c>
      <c r="E78" s="1575">
        <v>18560</v>
      </c>
      <c r="F78" s="1584"/>
      <c r="G78" s="1584">
        <v>13430</v>
      </c>
      <c r="I78" s="1605"/>
      <c r="J78" s="1563"/>
      <c r="K78" s="1563"/>
      <c r="L78" s="1563"/>
      <c r="M78" s="1563"/>
      <c r="N78" s="1563"/>
      <c r="O78" s="1563"/>
      <c r="P78" s="1563"/>
      <c r="Q78" s="1563"/>
      <c r="R78" s="1563"/>
      <c r="S78" s="1563"/>
      <c r="T78" s="1563"/>
      <c r="U78" s="1563"/>
    </row>
    <row r="79" spans="1:21" s="1560" customFormat="1" ht="14.25" customHeight="1">
      <c r="A79" s="1575" t="s">
        <v>273</v>
      </c>
      <c r="B79" s="1575" t="s">
        <v>1777</v>
      </c>
      <c r="C79" s="1575">
        <v>21660</v>
      </c>
      <c r="D79" s="1575">
        <v>18000</v>
      </c>
      <c r="E79" s="1575">
        <v>22570</v>
      </c>
      <c r="F79" s="1584"/>
      <c r="G79" s="1584">
        <v>12220</v>
      </c>
      <c r="I79" s="1605"/>
      <c r="J79" s="1563"/>
      <c r="K79" s="1563"/>
      <c r="L79" s="1563"/>
      <c r="M79" s="1563"/>
      <c r="N79" s="1563"/>
      <c r="O79" s="1563"/>
      <c r="P79" s="1563"/>
      <c r="Q79" s="1563"/>
      <c r="R79" s="1563"/>
      <c r="S79" s="1563"/>
      <c r="T79" s="1563"/>
      <c r="U79" s="1563"/>
    </row>
    <row r="80" spans="1:21" s="1560" customFormat="1" ht="14.25" customHeight="1">
      <c r="A80" s="1575" t="s">
        <v>273</v>
      </c>
      <c r="B80" s="1575" t="s">
        <v>1784</v>
      </c>
      <c r="C80" s="1575">
        <v>19850</v>
      </c>
      <c r="D80" s="1575"/>
      <c r="E80" s="1575">
        <v>21700</v>
      </c>
      <c r="F80" s="1584"/>
      <c r="G80" s="1584"/>
      <c r="I80" s="1605"/>
      <c r="J80" s="1563"/>
      <c r="K80" s="1563"/>
      <c r="L80" s="1563"/>
      <c r="M80" s="1563"/>
      <c r="N80" s="1563"/>
      <c r="O80" s="1563"/>
      <c r="P80" s="1563"/>
      <c r="Q80" s="1563"/>
      <c r="R80" s="1563"/>
      <c r="S80" s="1563"/>
      <c r="T80" s="1563"/>
      <c r="U80" s="1563"/>
    </row>
    <row r="81" spans="1:21" s="1560" customFormat="1" ht="14.25" customHeight="1">
      <c r="A81" s="1575" t="s">
        <v>273</v>
      </c>
      <c r="B81" s="1575" t="s">
        <v>1791</v>
      </c>
      <c r="C81" s="1575">
        <v>18080</v>
      </c>
      <c r="D81" s="1575"/>
      <c r="E81" s="1575">
        <v>20900</v>
      </c>
      <c r="F81" s="1584"/>
      <c r="G81" s="1584"/>
      <c r="I81" s="1605"/>
      <c r="J81" s="1563"/>
      <c r="K81" s="1563"/>
      <c r="L81" s="1563"/>
      <c r="M81" s="1563"/>
      <c r="N81" s="1563"/>
      <c r="O81" s="1563"/>
      <c r="P81" s="1563"/>
      <c r="Q81" s="1563"/>
      <c r="R81" s="1563"/>
      <c r="S81" s="1563"/>
      <c r="T81" s="1563"/>
      <c r="U81" s="1563"/>
    </row>
    <row r="82" spans="1:21" s="1560" customFormat="1" ht="14.25" customHeight="1">
      <c r="A82" s="1575" t="s">
        <v>273</v>
      </c>
      <c r="B82" s="1575" t="s">
        <v>1798</v>
      </c>
      <c r="C82" s="1575"/>
      <c r="D82" s="1575"/>
      <c r="E82" s="1575">
        <v>20840</v>
      </c>
      <c r="F82" s="1584"/>
      <c r="G82" s="1584"/>
      <c r="I82" s="1605"/>
      <c r="J82" s="1563"/>
      <c r="K82" s="1563"/>
      <c r="L82" s="1563"/>
      <c r="M82" s="1563"/>
      <c r="N82" s="1563"/>
      <c r="O82" s="1563"/>
      <c r="P82" s="1563"/>
      <c r="Q82" s="1563"/>
      <c r="R82" s="1563"/>
      <c r="S82" s="1563"/>
      <c r="T82" s="1563"/>
      <c r="U82" s="1563"/>
    </row>
    <row r="83" spans="1:21" s="1560" customFormat="1" ht="14.25" customHeight="1">
      <c r="A83" s="1575" t="s">
        <v>273</v>
      </c>
      <c r="B83" s="1575" t="s">
        <v>1805</v>
      </c>
      <c r="C83" s="1575"/>
      <c r="D83" s="1575"/>
      <c r="E83" s="1575"/>
      <c r="F83" s="1584">
        <v>4770</v>
      </c>
      <c r="G83" s="1584"/>
      <c r="I83" s="1605"/>
      <c r="J83" s="1563"/>
      <c r="K83" s="1563"/>
      <c r="L83" s="1563"/>
      <c r="M83" s="1563"/>
      <c r="N83" s="1563"/>
      <c r="O83" s="1563"/>
      <c r="P83" s="1563"/>
      <c r="Q83" s="1563"/>
      <c r="R83" s="1563"/>
      <c r="S83" s="1563"/>
      <c r="T83" s="1563"/>
      <c r="U83" s="1563"/>
    </row>
    <row r="84" spans="1:21" s="1560" customFormat="1" ht="14.25" customHeight="1">
      <c r="A84" s="1575" t="s">
        <v>273</v>
      </c>
      <c r="B84" s="1575" t="s">
        <v>1812</v>
      </c>
      <c r="C84" s="1575"/>
      <c r="D84" s="1575"/>
      <c r="E84" s="1575"/>
      <c r="F84" s="1584">
        <v>4600</v>
      </c>
      <c r="G84" s="1584"/>
      <c r="I84" s="1605"/>
      <c r="J84" s="1563"/>
      <c r="K84" s="1563"/>
      <c r="L84" s="1563"/>
      <c r="M84" s="1563"/>
      <c r="N84" s="1563"/>
      <c r="O84" s="1563"/>
      <c r="P84" s="1563"/>
      <c r="Q84" s="1563"/>
      <c r="R84" s="1563"/>
      <c r="S84" s="1563"/>
      <c r="T84" s="1563"/>
      <c r="U84" s="1563"/>
    </row>
    <row r="85" spans="1:21" s="1560" customFormat="1" ht="14.25" customHeight="1">
      <c r="A85" s="1575" t="s">
        <v>273</v>
      </c>
      <c r="B85" s="1588" t="s">
        <v>1819</v>
      </c>
      <c r="C85" s="1588"/>
      <c r="D85" s="1588"/>
      <c r="E85" s="1588"/>
      <c r="F85" s="1589">
        <v>4680</v>
      </c>
      <c r="G85" s="1589"/>
      <c r="I85" s="1605"/>
      <c r="J85" s="1563"/>
      <c r="K85" s="1563"/>
      <c r="L85" s="1563"/>
      <c r="M85" s="1563"/>
      <c r="N85" s="1563"/>
      <c r="O85" s="1563"/>
      <c r="P85" s="1563"/>
      <c r="Q85" s="1563"/>
      <c r="R85" s="1563"/>
      <c r="S85" s="1563"/>
      <c r="T85" s="1563"/>
      <c r="U85" s="1563"/>
    </row>
    <row r="86" spans="1:21" s="1560" customFormat="1" ht="14.25" customHeight="1">
      <c r="A86" s="1591" t="s">
        <v>273</v>
      </c>
      <c r="B86" s="1581" t="s">
        <v>1826</v>
      </c>
      <c r="C86" s="1581">
        <v>16610</v>
      </c>
      <c r="D86" s="1581">
        <v>16540</v>
      </c>
      <c r="E86" s="1581">
        <v>18850</v>
      </c>
      <c r="F86" s="1582"/>
      <c r="G86" s="1592">
        <v>11220</v>
      </c>
      <c r="I86" s="1605"/>
      <c r="J86" s="1563"/>
      <c r="K86" s="1563"/>
      <c r="L86" s="1563"/>
      <c r="M86" s="1563"/>
      <c r="N86" s="1563"/>
      <c r="O86" s="1563"/>
      <c r="P86" s="1563"/>
      <c r="Q86" s="1563"/>
      <c r="R86" s="1563"/>
      <c r="S86" s="1563"/>
      <c r="T86" s="1563"/>
      <c r="U86" s="1563"/>
    </row>
    <row r="87" spans="1:21" s="1560" customFormat="1" ht="14.25" customHeight="1">
      <c r="A87" s="1579" t="s">
        <v>282</v>
      </c>
      <c r="B87" s="1578" t="s">
        <v>1534</v>
      </c>
      <c r="C87" s="1578">
        <v>15240</v>
      </c>
      <c r="D87" s="1578">
        <v>15170</v>
      </c>
      <c r="E87" s="1578">
        <v>18260</v>
      </c>
      <c r="F87" s="1576">
        <v>3830</v>
      </c>
      <c r="G87" s="1608">
        <v>10020</v>
      </c>
      <c r="I87" s="1605"/>
      <c r="J87" s="1563"/>
      <c r="K87" s="1563"/>
      <c r="L87" s="1563"/>
      <c r="M87" s="1563"/>
      <c r="N87" s="1563"/>
      <c r="O87" s="1563"/>
      <c r="P87" s="1563"/>
      <c r="Q87" s="1563"/>
      <c r="R87" s="1563"/>
      <c r="S87" s="1563"/>
      <c r="T87" s="1563"/>
      <c r="U87" s="1563"/>
    </row>
    <row r="88" spans="1:21" s="1560" customFormat="1" ht="14.25" customHeight="1">
      <c r="A88" s="1575" t="s">
        <v>282</v>
      </c>
      <c r="B88" s="1575" t="s">
        <v>1547</v>
      </c>
      <c r="C88" s="1575">
        <v>17310</v>
      </c>
      <c r="D88" s="1575">
        <v>17220</v>
      </c>
      <c r="E88" s="1575">
        <v>18610</v>
      </c>
      <c r="F88" s="1584">
        <v>3990</v>
      </c>
      <c r="G88" s="1594">
        <v>11380</v>
      </c>
      <c r="I88" s="1605"/>
      <c r="J88" s="1563"/>
      <c r="K88" s="1563"/>
      <c r="L88" s="1563"/>
      <c r="M88" s="1563"/>
      <c r="N88" s="1563"/>
      <c r="O88" s="1563"/>
      <c r="P88" s="1563"/>
      <c r="Q88" s="1563"/>
      <c r="R88" s="1563"/>
      <c r="S88" s="1563"/>
      <c r="T88" s="1563"/>
      <c r="U88" s="1563"/>
    </row>
    <row r="89" spans="1:21" s="1560" customFormat="1" ht="14.25" customHeight="1">
      <c r="A89" s="1575" t="s">
        <v>282</v>
      </c>
      <c r="B89" s="1575" t="s">
        <v>1560</v>
      </c>
      <c r="C89" s="1575">
        <v>15600</v>
      </c>
      <c r="D89" s="1575">
        <v>15550</v>
      </c>
      <c r="E89" s="1575">
        <v>19200</v>
      </c>
      <c r="F89" s="1584">
        <v>4110</v>
      </c>
      <c r="G89" s="1594">
        <v>10270</v>
      </c>
      <c r="I89" s="1605"/>
      <c r="J89" s="1563"/>
      <c r="K89" s="1563"/>
      <c r="L89" s="1563"/>
      <c r="M89" s="1563"/>
      <c r="N89" s="1563"/>
      <c r="O89" s="1563"/>
      <c r="P89" s="1563"/>
      <c r="Q89" s="1563"/>
      <c r="R89" s="1563"/>
      <c r="S89" s="1563"/>
      <c r="T89" s="1563"/>
      <c r="U89" s="1563"/>
    </row>
    <row r="90" spans="1:21" s="1560" customFormat="1" ht="14.25" customHeight="1">
      <c r="A90" s="1575" t="s">
        <v>282</v>
      </c>
      <c r="B90" s="1575" t="s">
        <v>1572</v>
      </c>
      <c r="C90" s="1575">
        <v>17330</v>
      </c>
      <c r="D90" s="1575">
        <v>17240</v>
      </c>
      <c r="E90" s="1575">
        <v>18570</v>
      </c>
      <c r="F90" s="1584">
        <v>4070</v>
      </c>
      <c r="G90" s="1594">
        <v>11390</v>
      </c>
      <c r="I90" s="1605"/>
      <c r="J90" s="1563"/>
      <c r="K90" s="1563"/>
      <c r="L90" s="1563"/>
      <c r="M90" s="1563"/>
      <c r="N90" s="1563"/>
      <c r="O90" s="1563"/>
      <c r="P90" s="1563"/>
      <c r="Q90" s="1563"/>
      <c r="R90" s="1563"/>
      <c r="S90" s="1563"/>
      <c r="T90" s="1563"/>
      <c r="U90" s="1563"/>
    </row>
    <row r="91" spans="1:21" s="1560" customFormat="1" ht="14.25" customHeight="1">
      <c r="A91" s="1575" t="s">
        <v>282</v>
      </c>
      <c r="B91" s="1575" t="s">
        <v>1584</v>
      </c>
      <c r="C91" s="1575">
        <v>16330</v>
      </c>
      <c r="D91" s="1575">
        <v>16260</v>
      </c>
      <c r="E91" s="1575">
        <v>16800</v>
      </c>
      <c r="F91" s="1584">
        <v>3410</v>
      </c>
      <c r="G91" s="1594">
        <v>10740</v>
      </c>
      <c r="I91" s="1605"/>
      <c r="J91" s="1563"/>
      <c r="K91" s="1563"/>
      <c r="L91" s="1563"/>
      <c r="M91" s="1563"/>
      <c r="N91" s="1563"/>
      <c r="O91" s="1563"/>
      <c r="P91" s="1563"/>
      <c r="Q91" s="1563"/>
      <c r="R91" s="1563"/>
      <c r="S91" s="1563"/>
      <c r="T91" s="1563"/>
      <c r="U91" s="1563"/>
    </row>
    <row r="92" spans="1:21" s="1560" customFormat="1" ht="14.25" customHeight="1">
      <c r="A92" s="1575" t="s">
        <v>282</v>
      </c>
      <c r="B92" s="1575" t="s">
        <v>1595</v>
      </c>
      <c r="C92" s="1575">
        <v>15570</v>
      </c>
      <c r="D92" s="1575">
        <v>15500</v>
      </c>
      <c r="E92" s="1575">
        <v>17360</v>
      </c>
      <c r="F92" s="1584">
        <v>3510</v>
      </c>
      <c r="G92" s="1594">
        <v>10240</v>
      </c>
      <c r="I92" s="1605"/>
      <c r="J92" s="1563"/>
      <c r="K92" s="1563"/>
      <c r="L92" s="1563"/>
      <c r="M92" s="1563"/>
      <c r="N92" s="1563"/>
      <c r="O92" s="1563"/>
      <c r="P92" s="1563"/>
      <c r="Q92" s="1563"/>
      <c r="R92" s="1563"/>
      <c r="S92" s="1563"/>
      <c r="T92" s="1563"/>
      <c r="U92" s="1563"/>
    </row>
    <row r="93" spans="1:21" s="1560" customFormat="1" ht="14.25" customHeight="1">
      <c r="A93" s="1575" t="s">
        <v>282</v>
      </c>
      <c r="B93" s="1575" t="s">
        <v>1606</v>
      </c>
      <c r="C93" s="1575">
        <v>14000</v>
      </c>
      <c r="D93" s="1575">
        <v>13930</v>
      </c>
      <c r="E93" s="1575">
        <v>18200</v>
      </c>
      <c r="F93" s="1584">
        <v>3640</v>
      </c>
      <c r="G93" s="1594">
        <v>9210</v>
      </c>
      <c r="I93" s="1605"/>
      <c r="J93" s="1563"/>
      <c r="K93" s="1563"/>
      <c r="L93" s="1563"/>
      <c r="M93" s="1563"/>
      <c r="N93" s="1563"/>
      <c r="O93" s="1563"/>
      <c r="P93" s="1563"/>
      <c r="Q93" s="1563"/>
      <c r="R93" s="1563"/>
      <c r="S93" s="1563"/>
      <c r="T93" s="1563"/>
      <c r="U93" s="1563"/>
    </row>
    <row r="94" spans="1:21" s="1560" customFormat="1" ht="14.25" customHeight="1">
      <c r="A94" s="1575" t="s">
        <v>282</v>
      </c>
      <c r="B94" s="1575" t="s">
        <v>1617</v>
      </c>
      <c r="C94" s="1575">
        <v>14530</v>
      </c>
      <c r="D94" s="1575">
        <v>14470</v>
      </c>
      <c r="E94" s="1575">
        <v>18240</v>
      </c>
      <c r="F94" s="1584">
        <v>3180</v>
      </c>
      <c r="G94" s="1594">
        <v>9560</v>
      </c>
      <c r="I94" s="1605"/>
      <c r="J94" s="1563"/>
      <c r="K94" s="1563"/>
      <c r="L94" s="1563"/>
      <c r="M94" s="1563"/>
      <c r="N94" s="1563"/>
      <c r="O94" s="1563"/>
      <c r="P94" s="1563"/>
      <c r="Q94" s="1563"/>
      <c r="R94" s="1563"/>
      <c r="S94" s="1563"/>
      <c r="T94" s="1563"/>
      <c r="U94" s="1563"/>
    </row>
    <row r="95" spans="1:21" s="1560" customFormat="1" ht="14.25" customHeight="1">
      <c r="A95" s="1575" t="s">
        <v>282</v>
      </c>
      <c r="B95" s="1575" t="s">
        <v>1627</v>
      </c>
      <c r="C95" s="1575">
        <v>17330</v>
      </c>
      <c r="D95" s="1575">
        <v>17260</v>
      </c>
      <c r="E95" s="1575">
        <v>18420</v>
      </c>
      <c r="F95" s="1584">
        <v>3060</v>
      </c>
      <c r="G95" s="1584">
        <v>11410</v>
      </c>
      <c r="I95" s="1605"/>
      <c r="J95" s="1563"/>
      <c r="K95" s="1563"/>
      <c r="L95" s="1563"/>
      <c r="M95" s="1563"/>
      <c r="N95" s="1563"/>
      <c r="O95" s="1563"/>
      <c r="P95" s="1563"/>
      <c r="Q95" s="1563"/>
      <c r="R95" s="1563"/>
      <c r="S95" s="1563"/>
      <c r="T95" s="1563"/>
      <c r="U95" s="1563"/>
    </row>
    <row r="96" spans="1:21" s="1560" customFormat="1" ht="14.25" customHeight="1">
      <c r="A96" s="1575" t="s">
        <v>282</v>
      </c>
      <c r="B96" s="1575" t="s">
        <v>1637</v>
      </c>
      <c r="C96" s="1575">
        <v>15030</v>
      </c>
      <c r="D96" s="1575">
        <v>14970</v>
      </c>
      <c r="E96" s="1575">
        <v>17580</v>
      </c>
      <c r="F96" s="1584">
        <v>2970</v>
      </c>
      <c r="G96" s="1584">
        <v>9890</v>
      </c>
      <c r="I96" s="1605"/>
      <c r="J96" s="1563"/>
      <c r="K96" s="1563"/>
      <c r="L96" s="1563"/>
      <c r="M96" s="1563"/>
      <c r="N96" s="1563"/>
      <c r="O96" s="1563"/>
      <c r="P96" s="1563"/>
      <c r="Q96" s="1563"/>
      <c r="R96" s="1563"/>
      <c r="S96" s="1563"/>
      <c r="T96" s="1563"/>
      <c r="U96" s="1563"/>
    </row>
    <row r="97" spans="1:21" s="1560" customFormat="1" ht="14.25" customHeight="1">
      <c r="A97" s="1575" t="s">
        <v>282</v>
      </c>
      <c r="B97" s="1575" t="s">
        <v>1647</v>
      </c>
      <c r="C97" s="1575">
        <v>17400</v>
      </c>
      <c r="D97" s="1575">
        <v>17330</v>
      </c>
      <c r="E97" s="1575">
        <v>16430</v>
      </c>
      <c r="F97" s="1584">
        <v>2950</v>
      </c>
      <c r="G97" s="1584">
        <v>11450</v>
      </c>
      <c r="I97" s="1605"/>
      <c r="J97" s="1563"/>
      <c r="K97" s="1563"/>
      <c r="L97" s="1563"/>
      <c r="M97" s="1563"/>
      <c r="N97" s="1563"/>
      <c r="O97" s="1563"/>
      <c r="P97" s="1563"/>
      <c r="Q97" s="1563"/>
      <c r="R97" s="1563"/>
      <c r="S97" s="1563"/>
      <c r="T97" s="1563"/>
      <c r="U97" s="1563"/>
    </row>
    <row r="98" spans="1:21" s="1560" customFormat="1" ht="14.25" customHeight="1">
      <c r="A98" s="1575" t="s">
        <v>282</v>
      </c>
      <c r="B98" s="1575" t="s">
        <v>1657</v>
      </c>
      <c r="C98" s="1575">
        <v>15200</v>
      </c>
      <c r="D98" s="1575">
        <v>15120</v>
      </c>
      <c r="E98" s="1575">
        <v>17550</v>
      </c>
      <c r="F98" s="1584">
        <v>3080</v>
      </c>
      <c r="G98" s="1584">
        <v>9990</v>
      </c>
      <c r="I98" s="1605"/>
      <c r="J98" s="1563"/>
      <c r="K98" s="1563"/>
      <c r="L98" s="1563"/>
      <c r="M98" s="1563"/>
      <c r="N98" s="1563"/>
      <c r="O98" s="1563"/>
      <c r="P98" s="1563"/>
      <c r="Q98" s="1563"/>
      <c r="R98" s="1563"/>
      <c r="S98" s="1563"/>
      <c r="T98" s="1563"/>
      <c r="U98" s="1563"/>
    </row>
    <row r="99" spans="1:21" s="1560" customFormat="1" ht="14.25" customHeight="1">
      <c r="A99" s="1575" t="s">
        <v>282</v>
      </c>
      <c r="B99" s="1575" t="s">
        <v>1667</v>
      </c>
      <c r="C99" s="1575">
        <v>17520</v>
      </c>
      <c r="D99" s="1575">
        <v>17430</v>
      </c>
      <c r="E99" s="1575">
        <v>16350</v>
      </c>
      <c r="F99" s="1584">
        <v>3260</v>
      </c>
      <c r="G99" s="1584">
        <v>11510</v>
      </c>
      <c r="I99" s="1605"/>
      <c r="J99" s="1563"/>
      <c r="K99" s="1563"/>
      <c r="L99" s="1563"/>
      <c r="M99" s="1563"/>
      <c r="N99" s="1563"/>
      <c r="O99" s="1563"/>
      <c r="P99" s="1563"/>
      <c r="Q99" s="1563"/>
      <c r="R99" s="1563"/>
      <c r="S99" s="1563"/>
      <c r="T99" s="1563"/>
      <c r="U99" s="1563"/>
    </row>
    <row r="100" spans="1:21" s="1560" customFormat="1" ht="14.25" customHeight="1">
      <c r="A100" s="1575" t="s">
        <v>282</v>
      </c>
      <c r="B100" s="1575" t="s">
        <v>1677</v>
      </c>
      <c r="C100" s="1575">
        <v>15340</v>
      </c>
      <c r="D100" s="1575">
        <v>15260</v>
      </c>
      <c r="E100" s="1575">
        <v>15930</v>
      </c>
      <c r="F100" s="1584">
        <v>2740</v>
      </c>
      <c r="G100" s="1584">
        <v>10080</v>
      </c>
      <c r="I100" s="1605"/>
      <c r="J100" s="1563"/>
      <c r="K100" s="1563"/>
      <c r="L100" s="1563"/>
      <c r="M100" s="1563"/>
      <c r="N100" s="1563"/>
      <c r="O100" s="1563"/>
      <c r="P100" s="1563"/>
      <c r="Q100" s="1563"/>
      <c r="R100" s="1563"/>
      <c r="S100" s="1563"/>
      <c r="T100" s="1563"/>
      <c r="U100" s="1563"/>
    </row>
    <row r="101" spans="1:21" s="1560" customFormat="1" ht="14.25" customHeight="1">
      <c r="A101" s="1575" t="s">
        <v>282</v>
      </c>
      <c r="B101" s="1575" t="s">
        <v>1687</v>
      </c>
      <c r="C101" s="1575">
        <v>14620</v>
      </c>
      <c r="D101" s="1575">
        <v>14560</v>
      </c>
      <c r="E101" s="1575">
        <v>15570</v>
      </c>
      <c r="F101" s="1584">
        <v>3500</v>
      </c>
      <c r="G101" s="1584">
        <v>9630</v>
      </c>
      <c r="I101" s="1605"/>
      <c r="J101" s="1563"/>
      <c r="K101" s="1563"/>
      <c r="L101" s="1563"/>
      <c r="M101" s="1563"/>
      <c r="N101" s="1563"/>
      <c r="O101" s="1563"/>
      <c r="P101" s="1563"/>
      <c r="Q101" s="1563"/>
      <c r="R101" s="1563"/>
      <c r="S101" s="1563"/>
      <c r="T101" s="1563"/>
      <c r="U101" s="1563"/>
    </row>
    <row r="102" spans="1:21" s="1560" customFormat="1" ht="14.25" customHeight="1">
      <c r="A102" s="1575" t="s">
        <v>282</v>
      </c>
      <c r="B102" s="1575" t="s">
        <v>1697</v>
      </c>
      <c r="C102" s="1575">
        <v>13680</v>
      </c>
      <c r="D102" s="1575">
        <v>13610</v>
      </c>
      <c r="E102" s="1575">
        <v>15690</v>
      </c>
      <c r="F102" s="1584">
        <v>2870</v>
      </c>
      <c r="G102" s="1584">
        <v>8990</v>
      </c>
      <c r="I102" s="1605"/>
      <c r="J102" s="1563"/>
      <c r="K102" s="1563"/>
      <c r="L102" s="1563"/>
      <c r="M102" s="1563"/>
      <c r="N102" s="1563"/>
      <c r="O102" s="1563"/>
      <c r="P102" s="1563"/>
      <c r="Q102" s="1563"/>
      <c r="R102" s="1563"/>
      <c r="S102" s="1563"/>
      <c r="T102" s="1563"/>
      <c r="U102" s="1563"/>
    </row>
    <row r="103" spans="1:21" s="1560" customFormat="1" ht="14.25" customHeight="1">
      <c r="A103" s="1575" t="s">
        <v>282</v>
      </c>
      <c r="B103" s="1575" t="s">
        <v>1707</v>
      </c>
      <c r="C103" s="1575">
        <v>14620</v>
      </c>
      <c r="D103" s="1575">
        <v>14540</v>
      </c>
      <c r="E103" s="1575">
        <v>15240</v>
      </c>
      <c r="F103" s="1584">
        <v>2840</v>
      </c>
      <c r="G103" s="1584">
        <v>9610</v>
      </c>
      <c r="I103" s="1605"/>
      <c r="J103" s="1563"/>
      <c r="K103" s="1563"/>
      <c r="L103" s="1563"/>
      <c r="M103" s="1563"/>
      <c r="N103" s="1563"/>
      <c r="O103" s="1563"/>
      <c r="P103" s="1563"/>
      <c r="Q103" s="1563"/>
      <c r="R103" s="1563"/>
      <c r="S103" s="1563"/>
      <c r="T103" s="1563"/>
      <c r="U103" s="1563"/>
    </row>
    <row r="104" spans="1:21" s="1560" customFormat="1" ht="14.25" customHeight="1">
      <c r="A104" s="1575" t="s">
        <v>282</v>
      </c>
      <c r="B104" s="1575" t="s">
        <v>1717</v>
      </c>
      <c r="C104" s="1575">
        <v>13610</v>
      </c>
      <c r="D104" s="1575">
        <v>13540</v>
      </c>
      <c r="E104" s="1575">
        <v>15750</v>
      </c>
      <c r="F104" s="1584">
        <v>2770</v>
      </c>
      <c r="G104" s="1584">
        <v>8940</v>
      </c>
      <c r="I104" s="1605"/>
      <c r="J104" s="1563"/>
      <c r="K104" s="1563"/>
      <c r="L104" s="1563"/>
      <c r="M104" s="1563"/>
      <c r="N104" s="1563"/>
      <c r="O104" s="1563"/>
      <c r="P104" s="1563"/>
      <c r="Q104" s="1563"/>
      <c r="R104" s="1563"/>
      <c r="S104" s="1563"/>
      <c r="T104" s="1563"/>
      <c r="U104" s="1563"/>
    </row>
    <row r="105" spans="1:21" s="1560" customFormat="1" ht="14.25" customHeight="1">
      <c r="A105" s="1575" t="s">
        <v>282</v>
      </c>
      <c r="B105" s="1575" t="s">
        <v>1727</v>
      </c>
      <c r="C105" s="1575">
        <v>13310</v>
      </c>
      <c r="D105" s="1575">
        <v>13240</v>
      </c>
      <c r="E105" s="1575">
        <v>16280</v>
      </c>
      <c r="F105" s="1584">
        <v>3210</v>
      </c>
      <c r="G105" s="1584">
        <v>8750</v>
      </c>
      <c r="I105" s="1605"/>
      <c r="J105" s="1563"/>
      <c r="K105" s="1563"/>
      <c r="L105" s="1563"/>
      <c r="M105" s="1563"/>
      <c r="N105" s="1563"/>
      <c r="O105" s="1563"/>
      <c r="P105" s="1563"/>
      <c r="Q105" s="1563"/>
      <c r="R105" s="1563"/>
      <c r="S105" s="1563"/>
      <c r="T105" s="1563"/>
      <c r="U105" s="1563"/>
    </row>
    <row r="106" spans="1:21" s="1560" customFormat="1" ht="14.25" customHeight="1">
      <c r="A106" s="1575" t="s">
        <v>282</v>
      </c>
      <c r="B106" s="1575" t="s">
        <v>1737</v>
      </c>
      <c r="C106" s="1575">
        <v>13010</v>
      </c>
      <c r="D106" s="1575">
        <v>12930</v>
      </c>
      <c r="E106" s="1575">
        <v>14960</v>
      </c>
      <c r="F106" s="1584">
        <v>3530</v>
      </c>
      <c r="G106" s="1584">
        <v>8550</v>
      </c>
      <c r="I106" s="1605"/>
      <c r="J106" s="1563"/>
      <c r="K106" s="1563"/>
      <c r="L106" s="1563"/>
      <c r="M106" s="1563"/>
      <c r="N106" s="1563"/>
      <c r="O106" s="1563"/>
      <c r="P106" s="1563"/>
      <c r="Q106" s="1563"/>
      <c r="R106" s="1563"/>
      <c r="S106" s="1563"/>
      <c r="T106" s="1563"/>
      <c r="U106" s="1563"/>
    </row>
    <row r="107" spans="1:21" s="1560" customFormat="1" ht="14.25" customHeight="1">
      <c r="A107" s="1575" t="s">
        <v>282</v>
      </c>
      <c r="B107" s="1575" t="s">
        <v>1746</v>
      </c>
      <c r="C107" s="1575">
        <v>13070</v>
      </c>
      <c r="D107" s="1575">
        <v>13000</v>
      </c>
      <c r="E107" s="1575">
        <v>15910</v>
      </c>
      <c r="F107" s="1584">
        <v>3990</v>
      </c>
      <c r="G107" s="1584">
        <v>8580</v>
      </c>
      <c r="I107" s="1605"/>
      <c r="J107" s="1563"/>
      <c r="K107" s="1563"/>
      <c r="L107" s="1563"/>
      <c r="M107" s="1563"/>
      <c r="N107" s="1563"/>
      <c r="O107" s="1563"/>
      <c r="P107" s="1563"/>
      <c r="Q107" s="1563"/>
      <c r="R107" s="1563"/>
      <c r="S107" s="1563"/>
      <c r="T107" s="1563"/>
      <c r="U107" s="1563"/>
    </row>
    <row r="108" spans="1:21" s="1560" customFormat="1" ht="14.25" customHeight="1">
      <c r="A108" s="1575" t="s">
        <v>282</v>
      </c>
      <c r="B108" s="1575" t="s">
        <v>1754</v>
      </c>
      <c r="C108" s="1575">
        <v>12640</v>
      </c>
      <c r="D108" s="1575">
        <v>12580</v>
      </c>
      <c r="E108" s="1575">
        <v>15730</v>
      </c>
      <c r="F108" s="1584"/>
      <c r="G108" s="1584">
        <v>8310</v>
      </c>
      <c r="I108" s="1605"/>
      <c r="J108" s="1563"/>
      <c r="K108" s="1563"/>
      <c r="L108" s="1563"/>
      <c r="M108" s="1563"/>
      <c r="N108" s="1563"/>
      <c r="O108" s="1563"/>
      <c r="P108" s="1563"/>
      <c r="Q108" s="1563"/>
      <c r="R108" s="1563"/>
      <c r="S108" s="1563"/>
      <c r="T108" s="1563"/>
      <c r="U108" s="1563"/>
    </row>
    <row r="109" spans="1:21" s="1560" customFormat="1" ht="14.25" customHeight="1">
      <c r="A109" s="1575" t="s">
        <v>282</v>
      </c>
      <c r="B109" s="1575" t="s">
        <v>1762</v>
      </c>
      <c r="C109" s="1575">
        <v>13130</v>
      </c>
      <c r="D109" s="1575">
        <v>13070</v>
      </c>
      <c r="E109" s="1575">
        <v>15000</v>
      </c>
      <c r="F109" s="1584"/>
      <c r="G109" s="1593">
        <v>8630</v>
      </c>
      <c r="I109" s="1605"/>
      <c r="J109" s="1563"/>
      <c r="K109" s="1563"/>
      <c r="L109" s="1563"/>
      <c r="M109" s="1563"/>
      <c r="N109" s="1563"/>
      <c r="O109" s="1563"/>
      <c r="P109" s="1563"/>
      <c r="Q109" s="1563"/>
      <c r="R109" s="1563"/>
      <c r="S109" s="1563"/>
      <c r="T109" s="1563"/>
      <c r="U109" s="1563"/>
    </row>
    <row r="110" spans="1:21" s="1560" customFormat="1" ht="14.25" customHeight="1">
      <c r="A110" s="1575" t="s">
        <v>282</v>
      </c>
      <c r="B110" s="1578" t="s">
        <v>1770</v>
      </c>
      <c r="C110" s="1578">
        <v>13560</v>
      </c>
      <c r="D110" s="1578">
        <v>13490</v>
      </c>
      <c r="E110" s="1578">
        <v>16300</v>
      </c>
      <c r="F110" s="1576"/>
      <c r="G110" s="1576">
        <v>8920</v>
      </c>
      <c r="I110" s="1605"/>
      <c r="J110" s="1563"/>
      <c r="K110" s="1563"/>
      <c r="L110" s="1563"/>
      <c r="M110" s="1563"/>
      <c r="N110" s="1563"/>
      <c r="O110" s="1563"/>
      <c r="P110" s="1563"/>
      <c r="Q110" s="1563"/>
      <c r="R110" s="1563"/>
      <c r="S110" s="1563"/>
      <c r="T110" s="1563"/>
      <c r="U110" s="1563"/>
    </row>
    <row r="111" spans="1:21" s="1560" customFormat="1" ht="14.25" customHeight="1">
      <c r="A111" s="1575" t="s">
        <v>282</v>
      </c>
      <c r="B111" s="1575" t="s">
        <v>1778</v>
      </c>
      <c r="C111" s="1575">
        <v>12440</v>
      </c>
      <c r="D111" s="1575">
        <v>12380</v>
      </c>
      <c r="E111" s="1575">
        <v>17850</v>
      </c>
      <c r="F111" s="1584"/>
      <c r="G111" s="1584">
        <v>8180</v>
      </c>
      <c r="I111" s="1605"/>
      <c r="J111" s="1563"/>
      <c r="K111" s="1563"/>
      <c r="L111" s="1563"/>
      <c r="M111" s="1563"/>
      <c r="N111" s="1563"/>
      <c r="O111" s="1563"/>
      <c r="P111" s="1563"/>
      <c r="Q111" s="1563"/>
      <c r="R111" s="1563"/>
      <c r="S111" s="1563"/>
      <c r="T111" s="1563"/>
      <c r="U111" s="1563"/>
    </row>
    <row r="112" spans="1:21" s="1560" customFormat="1" ht="14.25" customHeight="1">
      <c r="A112" s="1575" t="s">
        <v>282</v>
      </c>
      <c r="B112" s="1575" t="s">
        <v>1785</v>
      </c>
      <c r="C112" s="1575">
        <v>13260</v>
      </c>
      <c r="D112" s="1575">
        <v>13180</v>
      </c>
      <c r="E112" s="1575">
        <v>19740</v>
      </c>
      <c r="F112" s="1584"/>
      <c r="G112" s="1584">
        <v>8710</v>
      </c>
      <c r="I112" s="1605"/>
      <c r="J112" s="1563"/>
      <c r="K112" s="1563"/>
      <c r="L112" s="1563"/>
      <c r="M112" s="1563"/>
      <c r="N112" s="1563"/>
      <c r="O112" s="1563"/>
      <c r="P112" s="1563"/>
      <c r="Q112" s="1563"/>
      <c r="R112" s="1563"/>
      <c r="S112" s="1563"/>
      <c r="T112" s="1563"/>
      <c r="U112" s="1563"/>
    </row>
    <row r="113" spans="1:21" s="1560" customFormat="1" ht="14.25" customHeight="1">
      <c r="A113" s="1575" t="s">
        <v>282</v>
      </c>
      <c r="B113" s="1575" t="s">
        <v>1792</v>
      </c>
      <c r="C113" s="1575">
        <v>15520</v>
      </c>
      <c r="D113" s="1575">
        <v>15450</v>
      </c>
      <c r="E113" s="1575"/>
      <c r="F113" s="1584"/>
      <c r="G113" s="1584">
        <v>10210</v>
      </c>
      <c r="I113" s="1605"/>
      <c r="J113" s="1563"/>
      <c r="K113" s="1563"/>
      <c r="L113" s="1563"/>
      <c r="M113" s="1563"/>
      <c r="N113" s="1563"/>
      <c r="O113" s="1563"/>
      <c r="P113" s="1563"/>
      <c r="Q113" s="1563"/>
      <c r="R113" s="1563"/>
      <c r="S113" s="1563"/>
      <c r="T113" s="1563"/>
      <c r="U113" s="1563"/>
    </row>
    <row r="114" spans="1:21" s="1560" customFormat="1" ht="14.25" customHeight="1">
      <c r="A114" s="1575" t="s">
        <v>282</v>
      </c>
      <c r="B114" s="1575" t="s">
        <v>1799</v>
      </c>
      <c r="C114" s="1575">
        <v>13110</v>
      </c>
      <c r="D114" s="1575">
        <v>13050</v>
      </c>
      <c r="E114" s="1575"/>
      <c r="F114" s="1584"/>
      <c r="G114" s="1584">
        <v>8620</v>
      </c>
      <c r="I114" s="1605"/>
      <c r="J114" s="1563"/>
      <c r="K114" s="1563"/>
      <c r="L114" s="1563"/>
      <c r="M114" s="1563"/>
      <c r="N114" s="1563"/>
      <c r="O114" s="1563"/>
      <c r="P114" s="1563"/>
      <c r="Q114" s="1563"/>
      <c r="R114" s="1563"/>
      <c r="S114" s="1563"/>
      <c r="T114" s="1563"/>
      <c r="U114" s="1563"/>
    </row>
    <row r="115" spans="1:21" s="1560" customFormat="1" ht="14.25" customHeight="1">
      <c r="A115" s="1575" t="s">
        <v>282</v>
      </c>
      <c r="B115" s="1575" t="s">
        <v>1806</v>
      </c>
      <c r="C115" s="1575">
        <v>12460</v>
      </c>
      <c r="D115" s="1575">
        <v>12390</v>
      </c>
      <c r="E115" s="1575"/>
      <c r="F115" s="1584"/>
      <c r="G115" s="1584">
        <v>8190</v>
      </c>
      <c r="I115" s="1605"/>
      <c r="J115" s="1563"/>
      <c r="K115" s="1563"/>
      <c r="L115" s="1563"/>
      <c r="M115" s="1563"/>
      <c r="N115" s="1563"/>
      <c r="O115" s="1563"/>
      <c r="P115" s="1563"/>
      <c r="Q115" s="1563"/>
      <c r="R115" s="1563"/>
      <c r="S115" s="1563"/>
      <c r="T115" s="1563"/>
      <c r="U115" s="1563"/>
    </row>
    <row r="116" spans="1:21" s="1560" customFormat="1" ht="14.25" customHeight="1">
      <c r="A116" s="1575" t="s">
        <v>282</v>
      </c>
      <c r="B116" s="1575" t="s">
        <v>1813</v>
      </c>
      <c r="C116" s="1575">
        <v>13580</v>
      </c>
      <c r="D116" s="1575">
        <v>13520</v>
      </c>
      <c r="E116" s="1575"/>
      <c r="F116" s="1584"/>
      <c r="G116" s="1584">
        <v>8930</v>
      </c>
      <c r="I116" s="1605"/>
      <c r="J116" s="1563"/>
      <c r="K116" s="1563"/>
      <c r="L116" s="1563"/>
      <c r="M116" s="1563"/>
      <c r="N116" s="1563"/>
      <c r="O116" s="1563"/>
      <c r="P116" s="1563"/>
      <c r="Q116" s="1563"/>
      <c r="R116" s="1563"/>
      <c r="S116" s="1563"/>
      <c r="T116" s="1563"/>
      <c r="U116" s="1563"/>
    </row>
    <row r="117" spans="1:21" s="1560" customFormat="1" ht="14.25" customHeight="1">
      <c r="A117" s="1575" t="s">
        <v>282</v>
      </c>
      <c r="B117" s="1575" t="s">
        <v>1820</v>
      </c>
      <c r="C117" s="1575">
        <v>17120</v>
      </c>
      <c r="D117" s="1575">
        <v>17040</v>
      </c>
      <c r="E117" s="1575"/>
      <c r="F117" s="1584"/>
      <c r="G117" s="1584">
        <v>11260</v>
      </c>
      <c r="I117" s="1605"/>
      <c r="J117" s="1563"/>
      <c r="K117" s="1563"/>
      <c r="L117" s="1563"/>
      <c r="M117" s="1563"/>
      <c r="N117" s="1563"/>
      <c r="O117" s="1563"/>
      <c r="P117" s="1563"/>
      <c r="Q117" s="1563"/>
      <c r="R117" s="1563"/>
      <c r="S117" s="1563"/>
      <c r="T117" s="1563"/>
      <c r="U117" s="1563"/>
    </row>
    <row r="118" spans="1:21" s="1560" customFormat="1" ht="14.25" customHeight="1">
      <c r="A118" s="1575" t="s">
        <v>282</v>
      </c>
      <c r="B118" s="1575" t="s">
        <v>1827</v>
      </c>
      <c r="C118" s="1575">
        <v>14860</v>
      </c>
      <c r="D118" s="1575">
        <v>14790</v>
      </c>
      <c r="E118" s="1575"/>
      <c r="F118" s="1584"/>
      <c r="G118" s="1584">
        <v>9780</v>
      </c>
      <c r="I118" s="1605"/>
      <c r="J118" s="1563"/>
      <c r="K118" s="1563"/>
      <c r="L118" s="1563"/>
      <c r="M118" s="1563"/>
      <c r="N118" s="1563"/>
      <c r="O118" s="1563"/>
      <c r="P118" s="1563"/>
      <c r="Q118" s="1563"/>
      <c r="R118" s="1563"/>
      <c r="S118" s="1563"/>
      <c r="T118" s="1563"/>
      <c r="U118" s="1563"/>
    </row>
    <row r="119" spans="1:21" s="1560" customFormat="1" ht="14.25" customHeight="1">
      <c r="A119" s="1575" t="s">
        <v>282</v>
      </c>
      <c r="B119" s="1575" t="s">
        <v>1832</v>
      </c>
      <c r="C119" s="1575">
        <v>16470</v>
      </c>
      <c r="D119" s="1575">
        <v>16400</v>
      </c>
      <c r="E119" s="1575"/>
      <c r="F119" s="1584"/>
      <c r="G119" s="1584">
        <v>10840</v>
      </c>
      <c r="I119" s="1605"/>
      <c r="J119" s="1563"/>
      <c r="K119" s="1563"/>
      <c r="L119" s="1563"/>
      <c r="M119" s="1563"/>
      <c r="N119" s="1563"/>
      <c r="O119" s="1563"/>
      <c r="P119" s="1563"/>
      <c r="Q119" s="1563"/>
      <c r="R119" s="1563"/>
      <c r="S119" s="1563"/>
      <c r="T119" s="1563"/>
      <c r="U119" s="1563"/>
    </row>
    <row r="120" spans="1:21" s="1560" customFormat="1" ht="14.25" customHeight="1">
      <c r="A120" s="1575" t="s">
        <v>282</v>
      </c>
      <c r="B120" s="1575" t="s">
        <v>1837</v>
      </c>
      <c r="C120" s="1575"/>
      <c r="D120" s="1575"/>
      <c r="E120" s="1575"/>
      <c r="F120" s="1584">
        <v>4160</v>
      </c>
      <c r="G120" s="1584"/>
      <c r="I120" s="1605"/>
      <c r="J120" s="1563"/>
      <c r="K120" s="1563"/>
      <c r="L120" s="1563"/>
      <c r="M120" s="1563"/>
      <c r="N120" s="1563"/>
      <c r="O120" s="1563"/>
      <c r="P120" s="1563"/>
      <c r="Q120" s="1563"/>
      <c r="R120" s="1563"/>
      <c r="S120" s="1563"/>
      <c r="T120" s="1563"/>
      <c r="U120" s="1563"/>
    </row>
    <row r="121" spans="1:21" s="1560" customFormat="1" ht="14.25" customHeight="1">
      <c r="A121" s="1575" t="s">
        <v>282</v>
      </c>
      <c r="B121" s="1575" t="s">
        <v>1842</v>
      </c>
      <c r="C121" s="1575"/>
      <c r="D121" s="1575"/>
      <c r="E121" s="1575"/>
      <c r="F121" s="1584">
        <v>3880</v>
      </c>
      <c r="G121" s="1584"/>
      <c r="I121" s="1605"/>
      <c r="J121" s="1563"/>
      <c r="K121" s="1563"/>
      <c r="L121" s="1563"/>
      <c r="M121" s="1563"/>
      <c r="N121" s="1563"/>
      <c r="O121" s="1563"/>
      <c r="P121" s="1563"/>
      <c r="Q121" s="1563"/>
      <c r="R121" s="1563"/>
      <c r="S121" s="1563"/>
      <c r="T121" s="1563"/>
      <c r="U121" s="1563"/>
    </row>
    <row r="122" spans="1:21" s="1560" customFormat="1" ht="14.25" customHeight="1">
      <c r="A122" s="1575" t="s">
        <v>282</v>
      </c>
      <c r="B122" s="1575" t="s">
        <v>1847</v>
      </c>
      <c r="C122" s="1575">
        <v>13750</v>
      </c>
      <c r="D122" s="1575">
        <v>13680</v>
      </c>
      <c r="E122" s="1575">
        <v>16460</v>
      </c>
      <c r="F122" s="1584">
        <v>2880</v>
      </c>
      <c r="G122" s="1584">
        <v>9040</v>
      </c>
      <c r="I122" s="1605"/>
      <c r="J122" s="1563"/>
      <c r="K122" s="1563"/>
      <c r="L122" s="1563"/>
      <c r="M122" s="1563"/>
      <c r="N122" s="1563"/>
      <c r="O122" s="1563"/>
      <c r="P122" s="1563"/>
      <c r="Q122" s="1563"/>
      <c r="R122" s="1563"/>
      <c r="S122" s="1563"/>
      <c r="T122" s="1563"/>
      <c r="U122" s="1563"/>
    </row>
    <row r="123" spans="1:21" s="1560" customFormat="1" ht="14.25" customHeight="1">
      <c r="A123" s="1575" t="s">
        <v>282</v>
      </c>
      <c r="B123" s="1575" t="s">
        <v>1852</v>
      </c>
      <c r="C123" s="1575">
        <v>13590</v>
      </c>
      <c r="D123" s="1575">
        <v>13520</v>
      </c>
      <c r="E123" s="1575">
        <v>16290</v>
      </c>
      <c r="F123" s="1584">
        <v>2790</v>
      </c>
      <c r="G123" s="1584">
        <v>8930</v>
      </c>
      <c r="I123" s="1605"/>
      <c r="J123" s="1563"/>
      <c r="K123" s="1563"/>
      <c r="L123" s="1563"/>
      <c r="M123" s="1563"/>
      <c r="N123" s="1563"/>
      <c r="O123" s="1563"/>
      <c r="P123" s="1563"/>
      <c r="Q123" s="1563"/>
      <c r="R123" s="1563"/>
      <c r="S123" s="1563"/>
      <c r="T123" s="1563"/>
      <c r="U123" s="1563"/>
    </row>
    <row r="124" spans="1:21" s="1560" customFormat="1" ht="14.25" customHeight="1">
      <c r="A124" s="1575" t="s">
        <v>282</v>
      </c>
      <c r="B124" s="1575" t="s">
        <v>1857</v>
      </c>
      <c r="C124" s="1575">
        <v>13400</v>
      </c>
      <c r="D124" s="1575">
        <v>13320</v>
      </c>
      <c r="E124" s="1575">
        <v>16100</v>
      </c>
      <c r="F124" s="1584">
        <v>2320</v>
      </c>
      <c r="G124" s="1594">
        <v>8800</v>
      </c>
      <c r="I124" s="1605"/>
      <c r="J124" s="1563"/>
      <c r="K124" s="1563"/>
      <c r="L124" s="1563"/>
      <c r="M124" s="1563"/>
      <c r="N124" s="1563"/>
      <c r="O124" s="1563"/>
      <c r="P124" s="1563"/>
      <c r="Q124" s="1563"/>
      <c r="R124" s="1563"/>
      <c r="S124" s="1563"/>
      <c r="T124" s="1563"/>
      <c r="U124" s="1563"/>
    </row>
    <row r="125" spans="1:21" s="1560" customFormat="1" ht="14.25" customHeight="1">
      <c r="A125" s="1575" t="s">
        <v>282</v>
      </c>
      <c r="B125" s="1588" t="s">
        <v>1862</v>
      </c>
      <c r="C125" s="1588">
        <v>12860</v>
      </c>
      <c r="D125" s="1588">
        <v>12790</v>
      </c>
      <c r="E125" s="1588">
        <v>15370</v>
      </c>
      <c r="F125" s="1589">
        <v>2280</v>
      </c>
      <c r="G125" s="1609">
        <v>8450</v>
      </c>
      <c r="I125" s="1605"/>
      <c r="J125" s="1563"/>
      <c r="K125" s="1563"/>
      <c r="L125" s="1563"/>
      <c r="M125" s="1563"/>
      <c r="N125" s="1563"/>
      <c r="O125" s="1563"/>
      <c r="P125" s="1563"/>
      <c r="Q125" s="1563"/>
      <c r="R125" s="1563"/>
      <c r="S125" s="1563"/>
      <c r="T125" s="1563"/>
      <c r="U125" s="1563"/>
    </row>
    <row r="126" spans="1:21" s="1560" customFormat="1" ht="14.25" customHeight="1">
      <c r="A126" s="1591" t="s">
        <v>282</v>
      </c>
      <c r="B126" s="1581" t="s">
        <v>1867</v>
      </c>
      <c r="C126" s="1581">
        <v>12960</v>
      </c>
      <c r="D126" s="1581">
        <v>12890</v>
      </c>
      <c r="E126" s="1581">
        <v>15530</v>
      </c>
      <c r="F126" s="1582">
        <v>2910</v>
      </c>
      <c r="G126" s="1610">
        <v>8520</v>
      </c>
      <c r="I126" s="1605"/>
      <c r="J126" s="1563"/>
      <c r="K126" s="1563"/>
      <c r="L126" s="1563"/>
      <c r="M126" s="1563"/>
      <c r="N126" s="1563"/>
      <c r="O126" s="1563"/>
      <c r="P126" s="1563"/>
      <c r="Q126" s="1563"/>
      <c r="R126" s="1563"/>
      <c r="S126" s="1563"/>
      <c r="T126" s="1563"/>
      <c r="U126" s="1563"/>
    </row>
    <row r="127" spans="1:21" s="1560" customFormat="1" ht="14.25" customHeight="1">
      <c r="A127" s="1579" t="s">
        <v>290</v>
      </c>
      <c r="B127" s="1578" t="s">
        <v>1535</v>
      </c>
      <c r="C127" s="1578">
        <v>12280</v>
      </c>
      <c r="D127" s="1578">
        <v>12250</v>
      </c>
      <c r="E127" s="1578">
        <v>15130</v>
      </c>
      <c r="F127" s="1576">
        <v>2710</v>
      </c>
      <c r="G127" s="1608">
        <v>7870</v>
      </c>
      <c r="I127" s="1605"/>
      <c r="J127" s="1563"/>
      <c r="K127" s="1563"/>
      <c r="L127" s="1563"/>
      <c r="M127" s="1563"/>
      <c r="N127" s="1563"/>
      <c r="O127" s="1563"/>
      <c r="P127" s="1563"/>
      <c r="Q127" s="1563"/>
      <c r="R127" s="1563"/>
      <c r="S127" s="1563"/>
      <c r="T127" s="1563"/>
      <c r="U127" s="1563"/>
    </row>
    <row r="128" spans="1:21" s="1560" customFormat="1" ht="14.25" customHeight="1">
      <c r="A128" s="1575" t="s">
        <v>290</v>
      </c>
      <c r="B128" s="1575" t="s">
        <v>1548</v>
      </c>
      <c r="C128" s="1575">
        <v>13180</v>
      </c>
      <c r="D128" s="1575">
        <v>13150</v>
      </c>
      <c r="E128" s="1575">
        <v>16190</v>
      </c>
      <c r="F128" s="1584">
        <v>2820</v>
      </c>
      <c r="G128" s="1594">
        <v>8460</v>
      </c>
      <c r="I128" s="1605"/>
      <c r="J128" s="1563"/>
      <c r="K128" s="1563"/>
      <c r="L128" s="1563"/>
      <c r="M128" s="1563"/>
      <c r="N128" s="1563"/>
      <c r="O128" s="1563"/>
      <c r="P128" s="1563"/>
      <c r="Q128" s="1563"/>
      <c r="R128" s="1563"/>
      <c r="S128" s="1563"/>
      <c r="T128" s="1563"/>
      <c r="U128" s="1563"/>
    </row>
    <row r="129" spans="1:21" s="1560" customFormat="1" ht="14.25" customHeight="1">
      <c r="A129" s="1575" t="s">
        <v>290</v>
      </c>
      <c r="B129" s="1575" t="s">
        <v>1561</v>
      </c>
      <c r="C129" s="1575">
        <v>10950</v>
      </c>
      <c r="D129" s="1575">
        <v>10920</v>
      </c>
      <c r="E129" s="1575">
        <v>13820</v>
      </c>
      <c r="F129" s="1584">
        <v>2500</v>
      </c>
      <c r="G129" s="1594">
        <v>7020</v>
      </c>
      <c r="I129" s="1605"/>
      <c r="J129" s="1563"/>
      <c r="K129" s="1563"/>
      <c r="L129" s="1563"/>
      <c r="M129" s="1563"/>
      <c r="N129" s="1563"/>
      <c r="O129" s="1563"/>
      <c r="P129" s="1563"/>
      <c r="Q129" s="1563"/>
      <c r="R129" s="1563"/>
      <c r="S129" s="1563"/>
      <c r="T129" s="1563"/>
      <c r="U129" s="1563"/>
    </row>
    <row r="130" spans="1:21" s="1560" customFormat="1" ht="14.25" customHeight="1">
      <c r="A130" s="1575" t="s">
        <v>290</v>
      </c>
      <c r="B130" s="1575" t="s">
        <v>1573</v>
      </c>
      <c r="C130" s="1575">
        <v>10910</v>
      </c>
      <c r="D130" s="1575">
        <v>10860</v>
      </c>
      <c r="E130" s="1575">
        <v>13730</v>
      </c>
      <c r="F130" s="1584">
        <v>2760</v>
      </c>
      <c r="G130" s="1594">
        <v>6990</v>
      </c>
      <c r="I130" s="1605"/>
      <c r="J130" s="1563"/>
      <c r="K130" s="1563"/>
      <c r="L130" s="1563"/>
      <c r="M130" s="1563"/>
      <c r="N130" s="1563"/>
      <c r="O130" s="1563"/>
      <c r="P130" s="1563"/>
      <c r="Q130" s="1563"/>
      <c r="R130" s="1563"/>
      <c r="S130" s="1563"/>
      <c r="T130" s="1563"/>
      <c r="U130" s="1563"/>
    </row>
    <row r="131" spans="1:21" s="1560" customFormat="1" ht="14.25" customHeight="1">
      <c r="A131" s="1575" t="s">
        <v>290</v>
      </c>
      <c r="B131" s="1575" t="s">
        <v>1585</v>
      </c>
      <c r="C131" s="1575">
        <v>12910</v>
      </c>
      <c r="D131" s="1575">
        <v>12870</v>
      </c>
      <c r="E131" s="1575">
        <v>15720</v>
      </c>
      <c r="F131" s="1584">
        <v>2750</v>
      </c>
      <c r="G131" s="1594">
        <v>8280</v>
      </c>
      <c r="I131" s="1605"/>
      <c r="J131" s="1563"/>
      <c r="K131" s="1563"/>
      <c r="L131" s="1563"/>
      <c r="M131" s="1563"/>
      <c r="N131" s="1563"/>
      <c r="O131" s="1563"/>
      <c r="P131" s="1563"/>
      <c r="Q131" s="1563"/>
      <c r="R131" s="1563"/>
      <c r="S131" s="1563"/>
      <c r="T131" s="1563"/>
      <c r="U131" s="1563"/>
    </row>
    <row r="132" spans="1:21" s="1560" customFormat="1" ht="14.25" customHeight="1">
      <c r="A132" s="1575" t="s">
        <v>290</v>
      </c>
      <c r="B132" s="1575" t="s">
        <v>1596</v>
      </c>
      <c r="C132" s="1575">
        <v>11910</v>
      </c>
      <c r="D132" s="1575">
        <v>11860</v>
      </c>
      <c r="E132" s="1575">
        <v>14730</v>
      </c>
      <c r="F132" s="1584">
        <v>2360</v>
      </c>
      <c r="G132" s="1594">
        <v>7630</v>
      </c>
      <c r="I132" s="1605"/>
      <c r="J132" s="1563"/>
      <c r="K132" s="1563"/>
      <c r="L132" s="1563"/>
      <c r="M132" s="1563"/>
      <c r="N132" s="1563"/>
      <c r="O132" s="1563"/>
      <c r="P132" s="1563"/>
      <c r="Q132" s="1563"/>
      <c r="R132" s="1563"/>
      <c r="S132" s="1563"/>
      <c r="T132" s="1563"/>
      <c r="U132" s="1563"/>
    </row>
    <row r="133" spans="1:21" s="1560" customFormat="1" ht="14.25" customHeight="1">
      <c r="A133" s="1575" t="s">
        <v>290</v>
      </c>
      <c r="B133" s="1575" t="s">
        <v>1607</v>
      </c>
      <c r="C133" s="1575">
        <v>12270</v>
      </c>
      <c r="D133" s="1575">
        <v>12210</v>
      </c>
      <c r="E133" s="1575">
        <v>15010</v>
      </c>
      <c r="F133" s="1584">
        <v>2580</v>
      </c>
      <c r="G133" s="1594">
        <v>7860</v>
      </c>
      <c r="I133" s="1605"/>
      <c r="J133" s="1563"/>
      <c r="K133" s="1563"/>
      <c r="L133" s="1563"/>
      <c r="M133" s="1563"/>
      <c r="N133" s="1563"/>
      <c r="O133" s="1563"/>
      <c r="P133" s="1563"/>
      <c r="Q133" s="1563"/>
      <c r="R133" s="1563"/>
      <c r="S133" s="1563"/>
      <c r="T133" s="1563"/>
      <c r="U133" s="1563"/>
    </row>
    <row r="134" spans="1:21" s="1560" customFormat="1" ht="14.25" customHeight="1">
      <c r="A134" s="1575" t="s">
        <v>290</v>
      </c>
      <c r="B134" s="1575" t="s">
        <v>1618</v>
      </c>
      <c r="C134" s="1575">
        <v>10800</v>
      </c>
      <c r="D134" s="1575">
        <v>10780</v>
      </c>
      <c r="E134" s="1575">
        <v>13640</v>
      </c>
      <c r="F134" s="1584">
        <v>2110</v>
      </c>
      <c r="G134" s="1584">
        <v>6930</v>
      </c>
      <c r="I134" s="1605"/>
      <c r="J134" s="1563"/>
      <c r="K134" s="1563"/>
      <c r="L134" s="1563"/>
      <c r="M134" s="1563"/>
      <c r="N134" s="1563"/>
      <c r="O134" s="1563"/>
      <c r="P134" s="1563"/>
      <c r="Q134" s="1563"/>
      <c r="R134" s="1563"/>
      <c r="S134" s="1563"/>
      <c r="T134" s="1563"/>
      <c r="U134" s="1563"/>
    </row>
    <row r="135" spans="1:21" s="1560" customFormat="1" ht="14.25" customHeight="1">
      <c r="A135" s="1575" t="s">
        <v>290</v>
      </c>
      <c r="B135" s="1575" t="s">
        <v>1628</v>
      </c>
      <c r="C135" s="1575">
        <v>10430</v>
      </c>
      <c r="D135" s="1575">
        <v>10390</v>
      </c>
      <c r="E135" s="1575">
        <v>13140</v>
      </c>
      <c r="F135" s="1584">
        <v>2240</v>
      </c>
      <c r="G135" s="1594">
        <v>6680</v>
      </c>
      <c r="I135" s="1605"/>
      <c r="J135" s="1563"/>
      <c r="K135" s="1563"/>
      <c r="L135" s="1563"/>
      <c r="M135" s="1563"/>
      <c r="N135" s="1563"/>
      <c r="O135" s="1563"/>
      <c r="P135" s="1563"/>
      <c r="Q135" s="1563"/>
      <c r="R135" s="1563"/>
      <c r="S135" s="1563"/>
      <c r="T135" s="1563"/>
      <c r="U135" s="1563"/>
    </row>
    <row r="136" spans="1:21" s="1560" customFormat="1" ht="14.25" customHeight="1">
      <c r="A136" s="1575" t="s">
        <v>290</v>
      </c>
      <c r="B136" s="1575" t="s">
        <v>1638</v>
      </c>
      <c r="C136" s="1575">
        <v>11930</v>
      </c>
      <c r="D136" s="1575">
        <v>11880</v>
      </c>
      <c r="E136" s="1575">
        <v>14770</v>
      </c>
      <c r="F136" s="1584">
        <v>1970</v>
      </c>
      <c r="G136" s="1594">
        <v>7640</v>
      </c>
      <c r="I136" s="1605"/>
      <c r="J136" s="1563"/>
      <c r="K136" s="1563"/>
      <c r="L136" s="1563"/>
      <c r="M136" s="1563"/>
      <c r="N136" s="1563"/>
      <c r="O136" s="1563"/>
      <c r="P136" s="1563"/>
      <c r="Q136" s="1563"/>
      <c r="R136" s="1563"/>
      <c r="S136" s="1563"/>
      <c r="T136" s="1563"/>
      <c r="U136" s="1563"/>
    </row>
    <row r="137" spans="1:21" s="1560" customFormat="1" ht="14.25" customHeight="1">
      <c r="A137" s="1575" t="s">
        <v>290</v>
      </c>
      <c r="B137" s="1575" t="s">
        <v>1648</v>
      </c>
      <c r="C137" s="1575">
        <v>10470</v>
      </c>
      <c r="D137" s="1575">
        <v>10430</v>
      </c>
      <c r="E137" s="1575">
        <v>13190</v>
      </c>
      <c r="F137" s="1584">
        <v>1990</v>
      </c>
      <c r="G137" s="1594">
        <v>6710</v>
      </c>
      <c r="I137" s="1605"/>
      <c r="J137" s="1563"/>
      <c r="K137" s="1563"/>
      <c r="L137" s="1563"/>
      <c r="M137" s="1563"/>
      <c r="N137" s="1563"/>
      <c r="O137" s="1563"/>
      <c r="P137" s="1563"/>
      <c r="Q137" s="1563"/>
      <c r="R137" s="1563"/>
      <c r="S137" s="1563"/>
      <c r="T137" s="1563"/>
      <c r="U137" s="1563"/>
    </row>
    <row r="138" spans="1:21" s="1560" customFormat="1" ht="14.25" customHeight="1">
      <c r="A138" s="1575" t="s">
        <v>290</v>
      </c>
      <c r="B138" s="1575" t="s">
        <v>1658</v>
      </c>
      <c r="C138" s="1575">
        <v>10410</v>
      </c>
      <c r="D138" s="1575">
        <v>10380</v>
      </c>
      <c r="E138" s="1575">
        <v>13130</v>
      </c>
      <c r="F138" s="1584">
        <v>2030</v>
      </c>
      <c r="G138" s="1594">
        <v>6680</v>
      </c>
      <c r="I138" s="1605"/>
      <c r="J138" s="1563"/>
      <c r="K138" s="1563"/>
      <c r="L138" s="1563"/>
      <c r="M138" s="1563"/>
      <c r="N138" s="1563"/>
      <c r="O138" s="1563"/>
      <c r="P138" s="1563"/>
      <c r="Q138" s="1563"/>
      <c r="R138" s="1563"/>
      <c r="S138" s="1563"/>
      <c r="T138" s="1563"/>
      <c r="U138" s="1563"/>
    </row>
    <row r="139" spans="1:21" s="1560" customFormat="1" ht="14.25" customHeight="1">
      <c r="A139" s="1575" t="s">
        <v>290</v>
      </c>
      <c r="B139" s="1575" t="s">
        <v>1668</v>
      </c>
      <c r="C139" s="1575">
        <v>9460</v>
      </c>
      <c r="D139" s="1575">
        <v>9410</v>
      </c>
      <c r="E139" s="1575">
        <v>12050</v>
      </c>
      <c r="F139" s="1584">
        <v>2140</v>
      </c>
      <c r="G139" s="1584">
        <v>6050</v>
      </c>
      <c r="I139" s="1605"/>
      <c r="J139" s="1563"/>
      <c r="K139" s="1563"/>
      <c r="L139" s="1563"/>
      <c r="M139" s="1563"/>
      <c r="N139" s="1563"/>
      <c r="O139" s="1563"/>
      <c r="P139" s="1563"/>
      <c r="Q139" s="1563"/>
      <c r="R139" s="1563"/>
      <c r="S139" s="1563"/>
      <c r="T139" s="1563"/>
      <c r="U139" s="1563"/>
    </row>
    <row r="140" spans="1:21" s="1560" customFormat="1" ht="14.25" customHeight="1">
      <c r="A140" s="1575" t="s">
        <v>290</v>
      </c>
      <c r="B140" s="1575" t="s">
        <v>1678</v>
      </c>
      <c r="C140" s="1575">
        <v>11030</v>
      </c>
      <c r="D140" s="1575">
        <v>10980</v>
      </c>
      <c r="E140" s="1575">
        <v>13880</v>
      </c>
      <c r="F140" s="1584">
        <v>2210</v>
      </c>
      <c r="G140" s="1584">
        <v>7060</v>
      </c>
      <c r="I140" s="1605"/>
      <c r="J140" s="1563"/>
      <c r="K140" s="1563"/>
      <c r="L140" s="1563"/>
      <c r="M140" s="1563"/>
      <c r="N140" s="1563"/>
      <c r="O140" s="1563"/>
      <c r="P140" s="1563"/>
      <c r="Q140" s="1563"/>
      <c r="R140" s="1563"/>
      <c r="S140" s="1563"/>
      <c r="T140" s="1563"/>
      <c r="U140" s="1563"/>
    </row>
    <row r="141" spans="1:21" s="1560" customFormat="1" ht="14.25" customHeight="1">
      <c r="A141" s="1575" t="s">
        <v>290</v>
      </c>
      <c r="B141" s="1575" t="s">
        <v>1688</v>
      </c>
      <c r="C141" s="1575">
        <v>11200</v>
      </c>
      <c r="D141" s="1575">
        <v>11150</v>
      </c>
      <c r="E141" s="1575">
        <v>14100</v>
      </c>
      <c r="F141" s="1584">
        <v>2470</v>
      </c>
      <c r="G141" s="1594">
        <v>7170</v>
      </c>
      <c r="I141" s="1605"/>
      <c r="J141" s="1563"/>
      <c r="K141" s="1563"/>
      <c r="L141" s="1563"/>
      <c r="M141" s="1563"/>
      <c r="N141" s="1563"/>
      <c r="O141" s="1563"/>
      <c r="P141" s="1563"/>
      <c r="Q141" s="1563"/>
      <c r="R141" s="1563"/>
      <c r="S141" s="1563"/>
      <c r="T141" s="1563"/>
      <c r="U141" s="1563"/>
    </row>
    <row r="142" spans="1:21" s="1560" customFormat="1" ht="14.25" customHeight="1">
      <c r="A142" s="1575" t="s">
        <v>290</v>
      </c>
      <c r="B142" s="1575" t="s">
        <v>1698</v>
      </c>
      <c r="C142" s="1575">
        <v>10780</v>
      </c>
      <c r="D142" s="1575">
        <v>10730</v>
      </c>
      <c r="E142" s="1575">
        <v>13540</v>
      </c>
      <c r="F142" s="1584">
        <v>2280</v>
      </c>
      <c r="G142" s="1594">
        <v>6900</v>
      </c>
      <c r="I142" s="1605"/>
      <c r="J142" s="1563"/>
      <c r="K142" s="1563"/>
      <c r="L142" s="1563"/>
      <c r="M142" s="1563"/>
      <c r="N142" s="1563"/>
      <c r="O142" s="1563"/>
      <c r="P142" s="1563"/>
      <c r="Q142" s="1563"/>
      <c r="R142" s="1563"/>
      <c r="S142" s="1563"/>
      <c r="T142" s="1563"/>
      <c r="U142" s="1563"/>
    </row>
    <row r="143" spans="1:21" s="1560" customFormat="1" ht="14.25" customHeight="1">
      <c r="A143" s="1575" t="s">
        <v>290</v>
      </c>
      <c r="B143" s="1575" t="s">
        <v>1708</v>
      </c>
      <c r="C143" s="1575">
        <v>11550</v>
      </c>
      <c r="D143" s="1575">
        <v>11490</v>
      </c>
      <c r="E143" s="1575">
        <v>14480</v>
      </c>
      <c r="F143" s="1584">
        <v>2070</v>
      </c>
      <c r="G143" s="1594">
        <v>7390</v>
      </c>
      <c r="I143" s="1605"/>
      <c r="J143" s="1563"/>
      <c r="K143" s="1563"/>
      <c r="L143" s="1563"/>
      <c r="M143" s="1563"/>
      <c r="N143" s="1563"/>
      <c r="O143" s="1563"/>
      <c r="P143" s="1563"/>
      <c r="Q143" s="1563"/>
      <c r="R143" s="1563"/>
      <c r="S143" s="1563"/>
      <c r="T143" s="1563"/>
      <c r="U143" s="1563"/>
    </row>
    <row r="144" spans="1:21" s="1560" customFormat="1" ht="14.25" customHeight="1">
      <c r="A144" s="1575" t="s">
        <v>290</v>
      </c>
      <c r="B144" s="1575" t="s">
        <v>1718</v>
      </c>
      <c r="C144" s="1575">
        <v>10720</v>
      </c>
      <c r="D144" s="1575">
        <v>10680</v>
      </c>
      <c r="E144" s="1575">
        <v>13480</v>
      </c>
      <c r="F144" s="1584">
        <v>2440</v>
      </c>
      <c r="G144" s="1594">
        <v>6870</v>
      </c>
      <c r="I144" s="1605"/>
      <c r="J144" s="1563"/>
      <c r="K144" s="1563"/>
      <c r="L144" s="1563"/>
      <c r="M144" s="1563"/>
      <c r="N144" s="1563"/>
      <c r="O144" s="1563"/>
      <c r="P144" s="1563"/>
      <c r="Q144" s="1563"/>
      <c r="R144" s="1563"/>
      <c r="S144" s="1563"/>
      <c r="T144" s="1563"/>
      <c r="U144" s="1563"/>
    </row>
    <row r="145" spans="1:21" s="1560" customFormat="1" ht="14.25" customHeight="1">
      <c r="A145" s="1575" t="s">
        <v>290</v>
      </c>
      <c r="B145" s="1575" t="s">
        <v>1728</v>
      </c>
      <c r="C145" s="1575">
        <v>10340</v>
      </c>
      <c r="D145" s="1575">
        <v>10290</v>
      </c>
      <c r="E145" s="1575">
        <v>12880</v>
      </c>
      <c r="F145" s="1584">
        <v>2650</v>
      </c>
      <c r="G145" s="1584">
        <v>6620</v>
      </c>
      <c r="I145" s="1605"/>
      <c r="J145" s="1563"/>
      <c r="K145" s="1563"/>
      <c r="L145" s="1563"/>
      <c r="M145" s="1563"/>
      <c r="N145" s="1563"/>
      <c r="O145" s="1563"/>
      <c r="P145" s="1563"/>
      <c r="Q145" s="1563"/>
      <c r="R145" s="1563"/>
      <c r="S145" s="1563"/>
      <c r="T145" s="1563"/>
      <c r="U145" s="1563"/>
    </row>
    <row r="146" spans="1:21" s="1560" customFormat="1" ht="14.25" customHeight="1">
      <c r="A146" s="1575" t="s">
        <v>290</v>
      </c>
      <c r="B146" s="1575" t="s">
        <v>1738</v>
      </c>
      <c r="C146" s="1575">
        <v>11890</v>
      </c>
      <c r="D146" s="1575">
        <v>11830</v>
      </c>
      <c r="E146" s="1575">
        <v>14670</v>
      </c>
      <c r="F146" s="1584"/>
      <c r="G146" s="1584">
        <v>7610</v>
      </c>
      <c r="I146" s="1605"/>
      <c r="J146" s="1563"/>
      <c r="K146" s="1563"/>
      <c r="L146" s="1563"/>
      <c r="M146" s="1563"/>
      <c r="N146" s="1563"/>
      <c r="O146" s="1563"/>
      <c r="P146" s="1563"/>
      <c r="Q146" s="1563"/>
      <c r="R146" s="1563"/>
      <c r="S146" s="1563"/>
      <c r="T146" s="1563"/>
      <c r="U146" s="1563"/>
    </row>
    <row r="147" spans="1:21" s="1560" customFormat="1" ht="14.25" customHeight="1">
      <c r="A147" s="1575" t="s">
        <v>290</v>
      </c>
      <c r="B147" s="1575" t="s">
        <v>1747</v>
      </c>
      <c r="C147" s="1575">
        <v>12650</v>
      </c>
      <c r="D147" s="1575">
        <v>12600</v>
      </c>
      <c r="E147" s="1575">
        <v>15440</v>
      </c>
      <c r="F147" s="1584"/>
      <c r="G147" s="1584">
        <v>8110</v>
      </c>
      <c r="I147" s="1605"/>
      <c r="J147" s="1563"/>
      <c r="K147" s="1563"/>
      <c r="L147" s="1563"/>
      <c r="M147" s="1563"/>
      <c r="N147" s="1563"/>
      <c r="O147" s="1563"/>
      <c r="P147" s="1563"/>
      <c r="Q147" s="1563"/>
      <c r="R147" s="1563"/>
      <c r="S147" s="1563"/>
      <c r="T147" s="1563"/>
      <c r="U147" s="1563"/>
    </row>
    <row r="148" spans="1:21" s="1560" customFormat="1" ht="14.25" customHeight="1">
      <c r="A148" s="1575" t="s">
        <v>290</v>
      </c>
      <c r="B148" s="1575" t="s">
        <v>1755</v>
      </c>
      <c r="C148" s="1575">
        <v>10370</v>
      </c>
      <c r="D148" s="1575">
        <v>10310</v>
      </c>
      <c r="E148" s="1575">
        <v>12970</v>
      </c>
      <c r="F148" s="1584"/>
      <c r="G148" s="1584">
        <v>6630</v>
      </c>
      <c r="I148" s="1605"/>
      <c r="J148" s="1563"/>
      <c r="K148" s="1563"/>
      <c r="L148" s="1563"/>
      <c r="M148" s="1563"/>
      <c r="N148" s="1563"/>
      <c r="O148" s="1563"/>
      <c r="P148" s="1563"/>
      <c r="Q148" s="1563"/>
      <c r="R148" s="1563"/>
      <c r="S148" s="1563"/>
      <c r="T148" s="1563"/>
      <c r="U148" s="1563"/>
    </row>
    <row r="149" spans="1:21" s="1560" customFormat="1" ht="14.25" customHeight="1">
      <c r="A149" s="1575" t="s">
        <v>290</v>
      </c>
      <c r="B149" s="1575" t="s">
        <v>1763</v>
      </c>
      <c r="C149" s="1575">
        <v>11600</v>
      </c>
      <c r="D149" s="1575">
        <v>11560</v>
      </c>
      <c r="E149" s="1575">
        <v>14540</v>
      </c>
      <c r="F149" s="1584">
        <v>2390</v>
      </c>
      <c r="G149" s="1584">
        <v>7430</v>
      </c>
      <c r="I149" s="1605"/>
      <c r="J149" s="1563"/>
      <c r="K149" s="1563"/>
      <c r="L149" s="1563"/>
      <c r="M149" s="1563"/>
      <c r="N149" s="1563"/>
      <c r="O149" s="1563"/>
      <c r="P149" s="1563"/>
      <c r="Q149" s="1563"/>
      <c r="R149" s="1563"/>
      <c r="S149" s="1563"/>
      <c r="T149" s="1563"/>
      <c r="U149" s="1563"/>
    </row>
    <row r="150" spans="1:21" s="1560" customFormat="1" ht="14.25" customHeight="1">
      <c r="A150" s="1575" t="s">
        <v>290</v>
      </c>
      <c r="B150" s="1575" t="s">
        <v>1771</v>
      </c>
      <c r="C150" s="1575">
        <v>9950</v>
      </c>
      <c r="D150" s="1575">
        <v>9890</v>
      </c>
      <c r="E150" s="1575">
        <v>12590</v>
      </c>
      <c r="F150" s="1584">
        <v>1970</v>
      </c>
      <c r="G150" s="1584">
        <v>6360</v>
      </c>
      <c r="I150" s="1605"/>
      <c r="J150" s="1563"/>
      <c r="K150" s="1563"/>
      <c r="L150" s="1563"/>
      <c r="M150" s="1563"/>
      <c r="N150" s="1563"/>
      <c r="O150" s="1563"/>
      <c r="P150" s="1563"/>
      <c r="Q150" s="1563"/>
      <c r="R150" s="1563"/>
      <c r="S150" s="1563"/>
      <c r="T150" s="1563"/>
      <c r="U150" s="1563"/>
    </row>
    <row r="151" spans="1:21" s="1560" customFormat="1" ht="14.25" customHeight="1">
      <c r="A151" s="1575" t="s">
        <v>290</v>
      </c>
      <c r="B151" s="1575" t="s">
        <v>1779</v>
      </c>
      <c r="C151" s="1575">
        <v>10700</v>
      </c>
      <c r="D151" s="1575">
        <v>10650</v>
      </c>
      <c r="E151" s="1575">
        <v>13420</v>
      </c>
      <c r="F151" s="1584">
        <v>2020</v>
      </c>
      <c r="G151" s="1584">
        <v>6850</v>
      </c>
      <c r="I151" s="1605"/>
      <c r="J151" s="1563"/>
      <c r="K151" s="1563"/>
      <c r="L151" s="1563"/>
      <c r="M151" s="1563"/>
      <c r="N151" s="1563"/>
      <c r="O151" s="1563"/>
      <c r="P151" s="1563"/>
      <c r="Q151" s="1563"/>
      <c r="R151" s="1563"/>
      <c r="S151" s="1563"/>
      <c r="T151" s="1563"/>
      <c r="U151" s="1563"/>
    </row>
    <row r="152" spans="1:21" s="1560" customFormat="1" ht="14.25" customHeight="1">
      <c r="A152" s="1575" t="s">
        <v>290</v>
      </c>
      <c r="B152" s="1575" t="s">
        <v>1786</v>
      </c>
      <c r="C152" s="1575">
        <v>10310</v>
      </c>
      <c r="D152" s="1575">
        <v>10260</v>
      </c>
      <c r="E152" s="1575">
        <v>12820</v>
      </c>
      <c r="F152" s="1584">
        <v>1980</v>
      </c>
      <c r="G152" s="1584">
        <v>6600</v>
      </c>
      <c r="I152" s="1605"/>
      <c r="J152" s="1563"/>
      <c r="K152" s="1563"/>
      <c r="L152" s="1563"/>
      <c r="M152" s="1563"/>
      <c r="N152" s="1563"/>
      <c r="O152" s="1563"/>
      <c r="P152" s="1563"/>
      <c r="Q152" s="1563"/>
      <c r="R152" s="1563"/>
      <c r="S152" s="1563"/>
      <c r="T152" s="1563"/>
      <c r="U152" s="1563"/>
    </row>
    <row r="153" spans="1:21" s="1560" customFormat="1" ht="14.25" customHeight="1">
      <c r="A153" s="1575" t="s">
        <v>290</v>
      </c>
      <c r="B153" s="1575" t="s">
        <v>1793</v>
      </c>
      <c r="C153" s="1575">
        <v>10880</v>
      </c>
      <c r="D153" s="1575">
        <v>10820</v>
      </c>
      <c r="E153" s="1575">
        <v>13660</v>
      </c>
      <c r="F153" s="1584">
        <v>2260</v>
      </c>
      <c r="G153" s="1584">
        <v>6970</v>
      </c>
      <c r="I153" s="1605"/>
      <c r="J153" s="1563"/>
      <c r="K153" s="1563"/>
      <c r="L153" s="1563"/>
      <c r="M153" s="1563"/>
      <c r="N153" s="1563"/>
      <c r="O153" s="1563"/>
      <c r="P153" s="1563"/>
      <c r="Q153" s="1563"/>
      <c r="R153" s="1563"/>
      <c r="S153" s="1563"/>
      <c r="T153" s="1563"/>
      <c r="U153" s="1563"/>
    </row>
    <row r="154" spans="1:21" s="1560" customFormat="1" ht="14.25" customHeight="1">
      <c r="A154" s="1575" t="s">
        <v>290</v>
      </c>
      <c r="B154" s="1575" t="s">
        <v>1800</v>
      </c>
      <c r="C154" s="1575">
        <v>11220</v>
      </c>
      <c r="D154" s="1575">
        <v>11160</v>
      </c>
      <c r="E154" s="1575">
        <v>14130</v>
      </c>
      <c r="F154" s="1584">
        <v>2230</v>
      </c>
      <c r="G154" s="1584">
        <v>7180</v>
      </c>
      <c r="I154" s="1605"/>
      <c r="J154" s="1563"/>
      <c r="K154" s="1563"/>
      <c r="L154" s="1563"/>
      <c r="M154" s="1563"/>
      <c r="N154" s="1563"/>
      <c r="O154" s="1563"/>
      <c r="P154" s="1563"/>
      <c r="Q154" s="1563"/>
      <c r="R154" s="1563"/>
      <c r="S154" s="1563"/>
      <c r="T154" s="1563"/>
      <c r="U154" s="1563"/>
    </row>
    <row r="155" spans="1:21" s="1560" customFormat="1" ht="14.25" customHeight="1">
      <c r="A155" s="1575" t="s">
        <v>290</v>
      </c>
      <c r="B155" s="1575" t="s">
        <v>1807</v>
      </c>
      <c r="C155" s="1575">
        <v>10430</v>
      </c>
      <c r="D155" s="1575">
        <v>10380</v>
      </c>
      <c r="E155" s="1575">
        <v>13140</v>
      </c>
      <c r="F155" s="1584">
        <v>2080</v>
      </c>
      <c r="G155" s="1584">
        <v>6650</v>
      </c>
      <c r="I155" s="1605"/>
      <c r="J155" s="1563"/>
      <c r="K155" s="1563"/>
      <c r="L155" s="1563"/>
      <c r="M155" s="1563"/>
      <c r="N155" s="1563"/>
      <c r="O155" s="1563"/>
      <c r="P155" s="1563"/>
      <c r="Q155" s="1563"/>
      <c r="R155" s="1563"/>
      <c r="S155" s="1563"/>
      <c r="T155" s="1563"/>
      <c r="U155" s="1563"/>
    </row>
    <row r="156" spans="1:21" s="1560" customFormat="1" ht="14.25" customHeight="1">
      <c r="A156" s="1575" t="s">
        <v>290</v>
      </c>
      <c r="B156" s="1575" t="s">
        <v>1814</v>
      </c>
      <c r="C156" s="1575">
        <v>10440</v>
      </c>
      <c r="D156" s="1575">
        <v>10400</v>
      </c>
      <c r="E156" s="1575">
        <v>13150</v>
      </c>
      <c r="F156" s="1584">
        <v>2490</v>
      </c>
      <c r="G156" s="1584">
        <v>6690</v>
      </c>
      <c r="I156" s="1605"/>
      <c r="J156" s="1563"/>
      <c r="K156" s="1563"/>
      <c r="L156" s="1563"/>
      <c r="M156" s="1563"/>
      <c r="N156" s="1563"/>
      <c r="O156" s="1563"/>
      <c r="P156" s="1563"/>
      <c r="Q156" s="1563"/>
      <c r="R156" s="1563"/>
      <c r="S156" s="1563"/>
      <c r="T156" s="1563"/>
      <c r="U156" s="1563"/>
    </row>
    <row r="157" spans="1:21" s="1560" customFormat="1" ht="14.25" customHeight="1">
      <c r="A157" s="1575" t="s">
        <v>290</v>
      </c>
      <c r="B157" s="1575" t="s">
        <v>1821</v>
      </c>
      <c r="C157" s="1575">
        <v>10970</v>
      </c>
      <c r="D157" s="1575">
        <v>10920</v>
      </c>
      <c r="E157" s="1575">
        <v>13840</v>
      </c>
      <c r="F157" s="1584">
        <v>2420</v>
      </c>
      <c r="G157" s="1593">
        <v>7020</v>
      </c>
      <c r="I157" s="1605"/>
      <c r="J157" s="1563"/>
      <c r="K157" s="1563"/>
      <c r="L157" s="1563"/>
      <c r="M157" s="1563"/>
      <c r="N157" s="1563"/>
      <c r="O157" s="1563"/>
      <c r="P157" s="1563"/>
      <c r="Q157" s="1563"/>
      <c r="R157" s="1563"/>
      <c r="S157" s="1563"/>
      <c r="T157" s="1563"/>
      <c r="U157" s="1563"/>
    </row>
    <row r="158" spans="1:21" s="1560" customFormat="1" ht="14.25" customHeight="1">
      <c r="A158" s="1578" t="s">
        <v>290</v>
      </c>
      <c r="B158" s="1578" t="s">
        <v>1828</v>
      </c>
      <c r="C158" s="1578">
        <v>9590</v>
      </c>
      <c r="D158" s="1578">
        <v>9540</v>
      </c>
      <c r="E158" s="1578">
        <v>12210</v>
      </c>
      <c r="F158" s="1576">
        <v>2100</v>
      </c>
      <c r="G158" s="1576">
        <v>6130</v>
      </c>
      <c r="I158" s="1605"/>
      <c r="J158" s="1563"/>
      <c r="K158" s="1563"/>
      <c r="L158" s="1563"/>
      <c r="M158" s="1563"/>
      <c r="N158" s="1563"/>
      <c r="O158" s="1563"/>
      <c r="P158" s="1563"/>
      <c r="Q158" s="1563"/>
      <c r="R158" s="1563"/>
      <c r="S158" s="1563"/>
      <c r="T158" s="1563"/>
      <c r="U158" s="1563"/>
    </row>
    <row r="159" spans="1:21" s="1560" customFormat="1" ht="14.25" customHeight="1">
      <c r="A159" s="1575" t="s">
        <v>290</v>
      </c>
      <c r="B159" s="1575" t="s">
        <v>1833</v>
      </c>
      <c r="C159" s="1575">
        <v>11190</v>
      </c>
      <c r="D159" s="1575">
        <v>11140</v>
      </c>
      <c r="E159" s="1575">
        <v>14090</v>
      </c>
      <c r="F159" s="1584">
        <v>2470</v>
      </c>
      <c r="G159" s="1584">
        <v>7170</v>
      </c>
      <c r="I159" s="1605"/>
      <c r="J159" s="1563"/>
      <c r="K159" s="1563"/>
      <c r="L159" s="1563"/>
      <c r="M159" s="1563"/>
      <c r="N159" s="1563"/>
      <c r="O159" s="1563"/>
      <c r="P159" s="1563"/>
      <c r="Q159" s="1563"/>
      <c r="R159" s="1563"/>
      <c r="S159" s="1563"/>
      <c r="T159" s="1563"/>
      <c r="U159" s="1563"/>
    </row>
    <row r="160" spans="1:21" s="1560" customFormat="1" ht="14.25" customHeight="1">
      <c r="A160" s="1575" t="s">
        <v>290</v>
      </c>
      <c r="B160" s="1575" t="s">
        <v>1838</v>
      </c>
      <c r="C160" s="1575">
        <v>11180</v>
      </c>
      <c r="D160" s="1575">
        <v>11140</v>
      </c>
      <c r="E160" s="1575">
        <v>14050</v>
      </c>
      <c r="F160" s="1584">
        <v>2270</v>
      </c>
      <c r="G160" s="1584">
        <v>7170</v>
      </c>
      <c r="I160" s="1605"/>
      <c r="J160" s="1563"/>
      <c r="K160" s="1563"/>
      <c r="L160" s="1563"/>
      <c r="M160" s="1563"/>
      <c r="N160" s="1563"/>
      <c r="O160" s="1563"/>
      <c r="P160" s="1563"/>
      <c r="Q160" s="1563"/>
      <c r="R160" s="1563"/>
      <c r="S160" s="1563"/>
      <c r="T160" s="1563"/>
      <c r="U160" s="1563"/>
    </row>
    <row r="161" spans="1:21" s="1560" customFormat="1" ht="14.25" customHeight="1">
      <c r="A161" s="1575" t="s">
        <v>290</v>
      </c>
      <c r="B161" s="1575" t="s">
        <v>1843</v>
      </c>
      <c r="C161" s="1575">
        <v>11160</v>
      </c>
      <c r="D161" s="1575">
        <v>11120</v>
      </c>
      <c r="E161" s="1575">
        <v>14020</v>
      </c>
      <c r="F161" s="1584">
        <v>2150</v>
      </c>
      <c r="G161" s="1584">
        <v>7160</v>
      </c>
      <c r="I161" s="1605"/>
      <c r="J161" s="1563"/>
      <c r="K161" s="1563"/>
      <c r="L161" s="1563"/>
      <c r="M161" s="1563"/>
      <c r="N161" s="1563"/>
      <c r="O161" s="1563"/>
      <c r="P161" s="1563"/>
      <c r="Q161" s="1563"/>
      <c r="R161" s="1563"/>
      <c r="S161" s="1563"/>
      <c r="T161" s="1563"/>
      <c r="U161" s="1563"/>
    </row>
    <row r="162" spans="1:21" s="1560" customFormat="1" ht="14.25" customHeight="1">
      <c r="A162" s="1575" t="s">
        <v>290</v>
      </c>
      <c r="B162" s="1575" t="s">
        <v>1848</v>
      </c>
      <c r="C162" s="1575">
        <v>9620</v>
      </c>
      <c r="D162" s="1575">
        <v>9570</v>
      </c>
      <c r="E162" s="1575">
        <v>12320</v>
      </c>
      <c r="F162" s="1584">
        <v>2010</v>
      </c>
      <c r="G162" s="1584">
        <v>6160</v>
      </c>
      <c r="I162" s="1605"/>
      <c r="J162" s="1563"/>
      <c r="K162" s="1563"/>
      <c r="L162" s="1563"/>
      <c r="M162" s="1563"/>
      <c r="N162" s="1563"/>
      <c r="O162" s="1563"/>
      <c r="P162" s="1563"/>
      <c r="Q162" s="1563"/>
      <c r="R162" s="1563"/>
      <c r="S162" s="1563"/>
      <c r="T162" s="1563"/>
      <c r="U162" s="1563"/>
    </row>
    <row r="163" spans="1:21" s="1560" customFormat="1" ht="14.25" customHeight="1">
      <c r="A163" s="1575" t="s">
        <v>290</v>
      </c>
      <c r="B163" s="1575" t="s">
        <v>1853</v>
      </c>
      <c r="C163" s="1575">
        <v>9320</v>
      </c>
      <c r="D163" s="1575">
        <v>9270</v>
      </c>
      <c r="E163" s="1575">
        <v>11790</v>
      </c>
      <c r="F163" s="1584">
        <v>1920</v>
      </c>
      <c r="G163" s="1584">
        <v>5960</v>
      </c>
      <c r="I163" s="1605"/>
      <c r="J163" s="1563"/>
      <c r="K163" s="1563"/>
      <c r="L163" s="1563"/>
      <c r="M163" s="1563"/>
      <c r="N163" s="1563"/>
      <c r="O163" s="1563"/>
      <c r="P163" s="1563"/>
      <c r="Q163" s="1563"/>
      <c r="R163" s="1563"/>
      <c r="S163" s="1563"/>
      <c r="T163" s="1563"/>
      <c r="U163" s="1563"/>
    </row>
    <row r="164" spans="1:21" s="1560" customFormat="1" ht="14.25" customHeight="1">
      <c r="A164" s="1575" t="s">
        <v>290</v>
      </c>
      <c r="B164" s="1575" t="s">
        <v>1858</v>
      </c>
      <c r="C164" s="1575"/>
      <c r="D164" s="1575"/>
      <c r="E164" s="1575"/>
      <c r="F164" s="1584">
        <v>1980</v>
      </c>
      <c r="G164" s="1584"/>
      <c r="I164" s="1605"/>
      <c r="J164" s="1563"/>
      <c r="K164" s="1563"/>
      <c r="L164" s="1563"/>
      <c r="M164" s="1563"/>
      <c r="N164" s="1563"/>
      <c r="O164" s="1563"/>
      <c r="P164" s="1563"/>
      <c r="Q164" s="1563"/>
      <c r="R164" s="1563"/>
      <c r="S164" s="1563"/>
      <c r="T164" s="1563"/>
      <c r="U164" s="1563"/>
    </row>
    <row r="165" spans="1:21" s="1560" customFormat="1" ht="14.25" customHeight="1">
      <c r="A165" s="1575" t="s">
        <v>290</v>
      </c>
      <c r="B165" s="1575" t="s">
        <v>1863</v>
      </c>
      <c r="C165" s="1575">
        <v>11060</v>
      </c>
      <c r="D165" s="1575">
        <v>11030</v>
      </c>
      <c r="E165" s="1575">
        <v>13850</v>
      </c>
      <c r="F165" s="1584">
        <v>2170</v>
      </c>
      <c r="G165" s="1584">
        <v>7090</v>
      </c>
      <c r="I165" s="1605"/>
      <c r="J165" s="1563"/>
      <c r="K165" s="1563"/>
      <c r="L165" s="1563"/>
      <c r="M165" s="1563"/>
      <c r="N165" s="1563"/>
      <c r="O165" s="1563"/>
      <c r="P165" s="1563"/>
      <c r="Q165" s="1563"/>
      <c r="R165" s="1563"/>
      <c r="S165" s="1563"/>
      <c r="T165" s="1563"/>
      <c r="U165" s="1563"/>
    </row>
    <row r="166" spans="1:21" s="1560" customFormat="1" ht="14.25" customHeight="1">
      <c r="A166" s="1575" t="s">
        <v>290</v>
      </c>
      <c r="B166" s="1575" t="s">
        <v>1868</v>
      </c>
      <c r="C166" s="1575">
        <v>11050</v>
      </c>
      <c r="D166" s="1575">
        <v>11010</v>
      </c>
      <c r="E166" s="1575">
        <v>13920</v>
      </c>
      <c r="F166" s="1584">
        <v>2140</v>
      </c>
      <c r="G166" s="1584">
        <v>7080</v>
      </c>
      <c r="I166" s="1605"/>
      <c r="J166" s="1563"/>
      <c r="K166" s="1563"/>
      <c r="L166" s="1563"/>
      <c r="M166" s="1563"/>
      <c r="N166" s="1563"/>
      <c r="O166" s="1563"/>
      <c r="P166" s="1563"/>
      <c r="Q166" s="1563"/>
      <c r="R166" s="1563"/>
      <c r="S166" s="1563"/>
      <c r="T166" s="1563"/>
      <c r="U166" s="1563"/>
    </row>
    <row r="167" spans="1:21" s="1560" customFormat="1" ht="14.25" customHeight="1">
      <c r="A167" s="1575" t="s">
        <v>290</v>
      </c>
      <c r="B167" s="1575" t="s">
        <v>1872</v>
      </c>
      <c r="C167" s="1575">
        <v>10930</v>
      </c>
      <c r="D167" s="1575">
        <v>10890</v>
      </c>
      <c r="E167" s="1575">
        <v>13790</v>
      </c>
      <c r="F167" s="1584">
        <v>2010</v>
      </c>
      <c r="G167" s="1594">
        <v>7000</v>
      </c>
      <c r="I167" s="1605"/>
      <c r="J167" s="1563"/>
      <c r="K167" s="1563"/>
      <c r="L167" s="1563"/>
      <c r="M167" s="1563"/>
      <c r="N167" s="1563"/>
      <c r="O167" s="1563"/>
      <c r="P167" s="1563"/>
      <c r="Q167" s="1563"/>
      <c r="R167" s="1563"/>
      <c r="S167" s="1563"/>
      <c r="T167" s="1563"/>
      <c r="U167" s="1563"/>
    </row>
    <row r="168" spans="1:21" s="1560" customFormat="1" ht="14.25" customHeight="1">
      <c r="A168" s="1575" t="s">
        <v>290</v>
      </c>
      <c r="B168" s="1575" t="s">
        <v>1876</v>
      </c>
      <c r="C168" s="1575">
        <v>9420</v>
      </c>
      <c r="D168" s="1575">
        <v>9380</v>
      </c>
      <c r="E168" s="1575">
        <v>11970</v>
      </c>
      <c r="F168" s="1584"/>
      <c r="G168" s="1594">
        <v>6040</v>
      </c>
      <c r="I168" s="1605"/>
      <c r="J168" s="1563"/>
      <c r="K168" s="1563"/>
      <c r="L168" s="1563"/>
      <c r="M168" s="1563"/>
      <c r="N168" s="1563"/>
      <c r="O168" s="1563"/>
      <c r="P168" s="1563"/>
      <c r="Q168" s="1563"/>
      <c r="R168" s="1563"/>
      <c r="S168" s="1563"/>
      <c r="T168" s="1563"/>
      <c r="U168" s="1563"/>
    </row>
    <row r="169" spans="1:21" s="1560" customFormat="1" ht="14.25" customHeight="1">
      <c r="A169" s="1575" t="s">
        <v>290</v>
      </c>
      <c r="B169" s="1575" t="s">
        <v>1880</v>
      </c>
      <c r="C169" s="1575"/>
      <c r="D169" s="1575"/>
      <c r="E169" s="1575"/>
      <c r="F169" s="1584">
        <v>2880</v>
      </c>
      <c r="G169" s="1594"/>
      <c r="I169" s="1605"/>
      <c r="J169" s="1563"/>
      <c r="K169" s="1563"/>
      <c r="L169" s="1563"/>
      <c r="M169" s="1563"/>
      <c r="N169" s="1563"/>
      <c r="O169" s="1563"/>
      <c r="P169" s="1563"/>
      <c r="Q169" s="1563"/>
      <c r="R169" s="1563"/>
      <c r="S169" s="1563"/>
      <c r="T169" s="1563"/>
      <c r="U169" s="1563"/>
    </row>
    <row r="170" spans="1:21" s="1560" customFormat="1" ht="14.25" customHeight="1">
      <c r="A170" s="1575" t="s">
        <v>290</v>
      </c>
      <c r="B170" s="1575" t="s">
        <v>1884</v>
      </c>
      <c r="C170" s="1575"/>
      <c r="D170" s="1575"/>
      <c r="E170" s="1575"/>
      <c r="F170" s="1584">
        <v>2880</v>
      </c>
      <c r="G170" s="1594"/>
      <c r="I170" s="1605"/>
      <c r="J170" s="1563"/>
      <c r="K170" s="1563"/>
      <c r="L170" s="1563"/>
      <c r="M170" s="1563"/>
      <c r="N170" s="1563"/>
      <c r="O170" s="1563"/>
      <c r="P170" s="1563"/>
      <c r="Q170" s="1563"/>
      <c r="R170" s="1563"/>
      <c r="S170" s="1563"/>
      <c r="T170" s="1563"/>
      <c r="U170" s="1563"/>
    </row>
    <row r="171" spans="1:21" s="1560" customFormat="1" ht="14.25" customHeight="1">
      <c r="A171" s="1575" t="s">
        <v>290</v>
      </c>
      <c r="B171" s="1575" t="s">
        <v>1887</v>
      </c>
      <c r="C171" s="1575"/>
      <c r="D171" s="1575"/>
      <c r="E171" s="1575"/>
      <c r="F171" s="1584">
        <v>2880</v>
      </c>
      <c r="G171" s="1584"/>
      <c r="I171" s="1605"/>
      <c r="J171" s="1563"/>
      <c r="K171" s="1563"/>
      <c r="L171" s="1563"/>
      <c r="M171" s="1563"/>
      <c r="N171" s="1563"/>
      <c r="O171" s="1563"/>
      <c r="P171" s="1563"/>
      <c r="Q171" s="1563"/>
      <c r="R171" s="1563"/>
      <c r="S171" s="1563"/>
      <c r="T171" s="1563"/>
      <c r="U171" s="1563"/>
    </row>
    <row r="172" spans="1:21" s="1560" customFormat="1" ht="14.25" customHeight="1">
      <c r="A172" s="1575" t="s">
        <v>290</v>
      </c>
      <c r="B172" s="1575" t="s">
        <v>1889</v>
      </c>
      <c r="C172" s="1575"/>
      <c r="D172" s="1575"/>
      <c r="E172" s="1575"/>
      <c r="F172" s="1584">
        <v>2880</v>
      </c>
      <c r="G172" s="1594"/>
      <c r="I172" s="1605"/>
      <c r="J172" s="1563"/>
      <c r="K172" s="1563"/>
      <c r="L172" s="1563"/>
      <c r="M172" s="1563"/>
      <c r="N172" s="1563"/>
      <c r="O172" s="1563"/>
      <c r="P172" s="1563"/>
      <c r="Q172" s="1563"/>
      <c r="R172" s="1563"/>
      <c r="S172" s="1563"/>
      <c r="T172" s="1563"/>
      <c r="U172" s="1563"/>
    </row>
    <row r="173" spans="1:21" s="1560" customFormat="1" ht="14.25" customHeight="1">
      <c r="A173" s="1575" t="s">
        <v>290</v>
      </c>
      <c r="B173" s="1575" t="s">
        <v>1891</v>
      </c>
      <c r="C173" s="1575"/>
      <c r="D173" s="1575"/>
      <c r="E173" s="1575"/>
      <c r="F173" s="1584">
        <v>2150</v>
      </c>
      <c r="G173" s="1594"/>
      <c r="I173" s="1605"/>
      <c r="J173" s="1563"/>
      <c r="K173" s="1563"/>
      <c r="L173" s="1563"/>
      <c r="M173" s="1563"/>
      <c r="N173" s="1563"/>
      <c r="O173" s="1563"/>
      <c r="P173" s="1563"/>
      <c r="Q173" s="1563"/>
      <c r="R173" s="1563"/>
      <c r="S173" s="1563"/>
      <c r="T173" s="1563"/>
      <c r="U173" s="1563"/>
    </row>
    <row r="174" spans="1:21" s="1560" customFormat="1" ht="14.25" customHeight="1">
      <c r="A174" s="1575" t="s">
        <v>290</v>
      </c>
      <c r="B174" s="1575" t="s">
        <v>1893</v>
      </c>
      <c r="C174" s="1575"/>
      <c r="D174" s="1575"/>
      <c r="E174" s="1575"/>
      <c r="F174" s="1584">
        <v>2030</v>
      </c>
      <c r="G174" s="1584"/>
      <c r="I174" s="1605"/>
      <c r="J174" s="1563"/>
      <c r="K174" s="1563"/>
      <c r="L174" s="1563"/>
      <c r="M174" s="1563"/>
      <c r="N174" s="1563"/>
      <c r="O174" s="1563"/>
      <c r="P174" s="1563"/>
      <c r="Q174" s="1563"/>
      <c r="R174" s="1563"/>
      <c r="S174" s="1563"/>
      <c r="T174" s="1563"/>
      <c r="U174" s="1563"/>
    </row>
    <row r="175" spans="1:21" s="1560" customFormat="1" ht="14.25" customHeight="1">
      <c r="A175" s="1575" t="s">
        <v>290</v>
      </c>
      <c r="B175" s="1575" t="s">
        <v>1895</v>
      </c>
      <c r="C175" s="1575"/>
      <c r="D175" s="1575"/>
      <c r="E175" s="1575"/>
      <c r="F175" s="1584">
        <v>2780</v>
      </c>
      <c r="G175" s="1584"/>
      <c r="I175" s="1605"/>
      <c r="J175" s="1563"/>
      <c r="K175" s="1563"/>
      <c r="L175" s="1563"/>
      <c r="M175" s="1563"/>
      <c r="N175" s="1563"/>
      <c r="O175" s="1563"/>
      <c r="P175" s="1563"/>
      <c r="Q175" s="1563"/>
      <c r="R175" s="1563"/>
      <c r="S175" s="1563"/>
      <c r="T175" s="1563"/>
      <c r="U175" s="1563"/>
    </row>
    <row r="176" spans="1:21" s="1560" customFormat="1" ht="14.25" customHeight="1">
      <c r="A176" s="1575" t="s">
        <v>290</v>
      </c>
      <c r="B176" s="1575" t="s">
        <v>1897</v>
      </c>
      <c r="C176" s="1575"/>
      <c r="D176" s="1575"/>
      <c r="E176" s="1575"/>
      <c r="F176" s="1584">
        <v>2780</v>
      </c>
      <c r="G176" s="1584"/>
      <c r="I176" s="1605"/>
      <c r="J176" s="1563"/>
      <c r="K176" s="1563"/>
      <c r="L176" s="1563"/>
      <c r="M176" s="1563"/>
      <c r="N176" s="1563"/>
      <c r="O176" s="1563"/>
      <c r="P176" s="1563"/>
      <c r="Q176" s="1563"/>
      <c r="R176" s="1563"/>
      <c r="S176" s="1563"/>
      <c r="T176" s="1563"/>
      <c r="U176" s="1563"/>
    </row>
    <row r="177" spans="1:21" s="1560" customFormat="1" ht="14.25" customHeight="1">
      <c r="A177" s="1575" t="s">
        <v>290</v>
      </c>
      <c r="B177" s="1575" t="s">
        <v>1899</v>
      </c>
      <c r="C177" s="1575"/>
      <c r="D177" s="1575"/>
      <c r="E177" s="1575"/>
      <c r="F177" s="1584">
        <v>2780</v>
      </c>
      <c r="G177" s="1584"/>
      <c r="I177" s="1605"/>
      <c r="J177" s="1563"/>
      <c r="K177" s="1563"/>
      <c r="L177" s="1563"/>
      <c r="M177" s="1563"/>
      <c r="N177" s="1563"/>
      <c r="O177" s="1563"/>
      <c r="P177" s="1563"/>
      <c r="Q177" s="1563"/>
      <c r="R177" s="1563"/>
      <c r="S177" s="1563"/>
      <c r="T177" s="1563"/>
      <c r="U177" s="1563"/>
    </row>
    <row r="178" spans="1:21" s="1560" customFormat="1" ht="14.25" customHeight="1">
      <c r="A178" s="1575" t="s">
        <v>290</v>
      </c>
      <c r="B178" s="1575" t="s">
        <v>1900</v>
      </c>
      <c r="C178" s="1575"/>
      <c r="D178" s="1575"/>
      <c r="E178" s="1575"/>
      <c r="F178" s="1584">
        <v>2060</v>
      </c>
      <c r="G178" s="1584"/>
      <c r="I178" s="1605"/>
      <c r="J178" s="1563"/>
      <c r="K178" s="1563"/>
      <c r="L178" s="1563"/>
      <c r="M178" s="1563"/>
      <c r="N178" s="1563"/>
      <c r="O178" s="1563"/>
      <c r="P178" s="1563"/>
      <c r="Q178" s="1563"/>
      <c r="R178" s="1563"/>
      <c r="S178" s="1563"/>
      <c r="T178" s="1563"/>
      <c r="U178" s="1563"/>
    </row>
    <row r="179" spans="1:21" s="1560" customFormat="1" ht="14.25" customHeight="1">
      <c r="A179" s="1575" t="s">
        <v>290</v>
      </c>
      <c r="B179" s="1575" t="s">
        <v>1901</v>
      </c>
      <c r="C179" s="1575"/>
      <c r="D179" s="1575"/>
      <c r="E179" s="1575"/>
      <c r="F179" s="1584">
        <v>2120</v>
      </c>
      <c r="G179" s="1594"/>
      <c r="I179" s="1605"/>
      <c r="J179" s="1563"/>
      <c r="K179" s="1563"/>
      <c r="L179" s="1563"/>
      <c r="M179" s="1563"/>
      <c r="N179" s="1563"/>
      <c r="O179" s="1563"/>
      <c r="P179" s="1563"/>
      <c r="Q179" s="1563"/>
      <c r="R179" s="1563"/>
      <c r="S179" s="1563"/>
      <c r="T179" s="1563"/>
      <c r="U179" s="1563"/>
    </row>
    <row r="180" spans="1:21" s="1560" customFormat="1" ht="14.25" customHeight="1">
      <c r="A180" s="1575" t="s">
        <v>290</v>
      </c>
      <c r="B180" s="1575" t="s">
        <v>1902</v>
      </c>
      <c r="C180" s="1575"/>
      <c r="D180" s="1575"/>
      <c r="E180" s="1575"/>
      <c r="F180" s="1584">
        <v>2340</v>
      </c>
      <c r="G180" s="1584"/>
      <c r="I180" s="1605"/>
      <c r="J180" s="1563"/>
      <c r="K180" s="1563"/>
      <c r="L180" s="1563"/>
      <c r="M180" s="1563"/>
      <c r="N180" s="1563"/>
      <c r="O180" s="1563"/>
      <c r="P180" s="1563"/>
      <c r="Q180" s="1563"/>
      <c r="R180" s="1563"/>
      <c r="S180" s="1563"/>
      <c r="T180" s="1563"/>
      <c r="U180" s="1563"/>
    </row>
    <row r="181" spans="1:21" s="1560" customFormat="1" ht="14.25" customHeight="1">
      <c r="A181" s="1575" t="s">
        <v>290</v>
      </c>
      <c r="B181" s="1575" t="s">
        <v>1903</v>
      </c>
      <c r="C181" s="1575"/>
      <c r="D181" s="1575"/>
      <c r="E181" s="1575"/>
      <c r="F181" s="1584">
        <v>2340</v>
      </c>
      <c r="G181" s="1584"/>
      <c r="I181" s="1605"/>
      <c r="J181" s="1563"/>
      <c r="K181" s="1563"/>
      <c r="L181" s="1563"/>
      <c r="M181" s="1563"/>
      <c r="N181" s="1563"/>
      <c r="O181" s="1563"/>
      <c r="P181" s="1563"/>
      <c r="Q181" s="1563"/>
      <c r="R181" s="1563"/>
      <c r="S181" s="1563"/>
      <c r="T181" s="1563"/>
      <c r="U181" s="1563"/>
    </row>
    <row r="182" spans="1:21" s="1560" customFormat="1" ht="14.25" customHeight="1">
      <c r="A182" s="1575" t="s">
        <v>290</v>
      </c>
      <c r="B182" s="1575" t="s">
        <v>1904</v>
      </c>
      <c r="C182" s="1575"/>
      <c r="D182" s="1575"/>
      <c r="E182" s="1575"/>
      <c r="F182" s="1584">
        <v>2340</v>
      </c>
      <c r="G182" s="1584"/>
      <c r="I182" s="1605"/>
      <c r="J182" s="1563"/>
      <c r="K182" s="1563"/>
      <c r="L182" s="1563"/>
      <c r="M182" s="1563"/>
      <c r="N182" s="1563"/>
      <c r="O182" s="1563"/>
      <c r="P182" s="1563"/>
      <c r="Q182" s="1563"/>
      <c r="R182" s="1563"/>
      <c r="S182" s="1563"/>
      <c r="T182" s="1563"/>
      <c r="U182" s="1563"/>
    </row>
    <row r="183" spans="1:21" s="1560" customFormat="1" ht="14.25" customHeight="1">
      <c r="A183" s="1575" t="s">
        <v>290</v>
      </c>
      <c r="B183" s="1575" t="s">
        <v>1905</v>
      </c>
      <c r="C183" s="1575"/>
      <c r="D183" s="1575"/>
      <c r="E183" s="1575"/>
      <c r="F183" s="1584">
        <v>2340</v>
      </c>
      <c r="G183" s="1594"/>
      <c r="I183" s="1605"/>
      <c r="J183" s="1563"/>
      <c r="K183" s="1563"/>
      <c r="L183" s="1563"/>
      <c r="M183" s="1563"/>
      <c r="N183" s="1563"/>
      <c r="O183" s="1563"/>
      <c r="P183" s="1563"/>
      <c r="Q183" s="1563"/>
      <c r="R183" s="1563"/>
      <c r="S183" s="1563"/>
      <c r="T183" s="1563"/>
      <c r="U183" s="1563"/>
    </row>
    <row r="184" spans="1:21" s="1560" customFormat="1" ht="14.25" customHeight="1">
      <c r="A184" s="1575" t="s">
        <v>290</v>
      </c>
      <c r="B184" s="1575" t="s">
        <v>1906</v>
      </c>
      <c r="C184" s="1575"/>
      <c r="D184" s="1575"/>
      <c r="E184" s="1575"/>
      <c r="F184" s="1584">
        <v>2340</v>
      </c>
      <c r="G184" s="1594"/>
      <c r="I184" s="1605"/>
      <c r="J184" s="1563"/>
      <c r="K184" s="1563"/>
      <c r="L184" s="1563"/>
      <c r="M184" s="1563"/>
      <c r="N184" s="1563"/>
      <c r="O184" s="1563"/>
      <c r="P184" s="1563"/>
      <c r="Q184" s="1563"/>
      <c r="R184" s="1563"/>
      <c r="S184" s="1563"/>
      <c r="T184" s="1563"/>
      <c r="U184" s="1563"/>
    </row>
    <row r="185" spans="1:21" s="1560" customFormat="1" ht="14.25" customHeight="1">
      <c r="A185" s="1575" t="s">
        <v>290</v>
      </c>
      <c r="B185" s="1575" t="s">
        <v>1907</v>
      </c>
      <c r="C185" s="1575"/>
      <c r="D185" s="1575"/>
      <c r="E185" s="1575"/>
      <c r="F185" s="1584">
        <v>2530</v>
      </c>
      <c r="G185" s="1584"/>
      <c r="I185" s="1605"/>
      <c r="J185" s="1563"/>
      <c r="K185" s="1563"/>
      <c r="L185" s="1563"/>
      <c r="M185" s="1563"/>
      <c r="N185" s="1563"/>
      <c r="O185" s="1563"/>
      <c r="P185" s="1563"/>
      <c r="Q185" s="1563"/>
      <c r="R185" s="1563"/>
      <c r="S185" s="1563"/>
      <c r="T185" s="1563"/>
      <c r="U185" s="1563"/>
    </row>
    <row r="186" spans="1:21" s="1560" customFormat="1" ht="14.25" customHeight="1">
      <c r="A186" s="1575" t="s">
        <v>290</v>
      </c>
      <c r="B186" s="1575" t="s">
        <v>1908</v>
      </c>
      <c r="C186" s="1575"/>
      <c r="D186" s="1575"/>
      <c r="E186" s="1575"/>
      <c r="F186" s="1584">
        <v>2550</v>
      </c>
      <c r="G186" s="1584"/>
      <c r="I186" s="1605"/>
      <c r="J186" s="1563"/>
      <c r="K186" s="1563"/>
      <c r="L186" s="1563"/>
      <c r="M186" s="1563"/>
      <c r="N186" s="1563"/>
      <c r="O186" s="1563"/>
      <c r="P186" s="1563"/>
      <c r="Q186" s="1563"/>
      <c r="R186" s="1563"/>
      <c r="S186" s="1563"/>
      <c r="T186" s="1563"/>
      <c r="U186" s="1563"/>
    </row>
    <row r="187" spans="1:21" s="1560" customFormat="1" ht="14.25" customHeight="1">
      <c r="A187" s="1575" t="s">
        <v>290</v>
      </c>
      <c r="B187" s="1575" t="s">
        <v>1909</v>
      </c>
      <c r="C187" s="1575"/>
      <c r="D187" s="1575"/>
      <c r="E187" s="1575"/>
      <c r="F187" s="1584">
        <v>2070</v>
      </c>
      <c r="G187" s="1584"/>
      <c r="I187" s="1605"/>
      <c r="J187" s="1563"/>
      <c r="K187" s="1563"/>
      <c r="L187" s="1563"/>
      <c r="M187" s="1563"/>
      <c r="N187" s="1563"/>
      <c r="O187" s="1563"/>
      <c r="P187" s="1563"/>
      <c r="Q187" s="1563"/>
      <c r="R187" s="1563"/>
      <c r="S187" s="1563"/>
      <c r="T187" s="1563"/>
      <c r="U187" s="1563"/>
    </row>
    <row r="188" spans="1:21" s="1560" customFormat="1" ht="14.25" customHeight="1">
      <c r="A188" s="1575" t="s">
        <v>290</v>
      </c>
      <c r="B188" s="1575" t="s">
        <v>1910</v>
      </c>
      <c r="C188" s="1575"/>
      <c r="D188" s="1575"/>
      <c r="E188" s="1575"/>
      <c r="F188" s="1584">
        <v>2340</v>
      </c>
      <c r="G188" s="1584"/>
      <c r="I188" s="1605"/>
      <c r="J188" s="1563"/>
      <c r="K188" s="1563"/>
      <c r="L188" s="1563"/>
      <c r="M188" s="1563"/>
      <c r="N188" s="1563"/>
      <c r="O188" s="1563"/>
      <c r="P188" s="1563"/>
      <c r="Q188" s="1563"/>
      <c r="R188" s="1563"/>
      <c r="S188" s="1563"/>
      <c r="T188" s="1563"/>
      <c r="U188" s="1563"/>
    </row>
    <row r="189" spans="1:21" s="1560" customFormat="1" ht="14.25" customHeight="1">
      <c r="A189" s="1591" t="s">
        <v>290</v>
      </c>
      <c r="B189" s="1581" t="s">
        <v>1911</v>
      </c>
      <c r="C189" s="1581"/>
      <c r="D189" s="1581"/>
      <c r="E189" s="1581"/>
      <c r="F189" s="1582">
        <v>2050</v>
      </c>
      <c r="G189" s="1592"/>
      <c r="I189" s="1605"/>
      <c r="J189" s="1563"/>
      <c r="K189" s="1563"/>
      <c r="L189" s="1563"/>
      <c r="M189" s="1563"/>
      <c r="N189" s="1563"/>
      <c r="O189" s="1563"/>
      <c r="P189" s="1563"/>
      <c r="Q189" s="1563"/>
      <c r="R189" s="1563"/>
      <c r="S189" s="1563"/>
      <c r="T189" s="1563"/>
      <c r="U189" s="1563"/>
    </row>
    <row r="190" spans="1:21" s="1560" customFormat="1" ht="14.25" customHeight="1">
      <c r="A190" s="1579" t="s">
        <v>295</v>
      </c>
      <c r="B190" s="1578" t="s">
        <v>1536</v>
      </c>
      <c r="C190" s="1578">
        <v>8830</v>
      </c>
      <c r="D190" s="1578">
        <v>8790</v>
      </c>
      <c r="E190" s="1578">
        <v>11630</v>
      </c>
      <c r="F190" s="1576">
        <v>1790</v>
      </c>
      <c r="G190" s="1576">
        <v>5550</v>
      </c>
      <c r="I190" s="1605"/>
      <c r="J190" s="1563"/>
      <c r="K190" s="1563"/>
      <c r="L190" s="1563"/>
      <c r="M190" s="1563"/>
      <c r="N190" s="1563"/>
      <c r="O190" s="1563"/>
      <c r="P190" s="1563"/>
      <c r="Q190" s="1563"/>
      <c r="R190" s="1563"/>
      <c r="S190" s="1563"/>
      <c r="T190" s="1563"/>
      <c r="U190" s="1563"/>
    </row>
    <row r="191" spans="1:21" s="1560" customFormat="1" ht="14.25" customHeight="1">
      <c r="A191" s="1575" t="s">
        <v>295</v>
      </c>
      <c r="B191" s="1575" t="s">
        <v>1549</v>
      </c>
      <c r="C191" s="1575">
        <v>9780</v>
      </c>
      <c r="D191" s="1575">
        <v>9710</v>
      </c>
      <c r="E191" s="1575">
        <v>12550</v>
      </c>
      <c r="F191" s="1584">
        <v>1980</v>
      </c>
      <c r="G191" s="1584">
        <v>6130</v>
      </c>
      <c r="I191" s="1605"/>
      <c r="J191" s="1563"/>
      <c r="K191" s="1563"/>
      <c r="L191" s="1563"/>
      <c r="M191" s="1563"/>
      <c r="N191" s="1563"/>
      <c r="O191" s="1563"/>
      <c r="P191" s="1563"/>
      <c r="Q191" s="1563"/>
      <c r="R191" s="1563"/>
      <c r="S191" s="1563"/>
      <c r="T191" s="1563"/>
      <c r="U191" s="1563"/>
    </row>
    <row r="192" spans="1:21" s="1560" customFormat="1" ht="14.25" customHeight="1">
      <c r="A192" s="1575" t="s">
        <v>295</v>
      </c>
      <c r="B192" s="1575" t="s">
        <v>1562</v>
      </c>
      <c r="C192" s="1575">
        <v>8180</v>
      </c>
      <c r="D192" s="1575">
        <v>8140</v>
      </c>
      <c r="E192" s="1575">
        <v>10870</v>
      </c>
      <c r="F192" s="1584">
        <v>1690</v>
      </c>
      <c r="G192" s="1584">
        <v>5140</v>
      </c>
      <c r="I192" s="1605"/>
      <c r="J192" s="1563"/>
      <c r="K192" s="1563"/>
      <c r="L192" s="1563"/>
      <c r="M192" s="1563"/>
      <c r="N192" s="1563"/>
      <c r="O192" s="1563"/>
      <c r="P192" s="1563"/>
      <c r="Q192" s="1563"/>
      <c r="R192" s="1563"/>
      <c r="S192" s="1563"/>
      <c r="T192" s="1563"/>
      <c r="U192" s="1563"/>
    </row>
    <row r="193" spans="1:21" s="1560" customFormat="1" ht="14.25" customHeight="1">
      <c r="A193" s="1575" t="s">
        <v>295</v>
      </c>
      <c r="B193" s="1575" t="s">
        <v>1574</v>
      </c>
      <c r="C193" s="1575">
        <v>8440</v>
      </c>
      <c r="D193" s="1575">
        <v>8390</v>
      </c>
      <c r="E193" s="1575">
        <v>11210</v>
      </c>
      <c r="F193" s="1584">
        <v>1600</v>
      </c>
      <c r="G193" s="1584">
        <v>5300</v>
      </c>
      <c r="I193" s="1605"/>
      <c r="J193" s="1563"/>
      <c r="K193" s="1563"/>
      <c r="L193" s="1563"/>
      <c r="M193" s="1563"/>
      <c r="N193" s="1563"/>
      <c r="O193" s="1563"/>
      <c r="P193" s="1563"/>
      <c r="Q193" s="1563"/>
      <c r="R193" s="1563"/>
      <c r="S193" s="1563"/>
      <c r="T193" s="1563"/>
      <c r="U193" s="1563"/>
    </row>
    <row r="194" spans="1:21" s="1560" customFormat="1" ht="14.25" customHeight="1">
      <c r="A194" s="1575" t="s">
        <v>295</v>
      </c>
      <c r="B194" s="1575" t="s">
        <v>1586</v>
      </c>
      <c r="C194" s="1575">
        <v>8780</v>
      </c>
      <c r="D194" s="1575">
        <v>8730</v>
      </c>
      <c r="E194" s="1575">
        <v>11550</v>
      </c>
      <c r="F194" s="1584">
        <v>1660</v>
      </c>
      <c r="G194" s="1584">
        <v>5520</v>
      </c>
      <c r="I194" s="1605"/>
      <c r="J194" s="1563"/>
      <c r="K194" s="1563"/>
      <c r="L194" s="1563"/>
      <c r="M194" s="1563"/>
      <c r="N194" s="1563"/>
      <c r="O194" s="1563"/>
      <c r="P194" s="1563"/>
      <c r="Q194" s="1563"/>
      <c r="R194" s="1563"/>
      <c r="S194" s="1563"/>
      <c r="T194" s="1563"/>
      <c r="U194" s="1563"/>
    </row>
    <row r="195" spans="1:21" s="1560" customFormat="1" ht="14.25" customHeight="1">
      <c r="A195" s="1575" t="s">
        <v>295</v>
      </c>
      <c r="B195" s="1575" t="s">
        <v>1597</v>
      </c>
      <c r="C195" s="1575">
        <v>8720</v>
      </c>
      <c r="D195" s="1575">
        <v>8670</v>
      </c>
      <c r="E195" s="1575">
        <v>11450</v>
      </c>
      <c r="F195" s="1584">
        <v>1720</v>
      </c>
      <c r="G195" s="1584">
        <v>5480</v>
      </c>
      <c r="I195" s="1605"/>
      <c r="J195" s="1563"/>
      <c r="K195" s="1563"/>
      <c r="L195" s="1563"/>
      <c r="M195" s="1563"/>
      <c r="N195" s="1563"/>
      <c r="O195" s="1563"/>
      <c r="P195" s="1563"/>
      <c r="Q195" s="1563"/>
      <c r="R195" s="1563"/>
      <c r="S195" s="1563"/>
      <c r="T195" s="1563"/>
      <c r="U195" s="1563"/>
    </row>
    <row r="196" spans="1:21" s="1560" customFormat="1" ht="14.25" customHeight="1">
      <c r="A196" s="1575" t="s">
        <v>295</v>
      </c>
      <c r="B196" s="1575" t="s">
        <v>1608</v>
      </c>
      <c r="C196" s="1575">
        <v>8460</v>
      </c>
      <c r="D196" s="1575">
        <v>8410</v>
      </c>
      <c r="E196" s="1575">
        <v>11230</v>
      </c>
      <c r="F196" s="1584">
        <v>1730</v>
      </c>
      <c r="G196" s="1584">
        <v>5310</v>
      </c>
      <c r="I196" s="1605"/>
      <c r="J196" s="1563"/>
      <c r="K196" s="1563"/>
      <c r="L196" s="1563"/>
      <c r="M196" s="1563"/>
      <c r="N196" s="1563"/>
      <c r="O196" s="1563"/>
      <c r="P196" s="1563"/>
      <c r="Q196" s="1563"/>
      <c r="R196" s="1563"/>
      <c r="S196" s="1563"/>
      <c r="T196" s="1563"/>
      <c r="U196" s="1563"/>
    </row>
    <row r="197" spans="1:21" s="1560" customFormat="1" ht="14.25" customHeight="1">
      <c r="A197" s="1575" t="s">
        <v>295</v>
      </c>
      <c r="B197" s="1575" t="s">
        <v>1619</v>
      </c>
      <c r="C197" s="1575">
        <v>8790</v>
      </c>
      <c r="D197" s="1575">
        <v>8730</v>
      </c>
      <c r="E197" s="1575">
        <v>11560</v>
      </c>
      <c r="F197" s="1584">
        <v>1750</v>
      </c>
      <c r="G197" s="1584">
        <v>5520</v>
      </c>
      <c r="I197" s="1605"/>
      <c r="J197" s="1563"/>
      <c r="K197" s="1563"/>
      <c r="L197" s="1563"/>
      <c r="M197" s="1563"/>
      <c r="N197" s="1563"/>
      <c r="O197" s="1563"/>
      <c r="P197" s="1563"/>
      <c r="Q197" s="1563"/>
      <c r="R197" s="1563"/>
      <c r="S197" s="1563"/>
      <c r="T197" s="1563"/>
      <c r="U197" s="1563"/>
    </row>
    <row r="198" spans="1:21" s="1560" customFormat="1" ht="14.25" customHeight="1">
      <c r="A198" s="1575" t="s">
        <v>295</v>
      </c>
      <c r="B198" s="1575" t="s">
        <v>1629</v>
      </c>
      <c r="C198" s="1575">
        <v>8720</v>
      </c>
      <c r="D198" s="1575">
        <v>8680</v>
      </c>
      <c r="E198" s="1575">
        <v>11470</v>
      </c>
      <c r="F198" s="1584"/>
      <c r="G198" s="1584">
        <v>5480</v>
      </c>
      <c r="I198" s="1605"/>
      <c r="J198" s="1563"/>
      <c r="K198" s="1563"/>
      <c r="L198" s="1563"/>
      <c r="M198" s="1563"/>
      <c r="N198" s="1563"/>
      <c r="O198" s="1563"/>
      <c r="P198" s="1563"/>
      <c r="Q198" s="1563"/>
      <c r="R198" s="1563"/>
      <c r="S198" s="1563"/>
      <c r="T198" s="1563"/>
      <c r="U198" s="1563"/>
    </row>
    <row r="199" spans="1:21" s="1560" customFormat="1" ht="14.25" customHeight="1">
      <c r="A199" s="1575" t="s">
        <v>295</v>
      </c>
      <c r="B199" s="1575" t="s">
        <v>1639</v>
      </c>
      <c r="C199" s="1575">
        <v>8690</v>
      </c>
      <c r="D199" s="1575">
        <v>8630</v>
      </c>
      <c r="E199" s="1575">
        <v>11350</v>
      </c>
      <c r="F199" s="1584">
        <v>1600</v>
      </c>
      <c r="G199" s="1584">
        <v>5450</v>
      </c>
      <c r="I199" s="1605"/>
      <c r="J199" s="1563"/>
      <c r="K199" s="1563"/>
      <c r="L199" s="1563"/>
      <c r="M199" s="1563"/>
      <c r="N199" s="1563"/>
      <c r="O199" s="1563"/>
      <c r="P199" s="1563"/>
      <c r="Q199" s="1563"/>
      <c r="R199" s="1563"/>
      <c r="S199" s="1563"/>
      <c r="T199" s="1563"/>
      <c r="U199" s="1563"/>
    </row>
    <row r="200" spans="1:21" s="1560" customFormat="1" ht="14.25" customHeight="1">
      <c r="A200" s="1575" t="s">
        <v>295</v>
      </c>
      <c r="B200" s="1575" t="s">
        <v>1649</v>
      </c>
      <c r="C200" s="1575"/>
      <c r="D200" s="1575"/>
      <c r="E200" s="1575"/>
      <c r="F200" s="1584">
        <v>1510</v>
      </c>
      <c r="G200" s="1584"/>
      <c r="I200" s="1605"/>
      <c r="J200" s="1563"/>
      <c r="K200" s="1563"/>
      <c r="L200" s="1563"/>
      <c r="M200" s="1563"/>
      <c r="N200" s="1563"/>
      <c r="O200" s="1563"/>
      <c r="P200" s="1563"/>
      <c r="Q200" s="1563"/>
      <c r="R200" s="1563"/>
      <c r="S200" s="1563"/>
      <c r="T200" s="1563"/>
      <c r="U200" s="1563"/>
    </row>
    <row r="201" spans="1:21" s="1560" customFormat="1" ht="14.25" customHeight="1">
      <c r="A201" s="1575" t="s">
        <v>295</v>
      </c>
      <c r="B201" s="1575" t="s">
        <v>1659</v>
      </c>
      <c r="C201" s="1575">
        <v>8440</v>
      </c>
      <c r="D201" s="1575">
        <v>8390</v>
      </c>
      <c r="E201" s="1575">
        <v>10930</v>
      </c>
      <c r="F201" s="1584">
        <v>1500</v>
      </c>
      <c r="G201" s="1584">
        <v>5300</v>
      </c>
      <c r="I201" s="1605"/>
      <c r="J201" s="1563"/>
      <c r="K201" s="1563"/>
      <c r="L201" s="1563"/>
      <c r="M201" s="1563"/>
      <c r="N201" s="1563"/>
      <c r="O201" s="1563"/>
      <c r="P201" s="1563"/>
      <c r="Q201" s="1563"/>
      <c r="R201" s="1563"/>
      <c r="S201" s="1563"/>
      <c r="T201" s="1563"/>
      <c r="U201" s="1563"/>
    </row>
    <row r="202" spans="1:21" s="1560" customFormat="1" ht="14.25" customHeight="1">
      <c r="A202" s="1575" t="s">
        <v>295</v>
      </c>
      <c r="B202" s="1575" t="s">
        <v>1669</v>
      </c>
      <c r="C202" s="1575">
        <v>8530</v>
      </c>
      <c r="D202" s="1575">
        <v>8490</v>
      </c>
      <c r="E202" s="1575">
        <v>11160</v>
      </c>
      <c r="F202" s="1584">
        <v>1580</v>
      </c>
      <c r="G202" s="1584">
        <v>5360</v>
      </c>
      <c r="I202" s="1605"/>
      <c r="J202" s="1563"/>
      <c r="K202" s="1563"/>
      <c r="L202" s="1563"/>
      <c r="M202" s="1563"/>
      <c r="N202" s="1563"/>
      <c r="O202" s="1563"/>
      <c r="P202" s="1563"/>
      <c r="Q202" s="1563"/>
      <c r="R202" s="1563"/>
      <c r="S202" s="1563"/>
      <c r="T202" s="1563"/>
      <c r="U202" s="1563"/>
    </row>
    <row r="203" spans="1:21" s="1560" customFormat="1" ht="14.25" customHeight="1">
      <c r="A203" s="1575" t="s">
        <v>295</v>
      </c>
      <c r="B203" s="1575" t="s">
        <v>1679</v>
      </c>
      <c r="C203" s="1575">
        <v>8130</v>
      </c>
      <c r="D203" s="1575">
        <v>8070</v>
      </c>
      <c r="E203" s="1575">
        <v>10820</v>
      </c>
      <c r="F203" s="1584">
        <v>1690</v>
      </c>
      <c r="G203" s="1584">
        <v>5100</v>
      </c>
      <c r="I203" s="1605"/>
      <c r="J203" s="1563"/>
      <c r="K203" s="1563"/>
      <c r="L203" s="1563"/>
      <c r="M203" s="1563"/>
      <c r="N203" s="1563"/>
      <c r="O203" s="1563"/>
      <c r="P203" s="1563"/>
      <c r="Q203" s="1563"/>
      <c r="R203" s="1563"/>
      <c r="S203" s="1563"/>
      <c r="T203" s="1563"/>
      <c r="U203" s="1563"/>
    </row>
    <row r="204" spans="1:21" s="1560" customFormat="1" ht="14.25" customHeight="1">
      <c r="A204" s="1575" t="s">
        <v>295</v>
      </c>
      <c r="B204" s="1575" t="s">
        <v>1689</v>
      </c>
      <c r="C204" s="1575">
        <v>8350</v>
      </c>
      <c r="D204" s="1575">
        <v>8290</v>
      </c>
      <c r="E204" s="1575">
        <v>11080</v>
      </c>
      <c r="F204" s="1584">
        <v>1450</v>
      </c>
      <c r="G204" s="1584">
        <v>5240</v>
      </c>
      <c r="I204" s="1605"/>
      <c r="J204" s="1563"/>
      <c r="K204" s="1563"/>
      <c r="L204" s="1563"/>
      <c r="M204" s="1563"/>
      <c r="N204" s="1563"/>
      <c r="O204" s="1563"/>
      <c r="P204" s="1563"/>
      <c r="Q204" s="1563"/>
      <c r="R204" s="1563"/>
      <c r="S204" s="1563"/>
      <c r="T204" s="1563"/>
      <c r="U204" s="1563"/>
    </row>
    <row r="205" spans="1:21" s="1560" customFormat="1" ht="14.25" customHeight="1">
      <c r="A205" s="1575" t="s">
        <v>295</v>
      </c>
      <c r="B205" s="1575" t="s">
        <v>1699</v>
      </c>
      <c r="C205" s="1575">
        <v>7190</v>
      </c>
      <c r="D205" s="1575">
        <v>7130</v>
      </c>
      <c r="E205" s="1575">
        <v>9490</v>
      </c>
      <c r="F205" s="1584">
        <v>1470</v>
      </c>
      <c r="G205" s="1593">
        <v>4510</v>
      </c>
      <c r="I205" s="1605"/>
      <c r="J205" s="1563"/>
      <c r="K205" s="1563"/>
      <c r="L205" s="1563"/>
      <c r="M205" s="1563"/>
      <c r="N205" s="1563"/>
      <c r="O205" s="1563"/>
      <c r="P205" s="1563"/>
      <c r="Q205" s="1563"/>
      <c r="R205" s="1563"/>
      <c r="S205" s="1563"/>
      <c r="T205" s="1563"/>
      <c r="U205" s="1563"/>
    </row>
    <row r="206" spans="1:21" s="1560" customFormat="1" ht="14.25" customHeight="1">
      <c r="A206" s="1578" t="s">
        <v>295</v>
      </c>
      <c r="B206" s="1578" t="s">
        <v>1709</v>
      </c>
      <c r="C206" s="1578">
        <v>7000</v>
      </c>
      <c r="D206" s="1578">
        <v>6950</v>
      </c>
      <c r="E206" s="1578">
        <v>9170</v>
      </c>
      <c r="F206" s="1576">
        <v>1400</v>
      </c>
      <c r="G206" s="1576">
        <v>4380</v>
      </c>
      <c r="I206" s="1605"/>
      <c r="J206" s="1563"/>
      <c r="K206" s="1563"/>
      <c r="L206" s="1563"/>
      <c r="M206" s="1563"/>
      <c r="N206" s="1563"/>
      <c r="O206" s="1563"/>
      <c r="P206" s="1563"/>
      <c r="Q206" s="1563"/>
      <c r="R206" s="1563"/>
      <c r="S206" s="1563"/>
      <c r="T206" s="1563"/>
      <c r="U206" s="1563"/>
    </row>
    <row r="207" spans="1:21" s="1560" customFormat="1" ht="14.25" customHeight="1">
      <c r="A207" s="1575" t="s">
        <v>295</v>
      </c>
      <c r="B207" s="1575" t="s">
        <v>1719</v>
      </c>
      <c r="C207" s="1575">
        <v>6950</v>
      </c>
      <c r="D207" s="1575">
        <v>6900</v>
      </c>
      <c r="E207" s="1575">
        <v>9110</v>
      </c>
      <c r="F207" s="1584">
        <v>1790</v>
      </c>
      <c r="G207" s="1584">
        <v>4360</v>
      </c>
      <c r="I207" s="1605"/>
      <c r="J207" s="1563"/>
      <c r="K207" s="1563"/>
      <c r="L207" s="1563"/>
      <c r="M207" s="1563"/>
      <c r="N207" s="1563"/>
      <c r="O207" s="1563"/>
      <c r="P207" s="1563"/>
      <c r="Q207" s="1563"/>
      <c r="R207" s="1563"/>
      <c r="S207" s="1563"/>
      <c r="T207" s="1563"/>
      <c r="U207" s="1563"/>
    </row>
    <row r="208" spans="1:21" s="1560" customFormat="1" ht="14.25" customHeight="1">
      <c r="A208" s="1575" t="s">
        <v>295</v>
      </c>
      <c r="B208" s="1575" t="s">
        <v>1729</v>
      </c>
      <c r="C208" s="1575">
        <v>9470</v>
      </c>
      <c r="D208" s="1575">
        <v>9410</v>
      </c>
      <c r="E208" s="1575">
        <v>12330</v>
      </c>
      <c r="F208" s="1584">
        <v>1770</v>
      </c>
      <c r="G208" s="1584">
        <v>5940</v>
      </c>
      <c r="I208" s="1605"/>
      <c r="J208" s="1563"/>
      <c r="K208" s="1563"/>
      <c r="L208" s="1563"/>
      <c r="M208" s="1563"/>
      <c r="N208" s="1563"/>
      <c r="O208" s="1563"/>
      <c r="P208" s="1563"/>
      <c r="Q208" s="1563"/>
      <c r="R208" s="1563"/>
      <c r="S208" s="1563"/>
      <c r="T208" s="1563"/>
      <c r="U208" s="1563"/>
    </row>
    <row r="209" spans="1:21" s="1560" customFormat="1" ht="14.25" customHeight="1">
      <c r="A209" s="1575" t="s">
        <v>295</v>
      </c>
      <c r="B209" s="1575" t="s">
        <v>1739</v>
      </c>
      <c r="C209" s="1575">
        <v>8740</v>
      </c>
      <c r="D209" s="1575">
        <v>8700</v>
      </c>
      <c r="E209" s="1575">
        <v>11500</v>
      </c>
      <c r="F209" s="1584">
        <v>1730</v>
      </c>
      <c r="G209" s="1584">
        <v>5490</v>
      </c>
      <c r="I209" s="1605"/>
      <c r="J209" s="1563"/>
      <c r="K209" s="1563"/>
      <c r="L209" s="1563"/>
      <c r="M209" s="1563"/>
      <c r="N209" s="1563"/>
      <c r="O209" s="1563"/>
      <c r="P209" s="1563"/>
      <c r="Q209" s="1563"/>
      <c r="R209" s="1563"/>
      <c r="S209" s="1563"/>
      <c r="T209" s="1563"/>
      <c r="U209" s="1563"/>
    </row>
    <row r="210" spans="1:21" s="1560" customFormat="1" ht="14.25" customHeight="1">
      <c r="A210" s="1575" t="s">
        <v>295</v>
      </c>
      <c r="B210" s="1575" t="s">
        <v>1748</v>
      </c>
      <c r="C210" s="1575">
        <v>8710</v>
      </c>
      <c r="D210" s="1575">
        <v>8660</v>
      </c>
      <c r="E210" s="1575">
        <v>11440</v>
      </c>
      <c r="F210" s="1584">
        <v>1740</v>
      </c>
      <c r="G210" s="1584">
        <v>5470</v>
      </c>
      <c r="I210" s="1605"/>
      <c r="J210" s="1563"/>
      <c r="K210" s="1563"/>
      <c r="L210" s="1563"/>
      <c r="M210" s="1563"/>
      <c r="N210" s="1563"/>
      <c r="O210" s="1563"/>
      <c r="P210" s="1563"/>
      <c r="Q210" s="1563"/>
      <c r="R210" s="1563"/>
      <c r="S210" s="1563"/>
      <c r="T210" s="1563"/>
      <c r="U210" s="1563"/>
    </row>
    <row r="211" spans="1:21" s="1560" customFormat="1" ht="14.25" customHeight="1">
      <c r="A211" s="1575" t="s">
        <v>295</v>
      </c>
      <c r="B211" s="1575" t="s">
        <v>1756</v>
      </c>
      <c r="C211" s="1575">
        <v>9480</v>
      </c>
      <c r="D211" s="1575">
        <v>9430</v>
      </c>
      <c r="E211" s="1575">
        <v>12360</v>
      </c>
      <c r="F211" s="1584">
        <v>1820</v>
      </c>
      <c r="G211" s="1584">
        <v>5950</v>
      </c>
      <c r="I211" s="1605"/>
      <c r="J211" s="1563"/>
      <c r="K211" s="1563"/>
      <c r="L211" s="1563"/>
      <c r="M211" s="1563"/>
      <c r="N211" s="1563"/>
      <c r="O211" s="1563"/>
      <c r="P211" s="1563"/>
      <c r="Q211" s="1563"/>
      <c r="R211" s="1563"/>
      <c r="S211" s="1563"/>
      <c r="T211" s="1563"/>
      <c r="U211" s="1563"/>
    </row>
    <row r="212" spans="1:21" s="1560" customFormat="1" ht="14.25" customHeight="1">
      <c r="A212" s="1575" t="s">
        <v>295</v>
      </c>
      <c r="B212" s="1575" t="s">
        <v>1764</v>
      </c>
      <c r="C212" s="1575">
        <v>9070</v>
      </c>
      <c r="D212" s="1575">
        <v>9020</v>
      </c>
      <c r="E212" s="1575">
        <v>11720</v>
      </c>
      <c r="F212" s="1584">
        <v>1850</v>
      </c>
      <c r="G212" s="1584">
        <v>5700</v>
      </c>
      <c r="I212" s="1605"/>
      <c r="J212" s="1563"/>
      <c r="K212" s="1563"/>
      <c r="L212" s="1563"/>
      <c r="M212" s="1563"/>
      <c r="N212" s="1563"/>
      <c r="O212" s="1563"/>
      <c r="P212" s="1563"/>
      <c r="Q212" s="1563"/>
      <c r="R212" s="1563"/>
      <c r="S212" s="1563"/>
      <c r="T212" s="1563"/>
      <c r="U212" s="1563"/>
    </row>
    <row r="213" spans="1:21" s="1560" customFormat="1" ht="14.25" customHeight="1">
      <c r="A213" s="1575" t="s">
        <v>295</v>
      </c>
      <c r="B213" s="1575" t="s">
        <v>1772</v>
      </c>
      <c r="C213" s="1575">
        <v>9030</v>
      </c>
      <c r="D213" s="1575">
        <v>8980</v>
      </c>
      <c r="E213" s="1575">
        <v>11670</v>
      </c>
      <c r="F213" s="1584">
        <v>1690</v>
      </c>
      <c r="G213" s="1584">
        <v>5670</v>
      </c>
      <c r="I213" s="1605"/>
      <c r="J213" s="1563"/>
      <c r="K213" s="1563"/>
      <c r="L213" s="1563"/>
      <c r="M213" s="1563"/>
      <c r="N213" s="1563"/>
      <c r="O213" s="1563"/>
      <c r="P213" s="1563"/>
      <c r="Q213" s="1563"/>
      <c r="R213" s="1563"/>
      <c r="S213" s="1563"/>
      <c r="T213" s="1563"/>
      <c r="U213" s="1563"/>
    </row>
    <row r="214" spans="1:21" s="1560" customFormat="1" ht="14.25" customHeight="1">
      <c r="A214" s="1575" t="s">
        <v>295</v>
      </c>
      <c r="B214" s="1575" t="s">
        <v>1780</v>
      </c>
      <c r="C214" s="1575">
        <v>8090</v>
      </c>
      <c r="D214" s="1575">
        <v>8030</v>
      </c>
      <c r="E214" s="1575">
        <v>10780</v>
      </c>
      <c r="F214" s="1584">
        <v>1570</v>
      </c>
      <c r="G214" s="1594">
        <v>5070</v>
      </c>
      <c r="I214" s="1605"/>
      <c r="J214" s="1563"/>
      <c r="K214" s="1563"/>
      <c r="L214" s="1563"/>
      <c r="M214" s="1563"/>
      <c r="N214" s="1563"/>
      <c r="O214" s="1563"/>
      <c r="P214" s="1563"/>
      <c r="Q214" s="1563"/>
      <c r="R214" s="1563"/>
      <c r="S214" s="1563"/>
      <c r="T214" s="1563"/>
      <c r="U214" s="1563"/>
    </row>
    <row r="215" spans="1:21" s="1560" customFormat="1" ht="14.25" customHeight="1">
      <c r="A215" s="1575" t="s">
        <v>295</v>
      </c>
      <c r="B215" s="1575" t="s">
        <v>1787</v>
      </c>
      <c r="C215" s="1575">
        <v>7950</v>
      </c>
      <c r="D215" s="1575">
        <v>7900</v>
      </c>
      <c r="E215" s="1575">
        <v>10560</v>
      </c>
      <c r="F215" s="1584">
        <v>1630</v>
      </c>
      <c r="G215" s="1584">
        <v>4990</v>
      </c>
      <c r="I215" s="1605"/>
      <c r="J215" s="1563"/>
      <c r="K215" s="1563"/>
      <c r="L215" s="1563"/>
      <c r="M215" s="1563"/>
      <c r="N215" s="1563"/>
      <c r="O215" s="1563"/>
      <c r="P215" s="1563"/>
      <c r="Q215" s="1563"/>
      <c r="R215" s="1563"/>
      <c r="S215" s="1563"/>
      <c r="T215" s="1563"/>
      <c r="U215" s="1563"/>
    </row>
    <row r="216" spans="1:21" s="1560" customFormat="1" ht="14.25" customHeight="1">
      <c r="A216" s="1575" t="s">
        <v>295</v>
      </c>
      <c r="B216" s="1575" t="s">
        <v>1794</v>
      </c>
      <c r="C216" s="1575">
        <v>8490</v>
      </c>
      <c r="D216" s="1575">
        <v>8440</v>
      </c>
      <c r="E216" s="1575">
        <v>11260</v>
      </c>
      <c r="F216" s="1584">
        <v>1690</v>
      </c>
      <c r="G216" s="1584">
        <v>5330</v>
      </c>
      <c r="I216" s="1605"/>
      <c r="J216" s="1563"/>
      <c r="K216" s="1563"/>
      <c r="L216" s="1563"/>
      <c r="M216" s="1563"/>
      <c r="N216" s="1563"/>
      <c r="O216" s="1563"/>
      <c r="P216" s="1563"/>
      <c r="Q216" s="1563"/>
      <c r="R216" s="1563"/>
      <c r="S216" s="1563"/>
      <c r="T216" s="1563"/>
      <c r="U216" s="1563"/>
    </row>
    <row r="217" spans="1:21" s="1560" customFormat="1" ht="14.25" customHeight="1">
      <c r="A217" s="1575" t="s">
        <v>295</v>
      </c>
      <c r="B217" s="1575" t="s">
        <v>1801</v>
      </c>
      <c r="C217" s="1575">
        <v>8200</v>
      </c>
      <c r="D217" s="1575">
        <v>8150</v>
      </c>
      <c r="E217" s="1575">
        <v>10910</v>
      </c>
      <c r="F217" s="1584">
        <v>1670</v>
      </c>
      <c r="G217" s="1584">
        <v>5150</v>
      </c>
      <c r="I217" s="1605"/>
      <c r="J217" s="1563"/>
      <c r="K217" s="1563"/>
      <c r="L217" s="1563"/>
      <c r="M217" s="1563"/>
      <c r="N217" s="1563"/>
      <c r="O217" s="1563"/>
      <c r="P217" s="1563"/>
      <c r="Q217" s="1563"/>
      <c r="R217" s="1563"/>
      <c r="S217" s="1563"/>
      <c r="T217" s="1563"/>
      <c r="U217" s="1563"/>
    </row>
    <row r="218" spans="1:21" s="1560" customFormat="1" ht="14.25" customHeight="1">
      <c r="A218" s="1575" t="s">
        <v>295</v>
      </c>
      <c r="B218" s="1575" t="s">
        <v>1808</v>
      </c>
      <c r="C218" s="1575"/>
      <c r="D218" s="1575"/>
      <c r="E218" s="1575"/>
      <c r="F218" s="1584">
        <v>2040</v>
      </c>
      <c r="G218" s="1584"/>
      <c r="I218" s="1605"/>
      <c r="J218" s="1563"/>
      <c r="K218" s="1563"/>
      <c r="L218" s="1563"/>
      <c r="M218" s="1563"/>
      <c r="N218" s="1563"/>
      <c r="O218" s="1563"/>
      <c r="P218" s="1563"/>
      <c r="Q218" s="1563"/>
      <c r="R218" s="1563"/>
      <c r="S218" s="1563"/>
      <c r="T218" s="1563"/>
      <c r="U218" s="1563"/>
    </row>
    <row r="219" spans="1:21" s="1560" customFormat="1" ht="14.25" customHeight="1">
      <c r="A219" s="1575" t="s">
        <v>295</v>
      </c>
      <c r="B219" s="1575" t="s">
        <v>1815</v>
      </c>
      <c r="C219" s="1575"/>
      <c r="D219" s="1575"/>
      <c r="E219" s="1575"/>
      <c r="F219" s="1584">
        <v>2040</v>
      </c>
      <c r="G219" s="1584"/>
      <c r="I219" s="1605"/>
      <c r="J219" s="1563"/>
      <c r="K219" s="1563"/>
      <c r="L219" s="1563"/>
      <c r="M219" s="1563"/>
      <c r="N219" s="1563"/>
      <c r="O219" s="1563"/>
      <c r="P219" s="1563"/>
      <c r="Q219" s="1563"/>
      <c r="R219" s="1563"/>
      <c r="S219" s="1563"/>
      <c r="T219" s="1563"/>
      <c r="U219" s="1563"/>
    </row>
    <row r="220" spans="1:21" s="1560" customFormat="1" ht="14.25" customHeight="1">
      <c r="A220" s="1575" t="s">
        <v>295</v>
      </c>
      <c r="B220" s="1575" t="s">
        <v>1822</v>
      </c>
      <c r="C220" s="1575"/>
      <c r="D220" s="1575"/>
      <c r="E220" s="1575"/>
      <c r="F220" s="1584">
        <v>2040</v>
      </c>
      <c r="G220" s="1584"/>
      <c r="I220" s="1605"/>
      <c r="J220" s="1563"/>
      <c r="K220" s="1563"/>
      <c r="L220" s="1563"/>
      <c r="M220" s="1563"/>
      <c r="N220" s="1563"/>
      <c r="O220" s="1563"/>
      <c r="P220" s="1563"/>
      <c r="Q220" s="1563"/>
      <c r="R220" s="1563"/>
      <c r="S220" s="1563"/>
      <c r="T220" s="1563"/>
      <c r="U220" s="1563"/>
    </row>
    <row r="221" spans="1:21" s="1560" customFormat="1" ht="14.25" customHeight="1">
      <c r="A221" s="1575" t="s">
        <v>295</v>
      </c>
      <c r="B221" s="1575" t="s">
        <v>1829</v>
      </c>
      <c r="C221" s="1602"/>
      <c r="D221" s="1602"/>
      <c r="E221" s="1602"/>
      <c r="F221" s="1594">
        <v>2040</v>
      </c>
      <c r="G221" s="1584"/>
      <c r="I221" s="1605"/>
      <c r="J221" s="1563"/>
      <c r="K221" s="1563"/>
      <c r="L221" s="1563"/>
      <c r="M221" s="1563"/>
      <c r="N221" s="1563"/>
      <c r="O221" s="1563"/>
      <c r="P221" s="1563"/>
      <c r="Q221" s="1563"/>
      <c r="R221" s="1563"/>
      <c r="S221" s="1563"/>
      <c r="T221" s="1563"/>
      <c r="U221" s="1563"/>
    </row>
    <row r="222" spans="1:21" s="1560" customFormat="1" ht="14.25" customHeight="1">
      <c r="A222" s="1575" t="s">
        <v>295</v>
      </c>
      <c r="B222" s="1575" t="s">
        <v>1834</v>
      </c>
      <c r="C222" s="1602"/>
      <c r="D222" s="1602"/>
      <c r="E222" s="1602"/>
      <c r="F222" s="1594">
        <v>2040</v>
      </c>
      <c r="G222" s="1584"/>
      <c r="I222" s="1605"/>
      <c r="J222" s="1563"/>
      <c r="K222" s="1563"/>
      <c r="L222" s="1563"/>
      <c r="M222" s="1563"/>
      <c r="N222" s="1563"/>
      <c r="O222" s="1563"/>
      <c r="P222" s="1563"/>
      <c r="Q222" s="1563"/>
      <c r="R222" s="1563"/>
      <c r="S222" s="1563"/>
      <c r="T222" s="1563"/>
      <c r="U222" s="1563"/>
    </row>
    <row r="223" spans="1:21" s="1560" customFormat="1" ht="14.25" customHeight="1">
      <c r="A223" s="1575" t="s">
        <v>295</v>
      </c>
      <c r="B223" s="1575" t="s">
        <v>1839</v>
      </c>
      <c r="C223" s="1602"/>
      <c r="D223" s="1602"/>
      <c r="E223" s="1602"/>
      <c r="F223" s="1594">
        <v>1930</v>
      </c>
      <c r="G223" s="1584"/>
      <c r="I223" s="1605"/>
      <c r="J223" s="1563"/>
      <c r="K223" s="1563"/>
      <c r="L223" s="1563"/>
      <c r="M223" s="1563"/>
      <c r="N223" s="1563"/>
      <c r="O223" s="1563"/>
      <c r="P223" s="1563"/>
      <c r="Q223" s="1563"/>
      <c r="R223" s="1563"/>
      <c r="S223" s="1563"/>
      <c r="T223" s="1563"/>
      <c r="U223" s="1563"/>
    </row>
    <row r="224" spans="1:21" s="1560" customFormat="1" ht="14.25" customHeight="1">
      <c r="A224" s="1575" t="s">
        <v>295</v>
      </c>
      <c r="B224" s="1575" t="s">
        <v>1844</v>
      </c>
      <c r="C224" s="1602"/>
      <c r="D224" s="1602"/>
      <c r="E224" s="1602"/>
      <c r="F224" s="1594">
        <v>1930</v>
      </c>
      <c r="G224" s="1584"/>
      <c r="I224" s="1605"/>
      <c r="J224" s="1563"/>
      <c r="K224" s="1563"/>
      <c r="L224" s="1563"/>
      <c r="M224" s="1563"/>
      <c r="N224" s="1563"/>
      <c r="O224" s="1563"/>
      <c r="P224" s="1563"/>
      <c r="Q224" s="1563"/>
      <c r="R224" s="1563"/>
      <c r="S224" s="1563"/>
      <c r="T224" s="1563"/>
      <c r="U224" s="1563"/>
    </row>
    <row r="225" spans="1:21" s="1560" customFormat="1" ht="14.25" customHeight="1">
      <c r="A225" s="1575" t="s">
        <v>295</v>
      </c>
      <c r="B225" s="1575" t="s">
        <v>1849</v>
      </c>
      <c r="C225" s="1575"/>
      <c r="D225" s="1575"/>
      <c r="E225" s="1575"/>
      <c r="F225" s="1584">
        <v>1930</v>
      </c>
      <c r="G225" s="1584"/>
      <c r="I225" s="1605"/>
      <c r="J225" s="1563"/>
      <c r="K225" s="1563"/>
      <c r="L225" s="1563"/>
      <c r="M225" s="1563"/>
      <c r="N225" s="1563"/>
      <c r="O225" s="1563"/>
      <c r="P225" s="1563"/>
      <c r="Q225" s="1563"/>
      <c r="R225" s="1563"/>
      <c r="S225" s="1563"/>
      <c r="T225" s="1563"/>
      <c r="U225" s="1563"/>
    </row>
    <row r="226" spans="1:21" s="1560" customFormat="1" ht="14.25" customHeight="1">
      <c r="A226" s="1575" t="s">
        <v>295</v>
      </c>
      <c r="B226" s="1575" t="s">
        <v>1854</v>
      </c>
      <c r="C226" s="1575"/>
      <c r="D226" s="1575"/>
      <c r="E226" s="1575"/>
      <c r="F226" s="1584">
        <v>1700</v>
      </c>
      <c r="G226" s="1584"/>
      <c r="I226" s="1605"/>
      <c r="J226" s="1563"/>
      <c r="K226" s="1563"/>
      <c r="L226" s="1563"/>
      <c r="M226" s="1563"/>
      <c r="N226" s="1563"/>
      <c r="O226" s="1563"/>
      <c r="P226" s="1563"/>
      <c r="Q226" s="1563"/>
      <c r="R226" s="1563"/>
      <c r="S226" s="1563"/>
      <c r="T226" s="1563"/>
      <c r="U226" s="1563"/>
    </row>
    <row r="227" spans="1:21" s="1560" customFormat="1" ht="14.25" customHeight="1">
      <c r="A227" s="1575" t="s">
        <v>295</v>
      </c>
      <c r="B227" s="1575" t="s">
        <v>1859</v>
      </c>
      <c r="C227" s="1575"/>
      <c r="D227" s="1575"/>
      <c r="E227" s="1575"/>
      <c r="F227" s="1584">
        <v>1520</v>
      </c>
      <c r="G227" s="1584"/>
      <c r="I227" s="1605"/>
      <c r="J227" s="1563"/>
      <c r="K227" s="1563"/>
      <c r="L227" s="1563"/>
      <c r="M227" s="1563"/>
      <c r="N227" s="1563"/>
      <c r="O227" s="1563"/>
      <c r="P227" s="1563"/>
      <c r="Q227" s="1563"/>
      <c r="R227" s="1563"/>
      <c r="S227" s="1563"/>
      <c r="T227" s="1563"/>
      <c r="U227" s="1563"/>
    </row>
    <row r="228" spans="1:21" s="1560" customFormat="1" ht="14.25" customHeight="1">
      <c r="A228" s="1575" t="s">
        <v>295</v>
      </c>
      <c r="B228" s="1575" t="s">
        <v>1864</v>
      </c>
      <c r="C228" s="1575"/>
      <c r="D228" s="1575"/>
      <c r="E228" s="1575"/>
      <c r="F228" s="1584">
        <v>1520</v>
      </c>
      <c r="G228" s="1584"/>
      <c r="I228" s="1605"/>
      <c r="J228" s="1563"/>
      <c r="K228" s="1563"/>
      <c r="L228" s="1563"/>
      <c r="M228" s="1563"/>
      <c r="N228" s="1563"/>
      <c r="O228" s="1563"/>
      <c r="P228" s="1563"/>
      <c r="Q228" s="1563"/>
      <c r="R228" s="1563"/>
      <c r="S228" s="1563"/>
      <c r="T228" s="1563"/>
      <c r="U228" s="1563"/>
    </row>
    <row r="229" spans="1:21" s="1560" customFormat="1" ht="14.25" customHeight="1">
      <c r="A229" s="1575" t="s">
        <v>295</v>
      </c>
      <c r="B229" s="1575" t="s">
        <v>1869</v>
      </c>
      <c r="C229" s="1575"/>
      <c r="D229" s="1575"/>
      <c r="E229" s="1575"/>
      <c r="F229" s="1584">
        <v>1520</v>
      </c>
      <c r="G229" s="1594"/>
      <c r="I229" s="1605"/>
      <c r="J229" s="1563"/>
      <c r="K229" s="1563"/>
      <c r="L229" s="1563"/>
      <c r="M229" s="1563"/>
      <c r="N229" s="1563"/>
      <c r="O229" s="1563"/>
      <c r="P229" s="1563"/>
      <c r="Q229" s="1563"/>
      <c r="R229" s="1563"/>
      <c r="S229" s="1563"/>
      <c r="T229" s="1563"/>
      <c r="U229" s="1563"/>
    </row>
    <row r="230" spans="1:21" s="1560" customFormat="1" ht="14.25" customHeight="1">
      <c r="A230" s="1575" t="s">
        <v>295</v>
      </c>
      <c r="B230" s="1575" t="s">
        <v>1873</v>
      </c>
      <c r="C230" s="1575"/>
      <c r="D230" s="1575"/>
      <c r="E230" s="1575"/>
      <c r="F230" s="1584">
        <v>1820</v>
      </c>
      <c r="G230" s="1594"/>
      <c r="I230" s="1605"/>
      <c r="J230" s="1563"/>
      <c r="K230" s="1563"/>
      <c r="L230" s="1563"/>
      <c r="M230" s="1563"/>
      <c r="N230" s="1563"/>
      <c r="O230" s="1563"/>
      <c r="P230" s="1563"/>
      <c r="Q230" s="1563"/>
      <c r="R230" s="1563"/>
      <c r="S230" s="1563"/>
      <c r="T230" s="1563"/>
      <c r="U230" s="1563"/>
    </row>
    <row r="231" spans="1:21" s="1560" customFormat="1" ht="14.25" customHeight="1">
      <c r="A231" s="1575" t="s">
        <v>295</v>
      </c>
      <c r="B231" s="1575" t="s">
        <v>1877</v>
      </c>
      <c r="C231" s="1575"/>
      <c r="D231" s="1575"/>
      <c r="E231" s="1575"/>
      <c r="F231" s="1584">
        <v>1760</v>
      </c>
      <c r="G231" s="1594"/>
      <c r="I231" s="1605"/>
      <c r="J231" s="1563"/>
      <c r="K231" s="1563"/>
      <c r="L231" s="1563"/>
      <c r="M231" s="1563"/>
      <c r="N231" s="1563"/>
      <c r="O231" s="1563"/>
      <c r="P231" s="1563"/>
      <c r="Q231" s="1563"/>
      <c r="R231" s="1563"/>
      <c r="S231" s="1563"/>
      <c r="T231" s="1563"/>
      <c r="U231" s="1563"/>
    </row>
    <row r="232" spans="1:21" s="1560" customFormat="1" ht="14.25" customHeight="1">
      <c r="A232" s="1575" t="s">
        <v>295</v>
      </c>
      <c r="B232" s="1575" t="s">
        <v>1881</v>
      </c>
      <c r="C232" s="1575"/>
      <c r="D232" s="1575"/>
      <c r="E232" s="1575"/>
      <c r="F232" s="1584">
        <v>1840</v>
      </c>
      <c r="G232" s="1584"/>
      <c r="I232" s="1605"/>
      <c r="J232" s="1563"/>
      <c r="K232" s="1563"/>
      <c r="L232" s="1563"/>
      <c r="M232" s="1563"/>
      <c r="N232" s="1563"/>
      <c r="O232" s="1563"/>
      <c r="P232" s="1563"/>
      <c r="Q232" s="1563"/>
      <c r="R232" s="1563"/>
      <c r="S232" s="1563"/>
      <c r="T232" s="1563"/>
      <c r="U232" s="1563"/>
    </row>
    <row r="233" spans="1:21" s="1560" customFormat="1" ht="14.25" customHeight="1">
      <c r="A233" s="1591" t="s">
        <v>295</v>
      </c>
      <c r="B233" s="1581" t="s">
        <v>1885</v>
      </c>
      <c r="C233" s="1581"/>
      <c r="D233" s="1581"/>
      <c r="E233" s="1581"/>
      <c r="F233" s="1582">
        <v>1770</v>
      </c>
      <c r="G233" s="1610"/>
      <c r="I233" s="1605"/>
      <c r="J233" s="1563"/>
      <c r="K233" s="1563"/>
      <c r="L233" s="1563"/>
      <c r="M233" s="1563"/>
      <c r="N233" s="1563"/>
      <c r="O233" s="1563"/>
      <c r="P233" s="1563"/>
      <c r="Q233" s="1563"/>
      <c r="R233" s="1563"/>
      <c r="S233" s="1563"/>
      <c r="T233" s="1563"/>
      <c r="U233" s="1563"/>
    </row>
    <row r="234" spans="1:21" s="1560" customFormat="1" ht="14.25" customHeight="1">
      <c r="A234" s="1579" t="s">
        <v>301</v>
      </c>
      <c r="B234" s="1578" t="s">
        <v>1537</v>
      </c>
      <c r="C234" s="1578">
        <v>6980</v>
      </c>
      <c r="D234" s="1578">
        <v>6970</v>
      </c>
      <c r="E234" s="1578">
        <v>8720</v>
      </c>
      <c r="F234" s="1576">
        <v>1350</v>
      </c>
      <c r="G234" s="1608">
        <v>4280</v>
      </c>
      <c r="I234" s="1605"/>
      <c r="J234" s="1563"/>
      <c r="K234" s="1563"/>
      <c r="L234" s="1563"/>
      <c r="M234" s="1563"/>
      <c r="N234" s="1563"/>
      <c r="O234" s="1563"/>
      <c r="P234" s="1563"/>
      <c r="Q234" s="1563"/>
      <c r="R234" s="1563"/>
      <c r="S234" s="1563"/>
      <c r="T234" s="1563"/>
      <c r="U234" s="1563"/>
    </row>
    <row r="235" spans="1:21" s="1560" customFormat="1" ht="14.25" customHeight="1">
      <c r="A235" s="1575" t="s">
        <v>301</v>
      </c>
      <c r="B235" s="1575" t="s">
        <v>1550</v>
      </c>
      <c r="C235" s="1575">
        <v>7620</v>
      </c>
      <c r="D235" s="1575">
        <v>7580</v>
      </c>
      <c r="E235" s="1575">
        <v>9360</v>
      </c>
      <c r="F235" s="1584">
        <v>1490</v>
      </c>
      <c r="G235" s="1584">
        <v>4650</v>
      </c>
      <c r="I235" s="1605"/>
      <c r="J235" s="1563"/>
      <c r="K235" s="1563"/>
      <c r="L235" s="1563"/>
      <c r="M235" s="1563"/>
      <c r="N235" s="1563"/>
      <c r="O235" s="1563"/>
      <c r="P235" s="1563"/>
      <c r="Q235" s="1563"/>
      <c r="R235" s="1563"/>
      <c r="S235" s="1563"/>
      <c r="T235" s="1563"/>
      <c r="U235" s="1563"/>
    </row>
    <row r="236" spans="1:21" s="1560" customFormat="1" ht="14.25" customHeight="1">
      <c r="A236" s="1575" t="s">
        <v>301</v>
      </c>
      <c r="B236" s="1575" t="s">
        <v>1563</v>
      </c>
      <c r="C236" s="1575">
        <v>6650</v>
      </c>
      <c r="D236" s="1575">
        <v>6630</v>
      </c>
      <c r="E236" s="1575">
        <v>8330</v>
      </c>
      <c r="F236" s="1584">
        <v>1250</v>
      </c>
      <c r="G236" s="1584">
        <v>4070</v>
      </c>
      <c r="I236" s="1605"/>
      <c r="J236" s="1563"/>
      <c r="K236" s="1563"/>
      <c r="L236" s="1563"/>
      <c r="M236" s="1563"/>
      <c r="N236" s="1563"/>
      <c r="O236" s="1563"/>
      <c r="P236" s="1563"/>
      <c r="Q236" s="1563"/>
      <c r="R236" s="1563"/>
      <c r="S236" s="1563"/>
      <c r="T236" s="1563"/>
      <c r="U236" s="1563"/>
    </row>
    <row r="237" spans="1:21" s="1560" customFormat="1" ht="14.25" customHeight="1">
      <c r="A237" s="1575" t="s">
        <v>301</v>
      </c>
      <c r="B237" s="1575" t="s">
        <v>1575</v>
      </c>
      <c r="C237" s="1575">
        <v>5850</v>
      </c>
      <c r="D237" s="1575">
        <v>5820</v>
      </c>
      <c r="E237" s="1575">
        <v>7260</v>
      </c>
      <c r="F237" s="1584">
        <v>1140</v>
      </c>
      <c r="G237" s="1584">
        <v>3570</v>
      </c>
      <c r="I237" s="1605"/>
      <c r="J237" s="1563"/>
      <c r="K237" s="1563"/>
      <c r="L237" s="1563"/>
      <c r="M237" s="1563"/>
      <c r="N237" s="1563"/>
      <c r="O237" s="1563"/>
      <c r="P237" s="1563"/>
      <c r="Q237" s="1563"/>
      <c r="R237" s="1563"/>
      <c r="S237" s="1563"/>
      <c r="T237" s="1563"/>
      <c r="U237" s="1563"/>
    </row>
    <row r="238" spans="1:21" s="1560" customFormat="1" ht="14.25" customHeight="1">
      <c r="A238" s="1575" t="s">
        <v>301</v>
      </c>
      <c r="B238" s="1575" t="s">
        <v>1587</v>
      </c>
      <c r="C238" s="1575">
        <v>6920</v>
      </c>
      <c r="D238" s="1575">
        <v>6890</v>
      </c>
      <c r="E238" s="1575">
        <v>8640</v>
      </c>
      <c r="F238" s="1584">
        <v>1310</v>
      </c>
      <c r="G238" s="1584">
        <v>4230</v>
      </c>
      <c r="I238" s="1605"/>
      <c r="J238" s="1563"/>
      <c r="K238" s="1563"/>
      <c r="L238" s="1563"/>
      <c r="M238" s="1563"/>
      <c r="N238" s="1563"/>
      <c r="O238" s="1563"/>
      <c r="P238" s="1563"/>
      <c r="Q238" s="1563"/>
      <c r="R238" s="1563"/>
      <c r="S238" s="1563"/>
      <c r="T238" s="1563"/>
      <c r="U238" s="1563"/>
    </row>
    <row r="239" spans="1:21" s="1560" customFormat="1" ht="14.25" customHeight="1">
      <c r="A239" s="1575" t="s">
        <v>301</v>
      </c>
      <c r="B239" s="1575" t="s">
        <v>1598</v>
      </c>
      <c r="C239" s="1575">
        <v>6780</v>
      </c>
      <c r="D239" s="1575">
        <v>6750</v>
      </c>
      <c r="E239" s="1575">
        <v>8440</v>
      </c>
      <c r="F239" s="1584">
        <v>1160</v>
      </c>
      <c r="G239" s="1584">
        <v>4140</v>
      </c>
      <c r="I239" s="1605"/>
      <c r="J239" s="1563"/>
      <c r="K239" s="1563"/>
      <c r="L239" s="1563"/>
      <c r="M239" s="1563"/>
      <c r="N239" s="1563"/>
      <c r="O239" s="1563"/>
      <c r="P239" s="1563"/>
      <c r="Q239" s="1563"/>
      <c r="R239" s="1563"/>
      <c r="S239" s="1563"/>
      <c r="T239" s="1563"/>
      <c r="U239" s="1563"/>
    </row>
    <row r="240" spans="1:21" s="1560" customFormat="1" ht="14.25" customHeight="1">
      <c r="A240" s="1575" t="s">
        <v>301</v>
      </c>
      <c r="B240" s="1575" t="s">
        <v>1609</v>
      </c>
      <c r="C240" s="1575">
        <v>5420</v>
      </c>
      <c r="D240" s="1575">
        <v>5380</v>
      </c>
      <c r="E240" s="1575">
        <v>6640</v>
      </c>
      <c r="F240" s="1584">
        <v>1020</v>
      </c>
      <c r="G240" s="1584">
        <v>3300</v>
      </c>
      <c r="I240" s="1605"/>
      <c r="J240" s="1563"/>
      <c r="K240" s="1563"/>
      <c r="L240" s="1563"/>
      <c r="M240" s="1563"/>
      <c r="N240" s="1563"/>
      <c r="O240" s="1563"/>
      <c r="P240" s="1563"/>
      <c r="Q240" s="1563"/>
      <c r="R240" s="1563"/>
      <c r="S240" s="1563"/>
      <c r="T240" s="1563"/>
      <c r="U240" s="1563"/>
    </row>
    <row r="241" spans="1:21" s="1560" customFormat="1" ht="14.25" customHeight="1">
      <c r="A241" s="1575" t="s">
        <v>301</v>
      </c>
      <c r="B241" s="1575" t="s">
        <v>1620</v>
      </c>
      <c r="C241" s="1575">
        <v>6660</v>
      </c>
      <c r="D241" s="1575">
        <v>6640</v>
      </c>
      <c r="E241" s="1575">
        <v>8340</v>
      </c>
      <c r="F241" s="1584">
        <v>1130</v>
      </c>
      <c r="G241" s="1584">
        <v>4080</v>
      </c>
      <c r="I241" s="1605"/>
      <c r="J241" s="1563"/>
      <c r="K241" s="1563"/>
      <c r="L241" s="1563"/>
      <c r="M241" s="1563"/>
      <c r="N241" s="1563"/>
      <c r="O241" s="1563"/>
      <c r="P241" s="1563"/>
      <c r="Q241" s="1563"/>
      <c r="R241" s="1563"/>
      <c r="S241" s="1563"/>
      <c r="T241" s="1563"/>
      <c r="U241" s="1563"/>
    </row>
    <row r="242" spans="1:21" s="1560" customFormat="1" ht="14.25" customHeight="1">
      <c r="A242" s="1575" t="s">
        <v>301</v>
      </c>
      <c r="B242" s="1575" t="s">
        <v>1630</v>
      </c>
      <c r="C242" s="1575">
        <v>6580</v>
      </c>
      <c r="D242" s="1575">
        <v>6550</v>
      </c>
      <c r="E242" s="1575">
        <v>8090</v>
      </c>
      <c r="F242" s="1584">
        <v>1240</v>
      </c>
      <c r="G242" s="1584">
        <v>4020</v>
      </c>
      <c r="I242" s="1605"/>
      <c r="J242" s="1563"/>
      <c r="K242" s="1563"/>
      <c r="L242" s="1563"/>
      <c r="M242" s="1563"/>
      <c r="N242" s="1563"/>
      <c r="O242" s="1563"/>
      <c r="P242" s="1563"/>
      <c r="Q242" s="1563"/>
      <c r="R242" s="1563"/>
      <c r="S242" s="1563"/>
      <c r="T242" s="1563"/>
      <c r="U242" s="1563"/>
    </row>
    <row r="243" spans="1:21" s="1560" customFormat="1" ht="14.25" customHeight="1">
      <c r="A243" s="1575" t="s">
        <v>301</v>
      </c>
      <c r="B243" s="1575" t="s">
        <v>1640</v>
      </c>
      <c r="C243" s="1575">
        <v>6000</v>
      </c>
      <c r="D243" s="1575">
        <v>5970</v>
      </c>
      <c r="E243" s="1575">
        <v>7370</v>
      </c>
      <c r="F243" s="1584">
        <v>1070</v>
      </c>
      <c r="G243" s="1584">
        <v>3670</v>
      </c>
      <c r="I243" s="1605"/>
      <c r="J243" s="1563"/>
      <c r="K243" s="1563"/>
      <c r="L243" s="1563"/>
      <c r="M243" s="1563"/>
      <c r="N243" s="1563"/>
      <c r="O243" s="1563"/>
      <c r="P243" s="1563"/>
      <c r="Q243" s="1563"/>
      <c r="R243" s="1563"/>
      <c r="S243" s="1563"/>
      <c r="T243" s="1563"/>
      <c r="U243" s="1563"/>
    </row>
    <row r="244" spans="1:21" s="1560" customFormat="1" ht="14.25" customHeight="1">
      <c r="A244" s="1575" t="s">
        <v>301</v>
      </c>
      <c r="B244" s="1575" t="s">
        <v>1650</v>
      </c>
      <c r="C244" s="1575">
        <v>5840</v>
      </c>
      <c r="D244" s="1575">
        <v>5810</v>
      </c>
      <c r="E244" s="1575">
        <v>7240</v>
      </c>
      <c r="F244" s="1584">
        <v>1100</v>
      </c>
      <c r="G244" s="1593">
        <v>3560</v>
      </c>
      <c r="I244" s="1605"/>
      <c r="J244" s="1563"/>
      <c r="K244" s="1563"/>
      <c r="L244" s="1563"/>
      <c r="M244" s="1563"/>
      <c r="N244" s="1563"/>
      <c r="O244" s="1563"/>
      <c r="P244" s="1563"/>
      <c r="Q244" s="1563"/>
      <c r="R244" s="1563"/>
      <c r="S244" s="1563"/>
      <c r="T244" s="1563"/>
      <c r="U244" s="1563"/>
    </row>
    <row r="245" spans="1:21" s="1560" customFormat="1" ht="14.25" customHeight="1">
      <c r="A245" s="1578" t="s">
        <v>301</v>
      </c>
      <c r="B245" s="1578" t="s">
        <v>1660</v>
      </c>
      <c r="C245" s="1578">
        <v>6040</v>
      </c>
      <c r="D245" s="1578">
        <v>6000</v>
      </c>
      <c r="E245" s="1578">
        <v>7420</v>
      </c>
      <c r="F245" s="1576">
        <v>1140</v>
      </c>
      <c r="G245" s="1576">
        <v>3690</v>
      </c>
      <c r="I245" s="1605"/>
      <c r="J245" s="1563"/>
      <c r="K245" s="1563"/>
      <c r="L245" s="1563"/>
      <c r="M245" s="1563"/>
      <c r="N245" s="1563"/>
      <c r="O245" s="1563"/>
      <c r="P245" s="1563"/>
      <c r="Q245" s="1563"/>
      <c r="R245" s="1563"/>
      <c r="S245" s="1563"/>
      <c r="T245" s="1563"/>
      <c r="U245" s="1563"/>
    </row>
    <row r="246" spans="1:21" s="1560" customFormat="1" ht="14.25" customHeight="1">
      <c r="A246" s="1575" t="s">
        <v>301</v>
      </c>
      <c r="B246" s="1575" t="s">
        <v>1670</v>
      </c>
      <c r="C246" s="1575">
        <v>5890</v>
      </c>
      <c r="D246" s="1575">
        <v>5860</v>
      </c>
      <c r="E246" s="1575">
        <v>7300</v>
      </c>
      <c r="F246" s="1584">
        <v>1110</v>
      </c>
      <c r="G246" s="1584">
        <v>3590</v>
      </c>
      <c r="I246" s="1605"/>
      <c r="J246" s="1563"/>
      <c r="K246" s="1563"/>
      <c r="L246" s="1563"/>
      <c r="M246" s="1563"/>
      <c r="N246" s="1563"/>
      <c r="O246" s="1563"/>
      <c r="P246" s="1563"/>
      <c r="Q246" s="1563"/>
      <c r="R246" s="1563"/>
      <c r="S246" s="1563"/>
      <c r="T246" s="1563"/>
      <c r="U246" s="1563"/>
    </row>
    <row r="247" spans="1:21" s="1560" customFormat="1" ht="14.25" customHeight="1">
      <c r="A247" s="1575" t="s">
        <v>301</v>
      </c>
      <c r="B247" s="1575" t="s">
        <v>1680</v>
      </c>
      <c r="C247" s="1575">
        <v>6480</v>
      </c>
      <c r="D247" s="1575">
        <v>6450</v>
      </c>
      <c r="E247" s="1575">
        <v>8010</v>
      </c>
      <c r="F247" s="1584">
        <v>1170</v>
      </c>
      <c r="G247" s="1584">
        <v>3960</v>
      </c>
      <c r="I247" s="1605"/>
      <c r="J247" s="1563"/>
      <c r="K247" s="1563"/>
      <c r="L247" s="1563"/>
      <c r="M247" s="1563"/>
      <c r="N247" s="1563"/>
      <c r="O247" s="1563"/>
      <c r="P247" s="1563"/>
      <c r="Q247" s="1563"/>
      <c r="R247" s="1563"/>
      <c r="S247" s="1563"/>
      <c r="T247" s="1563"/>
      <c r="U247" s="1563"/>
    </row>
    <row r="248" spans="1:21" s="1560" customFormat="1" ht="14.25" customHeight="1">
      <c r="A248" s="1575" t="s">
        <v>301</v>
      </c>
      <c r="B248" s="1575" t="s">
        <v>1690</v>
      </c>
      <c r="C248" s="1575">
        <v>6860</v>
      </c>
      <c r="D248" s="1575">
        <v>6840</v>
      </c>
      <c r="E248" s="1575">
        <v>8520</v>
      </c>
      <c r="F248" s="1584">
        <v>1240</v>
      </c>
      <c r="G248" s="1584">
        <v>4200</v>
      </c>
      <c r="I248" s="1605"/>
      <c r="J248" s="1563"/>
      <c r="K248" s="1563"/>
      <c r="L248" s="1563"/>
      <c r="M248" s="1563"/>
      <c r="N248" s="1563"/>
      <c r="O248" s="1563"/>
      <c r="P248" s="1563"/>
      <c r="Q248" s="1563"/>
      <c r="R248" s="1563"/>
      <c r="S248" s="1563"/>
      <c r="T248" s="1563"/>
      <c r="U248" s="1563"/>
    </row>
    <row r="249" spans="1:21" s="1560" customFormat="1" ht="14.25" customHeight="1">
      <c r="A249" s="1575" t="s">
        <v>301</v>
      </c>
      <c r="B249" s="1575" t="s">
        <v>1700</v>
      </c>
      <c r="C249" s="1575">
        <v>7180</v>
      </c>
      <c r="D249" s="1575">
        <v>7140</v>
      </c>
      <c r="E249" s="1575">
        <v>8900</v>
      </c>
      <c r="F249" s="1584">
        <v>1350</v>
      </c>
      <c r="G249" s="1584">
        <v>4380</v>
      </c>
      <c r="I249" s="1605"/>
      <c r="J249" s="1563"/>
      <c r="K249" s="1563"/>
      <c r="L249" s="1563"/>
      <c r="M249" s="1563"/>
      <c r="N249" s="1563"/>
      <c r="O249" s="1563"/>
      <c r="P249" s="1563"/>
      <c r="Q249" s="1563"/>
      <c r="R249" s="1563"/>
      <c r="S249" s="1563"/>
      <c r="T249" s="1563"/>
      <c r="U249" s="1563"/>
    </row>
    <row r="250" spans="1:21" s="1560" customFormat="1" ht="14.25" customHeight="1">
      <c r="A250" s="1575" t="s">
        <v>301</v>
      </c>
      <c r="B250" s="1575" t="s">
        <v>1710</v>
      </c>
      <c r="C250" s="1575">
        <v>6880</v>
      </c>
      <c r="D250" s="1575">
        <v>6860</v>
      </c>
      <c r="E250" s="1575">
        <v>8550</v>
      </c>
      <c r="F250" s="1584">
        <v>1220</v>
      </c>
      <c r="G250" s="1584">
        <v>4210</v>
      </c>
      <c r="I250" s="1605"/>
      <c r="J250" s="1563"/>
      <c r="K250" s="1563"/>
      <c r="L250" s="1563"/>
      <c r="M250" s="1563"/>
      <c r="N250" s="1563"/>
      <c r="O250" s="1563"/>
      <c r="P250" s="1563"/>
      <c r="Q250" s="1563"/>
      <c r="R250" s="1563"/>
      <c r="S250" s="1563"/>
      <c r="T250" s="1563"/>
      <c r="U250" s="1563"/>
    </row>
    <row r="251" spans="1:21" s="1560" customFormat="1" ht="14.25" customHeight="1">
      <c r="A251" s="1575" t="s">
        <v>301</v>
      </c>
      <c r="B251" s="1575" t="s">
        <v>1720</v>
      </c>
      <c r="C251" s="1575"/>
      <c r="D251" s="1575"/>
      <c r="E251" s="1575"/>
      <c r="F251" s="1584">
        <v>1100</v>
      </c>
      <c r="G251" s="1584"/>
      <c r="I251" s="1605"/>
      <c r="J251" s="1563"/>
      <c r="K251" s="1563"/>
      <c r="L251" s="1563"/>
      <c r="M251" s="1563"/>
      <c r="N251" s="1563"/>
      <c r="O251" s="1563"/>
      <c r="P251" s="1563"/>
      <c r="Q251" s="1563"/>
      <c r="R251" s="1563"/>
      <c r="S251" s="1563"/>
      <c r="T251" s="1563"/>
      <c r="U251" s="1563"/>
    </row>
    <row r="252" spans="1:21" s="1560" customFormat="1" ht="14.25" customHeight="1">
      <c r="A252" s="1575" t="s">
        <v>301</v>
      </c>
      <c r="B252" s="1575" t="s">
        <v>1730</v>
      </c>
      <c r="C252" s="1575">
        <v>7240</v>
      </c>
      <c r="D252" s="1575">
        <v>7200</v>
      </c>
      <c r="E252" s="1575">
        <v>9040</v>
      </c>
      <c r="F252" s="1584">
        <v>1380</v>
      </c>
      <c r="G252" s="1584">
        <v>4420</v>
      </c>
      <c r="I252" s="1605"/>
      <c r="J252" s="1563"/>
      <c r="K252" s="1563"/>
      <c r="L252" s="1563"/>
      <c r="M252" s="1563"/>
      <c r="N252" s="1563"/>
      <c r="O252" s="1563"/>
      <c r="P252" s="1563"/>
      <c r="Q252" s="1563"/>
      <c r="R252" s="1563"/>
      <c r="S252" s="1563"/>
      <c r="T252" s="1563"/>
      <c r="U252" s="1563"/>
    </row>
    <row r="253" spans="1:21" s="1560" customFormat="1" ht="14.25" customHeight="1">
      <c r="A253" s="1575" t="s">
        <v>301</v>
      </c>
      <c r="B253" s="1575" t="s">
        <v>1740</v>
      </c>
      <c r="C253" s="1575">
        <v>6670</v>
      </c>
      <c r="D253" s="1575">
        <v>6650</v>
      </c>
      <c r="E253" s="1575">
        <v>8350</v>
      </c>
      <c r="F253" s="1584">
        <v>1260</v>
      </c>
      <c r="G253" s="1584">
        <v>4080</v>
      </c>
      <c r="I253" s="1605"/>
      <c r="J253" s="1563"/>
      <c r="K253" s="1563"/>
      <c r="L253" s="1563"/>
      <c r="M253" s="1563"/>
      <c r="N253" s="1563"/>
      <c r="O253" s="1563"/>
      <c r="P253" s="1563"/>
      <c r="Q253" s="1563"/>
      <c r="R253" s="1563"/>
      <c r="S253" s="1563"/>
      <c r="T253" s="1563"/>
      <c r="U253" s="1563"/>
    </row>
    <row r="254" spans="1:21" s="1560" customFormat="1" ht="14.25" customHeight="1">
      <c r="A254" s="1575" t="s">
        <v>301</v>
      </c>
      <c r="B254" s="1575" t="s">
        <v>1749</v>
      </c>
      <c r="C254" s="1602">
        <v>7630</v>
      </c>
      <c r="D254" s="1602">
        <v>7590</v>
      </c>
      <c r="E254" s="1602">
        <v>9380</v>
      </c>
      <c r="F254" s="1594">
        <v>1320</v>
      </c>
      <c r="G254" s="1584">
        <v>4660</v>
      </c>
      <c r="I254" s="1605"/>
      <c r="J254" s="1563"/>
      <c r="K254" s="1563"/>
      <c r="L254" s="1563"/>
      <c r="M254" s="1563"/>
      <c r="N254" s="1563"/>
      <c r="O254" s="1563"/>
      <c r="P254" s="1563"/>
      <c r="Q254" s="1563"/>
      <c r="R254" s="1563"/>
      <c r="S254" s="1563"/>
      <c r="T254" s="1563"/>
      <c r="U254" s="1563"/>
    </row>
    <row r="255" spans="1:21" s="1560" customFormat="1" ht="14.25" customHeight="1">
      <c r="A255" s="1575" t="s">
        <v>301</v>
      </c>
      <c r="B255" s="1575" t="s">
        <v>1757</v>
      </c>
      <c r="C255" s="1602">
        <v>6940</v>
      </c>
      <c r="D255" s="1602">
        <v>6890</v>
      </c>
      <c r="E255" s="1602">
        <v>8650</v>
      </c>
      <c r="F255" s="1594">
        <v>1210</v>
      </c>
      <c r="G255" s="1584">
        <v>4230</v>
      </c>
      <c r="I255" s="1605"/>
      <c r="J255" s="1563"/>
      <c r="K255" s="1563"/>
      <c r="L255" s="1563"/>
      <c r="M255" s="1563"/>
      <c r="N255" s="1563"/>
      <c r="O255" s="1563"/>
      <c r="P255" s="1563"/>
      <c r="Q255" s="1563"/>
      <c r="R255" s="1563"/>
      <c r="S255" s="1563"/>
      <c r="T255" s="1563"/>
      <c r="U255" s="1563"/>
    </row>
    <row r="256" spans="1:21" s="1560" customFormat="1" ht="14.25" customHeight="1">
      <c r="A256" s="1575" t="s">
        <v>301</v>
      </c>
      <c r="B256" s="1575" t="s">
        <v>1765</v>
      </c>
      <c r="C256" s="1575">
        <v>7520</v>
      </c>
      <c r="D256" s="1575">
        <v>7490</v>
      </c>
      <c r="E256" s="1575">
        <v>9240</v>
      </c>
      <c r="F256" s="1584">
        <v>1270</v>
      </c>
      <c r="G256" s="1584">
        <v>4590</v>
      </c>
      <c r="I256" s="1605"/>
      <c r="J256" s="1563"/>
      <c r="K256" s="1563"/>
      <c r="L256" s="1563"/>
      <c r="M256" s="1563"/>
      <c r="N256" s="1563"/>
      <c r="O256" s="1563"/>
      <c r="P256" s="1563"/>
      <c r="Q256" s="1563"/>
      <c r="R256" s="1563"/>
      <c r="S256" s="1563"/>
      <c r="T256" s="1563"/>
      <c r="U256" s="1563"/>
    </row>
    <row r="257" spans="1:21" s="1560" customFormat="1" ht="14.25" customHeight="1">
      <c r="A257" s="1575" t="s">
        <v>301</v>
      </c>
      <c r="B257" s="1575" t="s">
        <v>1773</v>
      </c>
      <c r="C257" s="1575">
        <v>6280</v>
      </c>
      <c r="D257" s="1575">
        <v>6230</v>
      </c>
      <c r="E257" s="1575">
        <v>7740</v>
      </c>
      <c r="F257" s="1584">
        <v>1080</v>
      </c>
      <c r="G257" s="1584">
        <v>3830</v>
      </c>
      <c r="I257" s="1605"/>
      <c r="J257" s="1563"/>
      <c r="K257" s="1563"/>
      <c r="L257" s="1563"/>
      <c r="M257" s="1563"/>
      <c r="N257" s="1563"/>
      <c r="O257" s="1563"/>
      <c r="P257" s="1563"/>
      <c r="Q257" s="1563"/>
      <c r="R257" s="1563"/>
      <c r="S257" s="1563"/>
      <c r="T257" s="1563"/>
      <c r="U257" s="1563"/>
    </row>
    <row r="258" spans="1:21" s="1560" customFormat="1" ht="14.25" customHeight="1">
      <c r="A258" s="1575" t="s">
        <v>301</v>
      </c>
      <c r="B258" s="1575" t="s">
        <v>1781</v>
      </c>
      <c r="C258" s="1575">
        <v>6190</v>
      </c>
      <c r="D258" s="1575">
        <v>6160</v>
      </c>
      <c r="E258" s="1575">
        <v>7680</v>
      </c>
      <c r="F258" s="1584">
        <v>1170</v>
      </c>
      <c r="G258" s="1584">
        <v>3780</v>
      </c>
      <c r="I258" s="1605"/>
      <c r="J258" s="1563"/>
      <c r="K258" s="1563"/>
      <c r="L258" s="1563"/>
      <c r="M258" s="1563"/>
      <c r="N258" s="1563"/>
      <c r="O258" s="1563"/>
      <c r="P258" s="1563"/>
      <c r="Q258" s="1563"/>
      <c r="R258" s="1563"/>
      <c r="S258" s="1563"/>
      <c r="T258" s="1563"/>
      <c r="U258" s="1563"/>
    </row>
    <row r="259" spans="1:21" s="1560" customFormat="1" ht="14.25" customHeight="1">
      <c r="A259" s="1575" t="s">
        <v>301</v>
      </c>
      <c r="B259" s="1575" t="s">
        <v>1788</v>
      </c>
      <c r="C259" s="1575">
        <v>7610</v>
      </c>
      <c r="D259" s="1575">
        <v>7570</v>
      </c>
      <c r="E259" s="1575">
        <v>9350</v>
      </c>
      <c r="F259" s="1584">
        <v>1350</v>
      </c>
      <c r="G259" s="1584">
        <v>4650</v>
      </c>
      <c r="I259" s="1605"/>
      <c r="J259" s="1563"/>
      <c r="K259" s="1563"/>
      <c r="L259" s="1563"/>
      <c r="M259" s="1563"/>
      <c r="N259" s="1563"/>
      <c r="O259" s="1563"/>
      <c r="P259" s="1563"/>
      <c r="Q259" s="1563"/>
      <c r="R259" s="1563"/>
      <c r="S259" s="1563"/>
      <c r="T259" s="1563"/>
      <c r="U259" s="1563"/>
    </row>
    <row r="260" spans="1:21" s="1560" customFormat="1" ht="14.25" customHeight="1">
      <c r="A260" s="1575" t="s">
        <v>301</v>
      </c>
      <c r="B260" s="1575" t="s">
        <v>1795</v>
      </c>
      <c r="C260" s="1575">
        <v>6920</v>
      </c>
      <c r="D260" s="1575">
        <v>6880</v>
      </c>
      <c r="E260" s="1575">
        <v>8380</v>
      </c>
      <c r="F260" s="1584">
        <v>1160</v>
      </c>
      <c r="G260" s="1584">
        <v>4220</v>
      </c>
      <c r="I260" s="1605"/>
      <c r="J260" s="1563"/>
      <c r="K260" s="1563"/>
      <c r="L260" s="1563"/>
      <c r="M260" s="1563"/>
      <c r="N260" s="1563"/>
      <c r="O260" s="1563"/>
      <c r="P260" s="1563"/>
      <c r="Q260" s="1563"/>
      <c r="R260" s="1563"/>
      <c r="S260" s="1563"/>
      <c r="T260" s="1563"/>
      <c r="U260" s="1563"/>
    </row>
    <row r="261" spans="1:21" s="1560" customFormat="1" ht="14.25" customHeight="1">
      <c r="A261" s="1575" t="s">
        <v>301</v>
      </c>
      <c r="B261" s="1575" t="s">
        <v>1802</v>
      </c>
      <c r="C261" s="1575">
        <v>6850</v>
      </c>
      <c r="D261" s="1575">
        <v>6810</v>
      </c>
      <c r="E261" s="1575">
        <v>8290</v>
      </c>
      <c r="F261" s="1584">
        <v>1130</v>
      </c>
      <c r="G261" s="1584">
        <v>4180</v>
      </c>
      <c r="I261" s="1605"/>
      <c r="J261" s="1563"/>
      <c r="K261" s="1563"/>
      <c r="L261" s="1563"/>
      <c r="M261" s="1563"/>
      <c r="N261" s="1563"/>
      <c r="O261" s="1563"/>
      <c r="P261" s="1563"/>
      <c r="Q261" s="1563"/>
      <c r="R261" s="1563"/>
      <c r="S261" s="1563"/>
      <c r="T261" s="1563"/>
      <c r="U261" s="1563"/>
    </row>
    <row r="262" spans="1:21" s="1560" customFormat="1" ht="14.25" customHeight="1">
      <c r="A262" s="1575" t="s">
        <v>301</v>
      </c>
      <c r="B262" s="1575" t="s">
        <v>1809</v>
      </c>
      <c r="C262" s="1575">
        <v>5860</v>
      </c>
      <c r="D262" s="1575">
        <v>5820</v>
      </c>
      <c r="E262" s="1575">
        <v>7640</v>
      </c>
      <c r="F262" s="1584">
        <v>1070</v>
      </c>
      <c r="G262" s="1594">
        <v>3570</v>
      </c>
      <c r="I262" s="1605"/>
      <c r="J262" s="1563"/>
      <c r="K262" s="1563"/>
      <c r="L262" s="1563"/>
      <c r="M262" s="1563"/>
      <c r="N262" s="1563"/>
      <c r="O262" s="1563"/>
      <c r="P262" s="1563"/>
      <c r="Q262" s="1563"/>
      <c r="R262" s="1563"/>
      <c r="S262" s="1563"/>
      <c r="T262" s="1563"/>
      <c r="U262" s="1563"/>
    </row>
    <row r="263" spans="1:21" s="1560" customFormat="1" ht="14.25" customHeight="1">
      <c r="A263" s="1575" t="s">
        <v>301</v>
      </c>
      <c r="B263" s="1575" t="s">
        <v>1816</v>
      </c>
      <c r="C263" s="1575">
        <v>5870</v>
      </c>
      <c r="D263" s="1575">
        <v>5840</v>
      </c>
      <c r="E263" s="1575">
        <v>7270</v>
      </c>
      <c r="F263" s="1584">
        <v>1190</v>
      </c>
      <c r="G263" s="1584">
        <v>3580</v>
      </c>
      <c r="I263" s="1605"/>
      <c r="J263" s="1563"/>
      <c r="K263" s="1563"/>
      <c r="L263" s="1563"/>
      <c r="M263" s="1563"/>
      <c r="N263" s="1563"/>
      <c r="O263" s="1563"/>
      <c r="P263" s="1563"/>
      <c r="Q263" s="1563"/>
      <c r="R263" s="1563"/>
      <c r="S263" s="1563"/>
      <c r="T263" s="1563"/>
      <c r="U263" s="1563"/>
    </row>
    <row r="264" spans="1:21" s="1560" customFormat="1" ht="14.25" customHeight="1">
      <c r="A264" s="1575" t="s">
        <v>301</v>
      </c>
      <c r="B264" s="1575" t="s">
        <v>1823</v>
      </c>
      <c r="C264" s="1575">
        <v>6190</v>
      </c>
      <c r="D264" s="1575">
        <v>6150</v>
      </c>
      <c r="E264" s="1575">
        <v>7660</v>
      </c>
      <c r="F264" s="1584">
        <v>1160</v>
      </c>
      <c r="G264" s="1584">
        <v>3770</v>
      </c>
      <c r="I264" s="1605"/>
      <c r="J264" s="1563"/>
      <c r="K264" s="1563"/>
      <c r="L264" s="1563"/>
      <c r="M264" s="1563"/>
      <c r="N264" s="1563"/>
      <c r="O264" s="1563"/>
      <c r="P264" s="1563"/>
      <c r="Q264" s="1563"/>
      <c r="R264" s="1563"/>
      <c r="S264" s="1563"/>
      <c r="T264" s="1563"/>
      <c r="U264" s="1563"/>
    </row>
    <row r="265" spans="1:21" s="1560" customFormat="1" ht="14.25" customHeight="1">
      <c r="A265" s="1575" t="s">
        <v>301</v>
      </c>
      <c r="B265" s="1575" t="s">
        <v>1830</v>
      </c>
      <c r="C265" s="1575"/>
      <c r="D265" s="1575"/>
      <c r="E265" s="1575"/>
      <c r="F265" s="1584">
        <v>1500</v>
      </c>
      <c r="G265" s="1584"/>
      <c r="I265" s="1605"/>
      <c r="J265" s="1563"/>
      <c r="K265" s="1563"/>
      <c r="L265" s="1563"/>
      <c r="M265" s="1563"/>
      <c r="N265" s="1563"/>
      <c r="O265" s="1563"/>
      <c r="P265" s="1563"/>
      <c r="Q265" s="1563"/>
      <c r="R265" s="1563"/>
      <c r="S265" s="1563"/>
      <c r="T265" s="1563"/>
      <c r="U265" s="1563"/>
    </row>
    <row r="266" spans="1:21" s="1560" customFormat="1" ht="14.25" customHeight="1">
      <c r="A266" s="1575" t="s">
        <v>301</v>
      </c>
      <c r="B266" s="1575" t="s">
        <v>1835</v>
      </c>
      <c r="C266" s="1575"/>
      <c r="D266" s="1575"/>
      <c r="E266" s="1575"/>
      <c r="F266" s="1584">
        <v>1500</v>
      </c>
      <c r="G266" s="1584"/>
      <c r="I266" s="1605"/>
      <c r="J266" s="1563"/>
      <c r="K266" s="1563"/>
      <c r="L266" s="1563"/>
      <c r="M266" s="1563"/>
      <c r="N266" s="1563"/>
      <c r="O266" s="1563"/>
      <c r="P266" s="1563"/>
      <c r="Q266" s="1563"/>
      <c r="R266" s="1563"/>
      <c r="S266" s="1563"/>
      <c r="T266" s="1563"/>
      <c r="U266" s="1563"/>
    </row>
    <row r="267" spans="1:21" s="1560" customFormat="1" ht="14.25" customHeight="1">
      <c r="A267" s="1575" t="s">
        <v>301</v>
      </c>
      <c r="B267" s="1575" t="s">
        <v>1840</v>
      </c>
      <c r="C267" s="1575"/>
      <c r="D267" s="1575"/>
      <c r="E267" s="1575"/>
      <c r="F267" s="1584">
        <v>1500</v>
      </c>
      <c r="G267" s="1594"/>
      <c r="I267" s="1605"/>
      <c r="J267" s="1563"/>
      <c r="K267" s="1563"/>
      <c r="L267" s="1563"/>
      <c r="M267" s="1563"/>
      <c r="N267" s="1563"/>
      <c r="O267" s="1563"/>
      <c r="P267" s="1563"/>
      <c r="Q267" s="1563"/>
      <c r="R267" s="1563"/>
      <c r="S267" s="1563"/>
      <c r="T267" s="1563"/>
      <c r="U267" s="1563"/>
    </row>
    <row r="268" spans="1:21" s="1560" customFormat="1" ht="14.25" customHeight="1">
      <c r="A268" s="1575" t="s">
        <v>301</v>
      </c>
      <c r="B268" s="1575" t="s">
        <v>1845</v>
      </c>
      <c r="C268" s="1575"/>
      <c r="D268" s="1575"/>
      <c r="E268" s="1575"/>
      <c r="F268" s="1584">
        <v>1290</v>
      </c>
      <c r="G268" s="1584"/>
      <c r="I268" s="1605"/>
      <c r="J268" s="1563"/>
      <c r="K268" s="1563"/>
      <c r="L268" s="1563"/>
      <c r="M268" s="1563"/>
      <c r="N268" s="1563"/>
      <c r="O268" s="1563"/>
      <c r="P268" s="1563"/>
      <c r="Q268" s="1563"/>
      <c r="R268" s="1563"/>
      <c r="S268" s="1563"/>
      <c r="T268" s="1563"/>
      <c r="U268" s="1563"/>
    </row>
    <row r="269" spans="1:21" s="1560" customFormat="1" ht="14.25" customHeight="1">
      <c r="A269" s="1575" t="s">
        <v>301</v>
      </c>
      <c r="B269" s="1575" t="s">
        <v>1850</v>
      </c>
      <c r="C269" s="1575"/>
      <c r="D269" s="1575"/>
      <c r="E269" s="1575"/>
      <c r="F269" s="1584">
        <v>1150</v>
      </c>
      <c r="G269" s="1584"/>
      <c r="I269" s="1605"/>
      <c r="J269" s="1563"/>
      <c r="K269" s="1563"/>
      <c r="L269" s="1563"/>
      <c r="M269" s="1563"/>
      <c r="N269" s="1563"/>
      <c r="O269" s="1563"/>
      <c r="P269" s="1563"/>
      <c r="Q269" s="1563"/>
      <c r="R269" s="1563"/>
      <c r="S269" s="1563"/>
      <c r="T269" s="1563"/>
      <c r="U269" s="1563"/>
    </row>
    <row r="270" spans="1:21" s="1560" customFormat="1" ht="14.25" customHeight="1">
      <c r="A270" s="1575" t="s">
        <v>301</v>
      </c>
      <c r="B270" s="1575" t="s">
        <v>1855</v>
      </c>
      <c r="C270" s="1575"/>
      <c r="D270" s="1575"/>
      <c r="E270" s="1575"/>
      <c r="F270" s="1584">
        <v>1380</v>
      </c>
      <c r="G270" s="1584"/>
      <c r="I270" s="1605"/>
      <c r="J270" s="1563"/>
      <c r="K270" s="1563"/>
      <c r="L270" s="1563"/>
      <c r="M270" s="1563"/>
      <c r="N270" s="1563"/>
      <c r="O270" s="1563"/>
      <c r="P270" s="1563"/>
      <c r="Q270" s="1563"/>
      <c r="R270" s="1563"/>
      <c r="S270" s="1563"/>
      <c r="T270" s="1563"/>
      <c r="U270" s="1563"/>
    </row>
    <row r="271" spans="1:21" s="1560" customFormat="1" ht="14.25" customHeight="1">
      <c r="A271" s="1575" t="s">
        <v>301</v>
      </c>
      <c r="B271" s="1575" t="s">
        <v>1860</v>
      </c>
      <c r="C271" s="1575"/>
      <c r="D271" s="1575"/>
      <c r="E271" s="1575"/>
      <c r="F271" s="1584">
        <v>1460</v>
      </c>
      <c r="G271" s="1584"/>
      <c r="I271" s="1605"/>
      <c r="J271" s="1563"/>
      <c r="K271" s="1563"/>
      <c r="L271" s="1563"/>
      <c r="M271" s="1563"/>
      <c r="N271" s="1563"/>
      <c r="O271" s="1563"/>
      <c r="P271" s="1563"/>
      <c r="Q271" s="1563"/>
      <c r="R271" s="1563"/>
      <c r="S271" s="1563"/>
      <c r="T271" s="1563"/>
      <c r="U271" s="1563"/>
    </row>
    <row r="272" spans="1:21" s="1560" customFormat="1" ht="14.25" customHeight="1">
      <c r="A272" s="1575" t="s">
        <v>301</v>
      </c>
      <c r="B272" s="1575" t="s">
        <v>1865</v>
      </c>
      <c r="C272" s="1602"/>
      <c r="D272" s="1602"/>
      <c r="E272" s="1602"/>
      <c r="F272" s="1594">
        <v>1460</v>
      </c>
      <c r="G272" s="1584"/>
      <c r="I272" s="1605"/>
      <c r="J272" s="1563"/>
      <c r="K272" s="1563"/>
      <c r="L272" s="1563"/>
      <c r="M272" s="1563"/>
      <c r="N272" s="1563"/>
      <c r="O272" s="1563"/>
      <c r="P272" s="1563"/>
      <c r="Q272" s="1563"/>
      <c r="R272" s="1563"/>
      <c r="S272" s="1563"/>
      <c r="T272" s="1563"/>
      <c r="U272" s="1563"/>
    </row>
    <row r="273" spans="1:21" s="1560" customFormat="1" ht="14.25" customHeight="1">
      <c r="A273" s="1575" t="s">
        <v>301</v>
      </c>
      <c r="B273" s="1575" t="s">
        <v>1870</v>
      </c>
      <c r="C273" s="1575"/>
      <c r="D273" s="1575"/>
      <c r="E273" s="1575"/>
      <c r="F273" s="1584">
        <v>1490</v>
      </c>
      <c r="G273" s="1584"/>
      <c r="I273" s="1605"/>
      <c r="J273" s="1563"/>
      <c r="K273" s="1563"/>
      <c r="L273" s="1563"/>
      <c r="M273" s="1563"/>
      <c r="N273" s="1563"/>
      <c r="O273" s="1563"/>
      <c r="P273" s="1563"/>
      <c r="Q273" s="1563"/>
      <c r="R273" s="1563"/>
      <c r="S273" s="1563"/>
      <c r="T273" s="1563"/>
      <c r="U273" s="1563"/>
    </row>
    <row r="274" spans="1:21" s="1560" customFormat="1" ht="14.25" customHeight="1">
      <c r="A274" s="1575" t="s">
        <v>301</v>
      </c>
      <c r="B274" s="1575" t="s">
        <v>1874</v>
      </c>
      <c r="C274" s="1575"/>
      <c r="D274" s="1575"/>
      <c r="E274" s="1575"/>
      <c r="F274" s="1584">
        <v>1490</v>
      </c>
      <c r="G274" s="1584"/>
      <c r="I274" s="1605"/>
      <c r="J274" s="1563"/>
      <c r="K274" s="1563"/>
      <c r="L274" s="1563"/>
      <c r="M274" s="1563"/>
      <c r="N274" s="1563"/>
      <c r="O274" s="1563"/>
      <c r="P274" s="1563"/>
      <c r="Q274" s="1563"/>
      <c r="R274" s="1563"/>
      <c r="S274" s="1563"/>
      <c r="T274" s="1563"/>
      <c r="U274" s="1563"/>
    </row>
    <row r="275" spans="1:21" s="1560" customFormat="1" ht="14.25" customHeight="1">
      <c r="A275" s="1575" t="s">
        <v>301</v>
      </c>
      <c r="B275" s="1575" t="s">
        <v>1878</v>
      </c>
      <c r="C275" s="1575"/>
      <c r="D275" s="1575"/>
      <c r="E275" s="1575"/>
      <c r="F275" s="1584">
        <v>1220</v>
      </c>
      <c r="G275" s="1584"/>
      <c r="I275" s="1605"/>
      <c r="J275" s="1563"/>
      <c r="K275" s="1563"/>
      <c r="L275" s="1563"/>
      <c r="M275" s="1563"/>
      <c r="N275" s="1563"/>
      <c r="O275" s="1563"/>
      <c r="P275" s="1563"/>
      <c r="Q275" s="1563"/>
      <c r="R275" s="1563"/>
      <c r="S275" s="1563"/>
      <c r="T275" s="1563"/>
      <c r="U275" s="1563"/>
    </row>
    <row r="276" spans="1:21" s="1560" customFormat="1" ht="14.25" customHeight="1">
      <c r="A276" s="1591" t="s">
        <v>301</v>
      </c>
      <c r="B276" s="1581" t="s">
        <v>1882</v>
      </c>
      <c r="C276" s="1581"/>
      <c r="D276" s="1581"/>
      <c r="E276" s="1581"/>
      <c r="F276" s="1582">
        <v>1380</v>
      </c>
      <c r="G276" s="1592"/>
      <c r="I276" s="1605"/>
      <c r="J276" s="1563"/>
      <c r="K276" s="1563"/>
      <c r="L276" s="1563"/>
      <c r="M276" s="1563"/>
      <c r="N276" s="1563"/>
      <c r="O276" s="1563"/>
      <c r="P276" s="1563"/>
      <c r="Q276" s="1563"/>
      <c r="R276" s="1563"/>
      <c r="S276" s="1563"/>
      <c r="T276" s="1563"/>
      <c r="U276" s="1563"/>
    </row>
    <row r="277" spans="1:21" s="1560" customFormat="1" ht="14.25" customHeight="1">
      <c r="A277" s="1579" t="s">
        <v>305</v>
      </c>
      <c r="B277" s="1578" t="s">
        <v>1538</v>
      </c>
      <c r="C277" s="1578">
        <v>5790</v>
      </c>
      <c r="D277" s="1578">
        <v>5740</v>
      </c>
      <c r="E277" s="1578">
        <v>6730</v>
      </c>
      <c r="F277" s="1576">
        <v>1110</v>
      </c>
      <c r="G277" s="1576">
        <v>3460</v>
      </c>
      <c r="I277" s="1605"/>
      <c r="J277" s="1563"/>
      <c r="K277" s="1563"/>
      <c r="L277" s="1563"/>
      <c r="M277" s="1563"/>
      <c r="N277" s="1563"/>
      <c r="O277" s="1563"/>
      <c r="P277" s="1563"/>
      <c r="Q277" s="1563"/>
      <c r="R277" s="1563"/>
      <c r="S277" s="1563"/>
      <c r="T277" s="1563"/>
      <c r="U277" s="1563"/>
    </row>
    <row r="278" spans="1:21" s="1560" customFormat="1" ht="14.25" customHeight="1">
      <c r="A278" s="1575" t="s">
        <v>305</v>
      </c>
      <c r="B278" s="1575" t="s">
        <v>1551</v>
      </c>
      <c r="C278" s="1575">
        <v>5740</v>
      </c>
      <c r="D278" s="1575">
        <v>5670</v>
      </c>
      <c r="E278" s="1575">
        <v>6680</v>
      </c>
      <c r="F278" s="1584">
        <v>1070</v>
      </c>
      <c r="G278" s="1584">
        <v>3420</v>
      </c>
      <c r="I278" s="1605"/>
      <c r="J278" s="1563"/>
      <c r="K278" s="1563"/>
      <c r="L278" s="1563"/>
      <c r="M278" s="1563"/>
      <c r="N278" s="1563"/>
      <c r="O278" s="1563"/>
      <c r="P278" s="1563"/>
      <c r="Q278" s="1563"/>
      <c r="R278" s="1563"/>
      <c r="S278" s="1563"/>
      <c r="T278" s="1563"/>
      <c r="U278" s="1563"/>
    </row>
    <row r="279" spans="1:21" s="1560" customFormat="1" ht="14.25" customHeight="1">
      <c r="A279" s="1575" t="s">
        <v>305</v>
      </c>
      <c r="B279" s="1575" t="s">
        <v>1564</v>
      </c>
      <c r="C279" s="1575">
        <v>4760</v>
      </c>
      <c r="D279" s="1575">
        <v>4720</v>
      </c>
      <c r="E279" s="1575">
        <v>5540</v>
      </c>
      <c r="F279" s="1584">
        <v>810</v>
      </c>
      <c r="G279" s="1584">
        <v>2850</v>
      </c>
      <c r="I279" s="1605"/>
      <c r="J279" s="1563"/>
      <c r="K279" s="1563"/>
      <c r="L279" s="1563"/>
      <c r="M279" s="1563"/>
      <c r="N279" s="1563"/>
      <c r="O279" s="1563"/>
      <c r="P279" s="1563"/>
      <c r="Q279" s="1563"/>
      <c r="R279" s="1563"/>
      <c r="S279" s="1563"/>
      <c r="T279" s="1563"/>
      <c r="U279" s="1563"/>
    </row>
    <row r="280" spans="1:21" s="1560" customFormat="1" ht="14.25" customHeight="1">
      <c r="A280" s="1575" t="s">
        <v>305</v>
      </c>
      <c r="B280" s="1575" t="s">
        <v>1576</v>
      </c>
      <c r="C280" s="1575">
        <v>4010</v>
      </c>
      <c r="D280" s="1575">
        <v>3950</v>
      </c>
      <c r="E280" s="1575">
        <v>4710</v>
      </c>
      <c r="F280" s="1584">
        <v>800</v>
      </c>
      <c r="G280" s="1584">
        <v>2390</v>
      </c>
      <c r="I280" s="1605"/>
      <c r="J280" s="1563"/>
      <c r="K280" s="1563"/>
      <c r="L280" s="1563"/>
      <c r="M280" s="1563"/>
      <c r="N280" s="1563"/>
      <c r="O280" s="1563"/>
      <c r="P280" s="1563"/>
      <c r="Q280" s="1563"/>
      <c r="R280" s="1563"/>
      <c r="S280" s="1563"/>
      <c r="T280" s="1563"/>
      <c r="U280" s="1563"/>
    </row>
    <row r="281" spans="1:21" s="1560" customFormat="1" ht="14.25" customHeight="1">
      <c r="A281" s="1575" t="s">
        <v>305</v>
      </c>
      <c r="B281" s="1575" t="s">
        <v>1588</v>
      </c>
      <c r="C281" s="1575">
        <v>4480</v>
      </c>
      <c r="D281" s="1575">
        <v>4420</v>
      </c>
      <c r="E281" s="1575">
        <v>5230</v>
      </c>
      <c r="F281" s="1584">
        <v>870</v>
      </c>
      <c r="G281" s="1584">
        <v>2660</v>
      </c>
      <c r="I281" s="1605"/>
      <c r="J281" s="1563"/>
      <c r="K281" s="1563"/>
      <c r="L281" s="1563"/>
      <c r="M281" s="1563"/>
      <c r="N281" s="1563"/>
      <c r="O281" s="1563"/>
      <c r="P281" s="1563"/>
      <c r="Q281" s="1563"/>
      <c r="R281" s="1563"/>
      <c r="S281" s="1563"/>
      <c r="T281" s="1563"/>
      <c r="U281" s="1563"/>
    </row>
    <row r="282" spans="1:21" s="1560" customFormat="1" ht="14.25" customHeight="1">
      <c r="A282" s="1575" t="s">
        <v>305</v>
      </c>
      <c r="B282" s="1575" t="s">
        <v>1599</v>
      </c>
      <c r="C282" s="1575">
        <v>5360</v>
      </c>
      <c r="D282" s="1575">
        <v>5300</v>
      </c>
      <c r="E282" s="1575">
        <v>6190</v>
      </c>
      <c r="F282" s="1584">
        <v>950</v>
      </c>
      <c r="G282" s="1584">
        <v>3190</v>
      </c>
      <c r="I282" s="1605"/>
      <c r="J282" s="1563"/>
      <c r="K282" s="1563"/>
      <c r="L282" s="1563"/>
      <c r="M282" s="1563"/>
      <c r="N282" s="1563"/>
      <c r="O282" s="1563"/>
      <c r="P282" s="1563"/>
      <c r="Q282" s="1563"/>
      <c r="R282" s="1563"/>
      <c r="S282" s="1563"/>
      <c r="T282" s="1563"/>
      <c r="U282" s="1563"/>
    </row>
    <row r="283" spans="1:21" s="1560" customFormat="1" ht="14.25" customHeight="1">
      <c r="A283" s="1575" t="s">
        <v>305</v>
      </c>
      <c r="B283" s="1575" t="s">
        <v>1610</v>
      </c>
      <c r="C283" s="1575">
        <v>4950</v>
      </c>
      <c r="D283" s="1575">
        <v>4900</v>
      </c>
      <c r="E283" s="1575">
        <v>5720</v>
      </c>
      <c r="F283" s="1584">
        <v>920</v>
      </c>
      <c r="G283" s="1584">
        <v>2950</v>
      </c>
      <c r="I283" s="1605"/>
      <c r="J283" s="1563"/>
      <c r="K283" s="1563"/>
      <c r="L283" s="1563"/>
      <c r="M283" s="1563"/>
      <c r="N283" s="1563"/>
      <c r="O283" s="1563"/>
      <c r="P283" s="1563"/>
      <c r="Q283" s="1563"/>
      <c r="R283" s="1563"/>
      <c r="S283" s="1563"/>
      <c r="T283" s="1563"/>
      <c r="U283" s="1563"/>
    </row>
    <row r="284" spans="1:21" s="1560" customFormat="1" ht="14.25" customHeight="1">
      <c r="A284" s="1575" t="s">
        <v>305</v>
      </c>
      <c r="B284" s="1575" t="s">
        <v>1621</v>
      </c>
      <c r="C284" s="1575">
        <v>5610</v>
      </c>
      <c r="D284" s="1575">
        <v>5560</v>
      </c>
      <c r="E284" s="1575">
        <v>6520</v>
      </c>
      <c r="F284" s="1584">
        <v>1030</v>
      </c>
      <c r="G284" s="1584">
        <v>3360</v>
      </c>
      <c r="I284" s="1605"/>
      <c r="J284" s="1563"/>
      <c r="K284" s="1563"/>
      <c r="L284" s="1563"/>
      <c r="M284" s="1563"/>
      <c r="N284" s="1563"/>
      <c r="O284" s="1563"/>
      <c r="P284" s="1563"/>
      <c r="Q284" s="1563"/>
      <c r="R284" s="1563"/>
      <c r="S284" s="1563"/>
      <c r="T284" s="1563"/>
      <c r="U284" s="1563"/>
    </row>
    <row r="285" spans="1:21" s="1560" customFormat="1" ht="14.25" customHeight="1">
      <c r="A285" s="1575" t="s">
        <v>305</v>
      </c>
      <c r="B285" s="1575" t="s">
        <v>1631</v>
      </c>
      <c r="C285" s="1575">
        <v>5340</v>
      </c>
      <c r="D285" s="1575">
        <v>5290</v>
      </c>
      <c r="E285" s="1575">
        <v>6170</v>
      </c>
      <c r="F285" s="1584">
        <v>1080</v>
      </c>
      <c r="G285" s="1584">
        <v>3180</v>
      </c>
      <c r="I285" s="1605"/>
      <c r="J285" s="1563"/>
      <c r="K285" s="1563"/>
      <c r="L285" s="1563"/>
      <c r="M285" s="1563"/>
      <c r="N285" s="1563"/>
      <c r="O285" s="1563"/>
      <c r="P285" s="1563"/>
      <c r="Q285" s="1563"/>
      <c r="R285" s="1563"/>
      <c r="S285" s="1563"/>
      <c r="T285" s="1563"/>
      <c r="U285" s="1563"/>
    </row>
    <row r="286" spans="1:21" s="1560" customFormat="1" ht="14.25" customHeight="1">
      <c r="A286" s="1575" t="s">
        <v>305</v>
      </c>
      <c r="B286" s="1575" t="s">
        <v>1641</v>
      </c>
      <c r="C286" s="1575">
        <v>4890</v>
      </c>
      <c r="D286" s="1575">
        <v>4840</v>
      </c>
      <c r="E286" s="1575">
        <v>5640</v>
      </c>
      <c r="F286" s="1584">
        <v>960</v>
      </c>
      <c r="G286" s="1584">
        <v>2910</v>
      </c>
      <c r="I286" s="1605"/>
      <c r="J286" s="1563"/>
      <c r="K286" s="1563"/>
      <c r="L286" s="1563"/>
      <c r="M286" s="1563"/>
      <c r="N286" s="1563"/>
      <c r="O286" s="1563"/>
      <c r="P286" s="1563"/>
      <c r="Q286" s="1563"/>
      <c r="R286" s="1563"/>
      <c r="S286" s="1563"/>
      <c r="T286" s="1563"/>
      <c r="U286" s="1563"/>
    </row>
    <row r="287" spans="1:21" s="1560" customFormat="1" ht="14.25" customHeight="1">
      <c r="A287" s="1575" t="s">
        <v>305</v>
      </c>
      <c r="B287" s="1575" t="s">
        <v>1651</v>
      </c>
      <c r="C287" s="1575">
        <v>4960</v>
      </c>
      <c r="D287" s="1575">
        <v>4920</v>
      </c>
      <c r="E287" s="1575">
        <v>5730</v>
      </c>
      <c r="F287" s="1584">
        <v>930</v>
      </c>
      <c r="G287" s="1584">
        <v>2960</v>
      </c>
      <c r="I287" s="1605"/>
      <c r="J287" s="1563"/>
      <c r="K287" s="1563"/>
      <c r="L287" s="1563"/>
      <c r="M287" s="1563"/>
      <c r="N287" s="1563"/>
      <c r="O287" s="1563"/>
      <c r="P287" s="1563"/>
      <c r="Q287" s="1563"/>
      <c r="R287" s="1563"/>
      <c r="S287" s="1563"/>
      <c r="T287" s="1563"/>
      <c r="U287" s="1563"/>
    </row>
    <row r="288" spans="1:21" s="1560" customFormat="1" ht="14.25" customHeight="1">
      <c r="A288" s="1575" t="s">
        <v>305</v>
      </c>
      <c r="B288" s="1575" t="s">
        <v>1661</v>
      </c>
      <c r="C288" s="1575">
        <v>4350</v>
      </c>
      <c r="D288" s="1575">
        <v>4300</v>
      </c>
      <c r="E288" s="1575">
        <v>4900</v>
      </c>
      <c r="F288" s="1584">
        <v>820</v>
      </c>
      <c r="G288" s="1584">
        <v>2590</v>
      </c>
      <c r="I288" s="1605"/>
      <c r="J288" s="1563"/>
      <c r="K288" s="1563"/>
      <c r="L288" s="1563"/>
      <c r="M288" s="1563"/>
      <c r="N288" s="1563"/>
      <c r="O288" s="1563"/>
      <c r="P288" s="1563"/>
      <c r="Q288" s="1563"/>
      <c r="R288" s="1563"/>
      <c r="S288" s="1563"/>
      <c r="T288" s="1563"/>
      <c r="U288" s="1563"/>
    </row>
    <row r="289" spans="1:21" s="1560" customFormat="1" ht="14.25" customHeight="1">
      <c r="A289" s="1575" t="s">
        <v>305</v>
      </c>
      <c r="B289" s="1575" t="s">
        <v>1671</v>
      </c>
      <c r="C289" s="1575">
        <v>5230</v>
      </c>
      <c r="D289" s="1575">
        <v>5170</v>
      </c>
      <c r="E289" s="1575">
        <v>6060</v>
      </c>
      <c r="F289" s="1575">
        <v>900</v>
      </c>
      <c r="G289" s="1575">
        <v>3120</v>
      </c>
      <c r="H289" s="1611"/>
      <c r="I289" s="1605"/>
      <c r="J289" s="1563"/>
      <c r="K289" s="1563"/>
      <c r="L289" s="1563"/>
      <c r="M289" s="1563"/>
      <c r="N289" s="1563"/>
      <c r="O289" s="1563"/>
      <c r="P289" s="1563"/>
      <c r="Q289" s="1563"/>
      <c r="R289" s="1563"/>
      <c r="S289" s="1563"/>
      <c r="T289" s="1563"/>
      <c r="U289" s="1563"/>
    </row>
    <row r="290" spans="1:21" s="1560" customFormat="1" ht="14.25" customHeight="1">
      <c r="A290" s="1578" t="s">
        <v>305</v>
      </c>
      <c r="B290" s="1578" t="s">
        <v>1681</v>
      </c>
      <c r="C290" s="1578">
        <v>5550</v>
      </c>
      <c r="D290" s="1578">
        <v>5500</v>
      </c>
      <c r="E290" s="1578">
        <v>6440</v>
      </c>
      <c r="F290" s="1576">
        <v>960</v>
      </c>
      <c r="G290" s="1608">
        <v>3320</v>
      </c>
      <c r="I290" s="1605"/>
      <c r="J290" s="1563"/>
      <c r="K290" s="1563"/>
      <c r="L290" s="1563"/>
      <c r="M290" s="1563"/>
      <c r="N290" s="1563"/>
      <c r="O290" s="1563"/>
      <c r="P290" s="1563"/>
      <c r="Q290" s="1563"/>
      <c r="R290" s="1563"/>
      <c r="S290" s="1563"/>
      <c r="T290" s="1563"/>
      <c r="U290" s="1563"/>
    </row>
    <row r="291" spans="1:21" s="1560" customFormat="1" ht="14.25" customHeight="1">
      <c r="A291" s="1575" t="s">
        <v>305</v>
      </c>
      <c r="B291" s="1575" t="s">
        <v>1691</v>
      </c>
      <c r="C291" s="1575">
        <v>5440</v>
      </c>
      <c r="D291" s="1575">
        <v>5400</v>
      </c>
      <c r="E291" s="1575">
        <v>6320</v>
      </c>
      <c r="F291" s="1584">
        <v>930</v>
      </c>
      <c r="G291" s="1594">
        <v>3250</v>
      </c>
      <c r="I291" s="1605"/>
      <c r="J291" s="1563"/>
      <c r="K291" s="1563"/>
      <c r="L291" s="1563"/>
      <c r="M291" s="1563"/>
      <c r="N291" s="1563"/>
      <c r="O291" s="1563"/>
      <c r="P291" s="1563"/>
      <c r="Q291" s="1563"/>
      <c r="R291" s="1563"/>
      <c r="S291" s="1563"/>
      <c r="T291" s="1563"/>
      <c r="U291" s="1563"/>
    </row>
    <row r="292" spans="1:21" s="1560" customFormat="1" ht="14.25" customHeight="1">
      <c r="A292" s="1575" t="s">
        <v>305</v>
      </c>
      <c r="B292" s="1575" t="s">
        <v>1701</v>
      </c>
      <c r="C292" s="1575">
        <v>5400</v>
      </c>
      <c r="D292" s="1575">
        <v>5360</v>
      </c>
      <c r="E292" s="1575">
        <v>6270</v>
      </c>
      <c r="F292" s="1584">
        <v>1040</v>
      </c>
      <c r="G292" s="1584">
        <v>3230</v>
      </c>
      <c r="I292" s="1605"/>
      <c r="J292" s="1563"/>
      <c r="K292" s="1563"/>
      <c r="L292" s="1563"/>
      <c r="M292" s="1563"/>
      <c r="N292" s="1563"/>
      <c r="O292" s="1563"/>
      <c r="P292" s="1563"/>
      <c r="Q292" s="1563"/>
      <c r="R292" s="1563"/>
      <c r="S292" s="1563"/>
      <c r="T292" s="1563"/>
      <c r="U292" s="1563"/>
    </row>
    <row r="293" spans="1:21" s="1560" customFormat="1" ht="14.25" customHeight="1">
      <c r="A293" s="1575" t="s">
        <v>305</v>
      </c>
      <c r="B293" s="1575" t="s">
        <v>1711</v>
      </c>
      <c r="C293" s="1575">
        <v>5320</v>
      </c>
      <c r="D293" s="1575">
        <v>5270</v>
      </c>
      <c r="E293" s="1575">
        <v>6160</v>
      </c>
      <c r="F293" s="1584">
        <v>990</v>
      </c>
      <c r="G293" s="1584">
        <v>3170</v>
      </c>
      <c r="I293" s="1605"/>
      <c r="J293" s="1563"/>
      <c r="K293" s="1563"/>
      <c r="L293" s="1563"/>
      <c r="M293" s="1563"/>
      <c r="N293" s="1563"/>
      <c r="O293" s="1563"/>
      <c r="P293" s="1563"/>
      <c r="Q293" s="1563"/>
      <c r="R293" s="1563"/>
      <c r="S293" s="1563"/>
      <c r="T293" s="1563"/>
      <c r="U293" s="1563"/>
    </row>
    <row r="294" spans="1:21" s="1560" customFormat="1" ht="14.25" customHeight="1">
      <c r="A294" s="1575" t="s">
        <v>305</v>
      </c>
      <c r="B294" s="1575" t="s">
        <v>1721</v>
      </c>
      <c r="C294" s="1575">
        <v>5260</v>
      </c>
      <c r="D294" s="1575">
        <v>5210</v>
      </c>
      <c r="E294" s="1575">
        <v>6100</v>
      </c>
      <c r="F294" s="1584">
        <v>950</v>
      </c>
      <c r="G294" s="1584">
        <v>3150</v>
      </c>
      <c r="I294" s="1605"/>
      <c r="J294" s="1563"/>
      <c r="K294" s="1563"/>
      <c r="L294" s="1563"/>
      <c r="M294" s="1563"/>
      <c r="N294" s="1563"/>
      <c r="O294" s="1563"/>
      <c r="P294" s="1563"/>
      <c r="Q294" s="1563"/>
      <c r="R294" s="1563"/>
      <c r="S294" s="1563"/>
      <c r="T294" s="1563"/>
      <c r="U294" s="1563"/>
    </row>
    <row r="295" spans="1:21" s="1560" customFormat="1" ht="14.25" customHeight="1">
      <c r="A295" s="1575" t="s">
        <v>305</v>
      </c>
      <c r="B295" s="1575" t="s">
        <v>1731</v>
      </c>
      <c r="C295" s="1575">
        <v>5610</v>
      </c>
      <c r="D295" s="1575">
        <v>5570</v>
      </c>
      <c r="E295" s="1575">
        <v>6530</v>
      </c>
      <c r="F295" s="1584">
        <v>960</v>
      </c>
      <c r="G295" s="1584">
        <v>3360</v>
      </c>
      <c r="I295" s="1605"/>
      <c r="J295" s="1563"/>
      <c r="K295" s="1563"/>
      <c r="L295" s="1563"/>
      <c r="M295" s="1563"/>
      <c r="N295" s="1563"/>
      <c r="O295" s="1563"/>
      <c r="P295" s="1563"/>
      <c r="Q295" s="1563"/>
      <c r="R295" s="1563"/>
      <c r="S295" s="1563"/>
      <c r="T295" s="1563"/>
      <c r="U295" s="1563"/>
    </row>
    <row r="296" spans="1:21" s="1560" customFormat="1" ht="14.25" customHeight="1">
      <c r="A296" s="1575" t="s">
        <v>305</v>
      </c>
      <c r="B296" s="1575" t="s">
        <v>1741</v>
      </c>
      <c r="C296" s="1575">
        <v>5540</v>
      </c>
      <c r="D296" s="1575">
        <v>5490</v>
      </c>
      <c r="E296" s="1575">
        <v>6430</v>
      </c>
      <c r="F296" s="1584">
        <v>980</v>
      </c>
      <c r="G296" s="1584">
        <v>3310</v>
      </c>
      <c r="I296" s="1605"/>
      <c r="J296" s="1563"/>
      <c r="K296" s="1563"/>
      <c r="L296" s="1563"/>
      <c r="M296" s="1563"/>
      <c r="N296" s="1563"/>
      <c r="O296" s="1563"/>
      <c r="P296" s="1563"/>
      <c r="Q296" s="1563"/>
      <c r="R296" s="1563"/>
      <c r="S296" s="1563"/>
      <c r="T296" s="1563"/>
      <c r="U296" s="1563"/>
    </row>
    <row r="297" spans="1:21" s="1560" customFormat="1" ht="14.25" customHeight="1">
      <c r="A297" s="1575" t="s">
        <v>305</v>
      </c>
      <c r="B297" s="1575" t="s">
        <v>1750</v>
      </c>
      <c r="C297" s="1575">
        <v>5480</v>
      </c>
      <c r="D297" s="1575">
        <v>5420</v>
      </c>
      <c r="E297" s="1575">
        <v>6370</v>
      </c>
      <c r="F297" s="1584">
        <v>990</v>
      </c>
      <c r="G297" s="1584">
        <v>3270</v>
      </c>
      <c r="I297" s="1605"/>
      <c r="J297" s="1563"/>
      <c r="K297" s="1563"/>
      <c r="L297" s="1563"/>
      <c r="M297" s="1563"/>
      <c r="N297" s="1563"/>
      <c r="O297" s="1563"/>
      <c r="P297" s="1563"/>
      <c r="Q297" s="1563"/>
      <c r="R297" s="1563"/>
      <c r="S297" s="1563"/>
      <c r="T297" s="1563"/>
      <c r="U297" s="1563"/>
    </row>
    <row r="298" spans="1:21" s="1560" customFormat="1" ht="14.25" customHeight="1">
      <c r="A298" s="1575" t="s">
        <v>305</v>
      </c>
      <c r="B298" s="1575" t="s">
        <v>1758</v>
      </c>
      <c r="C298" s="1575">
        <v>5090</v>
      </c>
      <c r="D298" s="1575">
        <v>5050</v>
      </c>
      <c r="E298" s="1575">
        <v>5910</v>
      </c>
      <c r="F298" s="1584">
        <v>900</v>
      </c>
      <c r="G298" s="1584">
        <v>3040</v>
      </c>
      <c r="I298" s="1605"/>
      <c r="J298" s="1563"/>
      <c r="K298" s="1563"/>
      <c r="L298" s="1563"/>
      <c r="M298" s="1563"/>
      <c r="N298" s="1563"/>
      <c r="O298" s="1563"/>
      <c r="P298" s="1563"/>
      <c r="Q298" s="1563"/>
      <c r="R298" s="1563"/>
      <c r="S298" s="1563"/>
      <c r="T298" s="1563"/>
      <c r="U298" s="1563"/>
    </row>
    <row r="299" spans="1:21" s="1560" customFormat="1" ht="14.25" customHeight="1">
      <c r="A299" s="1575" t="s">
        <v>305</v>
      </c>
      <c r="B299" s="1575" t="s">
        <v>1766</v>
      </c>
      <c r="C299" s="1575">
        <v>5430</v>
      </c>
      <c r="D299" s="1575">
        <v>5380</v>
      </c>
      <c r="E299" s="1575">
        <v>6280</v>
      </c>
      <c r="F299" s="1584">
        <v>1000</v>
      </c>
      <c r="G299" s="1594">
        <v>3240</v>
      </c>
      <c r="I299" s="1605"/>
      <c r="J299" s="1563"/>
      <c r="K299" s="1563"/>
      <c r="L299" s="1563"/>
      <c r="M299" s="1563"/>
      <c r="N299" s="1563"/>
      <c r="O299" s="1563"/>
      <c r="P299" s="1563"/>
      <c r="Q299" s="1563"/>
      <c r="R299" s="1563"/>
      <c r="S299" s="1563"/>
      <c r="T299" s="1563"/>
      <c r="U299" s="1563"/>
    </row>
    <row r="300" spans="1:21" s="1560" customFormat="1" ht="14.25" customHeight="1">
      <c r="A300" s="1575" t="s">
        <v>305</v>
      </c>
      <c r="B300" s="1575" t="s">
        <v>1774</v>
      </c>
      <c r="C300" s="1575">
        <v>4740</v>
      </c>
      <c r="D300" s="1575">
        <v>4680</v>
      </c>
      <c r="E300" s="1575">
        <v>5450</v>
      </c>
      <c r="F300" s="1584">
        <v>900</v>
      </c>
      <c r="G300" s="1584">
        <v>2830</v>
      </c>
      <c r="I300" s="1605"/>
      <c r="J300" s="1563"/>
      <c r="K300" s="1563"/>
      <c r="L300" s="1563"/>
      <c r="M300" s="1563"/>
      <c r="N300" s="1563"/>
      <c r="O300" s="1563"/>
      <c r="P300" s="1563"/>
      <c r="Q300" s="1563"/>
      <c r="R300" s="1563"/>
      <c r="S300" s="1563"/>
      <c r="T300" s="1563"/>
      <c r="U300" s="1563"/>
    </row>
    <row r="301" spans="1:21" s="1560" customFormat="1" ht="14.25" customHeight="1">
      <c r="A301" s="1575" t="s">
        <v>305</v>
      </c>
      <c r="B301" s="1575" t="s">
        <v>1782</v>
      </c>
      <c r="C301" s="1575">
        <v>4870</v>
      </c>
      <c r="D301" s="1575">
        <v>4810</v>
      </c>
      <c r="E301" s="1575">
        <v>5560</v>
      </c>
      <c r="F301" s="1584">
        <v>990</v>
      </c>
      <c r="G301" s="1594">
        <v>2910</v>
      </c>
      <c r="I301" s="1605"/>
      <c r="J301" s="1563"/>
      <c r="K301" s="1563"/>
      <c r="L301" s="1563"/>
      <c r="M301" s="1563"/>
      <c r="N301" s="1563"/>
      <c r="O301" s="1563"/>
      <c r="P301" s="1563"/>
      <c r="Q301" s="1563"/>
      <c r="R301" s="1563"/>
      <c r="S301" s="1563"/>
      <c r="T301" s="1563"/>
      <c r="U301" s="1563"/>
    </row>
    <row r="302" spans="1:21" s="1560" customFormat="1" ht="14.25" customHeight="1">
      <c r="A302" s="1575" t="s">
        <v>305</v>
      </c>
      <c r="B302" s="1575" t="s">
        <v>1789</v>
      </c>
      <c r="C302" s="1575">
        <v>5520</v>
      </c>
      <c r="D302" s="1575">
        <v>5470</v>
      </c>
      <c r="E302" s="1575">
        <v>6410</v>
      </c>
      <c r="F302" s="1584">
        <v>950</v>
      </c>
      <c r="G302" s="1584">
        <v>3300</v>
      </c>
      <c r="I302" s="1605"/>
      <c r="J302" s="1563"/>
      <c r="K302" s="1563"/>
      <c r="L302" s="1563"/>
      <c r="M302" s="1563"/>
      <c r="N302" s="1563"/>
      <c r="O302" s="1563"/>
      <c r="P302" s="1563"/>
      <c r="Q302" s="1563"/>
      <c r="R302" s="1563"/>
      <c r="S302" s="1563"/>
      <c r="T302" s="1563"/>
      <c r="U302" s="1563"/>
    </row>
    <row r="303" spans="1:21" s="1560" customFormat="1" ht="14.25" customHeight="1">
      <c r="A303" s="1575" t="s">
        <v>305</v>
      </c>
      <c r="B303" s="1575" t="s">
        <v>1796</v>
      </c>
      <c r="C303" s="1575">
        <v>5630</v>
      </c>
      <c r="D303" s="1575">
        <v>5590</v>
      </c>
      <c r="E303" s="1575">
        <v>6550</v>
      </c>
      <c r="F303" s="1584">
        <v>1010</v>
      </c>
      <c r="G303" s="1584">
        <v>3370</v>
      </c>
      <c r="I303" s="1605"/>
      <c r="J303" s="1563"/>
      <c r="K303" s="1563"/>
      <c r="L303" s="1563"/>
      <c r="M303" s="1563"/>
      <c r="N303" s="1563"/>
      <c r="O303" s="1563"/>
      <c r="P303" s="1563"/>
      <c r="Q303" s="1563"/>
      <c r="R303" s="1563"/>
      <c r="S303" s="1563"/>
      <c r="T303" s="1563"/>
      <c r="U303" s="1563"/>
    </row>
    <row r="304" spans="1:21" s="1560" customFormat="1" ht="14.25" customHeight="1">
      <c r="A304" s="1575" t="s">
        <v>305</v>
      </c>
      <c r="B304" s="1575" t="s">
        <v>1803</v>
      </c>
      <c r="C304" s="1575">
        <v>5680</v>
      </c>
      <c r="D304" s="1575">
        <v>5620</v>
      </c>
      <c r="E304" s="1575">
        <v>6620</v>
      </c>
      <c r="F304" s="1584">
        <v>1050</v>
      </c>
      <c r="G304" s="1594">
        <v>3390</v>
      </c>
      <c r="I304" s="1605"/>
      <c r="J304" s="1563"/>
      <c r="K304" s="1563"/>
      <c r="L304" s="1563"/>
      <c r="M304" s="1563"/>
      <c r="N304" s="1563"/>
      <c r="O304" s="1563"/>
      <c r="P304" s="1563"/>
      <c r="Q304" s="1563"/>
      <c r="R304" s="1563"/>
      <c r="S304" s="1563"/>
      <c r="T304" s="1563"/>
      <c r="U304" s="1563"/>
    </row>
    <row r="305" spans="1:21" s="1560" customFormat="1" ht="14.25" customHeight="1">
      <c r="A305" s="1575" t="s">
        <v>305</v>
      </c>
      <c r="B305" s="1575" t="s">
        <v>1810</v>
      </c>
      <c r="C305" s="1575">
        <v>5590</v>
      </c>
      <c r="D305" s="1575">
        <v>5530</v>
      </c>
      <c r="E305" s="1575">
        <v>6460</v>
      </c>
      <c r="F305" s="1584">
        <v>900</v>
      </c>
      <c r="G305" s="1584">
        <v>3340</v>
      </c>
      <c r="I305" s="1605"/>
      <c r="J305" s="1563"/>
      <c r="K305" s="1563"/>
      <c r="L305" s="1563"/>
      <c r="M305" s="1563"/>
      <c r="N305" s="1563"/>
      <c r="O305" s="1563"/>
      <c r="P305" s="1563"/>
      <c r="Q305" s="1563"/>
      <c r="R305" s="1563"/>
      <c r="S305" s="1563"/>
      <c r="T305" s="1563"/>
      <c r="U305" s="1563"/>
    </row>
    <row r="306" spans="1:21" s="1560" customFormat="1" ht="14.25" customHeight="1">
      <c r="A306" s="1575" t="s">
        <v>305</v>
      </c>
      <c r="B306" s="1575" t="s">
        <v>1817</v>
      </c>
      <c r="C306" s="1575">
        <v>5560</v>
      </c>
      <c r="D306" s="1575">
        <v>5510</v>
      </c>
      <c r="E306" s="1575">
        <v>6440</v>
      </c>
      <c r="F306" s="1584">
        <v>900</v>
      </c>
      <c r="G306" s="1594">
        <v>3320</v>
      </c>
      <c r="I306" s="1605"/>
      <c r="J306" s="1563"/>
      <c r="K306" s="1563"/>
      <c r="L306" s="1563"/>
      <c r="M306" s="1563"/>
      <c r="N306" s="1563"/>
      <c r="O306" s="1563"/>
      <c r="P306" s="1563"/>
      <c r="Q306" s="1563"/>
      <c r="R306" s="1563"/>
      <c r="S306" s="1563"/>
      <c r="T306" s="1563"/>
      <c r="U306" s="1563"/>
    </row>
    <row r="307" spans="1:21" s="1560" customFormat="1" ht="14.25" customHeight="1">
      <c r="A307" s="1575" t="s">
        <v>305</v>
      </c>
      <c r="B307" s="1575" t="s">
        <v>1824</v>
      </c>
      <c r="C307" s="1575">
        <v>5650</v>
      </c>
      <c r="D307" s="1575">
        <v>5600</v>
      </c>
      <c r="E307" s="1575">
        <v>6590</v>
      </c>
      <c r="F307" s="1584">
        <v>930</v>
      </c>
      <c r="G307" s="1584">
        <v>3380</v>
      </c>
      <c r="I307" s="1605"/>
      <c r="J307" s="1563"/>
      <c r="K307" s="1563"/>
      <c r="L307" s="1563"/>
      <c r="M307" s="1563"/>
      <c r="N307" s="1563"/>
      <c r="O307" s="1563"/>
      <c r="P307" s="1563"/>
      <c r="Q307" s="1563"/>
      <c r="R307" s="1563"/>
      <c r="S307" s="1563"/>
      <c r="T307" s="1563"/>
      <c r="U307" s="1563"/>
    </row>
    <row r="308" spans="1:21" s="1560" customFormat="1" ht="14.25" customHeight="1">
      <c r="A308" s="1575" t="s">
        <v>305</v>
      </c>
      <c r="B308" s="1575" t="s">
        <v>1831</v>
      </c>
      <c r="C308" s="1575">
        <v>5620</v>
      </c>
      <c r="D308" s="1575">
        <v>5580</v>
      </c>
      <c r="E308" s="1575">
        <v>6540</v>
      </c>
      <c r="F308" s="1584">
        <v>910</v>
      </c>
      <c r="G308" s="1584">
        <v>3370</v>
      </c>
      <c r="I308" s="1605"/>
      <c r="J308" s="1563"/>
      <c r="K308" s="1563"/>
      <c r="L308" s="1563"/>
      <c r="M308" s="1563"/>
      <c r="N308" s="1563"/>
      <c r="O308" s="1563"/>
      <c r="P308" s="1563"/>
      <c r="Q308" s="1563"/>
      <c r="R308" s="1563"/>
      <c r="S308" s="1563"/>
      <c r="T308" s="1563"/>
      <c r="U308" s="1563"/>
    </row>
    <row r="309" spans="1:21" s="1560" customFormat="1" ht="14.25" customHeight="1">
      <c r="A309" s="1575" t="s">
        <v>305</v>
      </c>
      <c r="B309" s="1575" t="s">
        <v>1836</v>
      </c>
      <c r="C309" s="1575">
        <v>5060</v>
      </c>
      <c r="D309" s="1575">
        <v>5020</v>
      </c>
      <c r="E309" s="1575">
        <v>6370</v>
      </c>
      <c r="F309" s="1584">
        <v>800</v>
      </c>
      <c r="G309" s="1594">
        <v>3020</v>
      </c>
      <c r="I309" s="1605"/>
      <c r="J309" s="1563"/>
      <c r="K309" s="1563"/>
      <c r="L309" s="1563"/>
      <c r="M309" s="1563"/>
      <c r="N309" s="1563"/>
      <c r="O309" s="1563"/>
      <c r="P309" s="1563"/>
      <c r="Q309" s="1563"/>
      <c r="R309" s="1563"/>
      <c r="S309" s="1563"/>
      <c r="T309" s="1563"/>
      <c r="U309" s="1563"/>
    </row>
    <row r="310" spans="1:21" s="1560" customFormat="1" ht="14.25" customHeight="1">
      <c r="A310" s="1575" t="s">
        <v>305</v>
      </c>
      <c r="B310" s="1575" t="s">
        <v>1841</v>
      </c>
      <c r="C310" s="1575">
        <v>5150</v>
      </c>
      <c r="D310" s="1575">
        <v>5110</v>
      </c>
      <c r="E310" s="1575">
        <v>6500</v>
      </c>
      <c r="F310" s="1584">
        <v>880</v>
      </c>
      <c r="G310" s="1584">
        <v>3080</v>
      </c>
      <c r="I310" s="1605"/>
      <c r="J310" s="1563"/>
      <c r="K310" s="1563"/>
      <c r="L310" s="1563"/>
      <c r="M310" s="1563"/>
      <c r="N310" s="1563"/>
      <c r="O310" s="1563"/>
      <c r="P310" s="1563"/>
      <c r="Q310" s="1563"/>
      <c r="R310" s="1563"/>
      <c r="S310" s="1563"/>
      <c r="T310" s="1563"/>
      <c r="U310" s="1563"/>
    </row>
    <row r="311" spans="1:21" s="1560" customFormat="1" ht="14.25" customHeight="1">
      <c r="A311" s="1575" t="s">
        <v>305</v>
      </c>
      <c r="B311" s="1575" t="s">
        <v>1846</v>
      </c>
      <c r="C311" s="1575">
        <v>4750</v>
      </c>
      <c r="D311" s="1575">
        <v>4710</v>
      </c>
      <c r="E311" s="1575">
        <v>5510</v>
      </c>
      <c r="F311" s="1584">
        <v>880</v>
      </c>
      <c r="G311" s="1584">
        <v>2840</v>
      </c>
      <c r="I311" s="1605"/>
      <c r="J311" s="1563"/>
      <c r="K311" s="1563"/>
      <c r="L311" s="1563"/>
      <c r="M311" s="1563"/>
      <c r="N311" s="1563"/>
      <c r="O311" s="1563"/>
      <c r="P311" s="1563"/>
      <c r="Q311" s="1563"/>
      <c r="R311" s="1563"/>
      <c r="S311" s="1563"/>
      <c r="T311" s="1563"/>
      <c r="U311" s="1563"/>
    </row>
    <row r="312" spans="1:21" s="1560" customFormat="1" ht="14.25" customHeight="1">
      <c r="A312" s="1575" t="s">
        <v>305</v>
      </c>
      <c r="B312" s="1575" t="s">
        <v>1851</v>
      </c>
      <c r="C312" s="1575">
        <v>4690</v>
      </c>
      <c r="D312" s="1575">
        <v>4640</v>
      </c>
      <c r="E312" s="1575">
        <v>5420</v>
      </c>
      <c r="F312" s="1584">
        <v>800</v>
      </c>
      <c r="G312" s="1584">
        <v>2800</v>
      </c>
      <c r="I312" s="1605"/>
      <c r="J312" s="1563"/>
      <c r="K312" s="1563"/>
      <c r="L312" s="1563"/>
      <c r="M312" s="1563"/>
      <c r="N312" s="1563"/>
      <c r="O312" s="1563"/>
      <c r="P312" s="1563"/>
      <c r="Q312" s="1563"/>
      <c r="R312" s="1563"/>
      <c r="S312" s="1563"/>
      <c r="T312" s="1563"/>
      <c r="U312" s="1563"/>
    </row>
    <row r="313" spans="1:21" s="1560" customFormat="1" ht="14.25" customHeight="1">
      <c r="A313" s="1575" t="s">
        <v>305</v>
      </c>
      <c r="B313" s="1575" t="s">
        <v>1856</v>
      </c>
      <c r="C313" s="1575">
        <v>4810</v>
      </c>
      <c r="D313" s="1575">
        <v>4760</v>
      </c>
      <c r="E313" s="1575">
        <v>5550</v>
      </c>
      <c r="F313" s="1584">
        <v>920</v>
      </c>
      <c r="G313" s="1584">
        <v>2870</v>
      </c>
      <c r="I313" s="1605"/>
      <c r="J313" s="1563"/>
      <c r="K313" s="1563"/>
      <c r="L313" s="1563"/>
      <c r="M313" s="1563"/>
      <c r="N313" s="1563"/>
      <c r="O313" s="1563"/>
      <c r="P313" s="1563"/>
      <c r="Q313" s="1563"/>
      <c r="R313" s="1563"/>
      <c r="S313" s="1563"/>
      <c r="T313" s="1563"/>
      <c r="U313" s="1563"/>
    </row>
    <row r="314" spans="1:21" s="1560" customFormat="1" ht="14.25" customHeight="1">
      <c r="A314" s="1575" t="s">
        <v>305</v>
      </c>
      <c r="B314" s="1575" t="s">
        <v>1861</v>
      </c>
      <c r="C314" s="1575"/>
      <c r="D314" s="1575"/>
      <c r="E314" s="1575"/>
      <c r="F314" s="1584">
        <v>1020</v>
      </c>
      <c r="G314" s="1584"/>
      <c r="I314" s="1605"/>
      <c r="J314" s="1563"/>
      <c r="K314" s="1563"/>
      <c r="L314" s="1563"/>
      <c r="M314" s="1563"/>
      <c r="N314" s="1563"/>
      <c r="O314" s="1563"/>
      <c r="P314" s="1563"/>
      <c r="Q314" s="1563"/>
      <c r="R314" s="1563"/>
      <c r="S314" s="1563"/>
      <c r="T314" s="1563"/>
      <c r="U314" s="1563"/>
    </row>
    <row r="315" spans="1:21" s="1560" customFormat="1" ht="14.25" customHeight="1">
      <c r="A315" s="1575" t="s">
        <v>305</v>
      </c>
      <c r="B315" s="1575" t="s">
        <v>1866</v>
      </c>
      <c r="C315" s="1575"/>
      <c r="D315" s="1575"/>
      <c r="E315" s="1575"/>
      <c r="F315" s="1584">
        <v>1050</v>
      </c>
      <c r="G315" s="1584"/>
      <c r="I315" s="1605"/>
      <c r="J315" s="1563"/>
      <c r="K315" s="1563"/>
      <c r="L315" s="1563"/>
      <c r="M315" s="1563"/>
      <c r="N315" s="1563"/>
      <c r="O315" s="1563"/>
      <c r="P315" s="1563"/>
      <c r="Q315" s="1563"/>
      <c r="R315" s="1563"/>
      <c r="S315" s="1563"/>
      <c r="T315" s="1563"/>
      <c r="U315" s="1563"/>
    </row>
    <row r="316" spans="1:21" s="1560" customFormat="1" ht="14.25" customHeight="1">
      <c r="A316" s="1575" t="s">
        <v>305</v>
      </c>
      <c r="B316" s="1575" t="s">
        <v>1871</v>
      </c>
      <c r="C316" s="1575"/>
      <c r="D316" s="1575"/>
      <c r="E316" s="1575"/>
      <c r="F316" s="1584">
        <v>900</v>
      </c>
      <c r="G316" s="1593"/>
      <c r="I316" s="1605"/>
      <c r="J316" s="1563"/>
      <c r="K316" s="1563"/>
      <c r="L316" s="1563"/>
      <c r="M316" s="1563"/>
      <c r="N316" s="1563"/>
      <c r="O316" s="1563"/>
      <c r="P316" s="1563"/>
      <c r="Q316" s="1563"/>
      <c r="R316" s="1563"/>
      <c r="S316" s="1563"/>
      <c r="T316" s="1563"/>
      <c r="U316" s="1563"/>
    </row>
    <row r="317" spans="1:21" s="1560" customFormat="1" ht="14.25" customHeight="1">
      <c r="A317" s="1578" t="s">
        <v>305</v>
      </c>
      <c r="B317" s="1578" t="s">
        <v>1875</v>
      </c>
      <c r="C317" s="1578"/>
      <c r="D317" s="1578"/>
      <c r="E317" s="1578"/>
      <c r="F317" s="1576">
        <v>920</v>
      </c>
      <c r="G317" s="1576"/>
      <c r="I317" s="1562"/>
      <c r="J317" s="1563"/>
      <c r="K317" s="1563"/>
      <c r="L317" s="1563"/>
      <c r="M317" s="1563"/>
      <c r="N317" s="1563"/>
      <c r="O317" s="1563"/>
      <c r="P317" s="1563"/>
      <c r="Q317" s="1563"/>
      <c r="R317" s="1563"/>
      <c r="S317" s="1563"/>
      <c r="T317" s="1563"/>
      <c r="U317" s="1563"/>
    </row>
    <row r="318" spans="1:21" s="1560" customFormat="1" ht="14.25" customHeight="1">
      <c r="A318" s="1575" t="s">
        <v>305</v>
      </c>
      <c r="B318" s="1575" t="s">
        <v>1879</v>
      </c>
      <c r="C318" s="1575"/>
      <c r="D318" s="1575"/>
      <c r="E318" s="1575"/>
      <c r="F318" s="1584">
        <v>1080</v>
      </c>
      <c r="G318" s="1594"/>
      <c r="I318" s="1562"/>
      <c r="J318" s="1563"/>
      <c r="K318" s="1563"/>
      <c r="L318" s="1563"/>
      <c r="M318" s="1563"/>
      <c r="N318" s="1563"/>
      <c r="O318" s="1563"/>
      <c r="P318" s="1563"/>
      <c r="Q318" s="1563"/>
      <c r="R318" s="1563"/>
      <c r="S318" s="1563"/>
      <c r="T318" s="1563"/>
      <c r="U318" s="1563"/>
    </row>
    <row r="319" spans="1:21" s="1560" customFormat="1" ht="14.25" customHeight="1">
      <c r="A319" s="1575" t="s">
        <v>305</v>
      </c>
      <c r="B319" s="1575" t="s">
        <v>1883</v>
      </c>
      <c r="C319" s="1575"/>
      <c r="D319" s="1575"/>
      <c r="E319" s="1575"/>
      <c r="F319" s="1584">
        <v>1020</v>
      </c>
      <c r="G319" s="1584"/>
      <c r="I319" s="1562"/>
      <c r="J319" s="1563"/>
      <c r="K319" s="1563"/>
      <c r="L319" s="1563"/>
      <c r="M319" s="1563"/>
      <c r="N319" s="1563"/>
      <c r="O319" s="1563"/>
      <c r="P319" s="1563"/>
      <c r="Q319" s="1563"/>
      <c r="R319" s="1563"/>
      <c r="S319" s="1563"/>
      <c r="T319" s="1563"/>
      <c r="U319" s="1563"/>
    </row>
    <row r="320" spans="1:21" s="1560" customFormat="1" ht="14.25" customHeight="1">
      <c r="A320" s="1575" t="s">
        <v>305</v>
      </c>
      <c r="B320" s="1575" t="s">
        <v>1886</v>
      </c>
      <c r="C320" s="1575"/>
      <c r="D320" s="1575"/>
      <c r="E320" s="1575"/>
      <c r="F320" s="1584">
        <v>1050</v>
      </c>
      <c r="G320" s="1594"/>
      <c r="I320" s="1562"/>
      <c r="J320" s="1563"/>
      <c r="K320" s="1563"/>
      <c r="L320" s="1563"/>
      <c r="M320" s="1563"/>
      <c r="N320" s="1563"/>
      <c r="O320" s="1563"/>
      <c r="P320" s="1563"/>
      <c r="Q320" s="1563"/>
      <c r="R320" s="1563"/>
      <c r="S320" s="1563"/>
      <c r="T320" s="1563"/>
      <c r="U320" s="1563"/>
    </row>
    <row r="321" spans="1:21" s="1560" customFormat="1" ht="14.25" customHeight="1">
      <c r="A321" s="1575" t="s">
        <v>305</v>
      </c>
      <c r="B321" s="1575" t="s">
        <v>1888</v>
      </c>
      <c r="C321" s="1575"/>
      <c r="D321" s="1575"/>
      <c r="E321" s="1575"/>
      <c r="F321" s="1584">
        <v>960</v>
      </c>
      <c r="G321" s="1594"/>
      <c r="I321" s="1562"/>
      <c r="J321" s="1563"/>
      <c r="K321" s="1563"/>
      <c r="L321" s="1563"/>
      <c r="M321" s="1563"/>
      <c r="N321" s="1563"/>
      <c r="O321" s="1563"/>
      <c r="P321" s="1563"/>
      <c r="Q321" s="1563"/>
      <c r="R321" s="1563"/>
      <c r="S321" s="1563"/>
      <c r="T321" s="1563"/>
      <c r="U321" s="1563"/>
    </row>
    <row r="322" spans="1:21" s="1560" customFormat="1" ht="14.25" customHeight="1">
      <c r="A322" s="1575" t="s">
        <v>305</v>
      </c>
      <c r="B322" s="1575" t="s">
        <v>1890</v>
      </c>
      <c r="C322" s="1575"/>
      <c r="D322" s="1575"/>
      <c r="E322" s="1575"/>
      <c r="F322" s="1584">
        <v>960</v>
      </c>
      <c r="G322" s="1584"/>
      <c r="I322" s="1562"/>
      <c r="J322" s="1563"/>
      <c r="K322" s="1563"/>
      <c r="L322" s="1563"/>
      <c r="M322" s="1563"/>
      <c r="N322" s="1563"/>
      <c r="O322" s="1563"/>
      <c r="P322" s="1563"/>
      <c r="Q322" s="1563"/>
      <c r="R322" s="1563"/>
      <c r="S322" s="1563"/>
      <c r="T322" s="1563"/>
      <c r="U322" s="1563"/>
    </row>
    <row r="323" spans="1:21" s="1560" customFormat="1" ht="14.25" customHeight="1">
      <c r="A323" s="1575" t="s">
        <v>305</v>
      </c>
      <c r="B323" s="1575" t="s">
        <v>1892</v>
      </c>
      <c r="C323" s="1575"/>
      <c r="D323" s="1575"/>
      <c r="E323" s="1575"/>
      <c r="F323" s="1584">
        <v>880</v>
      </c>
      <c r="G323" s="1594"/>
      <c r="I323" s="1562"/>
      <c r="J323" s="1563"/>
      <c r="K323" s="1563"/>
      <c r="L323" s="1563"/>
      <c r="M323" s="1563"/>
      <c r="N323" s="1563"/>
      <c r="O323" s="1563"/>
      <c r="P323" s="1563"/>
      <c r="Q323" s="1563"/>
      <c r="R323" s="1563"/>
      <c r="S323" s="1563"/>
      <c r="T323" s="1563"/>
      <c r="U323" s="1563"/>
    </row>
    <row r="324" spans="1:21" s="1560" customFormat="1" ht="14.25" customHeight="1">
      <c r="A324" s="1575" t="s">
        <v>305</v>
      </c>
      <c r="B324" s="1575" t="s">
        <v>1894</v>
      </c>
      <c r="C324" s="1575"/>
      <c r="D324" s="1575"/>
      <c r="E324" s="1575"/>
      <c r="F324" s="1584">
        <v>930</v>
      </c>
      <c r="G324" s="1594"/>
      <c r="I324" s="1562"/>
      <c r="J324" s="1563"/>
      <c r="K324" s="1563"/>
      <c r="L324" s="1563"/>
      <c r="M324" s="1563"/>
      <c r="N324" s="1563"/>
      <c r="O324" s="1563"/>
      <c r="P324" s="1563"/>
      <c r="Q324" s="1563"/>
      <c r="R324" s="1563"/>
      <c r="S324" s="1563"/>
      <c r="T324" s="1563"/>
      <c r="U324" s="1563"/>
    </row>
    <row r="325" spans="1:21" s="1560" customFormat="1" ht="14.25" customHeight="1">
      <c r="A325" s="1575" t="s">
        <v>305</v>
      </c>
      <c r="B325" s="1575" t="s">
        <v>1896</v>
      </c>
      <c r="C325" s="1575"/>
      <c r="D325" s="1575"/>
      <c r="E325" s="1575"/>
      <c r="F325" s="1584">
        <v>900</v>
      </c>
      <c r="G325" s="1584"/>
      <c r="I325" s="1562"/>
      <c r="J325" s="1563"/>
      <c r="K325" s="1563"/>
      <c r="L325" s="1563"/>
      <c r="M325" s="1563"/>
      <c r="N325" s="1563"/>
      <c r="O325" s="1563"/>
      <c r="P325" s="1563"/>
      <c r="Q325" s="1563"/>
      <c r="R325" s="1563"/>
      <c r="S325" s="1563"/>
      <c r="T325" s="1563"/>
      <c r="U325" s="1563"/>
    </row>
    <row r="326" spans="1:21" s="1560" customFormat="1" ht="14.25" customHeight="1">
      <c r="A326" s="1591" t="s">
        <v>305</v>
      </c>
      <c r="B326" s="1581" t="s">
        <v>1898</v>
      </c>
      <c r="C326" s="1581"/>
      <c r="D326" s="1581"/>
      <c r="E326" s="1581"/>
      <c r="F326" s="1582">
        <v>790</v>
      </c>
      <c r="G326" s="1610"/>
      <c r="I326" s="1562"/>
      <c r="J326" s="1563"/>
      <c r="K326" s="1563"/>
      <c r="L326" s="1563"/>
      <c r="M326" s="1563"/>
      <c r="N326" s="1563"/>
      <c r="O326" s="1563"/>
      <c r="P326" s="1563"/>
      <c r="Q326" s="1563"/>
      <c r="R326" s="1563"/>
      <c r="S326" s="1563"/>
      <c r="T326" s="1563"/>
      <c r="U326" s="1563"/>
    </row>
    <row r="327" spans="1:21" s="1560" customFormat="1" ht="14.25" customHeight="1">
      <c r="A327" s="1579" t="s">
        <v>309</v>
      </c>
      <c r="B327" s="1587" t="s">
        <v>1539</v>
      </c>
      <c r="C327" s="1587">
        <v>3750</v>
      </c>
      <c r="D327" s="1587">
        <v>3710</v>
      </c>
      <c r="E327" s="1587">
        <v>4080</v>
      </c>
      <c r="F327" s="1612">
        <v>860</v>
      </c>
      <c r="G327" s="1612">
        <v>2210</v>
      </c>
      <c r="I327" s="1562"/>
      <c r="J327" s="1563"/>
      <c r="K327" s="1563"/>
      <c r="L327" s="1563"/>
      <c r="M327" s="1563"/>
      <c r="N327" s="1563"/>
      <c r="O327" s="1563"/>
      <c r="P327" s="1563"/>
      <c r="Q327" s="1563"/>
      <c r="R327" s="1563"/>
      <c r="S327" s="1563"/>
      <c r="T327" s="1563"/>
      <c r="U327" s="1563"/>
    </row>
    <row r="328" spans="1:21" s="1560" customFormat="1" ht="14.25" customHeight="1">
      <c r="A328" s="1575" t="s">
        <v>309</v>
      </c>
      <c r="B328" s="1575" t="s">
        <v>1552</v>
      </c>
      <c r="C328" s="1575">
        <v>3330</v>
      </c>
      <c r="D328" s="1575">
        <v>3290</v>
      </c>
      <c r="E328" s="1575">
        <v>3610</v>
      </c>
      <c r="F328" s="1575">
        <v>850</v>
      </c>
      <c r="G328" s="1575">
        <v>1960</v>
      </c>
      <c r="H328" s="1611"/>
      <c r="I328" s="1562"/>
      <c r="J328" s="1563"/>
      <c r="K328" s="1563"/>
      <c r="L328" s="1563"/>
      <c r="M328" s="1563"/>
      <c r="N328" s="1563"/>
      <c r="O328" s="1563"/>
      <c r="P328" s="1563"/>
      <c r="Q328" s="1563"/>
      <c r="R328" s="1563"/>
      <c r="S328" s="1563"/>
      <c r="T328" s="1563"/>
      <c r="U328" s="1563"/>
    </row>
    <row r="329" spans="1:21" s="1560" customFormat="1" ht="14.25" customHeight="1">
      <c r="A329" s="1575" t="s">
        <v>309</v>
      </c>
      <c r="B329" s="1575" t="s">
        <v>1565</v>
      </c>
      <c r="C329" s="1575">
        <v>2730</v>
      </c>
      <c r="D329" s="1575">
        <v>2690</v>
      </c>
      <c r="E329" s="1575">
        <v>3100</v>
      </c>
      <c r="F329" s="1575">
        <v>660</v>
      </c>
      <c r="G329" s="1575">
        <v>1610</v>
      </c>
      <c r="H329" s="1611"/>
      <c r="I329" s="1562"/>
      <c r="J329" s="1563"/>
      <c r="K329" s="1563"/>
      <c r="L329" s="1563"/>
      <c r="M329" s="1563"/>
      <c r="N329" s="1563"/>
      <c r="O329" s="1563"/>
      <c r="P329" s="1563"/>
      <c r="Q329" s="1563"/>
      <c r="R329" s="1563"/>
      <c r="S329" s="1563"/>
      <c r="T329" s="1563"/>
      <c r="U329" s="1563"/>
    </row>
    <row r="330" spans="1:21" s="1560" customFormat="1" ht="14.25" customHeight="1">
      <c r="A330" s="1575" t="s">
        <v>309</v>
      </c>
      <c r="B330" s="1575" t="s">
        <v>1577</v>
      </c>
      <c r="C330" s="1575">
        <v>3270</v>
      </c>
      <c r="D330" s="1575">
        <v>3240</v>
      </c>
      <c r="E330" s="1575">
        <v>3560</v>
      </c>
      <c r="F330" s="1575">
        <v>680</v>
      </c>
      <c r="G330" s="1602">
        <v>1940</v>
      </c>
      <c r="H330" s="1611"/>
      <c r="I330" s="1562"/>
      <c r="J330" s="1563"/>
      <c r="K330" s="1563"/>
      <c r="L330" s="1563"/>
      <c r="M330" s="1563"/>
      <c r="N330" s="1563"/>
      <c r="O330" s="1563"/>
      <c r="P330" s="1563"/>
      <c r="Q330" s="1563"/>
      <c r="R330" s="1563"/>
      <c r="S330" s="1563"/>
      <c r="T330" s="1563"/>
      <c r="U330" s="1563"/>
    </row>
    <row r="331" spans="1:21" s="1560" customFormat="1" ht="14.25" customHeight="1">
      <c r="A331" s="1575" t="s">
        <v>309</v>
      </c>
      <c r="B331" s="1575" t="s">
        <v>1589</v>
      </c>
      <c r="C331" s="1575">
        <v>3770</v>
      </c>
      <c r="D331" s="1575">
        <v>3740</v>
      </c>
      <c r="E331" s="1575">
        <v>4110</v>
      </c>
      <c r="F331" s="1575">
        <v>730</v>
      </c>
      <c r="G331" s="1575">
        <v>2230</v>
      </c>
      <c r="H331" s="1611"/>
      <c r="I331" s="1562"/>
      <c r="J331" s="1563"/>
      <c r="K331" s="1563"/>
      <c r="L331" s="1563"/>
      <c r="M331" s="1563"/>
      <c r="N331" s="1563"/>
      <c r="O331" s="1563"/>
      <c r="P331" s="1563"/>
      <c r="Q331" s="1563"/>
      <c r="R331" s="1563"/>
      <c r="S331" s="1563"/>
      <c r="T331" s="1563"/>
      <c r="U331" s="1563"/>
    </row>
    <row r="332" spans="1:21" s="1560" customFormat="1" ht="14.25" customHeight="1">
      <c r="A332" s="1575" t="s">
        <v>309</v>
      </c>
      <c r="B332" s="1575" t="s">
        <v>1600</v>
      </c>
      <c r="C332" s="1575">
        <v>3520</v>
      </c>
      <c r="D332" s="1575">
        <v>3480</v>
      </c>
      <c r="E332" s="1575">
        <v>3830</v>
      </c>
      <c r="F332" s="1575">
        <v>720</v>
      </c>
      <c r="G332" s="1575">
        <v>2090</v>
      </c>
      <c r="H332" s="1611"/>
      <c r="I332" s="1562"/>
      <c r="J332" s="1563"/>
      <c r="K332" s="1563"/>
      <c r="L332" s="1563"/>
      <c r="M332" s="1563"/>
      <c r="N332" s="1563"/>
      <c r="O332" s="1563"/>
      <c r="P332" s="1563"/>
      <c r="Q332" s="1563"/>
      <c r="R332" s="1563"/>
      <c r="S332" s="1563"/>
      <c r="T332" s="1563"/>
      <c r="U332" s="1563"/>
    </row>
    <row r="333" spans="1:21" s="1560" customFormat="1" ht="14.25" customHeight="1">
      <c r="A333" s="1575" t="s">
        <v>309</v>
      </c>
      <c r="B333" s="1575" t="s">
        <v>1611</v>
      </c>
      <c r="C333" s="1575">
        <v>3840</v>
      </c>
      <c r="D333" s="1575">
        <v>3800</v>
      </c>
      <c r="E333" s="1575">
        <v>4200</v>
      </c>
      <c r="F333" s="1575">
        <v>760</v>
      </c>
      <c r="G333" s="1575">
        <v>2270</v>
      </c>
      <c r="H333" s="1611"/>
      <c r="I333" s="1562"/>
      <c r="J333" s="1563"/>
      <c r="K333" s="1563"/>
      <c r="L333" s="1563"/>
      <c r="M333" s="1563"/>
      <c r="N333" s="1563"/>
      <c r="O333" s="1563"/>
      <c r="P333" s="1563"/>
      <c r="Q333" s="1563"/>
      <c r="R333" s="1563"/>
      <c r="S333" s="1563"/>
      <c r="T333" s="1563"/>
      <c r="U333" s="1563"/>
    </row>
    <row r="334" spans="1:21" s="1560" customFormat="1" ht="14.25" customHeight="1">
      <c r="A334" s="1575" t="s">
        <v>309</v>
      </c>
      <c r="B334" s="1575" t="s">
        <v>1622</v>
      </c>
      <c r="C334" s="1575">
        <v>3960</v>
      </c>
      <c r="D334" s="1575">
        <v>3910</v>
      </c>
      <c r="E334" s="1575">
        <v>4340</v>
      </c>
      <c r="F334" s="1575">
        <v>780</v>
      </c>
      <c r="G334" s="1575">
        <v>2340</v>
      </c>
      <c r="H334" s="1611"/>
      <c r="I334" s="1562"/>
      <c r="J334" s="1563"/>
      <c r="K334" s="1563"/>
      <c r="L334" s="1563"/>
      <c r="M334" s="1563"/>
      <c r="N334" s="1563"/>
      <c r="O334" s="1563"/>
      <c r="P334" s="1563"/>
      <c r="Q334" s="1563"/>
      <c r="R334" s="1563"/>
      <c r="S334" s="1563"/>
      <c r="T334" s="1563"/>
      <c r="U334" s="1563"/>
    </row>
    <row r="335" spans="1:21" s="1560" customFormat="1" ht="14.25" customHeight="1">
      <c r="A335" s="1575" t="s">
        <v>309</v>
      </c>
      <c r="B335" s="1575" t="s">
        <v>1632</v>
      </c>
      <c r="C335" s="1575">
        <v>3710</v>
      </c>
      <c r="D335" s="1575">
        <v>3670</v>
      </c>
      <c r="E335" s="1575">
        <v>4030</v>
      </c>
      <c r="F335" s="1575">
        <v>750</v>
      </c>
      <c r="G335" s="1602">
        <v>2200</v>
      </c>
      <c r="H335" s="1611"/>
      <c r="I335" s="1562"/>
      <c r="J335" s="1563"/>
      <c r="K335" s="1563"/>
      <c r="L335" s="1563"/>
      <c r="M335" s="1563"/>
      <c r="N335" s="1563"/>
      <c r="O335" s="1563"/>
      <c r="P335" s="1563"/>
      <c r="Q335" s="1563"/>
      <c r="R335" s="1563"/>
      <c r="S335" s="1563"/>
      <c r="T335" s="1563"/>
      <c r="U335" s="1563"/>
    </row>
    <row r="336" spans="1:21" s="1560" customFormat="1" ht="14.25" customHeight="1">
      <c r="A336" s="1575" t="s">
        <v>309</v>
      </c>
      <c r="B336" s="1575" t="s">
        <v>1642</v>
      </c>
      <c r="C336" s="1575">
        <v>3570</v>
      </c>
      <c r="D336" s="1575">
        <v>3530</v>
      </c>
      <c r="E336" s="1575">
        <v>3880</v>
      </c>
      <c r="F336" s="1575">
        <v>770</v>
      </c>
      <c r="G336" s="1575">
        <v>2110</v>
      </c>
      <c r="H336" s="1611"/>
      <c r="I336" s="1562"/>
      <c r="J336" s="1563"/>
      <c r="K336" s="1563"/>
      <c r="L336" s="1563"/>
      <c r="M336" s="1563"/>
      <c r="N336" s="1563"/>
      <c r="O336" s="1563"/>
      <c r="P336" s="1563"/>
      <c r="Q336" s="1563"/>
      <c r="R336" s="1563"/>
      <c r="S336" s="1563"/>
      <c r="T336" s="1563"/>
      <c r="U336" s="1563"/>
    </row>
    <row r="337" spans="1:21" s="1560" customFormat="1" ht="14.25" customHeight="1">
      <c r="A337" s="1575" t="s">
        <v>309</v>
      </c>
      <c r="B337" s="1575" t="s">
        <v>1652</v>
      </c>
      <c r="C337" s="1575">
        <v>3780</v>
      </c>
      <c r="D337" s="1575">
        <v>3750</v>
      </c>
      <c r="E337" s="1575">
        <v>4130</v>
      </c>
      <c r="F337" s="1575">
        <v>750</v>
      </c>
      <c r="G337" s="1575">
        <v>2240</v>
      </c>
      <c r="H337" s="1611"/>
      <c r="I337" s="1562"/>
      <c r="J337" s="1563"/>
      <c r="K337" s="1563"/>
      <c r="L337" s="1563"/>
      <c r="M337" s="1563"/>
      <c r="N337" s="1563"/>
      <c r="O337" s="1563"/>
      <c r="P337" s="1563"/>
      <c r="Q337" s="1563"/>
      <c r="R337" s="1563"/>
      <c r="S337" s="1563"/>
      <c r="T337" s="1563"/>
      <c r="U337" s="1563"/>
    </row>
    <row r="338" spans="1:21" s="1560" customFormat="1" ht="14.25" customHeight="1">
      <c r="A338" s="1575" t="s">
        <v>309</v>
      </c>
      <c r="B338" s="1575" t="s">
        <v>1662</v>
      </c>
      <c r="C338" s="1575">
        <v>3600</v>
      </c>
      <c r="D338" s="1575">
        <v>3570</v>
      </c>
      <c r="E338" s="1575">
        <v>3920</v>
      </c>
      <c r="F338" s="1575">
        <v>790</v>
      </c>
      <c r="G338" s="1602">
        <v>2140</v>
      </c>
      <c r="H338" s="1611"/>
      <c r="I338" s="1562"/>
      <c r="J338" s="1563"/>
      <c r="K338" s="1563"/>
      <c r="L338" s="1563"/>
      <c r="M338" s="1563"/>
      <c r="N338" s="1563"/>
      <c r="O338" s="1563"/>
      <c r="P338" s="1563"/>
      <c r="Q338" s="1563"/>
      <c r="R338" s="1563"/>
      <c r="S338" s="1563"/>
      <c r="T338" s="1563"/>
      <c r="U338" s="1563"/>
    </row>
    <row r="339" spans="1:21" s="1560" customFormat="1" ht="14.25" customHeight="1">
      <c r="A339" s="1575" t="s">
        <v>309</v>
      </c>
      <c r="B339" s="1575" t="s">
        <v>1672</v>
      </c>
      <c r="C339" s="1575">
        <v>3540</v>
      </c>
      <c r="D339" s="1575">
        <v>3500</v>
      </c>
      <c r="E339" s="1575">
        <v>3850</v>
      </c>
      <c r="F339" s="1575">
        <v>780</v>
      </c>
      <c r="G339" s="1602">
        <v>2100</v>
      </c>
      <c r="H339" s="1611"/>
      <c r="I339" s="1562"/>
      <c r="J339" s="1563"/>
      <c r="K339" s="1563"/>
      <c r="L339" s="1563"/>
      <c r="M339" s="1563"/>
      <c r="N339" s="1563"/>
      <c r="O339" s="1563"/>
      <c r="P339" s="1563"/>
      <c r="Q339" s="1563"/>
      <c r="R339" s="1563"/>
      <c r="S339" s="1563"/>
      <c r="T339" s="1563"/>
      <c r="U339" s="1563"/>
    </row>
    <row r="340" spans="1:21" s="1560" customFormat="1" ht="14.25" customHeight="1">
      <c r="A340" s="1575" t="s">
        <v>309</v>
      </c>
      <c r="B340" s="1575" t="s">
        <v>1682</v>
      </c>
      <c r="C340" s="1575">
        <v>3850</v>
      </c>
      <c r="D340" s="1575">
        <v>3810</v>
      </c>
      <c r="E340" s="1575">
        <v>4210</v>
      </c>
      <c r="F340" s="1575">
        <v>750</v>
      </c>
      <c r="G340" s="1602">
        <v>2280</v>
      </c>
      <c r="H340" s="1611"/>
      <c r="I340" s="1562"/>
      <c r="J340" s="1563"/>
      <c r="K340" s="1563"/>
      <c r="L340" s="1563"/>
      <c r="M340" s="1563"/>
      <c r="N340" s="1563"/>
      <c r="O340" s="1563"/>
      <c r="P340" s="1563"/>
      <c r="Q340" s="1563"/>
      <c r="R340" s="1563"/>
      <c r="S340" s="1563"/>
      <c r="T340" s="1563"/>
      <c r="U340" s="1563"/>
    </row>
    <row r="341" spans="1:21" s="1560" customFormat="1" ht="14.25" customHeight="1">
      <c r="A341" s="1575" t="s">
        <v>309</v>
      </c>
      <c r="B341" s="1575" t="s">
        <v>1692</v>
      </c>
      <c r="C341" s="1575">
        <v>3780</v>
      </c>
      <c r="D341" s="1575">
        <v>3750</v>
      </c>
      <c r="E341" s="1575">
        <v>4140</v>
      </c>
      <c r="F341" s="1575">
        <v>720</v>
      </c>
      <c r="G341" s="1575">
        <v>2240</v>
      </c>
      <c r="H341" s="1611"/>
      <c r="I341" s="1562"/>
      <c r="J341" s="1563"/>
      <c r="K341" s="1563"/>
      <c r="L341" s="1563"/>
      <c r="M341" s="1563"/>
      <c r="N341" s="1563"/>
      <c r="O341" s="1563"/>
      <c r="P341" s="1563"/>
      <c r="Q341" s="1563"/>
      <c r="R341" s="1563"/>
      <c r="S341" s="1563"/>
      <c r="T341" s="1563"/>
      <c r="U341" s="1563"/>
    </row>
    <row r="342" spans="1:21" s="1560" customFormat="1" ht="14.25" customHeight="1">
      <c r="A342" s="1575" t="s">
        <v>309</v>
      </c>
      <c r="B342" s="1575" t="s">
        <v>1702</v>
      </c>
      <c r="C342" s="1575">
        <v>3670</v>
      </c>
      <c r="D342" s="1575">
        <v>3620</v>
      </c>
      <c r="E342" s="1575">
        <v>3990</v>
      </c>
      <c r="F342" s="1575">
        <v>760</v>
      </c>
      <c r="G342" s="1575">
        <v>2170</v>
      </c>
      <c r="H342" s="1611"/>
      <c r="I342" s="1562"/>
      <c r="J342" s="1563"/>
      <c r="K342" s="1563"/>
      <c r="L342" s="1563"/>
      <c r="M342" s="1563"/>
      <c r="N342" s="1563"/>
      <c r="O342" s="1563"/>
      <c r="P342" s="1563"/>
      <c r="Q342" s="1563"/>
      <c r="R342" s="1563"/>
      <c r="S342" s="1563"/>
      <c r="T342" s="1563"/>
      <c r="U342" s="1563"/>
    </row>
    <row r="343" spans="1:21" s="1560" customFormat="1" ht="14.25" customHeight="1">
      <c r="A343" s="1575" t="s">
        <v>309</v>
      </c>
      <c r="B343" s="1575" t="s">
        <v>1712</v>
      </c>
      <c r="C343" s="1575">
        <v>3760</v>
      </c>
      <c r="D343" s="1575">
        <v>3720</v>
      </c>
      <c r="E343" s="1575">
        <v>4090</v>
      </c>
      <c r="F343" s="1575">
        <v>780</v>
      </c>
      <c r="G343" s="1575">
        <v>2220</v>
      </c>
      <c r="H343" s="1611"/>
      <c r="I343" s="1562"/>
      <c r="J343" s="1563"/>
      <c r="K343" s="1563"/>
      <c r="L343" s="1563"/>
      <c r="M343" s="1563"/>
      <c r="N343" s="1563"/>
      <c r="O343" s="1563"/>
      <c r="P343" s="1563"/>
      <c r="Q343" s="1563"/>
      <c r="R343" s="1563"/>
      <c r="S343" s="1563"/>
      <c r="T343" s="1563"/>
      <c r="U343" s="1563"/>
    </row>
    <row r="344" spans="1:21" s="1560" customFormat="1" ht="14.25" customHeight="1">
      <c r="A344" s="1575" t="s">
        <v>309</v>
      </c>
      <c r="B344" s="1575" t="s">
        <v>1722</v>
      </c>
      <c r="C344" s="1575">
        <v>3680</v>
      </c>
      <c r="D344" s="1575">
        <v>3640</v>
      </c>
      <c r="E344" s="1575">
        <v>4010</v>
      </c>
      <c r="F344" s="1575">
        <v>750</v>
      </c>
      <c r="G344" s="1575">
        <v>2180</v>
      </c>
      <c r="H344" s="1611"/>
      <c r="I344" s="1562"/>
      <c r="J344" s="1563"/>
      <c r="K344" s="1563"/>
      <c r="L344" s="1563"/>
      <c r="M344" s="1563"/>
      <c r="N344" s="1563"/>
      <c r="O344" s="1563"/>
      <c r="P344" s="1563"/>
      <c r="Q344" s="1563"/>
      <c r="R344" s="1563"/>
      <c r="S344" s="1563"/>
      <c r="T344" s="1563"/>
      <c r="U344" s="1563"/>
    </row>
    <row r="345" spans="1:21">
      <c r="A345" s="1602" t="s">
        <v>309</v>
      </c>
      <c r="B345" s="1602" t="s">
        <v>1732</v>
      </c>
      <c r="C345" s="1602">
        <v>3190</v>
      </c>
      <c r="D345" s="1602">
        <v>3140</v>
      </c>
      <c r="E345" s="1602">
        <v>3450</v>
      </c>
      <c r="F345" s="1602">
        <v>720</v>
      </c>
      <c r="G345" s="1602">
        <v>1880</v>
      </c>
      <c r="H345" s="1611"/>
    </row>
    <row r="346" spans="1:21">
      <c r="A346" s="1602" t="s">
        <v>309</v>
      </c>
      <c r="B346" s="1602" t="s">
        <v>1742</v>
      </c>
      <c r="C346" s="1602">
        <v>3630</v>
      </c>
      <c r="D346" s="1602">
        <v>3590</v>
      </c>
      <c r="E346" s="1602">
        <v>3940</v>
      </c>
      <c r="F346" s="1602">
        <v>730</v>
      </c>
      <c r="G346" s="1602">
        <v>2150</v>
      </c>
      <c r="H346" s="1611"/>
    </row>
    <row r="347" spans="1:21">
      <c r="A347" s="1602" t="s">
        <v>309</v>
      </c>
      <c r="B347" s="1602" t="s">
        <v>1751</v>
      </c>
      <c r="C347" s="1602">
        <v>3860</v>
      </c>
      <c r="D347" s="1602">
        <v>3820</v>
      </c>
      <c r="E347" s="1602">
        <v>4220</v>
      </c>
      <c r="F347" s="1602">
        <v>750</v>
      </c>
      <c r="G347" s="1602">
        <v>2280</v>
      </c>
      <c r="H347" s="1611"/>
    </row>
    <row r="348" spans="1:21">
      <c r="A348" s="1602" t="s">
        <v>309</v>
      </c>
      <c r="B348" s="1602" t="s">
        <v>1759</v>
      </c>
      <c r="C348" s="1602">
        <v>4000</v>
      </c>
      <c r="D348" s="1602">
        <v>3950</v>
      </c>
      <c r="E348" s="1602">
        <v>4430</v>
      </c>
      <c r="F348" s="1602">
        <v>760</v>
      </c>
      <c r="G348" s="1602">
        <v>2360</v>
      </c>
      <c r="H348" s="1611"/>
    </row>
    <row r="349" spans="1:21">
      <c r="A349" s="1602" t="s">
        <v>309</v>
      </c>
      <c r="B349" s="1602" t="s">
        <v>1767</v>
      </c>
      <c r="C349" s="1602">
        <v>3820</v>
      </c>
      <c r="D349" s="1602">
        <v>3780</v>
      </c>
      <c r="E349" s="1602">
        <v>4170</v>
      </c>
      <c r="F349" s="1602">
        <v>710</v>
      </c>
      <c r="G349" s="1602">
        <v>2260</v>
      </c>
      <c r="H349" s="1611"/>
    </row>
    <row r="350" spans="1:21">
      <c r="A350" s="1602" t="s">
        <v>309</v>
      </c>
      <c r="B350" s="1602" t="s">
        <v>1775</v>
      </c>
      <c r="C350" s="1602">
        <v>3760</v>
      </c>
      <c r="D350" s="1602">
        <v>3730</v>
      </c>
      <c r="E350" s="1602">
        <v>4100</v>
      </c>
      <c r="F350" s="1602">
        <v>800</v>
      </c>
      <c r="G350" s="1602">
        <v>2230</v>
      </c>
      <c r="H350" s="1611"/>
    </row>
    <row r="351" spans="1:21">
      <c r="A351" s="1602" t="s">
        <v>309</v>
      </c>
      <c r="B351" s="1602" t="s">
        <v>1783</v>
      </c>
      <c r="C351" s="1602">
        <v>3610</v>
      </c>
      <c r="D351" s="1602">
        <v>3580</v>
      </c>
      <c r="E351" s="1602">
        <v>3930</v>
      </c>
      <c r="F351" s="1602">
        <v>700</v>
      </c>
      <c r="G351" s="1602">
        <v>2140</v>
      </c>
      <c r="H351" s="1611"/>
    </row>
    <row r="352" spans="1:21">
      <c r="A352" s="1602" t="s">
        <v>309</v>
      </c>
      <c r="B352" s="1602" t="s">
        <v>1790</v>
      </c>
      <c r="C352" s="1602">
        <v>3670</v>
      </c>
      <c r="D352" s="1602">
        <v>3630</v>
      </c>
      <c r="E352" s="1602">
        <v>4000</v>
      </c>
      <c r="F352" s="1602">
        <v>750</v>
      </c>
      <c r="G352" s="1602">
        <v>2180</v>
      </c>
      <c r="H352" s="1611"/>
    </row>
    <row r="353" spans="1:8">
      <c r="A353" s="1602" t="s">
        <v>309</v>
      </c>
      <c r="B353" s="1602" t="s">
        <v>1797</v>
      </c>
      <c r="C353" s="1602">
        <v>3190</v>
      </c>
      <c r="D353" s="1602">
        <v>3150</v>
      </c>
      <c r="E353" s="1602">
        <v>3640</v>
      </c>
      <c r="F353" s="1602">
        <v>630</v>
      </c>
      <c r="G353" s="1602">
        <v>1890</v>
      </c>
      <c r="H353" s="1611"/>
    </row>
    <row r="354" spans="1:8">
      <c r="A354" s="1602" t="s">
        <v>309</v>
      </c>
      <c r="B354" s="1602" t="s">
        <v>1804</v>
      </c>
      <c r="C354" s="1602">
        <v>3450</v>
      </c>
      <c r="D354" s="1602">
        <v>3420</v>
      </c>
      <c r="E354" s="1602">
        <v>3960</v>
      </c>
      <c r="F354" s="1602">
        <v>660</v>
      </c>
      <c r="G354" s="1602">
        <v>2050</v>
      </c>
      <c r="H354" s="1611"/>
    </row>
    <row r="355" spans="1:8">
      <c r="A355" s="1602" t="s">
        <v>309</v>
      </c>
      <c r="B355" s="1602" t="s">
        <v>1811</v>
      </c>
      <c r="C355" s="1602">
        <v>3650</v>
      </c>
      <c r="D355" s="1602">
        <v>3610</v>
      </c>
      <c r="E355" s="1602">
        <v>4200</v>
      </c>
      <c r="F355" s="1602">
        <v>640</v>
      </c>
      <c r="G355" s="1602">
        <v>2160</v>
      </c>
      <c r="H355" s="1611"/>
    </row>
    <row r="356" spans="1:8">
      <c r="A356" s="1602" t="s">
        <v>309</v>
      </c>
      <c r="B356" s="1602" t="s">
        <v>1818</v>
      </c>
      <c r="C356" s="1602">
        <v>3260</v>
      </c>
      <c r="D356" s="1602">
        <v>3230</v>
      </c>
      <c r="E356" s="1602">
        <v>3740</v>
      </c>
      <c r="F356" s="1602">
        <v>600</v>
      </c>
      <c r="G356" s="1602">
        <v>1930</v>
      </c>
      <c r="H356" s="1611"/>
    </row>
    <row r="357" spans="1:8">
      <c r="A357" s="1613" t="s">
        <v>309</v>
      </c>
      <c r="B357" s="1613" t="s">
        <v>1825</v>
      </c>
      <c r="C357" s="1613">
        <v>3690</v>
      </c>
      <c r="D357" s="1613">
        <v>3650</v>
      </c>
      <c r="E357" s="1613">
        <v>4020</v>
      </c>
      <c r="F357" s="1613">
        <v>700</v>
      </c>
      <c r="G357" s="1613">
        <v>2190</v>
      </c>
      <c r="H357" s="1611"/>
    </row>
    <row r="358" spans="1:8">
      <c r="A358" s="1614" t="s">
        <v>313</v>
      </c>
      <c r="B358" s="1615" t="s">
        <v>1540</v>
      </c>
      <c r="C358" s="1615">
        <v>2080</v>
      </c>
      <c r="D358" s="1615">
        <v>2040</v>
      </c>
      <c r="E358" s="1615">
        <v>2010</v>
      </c>
      <c r="F358" s="1615">
        <v>530</v>
      </c>
      <c r="G358" s="1616">
        <v>1230</v>
      </c>
      <c r="H358" s="1611"/>
    </row>
    <row r="359" spans="1:8">
      <c r="A359" s="1617" t="s">
        <v>313</v>
      </c>
      <c r="B359" s="1602" t="s">
        <v>1553</v>
      </c>
      <c r="C359" s="1602">
        <v>1850</v>
      </c>
      <c r="D359" s="1602">
        <v>1820</v>
      </c>
      <c r="E359" s="1602">
        <v>1780</v>
      </c>
      <c r="F359" s="1602">
        <v>520</v>
      </c>
      <c r="G359" s="1618">
        <v>1100</v>
      </c>
      <c r="H359" s="1611"/>
    </row>
    <row r="360" spans="1:8">
      <c r="A360" s="1617" t="s">
        <v>313</v>
      </c>
      <c r="B360" s="1602" t="s">
        <v>1566</v>
      </c>
      <c r="C360" s="1602">
        <v>2020</v>
      </c>
      <c r="D360" s="1602">
        <v>1990</v>
      </c>
      <c r="E360" s="1602">
        <v>1950</v>
      </c>
      <c r="F360" s="1602">
        <v>500</v>
      </c>
      <c r="G360" s="1618">
        <v>1200</v>
      </c>
      <c r="H360" s="1611"/>
    </row>
    <row r="361" spans="1:8">
      <c r="A361" s="1617" t="s">
        <v>313</v>
      </c>
      <c r="B361" s="1602" t="s">
        <v>1578</v>
      </c>
      <c r="C361" s="1602">
        <v>2260</v>
      </c>
      <c r="D361" s="1602">
        <v>2220</v>
      </c>
      <c r="E361" s="1602">
        <v>2180</v>
      </c>
      <c r="F361" s="1602">
        <v>580</v>
      </c>
      <c r="G361" s="1618">
        <v>1340</v>
      </c>
      <c r="H361" s="1611"/>
    </row>
    <row r="362" spans="1:8">
      <c r="A362" s="1617" t="s">
        <v>313</v>
      </c>
      <c r="B362" s="1602" t="s">
        <v>1590</v>
      </c>
      <c r="C362" s="1602">
        <v>2650</v>
      </c>
      <c r="D362" s="1602">
        <v>2610</v>
      </c>
      <c r="E362" s="1602">
        <v>2570</v>
      </c>
      <c r="F362" s="1602">
        <v>630</v>
      </c>
      <c r="G362" s="1618">
        <v>1570</v>
      </c>
      <c r="H362" s="1611"/>
    </row>
    <row r="363" spans="1:8">
      <c r="A363" s="1617" t="s">
        <v>313</v>
      </c>
      <c r="B363" s="1602" t="s">
        <v>1601</v>
      </c>
      <c r="C363" s="1602">
        <v>2390</v>
      </c>
      <c r="D363" s="1602">
        <v>2360</v>
      </c>
      <c r="E363" s="1602">
        <v>2320</v>
      </c>
      <c r="F363" s="1602">
        <v>600</v>
      </c>
      <c r="G363" s="1618">
        <v>1420</v>
      </c>
      <c r="H363" s="1611"/>
    </row>
    <row r="364" spans="1:8">
      <c r="A364" s="1617" t="s">
        <v>313</v>
      </c>
      <c r="B364" s="1602" t="s">
        <v>1612</v>
      </c>
      <c r="C364" s="1602">
        <v>2050</v>
      </c>
      <c r="D364" s="1602">
        <v>2030</v>
      </c>
      <c r="E364" s="1602">
        <v>1990</v>
      </c>
      <c r="F364" s="1602">
        <v>550</v>
      </c>
      <c r="G364" s="1618">
        <v>1220</v>
      </c>
      <c r="H364" s="1611"/>
    </row>
    <row r="365" spans="1:8">
      <c r="A365" s="1617" t="s">
        <v>313</v>
      </c>
      <c r="B365" s="1602" t="s">
        <v>1623</v>
      </c>
      <c r="C365" s="1602">
        <v>2140</v>
      </c>
      <c r="D365" s="1602">
        <v>2100</v>
      </c>
      <c r="E365" s="1602">
        <v>2060</v>
      </c>
      <c r="F365" s="1602">
        <v>540</v>
      </c>
      <c r="G365" s="1618">
        <v>1270</v>
      </c>
      <c r="H365" s="1611"/>
    </row>
    <row r="366" spans="1:8">
      <c r="A366" s="1617" t="s">
        <v>313</v>
      </c>
      <c r="B366" s="1602" t="s">
        <v>1633</v>
      </c>
      <c r="C366" s="1602">
        <v>2410</v>
      </c>
      <c r="D366" s="1602">
        <v>2370</v>
      </c>
      <c r="E366" s="1602">
        <v>2330</v>
      </c>
      <c r="F366" s="1602">
        <v>570</v>
      </c>
      <c r="G366" s="1618">
        <v>1440</v>
      </c>
      <c r="H366" s="1611"/>
    </row>
    <row r="367" spans="1:8">
      <c r="A367" s="1617" t="s">
        <v>313</v>
      </c>
      <c r="B367" s="1602" t="s">
        <v>1643</v>
      </c>
      <c r="C367" s="1602">
        <v>2300</v>
      </c>
      <c r="D367" s="1602">
        <v>2260</v>
      </c>
      <c r="E367" s="1602">
        <v>2220</v>
      </c>
      <c r="F367" s="1602">
        <v>560</v>
      </c>
      <c r="G367" s="1618">
        <v>1370</v>
      </c>
      <c r="H367" s="1611"/>
    </row>
    <row r="368" spans="1:8">
      <c r="A368" s="1617" t="s">
        <v>313</v>
      </c>
      <c r="B368" s="1602" t="s">
        <v>1653</v>
      </c>
      <c r="C368" s="1602">
        <v>2430</v>
      </c>
      <c r="D368" s="1602">
        <v>2390</v>
      </c>
      <c r="E368" s="1602">
        <v>2350</v>
      </c>
      <c r="F368" s="1602">
        <v>570</v>
      </c>
      <c r="G368" s="1618">
        <v>1450</v>
      </c>
      <c r="H368" s="1611"/>
    </row>
    <row r="369" spans="1:8">
      <c r="A369" s="1617" t="s">
        <v>313</v>
      </c>
      <c r="B369" s="1602" t="s">
        <v>1663</v>
      </c>
      <c r="C369" s="1602">
        <v>2320</v>
      </c>
      <c r="D369" s="1602">
        <v>2290</v>
      </c>
      <c r="E369" s="1602">
        <v>2250</v>
      </c>
      <c r="F369" s="1602">
        <v>550</v>
      </c>
      <c r="G369" s="1618">
        <v>1380</v>
      </c>
      <c r="H369" s="1611"/>
    </row>
    <row r="370" spans="1:8">
      <c r="A370" s="1617" t="s">
        <v>313</v>
      </c>
      <c r="B370" s="1602" t="s">
        <v>1673</v>
      </c>
      <c r="C370" s="1602">
        <v>2190</v>
      </c>
      <c r="D370" s="1602">
        <v>2170</v>
      </c>
      <c r="E370" s="1602">
        <v>2130</v>
      </c>
      <c r="F370" s="1602">
        <v>530</v>
      </c>
      <c r="G370" s="1618">
        <v>1310</v>
      </c>
      <c r="H370" s="1611"/>
    </row>
    <row r="371" spans="1:8">
      <c r="A371" s="1617" t="s">
        <v>313</v>
      </c>
      <c r="B371" s="1602" t="s">
        <v>1683</v>
      </c>
      <c r="C371" s="1602">
        <v>2460</v>
      </c>
      <c r="D371" s="1602">
        <v>2420</v>
      </c>
      <c r="E371" s="1602">
        <v>2370</v>
      </c>
      <c r="F371" s="1602">
        <v>560</v>
      </c>
      <c r="G371" s="1618">
        <v>1470</v>
      </c>
      <c r="H371" s="1611"/>
    </row>
    <row r="372" spans="1:8">
      <c r="A372" s="1617" t="s">
        <v>313</v>
      </c>
      <c r="B372" s="1602" t="s">
        <v>1693</v>
      </c>
      <c r="C372" s="1602">
        <v>2250</v>
      </c>
      <c r="D372" s="1602">
        <v>2210</v>
      </c>
      <c r="E372" s="1602">
        <v>2180</v>
      </c>
      <c r="F372" s="1602">
        <v>550</v>
      </c>
      <c r="G372" s="1618">
        <v>1340</v>
      </c>
      <c r="H372" s="1611"/>
    </row>
    <row r="373" spans="1:8">
      <c r="A373" s="1617" t="s">
        <v>313</v>
      </c>
      <c r="B373" s="1602" t="s">
        <v>1703</v>
      </c>
      <c r="C373" s="1602">
        <v>2210</v>
      </c>
      <c r="D373" s="1602">
        <v>2190</v>
      </c>
      <c r="E373" s="1602">
        <v>2150</v>
      </c>
      <c r="F373" s="1602">
        <v>530</v>
      </c>
      <c r="G373" s="1618">
        <v>1320</v>
      </c>
      <c r="H373" s="1611"/>
    </row>
    <row r="374" spans="1:8">
      <c r="A374" s="1617" t="s">
        <v>313</v>
      </c>
      <c r="B374" s="1602" t="s">
        <v>1713</v>
      </c>
      <c r="C374" s="1602">
        <v>2320</v>
      </c>
      <c r="D374" s="1602">
        <v>2280</v>
      </c>
      <c r="E374" s="1602">
        <v>2230</v>
      </c>
      <c r="F374" s="1602">
        <v>580</v>
      </c>
      <c r="G374" s="1618">
        <v>1380</v>
      </c>
      <c r="H374" s="1611"/>
    </row>
    <row r="375" spans="1:8">
      <c r="A375" s="1617" t="s">
        <v>313</v>
      </c>
      <c r="B375" s="1602" t="s">
        <v>1723</v>
      </c>
      <c r="C375" s="1602">
        <v>2090</v>
      </c>
      <c r="D375" s="1602">
        <v>2050</v>
      </c>
      <c r="E375" s="1602">
        <v>2020</v>
      </c>
      <c r="F375" s="1602">
        <v>520</v>
      </c>
      <c r="G375" s="1618">
        <v>1240</v>
      </c>
      <c r="H375" s="1611"/>
    </row>
    <row r="376" spans="1:8">
      <c r="A376" s="1617" t="s">
        <v>313</v>
      </c>
      <c r="B376" s="1602" t="s">
        <v>1733</v>
      </c>
      <c r="C376" s="1602">
        <v>2010</v>
      </c>
      <c r="D376" s="1602">
        <v>1980</v>
      </c>
      <c r="E376" s="1602">
        <v>1940</v>
      </c>
      <c r="F376" s="1602">
        <v>540</v>
      </c>
      <c r="G376" s="1618">
        <v>1190</v>
      </c>
      <c r="H376" s="1611"/>
    </row>
    <row r="377" spans="1:8">
      <c r="A377" s="1619" t="s">
        <v>313</v>
      </c>
      <c r="B377" s="1613" t="s">
        <v>1743</v>
      </c>
      <c r="C377" s="1613">
        <v>1930</v>
      </c>
      <c r="D377" s="1613">
        <v>1890</v>
      </c>
      <c r="E377" s="1613">
        <v>1860</v>
      </c>
      <c r="F377" s="1613">
        <v>530</v>
      </c>
      <c r="G377" s="1620">
        <v>1150</v>
      </c>
      <c r="H377" s="1611"/>
    </row>
    <row r="378" spans="1:8">
      <c r="A378" s="1614" t="s">
        <v>317</v>
      </c>
      <c r="B378" s="1615" t="s">
        <v>1541</v>
      </c>
      <c r="C378" s="1615">
        <v>1520</v>
      </c>
      <c r="D378" s="1615">
        <v>1490</v>
      </c>
      <c r="E378" s="1615">
        <v>1460</v>
      </c>
      <c r="F378" s="1615">
        <v>460</v>
      </c>
      <c r="G378" s="1616">
        <v>940</v>
      </c>
      <c r="H378" s="1611"/>
    </row>
    <row r="379" spans="1:8">
      <c r="A379" s="1617" t="s">
        <v>317</v>
      </c>
      <c r="B379" s="1602" t="s">
        <v>1554</v>
      </c>
      <c r="C379" s="1602">
        <v>1500</v>
      </c>
      <c r="D379" s="1602">
        <v>1470</v>
      </c>
      <c r="E379" s="1602">
        <v>1430</v>
      </c>
      <c r="F379" s="1602">
        <v>460</v>
      </c>
      <c r="G379" s="1618">
        <v>920</v>
      </c>
      <c r="H379" s="1611"/>
    </row>
    <row r="380" spans="1:8">
      <c r="A380" s="1617" t="s">
        <v>317</v>
      </c>
      <c r="B380" s="1602" t="s">
        <v>1567</v>
      </c>
      <c r="C380" s="1602">
        <v>1620</v>
      </c>
      <c r="D380" s="1602">
        <v>1590</v>
      </c>
      <c r="E380" s="1602">
        <v>1560</v>
      </c>
      <c r="F380" s="1602">
        <v>480</v>
      </c>
      <c r="G380" s="1618">
        <v>1000</v>
      </c>
      <c r="H380" s="1611"/>
    </row>
    <row r="381" spans="1:8">
      <c r="A381" s="1617" t="s">
        <v>317</v>
      </c>
      <c r="B381" s="1602" t="s">
        <v>1579</v>
      </c>
      <c r="C381" s="1602">
        <v>1460</v>
      </c>
      <c r="D381" s="1602">
        <v>1430</v>
      </c>
      <c r="E381" s="1602">
        <v>1390</v>
      </c>
      <c r="F381" s="1602">
        <v>450</v>
      </c>
      <c r="G381" s="1618">
        <v>900</v>
      </c>
      <c r="H381" s="1611"/>
    </row>
    <row r="382" spans="1:8">
      <c r="A382" s="1617" t="s">
        <v>317</v>
      </c>
      <c r="B382" s="1602" t="s">
        <v>1591</v>
      </c>
      <c r="C382" s="1602">
        <v>1310</v>
      </c>
      <c r="D382" s="1602">
        <v>1280</v>
      </c>
      <c r="E382" s="1602">
        <v>1250</v>
      </c>
      <c r="F382" s="1602">
        <v>440</v>
      </c>
      <c r="G382" s="1618">
        <v>800</v>
      </c>
      <c r="H382" s="1611"/>
    </row>
    <row r="383" spans="1:8">
      <c r="A383" s="1617" t="s">
        <v>317</v>
      </c>
      <c r="B383" s="1602" t="s">
        <v>1602</v>
      </c>
      <c r="C383" s="1602">
        <v>1260</v>
      </c>
      <c r="D383" s="1602">
        <v>1230</v>
      </c>
      <c r="E383" s="1602">
        <v>1200</v>
      </c>
      <c r="F383" s="1602">
        <v>420</v>
      </c>
      <c r="G383" s="1618">
        <v>770</v>
      </c>
      <c r="H383" s="1611"/>
    </row>
    <row r="384" spans="1:8">
      <c r="A384" s="1621" t="s">
        <v>317</v>
      </c>
      <c r="B384" s="1622" t="s">
        <v>1613</v>
      </c>
      <c r="C384" s="1622">
        <v>1170</v>
      </c>
      <c r="D384" s="1622">
        <v>1140</v>
      </c>
      <c r="E384" s="1622">
        <v>1120</v>
      </c>
      <c r="F384" s="1622">
        <v>400</v>
      </c>
      <c r="G384" s="1610">
        <v>710</v>
      </c>
      <c r="H384" s="1611"/>
    </row>
  </sheetData>
  <sheetProtection password="CEE9" sheet="1" objects="1" scenarios="1" formatCells="0" formatColumns="0" formatRows="0"/>
  <mergeCells count="2">
    <mergeCell ref="A1:G1"/>
    <mergeCell ref="A3:A4"/>
  </mergeCells>
  <phoneticPr fontId="254" type="noConversion"/>
  <pageMargins left="0.7" right="0.7" top="0.75" bottom="0.75" header="0.3" footer="0.3"/>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9" defaultRowHeight="13.5"/>
  <sheetData>
    <row r="1" spans="1:6">
      <c r="A1" s="3905" t="s">
        <v>1912</v>
      </c>
      <c r="B1" s="3905"/>
      <c r="C1" s="3905"/>
      <c r="D1" s="3905"/>
      <c r="E1" s="3905"/>
      <c r="F1" s="3906"/>
    </row>
    <row r="2" spans="1:6">
      <c r="A2" s="1552" t="s">
        <v>1913</v>
      </c>
      <c r="B2" s="1553"/>
      <c r="C2" s="1553"/>
      <c r="D2" s="1553"/>
      <c r="E2" s="1553"/>
      <c r="F2" s="1553"/>
    </row>
    <row r="3" spans="1:6">
      <c r="A3" s="1552" t="s">
        <v>1914</v>
      </c>
      <c r="B3" s="1553"/>
      <c r="C3" s="1553"/>
      <c r="D3" s="1553"/>
      <c r="E3" s="1553"/>
      <c r="F3" s="1554" t="s">
        <v>1915</v>
      </c>
    </row>
    <row r="4" spans="1:6">
      <c r="A4" s="1555" t="s">
        <v>352</v>
      </c>
      <c r="B4" s="1555" t="s">
        <v>437</v>
      </c>
      <c r="C4" s="1555" t="s">
        <v>438</v>
      </c>
      <c r="D4" s="1555" t="s">
        <v>1916</v>
      </c>
      <c r="E4" s="1555" t="s">
        <v>164</v>
      </c>
      <c r="F4" s="1555" t="s">
        <v>297</v>
      </c>
    </row>
    <row r="5" spans="1:6">
      <c r="A5" s="1556" t="s">
        <v>215</v>
      </c>
      <c r="B5" s="1555"/>
      <c r="C5" s="1555"/>
      <c r="D5" s="1555"/>
      <c r="E5" s="1555"/>
      <c r="F5" s="1557"/>
    </row>
    <row r="6" spans="1:6">
      <c r="A6" s="1556" t="s">
        <v>238</v>
      </c>
      <c r="B6" s="1558">
        <v>35380</v>
      </c>
      <c r="C6" s="1558">
        <v>35180</v>
      </c>
      <c r="D6" s="1558">
        <v>35030</v>
      </c>
      <c r="E6" s="1558">
        <v>13780</v>
      </c>
      <c r="F6" s="1558">
        <v>25980</v>
      </c>
    </row>
    <row r="7" spans="1:6">
      <c r="A7" s="1556" t="s">
        <v>251</v>
      </c>
      <c r="B7" s="1558">
        <v>29960</v>
      </c>
      <c r="C7" s="1558">
        <v>29800</v>
      </c>
      <c r="D7" s="1558">
        <v>29690</v>
      </c>
      <c r="E7" s="1558">
        <v>10100</v>
      </c>
      <c r="F7" s="1558">
        <v>21690</v>
      </c>
    </row>
    <row r="8" spans="1:6">
      <c r="A8" s="1556" t="s">
        <v>263</v>
      </c>
      <c r="B8" s="1558">
        <v>24480</v>
      </c>
      <c r="C8" s="1558">
        <v>24380</v>
      </c>
      <c r="D8" s="1558">
        <v>25590</v>
      </c>
      <c r="E8" s="1558">
        <v>7010</v>
      </c>
      <c r="F8" s="1558">
        <v>17060</v>
      </c>
    </row>
    <row r="9" spans="1:6">
      <c r="A9" s="1556" t="s">
        <v>273</v>
      </c>
      <c r="B9" s="1558">
        <v>19370</v>
      </c>
      <c r="C9" s="1558">
        <v>19290</v>
      </c>
      <c r="D9" s="1558">
        <v>21280</v>
      </c>
      <c r="E9" s="1558">
        <v>4910</v>
      </c>
      <c r="F9" s="1558">
        <v>13090</v>
      </c>
    </row>
    <row r="10" spans="1:6">
      <c r="A10" s="1556" t="s">
        <v>282</v>
      </c>
      <c r="B10" s="1558">
        <v>15050</v>
      </c>
      <c r="C10" s="1558">
        <v>14980</v>
      </c>
      <c r="D10" s="1558">
        <v>17300</v>
      </c>
      <c r="E10" s="1558">
        <v>3450</v>
      </c>
      <c r="F10" s="1558">
        <v>9900</v>
      </c>
    </row>
    <row r="11" spans="1:6">
      <c r="A11" s="1556" t="s">
        <v>290</v>
      </c>
      <c r="B11" s="1558">
        <v>11550</v>
      </c>
      <c r="C11" s="1558">
        <v>11490</v>
      </c>
      <c r="D11" s="1558">
        <v>13850</v>
      </c>
      <c r="E11" s="1558">
        <v>2400</v>
      </c>
      <c r="F11" s="1558">
        <v>7390</v>
      </c>
    </row>
    <row r="12" spans="1:6">
      <c r="A12" s="1556" t="s">
        <v>295</v>
      </c>
      <c r="B12" s="1558">
        <v>8630</v>
      </c>
      <c r="C12" s="1558">
        <v>8580</v>
      </c>
      <c r="D12" s="1558">
        <v>10740</v>
      </c>
      <c r="E12" s="1558">
        <v>1720</v>
      </c>
      <c r="F12" s="1558">
        <v>5420</v>
      </c>
    </row>
    <row r="13" spans="1:6">
      <c r="A13" s="1556" t="s">
        <v>301</v>
      </c>
      <c r="B13" s="1558">
        <v>6620</v>
      </c>
      <c r="C13" s="1558">
        <v>6580</v>
      </c>
      <c r="D13" s="1558">
        <v>7830</v>
      </c>
      <c r="E13" s="1558">
        <v>1260</v>
      </c>
      <c r="F13" s="1558">
        <v>4040</v>
      </c>
    </row>
    <row r="14" spans="1:6">
      <c r="A14" s="1556" t="s">
        <v>305</v>
      </c>
      <c r="B14" s="1558">
        <v>4900</v>
      </c>
      <c r="C14" s="1558">
        <v>4860</v>
      </c>
      <c r="D14" s="1558">
        <v>5540</v>
      </c>
      <c r="E14" s="1558">
        <v>950</v>
      </c>
      <c r="F14" s="1558">
        <v>2930</v>
      </c>
    </row>
    <row r="15" spans="1:6">
      <c r="A15" s="1556" t="s">
        <v>309</v>
      </c>
      <c r="B15" s="1558">
        <v>3380</v>
      </c>
      <c r="C15" s="1558">
        <v>3340</v>
      </c>
      <c r="D15" s="1558">
        <v>3630</v>
      </c>
      <c r="E15" s="1558">
        <v>730</v>
      </c>
      <c r="F15" s="1558">
        <v>1990</v>
      </c>
    </row>
    <row r="16" spans="1:6">
      <c r="A16" s="1556" t="s">
        <v>313</v>
      </c>
      <c r="B16" s="1558">
        <v>2230</v>
      </c>
      <c r="C16" s="1558">
        <v>2200</v>
      </c>
      <c r="D16" s="1558">
        <v>2180</v>
      </c>
      <c r="E16" s="1558">
        <v>570</v>
      </c>
      <c r="F16" s="1558">
        <v>1330</v>
      </c>
    </row>
    <row r="17" spans="1:6">
      <c r="A17" s="1556" t="s">
        <v>317</v>
      </c>
      <c r="B17" s="1558">
        <v>1390</v>
      </c>
      <c r="C17" s="1558">
        <v>1360</v>
      </c>
      <c r="D17" s="1558">
        <v>1340</v>
      </c>
      <c r="E17" s="1558">
        <v>450</v>
      </c>
      <c r="F17" s="1558">
        <v>860</v>
      </c>
    </row>
  </sheetData>
  <sheetProtection password="CEE9" sheet="1" objects="1" scenarios="1"/>
  <mergeCells count="1">
    <mergeCell ref="A1:F1"/>
  </mergeCells>
  <phoneticPr fontId="25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60"/>
  <sheetViews>
    <sheetView topLeftCell="A341" zoomScale="70" zoomScaleNormal="70" workbookViewId="0">
      <selection activeCell="A341" sqref="A1:XFD1048576"/>
    </sheetView>
  </sheetViews>
  <sheetFormatPr defaultColWidth="9" defaultRowHeight="13.5"/>
  <cols>
    <col min="1" max="1" width="9" style="1541"/>
    <col min="2" max="16384" width="9" style="1542"/>
  </cols>
  <sheetData>
    <row r="1" spans="1:14" ht="14.25">
      <c r="A1" s="1543" t="s">
        <v>1917</v>
      </c>
      <c r="B1" s="1544"/>
      <c r="C1" s="1544"/>
      <c r="D1" s="1544"/>
      <c r="E1" s="1544"/>
      <c r="F1" s="1544"/>
      <c r="G1" s="1544"/>
      <c r="H1" s="1544"/>
      <c r="I1" s="1544"/>
      <c r="J1" s="1544"/>
      <c r="K1" s="1544"/>
      <c r="L1" s="1544"/>
      <c r="M1" s="1544"/>
      <c r="N1" s="1544"/>
    </row>
    <row r="2" spans="1:14">
      <c r="A2" s="1545" t="s">
        <v>105</v>
      </c>
      <c r="B2" s="1546" t="s">
        <v>238</v>
      </c>
      <c r="C2" s="1546" t="s">
        <v>251</v>
      </c>
      <c r="D2" s="1546" t="s">
        <v>263</v>
      </c>
      <c r="E2" s="1546" t="s">
        <v>273</v>
      </c>
      <c r="F2" s="1546" t="s">
        <v>282</v>
      </c>
      <c r="G2" s="1546" t="s">
        <v>290</v>
      </c>
      <c r="H2" s="1547" t="s">
        <v>295</v>
      </c>
      <c r="I2" s="1547" t="s">
        <v>301</v>
      </c>
      <c r="J2" s="1550" t="s">
        <v>305</v>
      </c>
      <c r="K2" s="1550" t="s">
        <v>309</v>
      </c>
      <c r="L2" s="1550" t="s">
        <v>313</v>
      </c>
      <c r="M2" s="1550" t="s">
        <v>317</v>
      </c>
    </row>
    <row r="3" spans="1:14">
      <c r="A3" s="1545">
        <v>1</v>
      </c>
      <c r="B3" s="1548">
        <v>1.2574000000000001</v>
      </c>
      <c r="C3" s="1548">
        <v>1.2574000000000001</v>
      </c>
      <c r="D3" s="1548">
        <v>1.2299</v>
      </c>
      <c r="E3" s="1548">
        <v>1.2299</v>
      </c>
      <c r="F3" s="1548">
        <v>1.2299</v>
      </c>
      <c r="G3" s="1548">
        <v>1.2299</v>
      </c>
      <c r="H3" s="1548">
        <v>1.2299</v>
      </c>
      <c r="I3" s="1548">
        <v>1.2333000000000001</v>
      </c>
      <c r="J3" s="1548">
        <v>1.2333000000000001</v>
      </c>
      <c r="K3" s="1548">
        <v>1.2333000000000001</v>
      </c>
      <c r="L3" s="1548">
        <v>1.2333000000000001</v>
      </c>
      <c r="M3" s="1548">
        <v>1.2333000000000001</v>
      </c>
      <c r="N3" s="1551"/>
    </row>
    <row r="4" spans="1:14">
      <c r="A4" s="1545">
        <v>1.1000000000000001</v>
      </c>
      <c r="B4" s="1548">
        <v>1.2283999999999999</v>
      </c>
      <c r="C4" s="1548">
        <v>1.2283999999999999</v>
      </c>
      <c r="D4" s="1548">
        <v>1.1984999999999999</v>
      </c>
      <c r="E4" s="1548">
        <v>1.1984999999999999</v>
      </c>
      <c r="F4" s="1548">
        <v>1.1984999999999999</v>
      </c>
      <c r="G4" s="1548">
        <v>1.1984999999999999</v>
      </c>
      <c r="H4" s="1548">
        <v>1.1984999999999999</v>
      </c>
      <c r="I4" s="1548">
        <v>1.1899</v>
      </c>
      <c r="J4" s="1548">
        <v>1.1899</v>
      </c>
      <c r="K4" s="1548">
        <v>1.1899</v>
      </c>
      <c r="L4" s="1548">
        <v>1.1899</v>
      </c>
      <c r="M4" s="1548">
        <v>1.1899</v>
      </c>
    </row>
    <row r="5" spans="1:14">
      <c r="A5" s="1545">
        <v>1.2</v>
      </c>
      <c r="B5" s="1548">
        <v>1.2031000000000001</v>
      </c>
      <c r="C5" s="1548">
        <v>1.2031000000000001</v>
      </c>
      <c r="D5" s="1548">
        <v>1.1711</v>
      </c>
      <c r="E5" s="1548">
        <v>1.1711</v>
      </c>
      <c r="F5" s="1548">
        <v>1.1711</v>
      </c>
      <c r="G5" s="1548">
        <v>1.1711</v>
      </c>
      <c r="H5" s="1548">
        <v>1.1711</v>
      </c>
      <c r="I5" s="1548">
        <v>1.1528</v>
      </c>
      <c r="J5" s="1548">
        <v>1.1528</v>
      </c>
      <c r="K5" s="1548">
        <v>1.1528</v>
      </c>
      <c r="L5" s="1548">
        <v>1.1528</v>
      </c>
      <c r="M5" s="1548">
        <v>1.1528</v>
      </c>
    </row>
    <row r="6" spans="1:14">
      <c r="A6" s="1545">
        <v>1.3</v>
      </c>
      <c r="B6" s="1548">
        <v>1.1811</v>
      </c>
      <c r="C6" s="1548">
        <v>1.1811</v>
      </c>
      <c r="D6" s="1548">
        <v>1.1472</v>
      </c>
      <c r="E6" s="1548">
        <v>1.1472</v>
      </c>
      <c r="F6" s="1548">
        <v>1.1472</v>
      </c>
      <c r="G6" s="1548">
        <v>1.1472</v>
      </c>
      <c r="H6" s="1548">
        <v>1.1472</v>
      </c>
      <c r="I6" s="1548">
        <v>1.1214</v>
      </c>
      <c r="J6" s="1548">
        <v>1.1214</v>
      </c>
      <c r="K6" s="1548">
        <v>1.1214</v>
      </c>
      <c r="L6" s="1548">
        <v>1.1214</v>
      </c>
      <c r="M6" s="1548">
        <v>1.1214</v>
      </c>
    </row>
    <row r="7" spans="1:14">
      <c r="A7" s="1545">
        <v>1.4</v>
      </c>
      <c r="B7" s="1548">
        <v>1.1619999999999999</v>
      </c>
      <c r="C7" s="1548">
        <v>1.1619999999999999</v>
      </c>
      <c r="D7" s="1548">
        <v>1.1265000000000001</v>
      </c>
      <c r="E7" s="1548">
        <v>1.1265000000000001</v>
      </c>
      <c r="F7" s="1548">
        <v>1.1265000000000001</v>
      </c>
      <c r="G7" s="1548">
        <v>1.1265000000000001</v>
      </c>
      <c r="H7" s="1548">
        <v>1.1265000000000001</v>
      </c>
      <c r="I7" s="1548">
        <v>1.0948</v>
      </c>
      <c r="J7" s="1548">
        <v>1.0948</v>
      </c>
      <c r="K7" s="1548">
        <v>1.0948</v>
      </c>
      <c r="L7" s="1548">
        <v>1.0948</v>
      </c>
      <c r="M7" s="1548">
        <v>1.0948</v>
      </c>
    </row>
    <row r="8" spans="1:14">
      <c r="A8" s="1545">
        <v>1.5</v>
      </c>
      <c r="B8" s="1548">
        <v>1.1453</v>
      </c>
      <c r="C8" s="1548">
        <v>1.1453</v>
      </c>
      <c r="D8" s="1548">
        <v>1.1084000000000001</v>
      </c>
      <c r="E8" s="1548">
        <v>1.1084000000000001</v>
      </c>
      <c r="F8" s="1548">
        <v>1.1084000000000001</v>
      </c>
      <c r="G8" s="1548">
        <v>1.1084000000000001</v>
      </c>
      <c r="H8" s="1548">
        <v>1.1084000000000001</v>
      </c>
      <c r="I8" s="1548">
        <v>1.0725</v>
      </c>
      <c r="J8" s="1548">
        <v>1.0725</v>
      </c>
      <c r="K8" s="1548">
        <v>1.0725</v>
      </c>
      <c r="L8" s="1548">
        <v>1.0725</v>
      </c>
      <c r="M8" s="1548">
        <v>1.0725</v>
      </c>
    </row>
    <row r="9" spans="1:14">
      <c r="A9" s="1545">
        <v>1.6</v>
      </c>
      <c r="B9" s="1548">
        <v>1.1306</v>
      </c>
      <c r="C9" s="1548">
        <v>1.1306</v>
      </c>
      <c r="D9" s="1548">
        <v>1.0924</v>
      </c>
      <c r="E9" s="1548">
        <v>1.0924</v>
      </c>
      <c r="F9" s="1548">
        <v>1.0924</v>
      </c>
      <c r="G9" s="1548">
        <v>1.0924</v>
      </c>
      <c r="H9" s="1548">
        <v>1.0924</v>
      </c>
      <c r="I9" s="1548">
        <v>1.0538000000000001</v>
      </c>
      <c r="J9" s="1548">
        <v>1.0538000000000001</v>
      </c>
      <c r="K9" s="1548">
        <v>1.0538000000000001</v>
      </c>
      <c r="L9" s="1548">
        <v>1.0538000000000001</v>
      </c>
      <c r="M9" s="1548">
        <v>1.0538000000000001</v>
      </c>
    </row>
    <row r="10" spans="1:14">
      <c r="A10" s="1545">
        <v>1.7</v>
      </c>
      <c r="B10" s="1548">
        <v>1.1175999999999999</v>
      </c>
      <c r="C10" s="1548">
        <v>1.1175999999999999</v>
      </c>
      <c r="D10" s="1548">
        <v>1.0783</v>
      </c>
      <c r="E10" s="1548">
        <v>1.0783</v>
      </c>
      <c r="F10" s="1548">
        <v>1.0783</v>
      </c>
      <c r="G10" s="1548">
        <v>1.0783</v>
      </c>
      <c r="H10" s="1548">
        <v>1.0783</v>
      </c>
      <c r="I10" s="1548">
        <v>1.0379</v>
      </c>
      <c r="J10" s="1548">
        <v>1.0379</v>
      </c>
      <c r="K10" s="1548">
        <v>1.0379</v>
      </c>
      <c r="L10" s="1548">
        <v>1.0379</v>
      </c>
      <c r="M10" s="1548">
        <v>1.0379</v>
      </c>
    </row>
    <row r="11" spans="1:14">
      <c r="A11" s="1545">
        <v>1.8</v>
      </c>
      <c r="B11" s="1548">
        <v>1.1057999999999999</v>
      </c>
      <c r="C11" s="1548">
        <v>1.1057999999999999</v>
      </c>
      <c r="D11" s="1548">
        <v>1.0653999999999999</v>
      </c>
      <c r="E11" s="1548">
        <v>1.0653999999999999</v>
      </c>
      <c r="F11" s="1548">
        <v>1.0653999999999999</v>
      </c>
      <c r="G11" s="1548">
        <v>1.0653999999999999</v>
      </c>
      <c r="H11" s="1548">
        <v>1.0653999999999999</v>
      </c>
      <c r="I11" s="1548">
        <v>1.0241</v>
      </c>
      <c r="J11" s="1548">
        <v>1.0241</v>
      </c>
      <c r="K11" s="1548">
        <v>1.0241</v>
      </c>
      <c r="L11" s="1548">
        <v>1.0241</v>
      </c>
      <c r="M11" s="1548">
        <v>1.0241</v>
      </c>
    </row>
    <row r="12" spans="1:14">
      <c r="A12" s="1545">
        <v>1.9</v>
      </c>
      <c r="B12" s="1548">
        <v>1.0949</v>
      </c>
      <c r="C12" s="1548">
        <v>1.0949</v>
      </c>
      <c r="D12" s="1548">
        <v>1.0537000000000001</v>
      </c>
      <c r="E12" s="1548">
        <v>1.0537000000000001</v>
      </c>
      <c r="F12" s="1548">
        <v>1.0537000000000001</v>
      </c>
      <c r="G12" s="1548">
        <v>1.0537000000000001</v>
      </c>
      <c r="H12" s="1548">
        <v>1.0537000000000001</v>
      </c>
      <c r="I12" s="1548">
        <v>1.0117</v>
      </c>
      <c r="J12" s="1548">
        <v>1.0117</v>
      </c>
      <c r="K12" s="1548">
        <v>1.0117</v>
      </c>
      <c r="L12" s="1548">
        <v>1.0117</v>
      </c>
      <c r="M12" s="1548">
        <v>1.0117</v>
      </c>
    </row>
    <row r="13" spans="1:14">
      <c r="A13" s="1545">
        <v>2</v>
      </c>
      <c r="B13" s="1548">
        <v>1.0847</v>
      </c>
      <c r="C13" s="1548">
        <v>1.0847</v>
      </c>
      <c r="D13" s="1548">
        <v>1.0427</v>
      </c>
      <c r="E13" s="1548">
        <v>1.0427</v>
      </c>
      <c r="F13" s="1548">
        <v>1.0427</v>
      </c>
      <c r="G13" s="1548">
        <v>1.0427</v>
      </c>
      <c r="H13" s="1548">
        <v>1.0427</v>
      </c>
      <c r="I13" s="1548">
        <v>1</v>
      </c>
      <c r="J13" s="1548">
        <v>1</v>
      </c>
      <c r="K13" s="1548">
        <v>1</v>
      </c>
      <c r="L13" s="1548">
        <v>1</v>
      </c>
      <c r="M13" s="1548">
        <v>1</v>
      </c>
    </row>
    <row r="14" spans="1:14">
      <c r="A14" s="1545">
        <v>2.1</v>
      </c>
      <c r="B14" s="1548">
        <v>1.0749</v>
      </c>
      <c r="C14" s="1548">
        <v>1.0749</v>
      </c>
      <c r="D14" s="1548">
        <v>1.0327999999999999</v>
      </c>
      <c r="E14" s="1548">
        <v>1.0327999999999999</v>
      </c>
      <c r="F14" s="1548">
        <v>1.0327999999999999</v>
      </c>
      <c r="G14" s="1548">
        <v>1.0327999999999999</v>
      </c>
      <c r="H14" s="1548">
        <v>1.0327999999999999</v>
      </c>
      <c r="I14" s="1548">
        <v>0.98819999999999997</v>
      </c>
      <c r="J14" s="1548">
        <v>0.98819999999999997</v>
      </c>
      <c r="K14" s="1548">
        <v>0.98819999999999997</v>
      </c>
      <c r="L14" s="1548">
        <v>0.98819999999999997</v>
      </c>
      <c r="M14" s="1548">
        <v>0.98819999999999997</v>
      </c>
    </row>
    <row r="15" spans="1:14">
      <c r="A15" s="1545">
        <v>2.2000000000000002</v>
      </c>
      <c r="B15" s="1548">
        <v>1.0663</v>
      </c>
      <c r="C15" s="1548">
        <v>1.0663</v>
      </c>
      <c r="D15" s="1548">
        <v>1.0237000000000001</v>
      </c>
      <c r="E15" s="1548">
        <v>1.0237000000000001</v>
      </c>
      <c r="F15" s="1548">
        <v>1.0237000000000001</v>
      </c>
      <c r="G15" s="1548">
        <v>1.0237000000000001</v>
      </c>
      <c r="H15" s="1548">
        <v>1.0237000000000001</v>
      </c>
      <c r="I15" s="1548">
        <v>0.9768</v>
      </c>
      <c r="J15" s="1548">
        <v>0.9768</v>
      </c>
      <c r="K15" s="1548">
        <v>0.9768</v>
      </c>
      <c r="L15" s="1548">
        <v>0.9768</v>
      </c>
      <c r="M15" s="1548">
        <v>0.9768</v>
      </c>
    </row>
    <row r="16" spans="1:14">
      <c r="A16" s="1545">
        <v>2.2999999999999998</v>
      </c>
      <c r="B16" s="1548">
        <v>1.0584</v>
      </c>
      <c r="C16" s="1548">
        <v>1.0584</v>
      </c>
      <c r="D16" s="1548">
        <v>1.0152000000000001</v>
      </c>
      <c r="E16" s="1548">
        <v>1.0152000000000001</v>
      </c>
      <c r="F16" s="1548">
        <v>1.0152000000000001</v>
      </c>
      <c r="G16" s="1548">
        <v>1.0152000000000001</v>
      </c>
      <c r="H16" s="1548">
        <v>1.0152000000000001</v>
      </c>
      <c r="I16" s="1548">
        <v>0.96609999999999996</v>
      </c>
      <c r="J16" s="1548">
        <v>0.96609999999999996</v>
      </c>
      <c r="K16" s="1548">
        <v>0.96609999999999996</v>
      </c>
      <c r="L16" s="1548">
        <v>0.96609999999999996</v>
      </c>
      <c r="M16" s="1548">
        <v>0.96609999999999996</v>
      </c>
      <c r="N16" s="1551"/>
    </row>
    <row r="17" spans="1:14">
      <c r="A17" s="1545">
        <v>2.4</v>
      </c>
      <c r="B17" s="1548">
        <v>1.0511999999999999</v>
      </c>
      <c r="C17" s="1548">
        <v>1.0511999999999999</v>
      </c>
      <c r="D17" s="1548">
        <v>1.0074000000000001</v>
      </c>
      <c r="E17" s="1548">
        <v>1.0074000000000001</v>
      </c>
      <c r="F17" s="1548">
        <v>1.0074000000000001</v>
      </c>
      <c r="G17" s="1548">
        <v>1.0074000000000001</v>
      </c>
      <c r="H17" s="1548">
        <v>1.0074000000000001</v>
      </c>
      <c r="I17" s="1548">
        <v>0.95579999999999998</v>
      </c>
      <c r="J17" s="1548">
        <v>0.95579999999999998</v>
      </c>
      <c r="K17" s="1548">
        <v>0.95579999999999998</v>
      </c>
      <c r="L17" s="1548">
        <v>0.95579999999999998</v>
      </c>
      <c r="M17" s="1548">
        <v>0.95579999999999998</v>
      </c>
      <c r="N17" s="1551"/>
    </row>
    <row r="18" spans="1:14">
      <c r="A18" s="1545">
        <v>2.5</v>
      </c>
      <c r="B18" s="1548">
        <v>1.0445</v>
      </c>
      <c r="C18" s="1548">
        <v>1.0445</v>
      </c>
      <c r="D18" s="1548">
        <v>1</v>
      </c>
      <c r="E18" s="1548">
        <v>1</v>
      </c>
      <c r="F18" s="1548">
        <v>1</v>
      </c>
      <c r="G18" s="1548">
        <v>1</v>
      </c>
      <c r="H18" s="1548">
        <v>1</v>
      </c>
      <c r="I18" s="1548">
        <v>0.94620000000000004</v>
      </c>
      <c r="J18" s="1548">
        <v>0.94620000000000004</v>
      </c>
      <c r="K18" s="1548">
        <v>0.94620000000000004</v>
      </c>
      <c r="L18" s="1548">
        <v>0.94620000000000004</v>
      </c>
      <c r="M18" s="1548">
        <v>0.94620000000000004</v>
      </c>
    </row>
    <row r="19" spans="1:14">
      <c r="A19" s="1545">
        <v>2.6</v>
      </c>
      <c r="B19" s="1548">
        <v>1.0386</v>
      </c>
      <c r="C19" s="1548">
        <v>1.0386</v>
      </c>
      <c r="D19" s="1548">
        <v>0.99350000000000005</v>
      </c>
      <c r="E19" s="1548">
        <v>0.99350000000000005</v>
      </c>
      <c r="F19" s="1548">
        <v>0.99350000000000005</v>
      </c>
      <c r="G19" s="1548">
        <v>0.99350000000000005</v>
      </c>
      <c r="H19" s="1548">
        <v>0.99350000000000005</v>
      </c>
      <c r="I19" s="1548">
        <v>0.93710000000000004</v>
      </c>
      <c r="J19" s="1548">
        <v>0.93710000000000004</v>
      </c>
      <c r="K19" s="1548">
        <v>0.93710000000000004</v>
      </c>
      <c r="L19" s="1548">
        <v>0.93710000000000004</v>
      </c>
      <c r="M19" s="1548">
        <v>0.93710000000000004</v>
      </c>
    </row>
    <row r="20" spans="1:14">
      <c r="A20" s="1545">
        <v>2.7</v>
      </c>
      <c r="B20" s="1548">
        <v>1.0331999999999999</v>
      </c>
      <c r="C20" s="1548">
        <v>1.0331999999999999</v>
      </c>
      <c r="D20" s="1548">
        <v>0.98770000000000002</v>
      </c>
      <c r="E20" s="1548">
        <v>0.98770000000000002</v>
      </c>
      <c r="F20" s="1548">
        <v>0.98770000000000002</v>
      </c>
      <c r="G20" s="1548">
        <v>0.98770000000000002</v>
      </c>
      <c r="H20" s="1548">
        <v>0.98770000000000002</v>
      </c>
      <c r="I20" s="1548">
        <v>0.92859999999999998</v>
      </c>
      <c r="J20" s="1548">
        <v>0.92859999999999998</v>
      </c>
      <c r="K20" s="1548">
        <v>0.92859999999999998</v>
      </c>
      <c r="L20" s="1548">
        <v>0.92859999999999998</v>
      </c>
      <c r="M20" s="1548">
        <v>0.92859999999999998</v>
      </c>
    </row>
    <row r="21" spans="1:14">
      <c r="A21" s="1545">
        <v>2.8</v>
      </c>
      <c r="B21" s="1548">
        <v>1.0282</v>
      </c>
      <c r="C21" s="1548">
        <v>1.0282</v>
      </c>
      <c r="D21" s="1548">
        <v>0.98260000000000003</v>
      </c>
      <c r="E21" s="1548">
        <v>0.98260000000000003</v>
      </c>
      <c r="F21" s="1548">
        <v>0.98260000000000003</v>
      </c>
      <c r="G21" s="1548">
        <v>0.98260000000000003</v>
      </c>
      <c r="H21" s="1548">
        <v>0.98260000000000003</v>
      </c>
      <c r="I21" s="1548">
        <v>0.92069999999999996</v>
      </c>
      <c r="J21" s="1548">
        <v>0.92069999999999996</v>
      </c>
      <c r="K21" s="1548">
        <v>0.92069999999999996</v>
      </c>
      <c r="L21" s="1548">
        <v>0.92069999999999996</v>
      </c>
      <c r="M21" s="1548">
        <v>0.92069999999999996</v>
      </c>
    </row>
    <row r="22" spans="1:14">
      <c r="A22" s="1545">
        <v>2.9</v>
      </c>
      <c r="B22" s="1548">
        <v>1.0235000000000001</v>
      </c>
      <c r="C22" s="1548">
        <v>1.0235000000000001</v>
      </c>
      <c r="D22" s="1548">
        <v>0.97770000000000001</v>
      </c>
      <c r="E22" s="1548">
        <v>0.97770000000000001</v>
      </c>
      <c r="F22" s="1548">
        <v>0.97770000000000001</v>
      </c>
      <c r="G22" s="1548">
        <v>0.97770000000000001</v>
      </c>
      <c r="H22" s="1548">
        <v>0.97770000000000001</v>
      </c>
      <c r="I22" s="1548">
        <v>0.9133</v>
      </c>
      <c r="J22" s="1548">
        <v>0.9133</v>
      </c>
      <c r="K22" s="1548">
        <v>0.9133</v>
      </c>
      <c r="L22" s="1548">
        <v>0.9133</v>
      </c>
      <c r="M22" s="1548">
        <v>0.9133</v>
      </c>
    </row>
    <row r="23" spans="1:14">
      <c r="A23" s="1549">
        <v>3</v>
      </c>
      <c r="B23" s="1548">
        <v>1.0190999999999999</v>
      </c>
      <c r="C23" s="1548">
        <v>1.0190999999999999</v>
      </c>
      <c r="D23" s="1548">
        <v>0.97299999999999998</v>
      </c>
      <c r="E23" s="1548">
        <v>0.97299999999999998</v>
      </c>
      <c r="F23" s="1548">
        <v>0.97299999999999998</v>
      </c>
      <c r="G23" s="1548">
        <v>0.97299999999999998</v>
      </c>
      <c r="H23" s="1548">
        <v>0.97299999999999998</v>
      </c>
      <c r="I23" s="1548">
        <v>0.90629999999999999</v>
      </c>
      <c r="J23" s="1548">
        <v>0.90629999999999999</v>
      </c>
      <c r="K23" s="1548">
        <v>0.90629999999999999</v>
      </c>
      <c r="L23" s="1548">
        <v>0.90629999999999999</v>
      </c>
      <c r="M23" s="1548">
        <v>0.90629999999999999</v>
      </c>
    </row>
    <row r="24" spans="1:14">
      <c r="A24" s="1549">
        <v>3.1</v>
      </c>
      <c r="B24" s="1548">
        <v>1.0148999999999999</v>
      </c>
      <c r="C24" s="1548">
        <v>1.0148999999999999</v>
      </c>
      <c r="D24" s="1548">
        <v>0.96840000000000004</v>
      </c>
      <c r="E24" s="1548">
        <v>0.96840000000000004</v>
      </c>
      <c r="F24" s="1548">
        <v>0.96840000000000004</v>
      </c>
      <c r="G24" s="1548">
        <v>0.96840000000000004</v>
      </c>
      <c r="H24" s="1548">
        <v>0.96840000000000004</v>
      </c>
      <c r="I24" s="1548">
        <v>0.89959999999999996</v>
      </c>
      <c r="J24" s="1548">
        <v>0.89959999999999996</v>
      </c>
      <c r="K24" s="1548">
        <v>0.89959999999999996</v>
      </c>
      <c r="L24" s="1548">
        <v>0.89959999999999996</v>
      </c>
      <c r="M24" s="1548">
        <v>0.89959999999999996</v>
      </c>
    </row>
    <row r="25" spans="1:14">
      <c r="A25" s="1549">
        <v>3.2</v>
      </c>
      <c r="B25" s="1548">
        <v>1.0108999999999999</v>
      </c>
      <c r="C25" s="1548">
        <v>1.0108999999999999</v>
      </c>
      <c r="D25" s="1548">
        <v>0.96399999999999997</v>
      </c>
      <c r="E25" s="1548">
        <v>0.96399999999999997</v>
      </c>
      <c r="F25" s="1548">
        <v>0.96399999999999997</v>
      </c>
      <c r="G25" s="1548">
        <v>0.96399999999999997</v>
      </c>
      <c r="H25" s="1548">
        <v>0.96399999999999997</v>
      </c>
      <c r="I25" s="1548">
        <v>0.89319999999999999</v>
      </c>
      <c r="J25" s="1548">
        <v>0.89319999999999999</v>
      </c>
      <c r="K25" s="1548">
        <v>0.89319999999999999</v>
      </c>
      <c r="L25" s="1548">
        <v>0.89319999999999999</v>
      </c>
      <c r="M25" s="1548">
        <v>0.89319999999999999</v>
      </c>
    </row>
    <row r="26" spans="1:14">
      <c r="A26" s="1549">
        <v>3.3</v>
      </c>
      <c r="B26" s="1548">
        <v>1.0071000000000001</v>
      </c>
      <c r="C26" s="1548">
        <v>1.0071000000000001</v>
      </c>
      <c r="D26" s="1548">
        <v>0.95979999999999999</v>
      </c>
      <c r="E26" s="1548">
        <v>0.95979999999999999</v>
      </c>
      <c r="F26" s="1548">
        <v>0.95979999999999999</v>
      </c>
      <c r="G26" s="1548">
        <v>0.95979999999999999</v>
      </c>
      <c r="H26" s="1548">
        <v>0.95979999999999999</v>
      </c>
      <c r="I26" s="1548">
        <v>0.8871</v>
      </c>
      <c r="J26" s="1548">
        <v>0.8871</v>
      </c>
      <c r="K26" s="1548">
        <v>0.8871</v>
      </c>
      <c r="L26" s="1548">
        <v>0.8871</v>
      </c>
      <c r="M26" s="1548">
        <v>0.8871</v>
      </c>
    </row>
    <row r="27" spans="1:14">
      <c r="A27" s="1549">
        <v>3.4</v>
      </c>
      <c r="B27" s="1548">
        <v>1.0035000000000001</v>
      </c>
      <c r="C27" s="1548">
        <v>1.0035000000000001</v>
      </c>
      <c r="D27" s="1548">
        <v>0.95579999999999998</v>
      </c>
      <c r="E27" s="1548">
        <v>0.95579999999999998</v>
      </c>
      <c r="F27" s="1548">
        <v>0.95579999999999998</v>
      </c>
      <c r="G27" s="1548">
        <v>0.95579999999999998</v>
      </c>
      <c r="H27" s="1548">
        <v>0.95579999999999998</v>
      </c>
      <c r="I27" s="1548">
        <v>0.88119999999999998</v>
      </c>
      <c r="J27" s="1548">
        <v>0.88119999999999998</v>
      </c>
      <c r="K27" s="1548">
        <v>0.88119999999999998</v>
      </c>
      <c r="L27" s="1548">
        <v>0.88119999999999998</v>
      </c>
      <c r="M27" s="1548">
        <v>0.88119999999999998</v>
      </c>
    </row>
    <row r="28" spans="1:14">
      <c r="A28" s="1549">
        <v>3.5</v>
      </c>
      <c r="B28" s="1548">
        <v>1</v>
      </c>
      <c r="C28" s="1548">
        <v>1</v>
      </c>
      <c r="D28" s="1548">
        <v>0.95199999999999996</v>
      </c>
      <c r="E28" s="1548">
        <v>0.95199999999999996</v>
      </c>
      <c r="F28" s="1548">
        <v>0.95199999999999996</v>
      </c>
      <c r="G28" s="1548">
        <v>0.95199999999999996</v>
      </c>
      <c r="H28" s="1548">
        <v>0.95199999999999996</v>
      </c>
      <c r="I28" s="1548">
        <v>0.87549999999999994</v>
      </c>
      <c r="J28" s="1548">
        <v>0.87549999999999994</v>
      </c>
      <c r="K28" s="1548">
        <v>0.87549999999999994</v>
      </c>
      <c r="L28" s="1548">
        <v>0.87549999999999994</v>
      </c>
      <c r="M28" s="1548">
        <v>0.87549999999999994</v>
      </c>
    </row>
    <row r="29" spans="1:14">
      <c r="A29" s="1549">
        <v>3.6</v>
      </c>
      <c r="B29" s="1548">
        <v>0.99660000000000004</v>
      </c>
      <c r="C29" s="1548">
        <v>0.99660000000000004</v>
      </c>
      <c r="D29" s="1548">
        <v>0.94840000000000002</v>
      </c>
      <c r="E29" s="1548">
        <v>0.94840000000000002</v>
      </c>
      <c r="F29" s="1548">
        <v>0.94840000000000002</v>
      </c>
      <c r="G29" s="1548">
        <v>0.94840000000000002</v>
      </c>
      <c r="H29" s="1548">
        <v>0.94840000000000002</v>
      </c>
      <c r="I29" s="1548">
        <v>0.87</v>
      </c>
      <c r="J29" s="1548">
        <v>0.87</v>
      </c>
      <c r="K29" s="1548">
        <v>0.87</v>
      </c>
      <c r="L29" s="1548">
        <v>0.87</v>
      </c>
      <c r="M29" s="1548">
        <v>0.87</v>
      </c>
    </row>
    <row r="30" spans="1:14">
      <c r="A30" s="1549">
        <v>3.7</v>
      </c>
      <c r="B30" s="1548">
        <v>0.99329999999999996</v>
      </c>
      <c r="C30" s="1548">
        <v>0.99329999999999996</v>
      </c>
      <c r="D30" s="1548">
        <v>0.94499999999999995</v>
      </c>
      <c r="E30" s="1548">
        <v>0.94499999999999995</v>
      </c>
      <c r="F30" s="1548">
        <v>0.94499999999999995</v>
      </c>
      <c r="G30" s="1548">
        <v>0.94499999999999995</v>
      </c>
      <c r="H30" s="1548">
        <v>0.94499999999999995</v>
      </c>
      <c r="I30" s="1548">
        <v>0.86470000000000002</v>
      </c>
      <c r="J30" s="1548">
        <v>0.86470000000000002</v>
      </c>
      <c r="K30" s="1548">
        <v>0.86470000000000002</v>
      </c>
      <c r="L30" s="1548">
        <v>0.86470000000000002</v>
      </c>
      <c r="M30" s="1548">
        <v>0.86470000000000002</v>
      </c>
    </row>
    <row r="31" spans="1:14">
      <c r="A31" s="1549">
        <v>3.8</v>
      </c>
      <c r="B31" s="1548">
        <v>0.99009999999999998</v>
      </c>
      <c r="C31" s="1548">
        <v>0.99009999999999998</v>
      </c>
      <c r="D31" s="1548">
        <v>0.94169999999999998</v>
      </c>
      <c r="E31" s="1548">
        <v>0.94169999999999998</v>
      </c>
      <c r="F31" s="1548">
        <v>0.94169999999999998</v>
      </c>
      <c r="G31" s="1548">
        <v>0.94169999999999998</v>
      </c>
      <c r="H31" s="1548">
        <v>0.94169999999999998</v>
      </c>
      <c r="I31" s="1548">
        <v>0.85960000000000003</v>
      </c>
      <c r="J31" s="1548">
        <v>0.85960000000000003</v>
      </c>
      <c r="K31" s="1548">
        <v>0.85960000000000003</v>
      </c>
      <c r="L31" s="1548">
        <v>0.85960000000000003</v>
      </c>
      <c r="M31" s="1548">
        <v>0.85960000000000003</v>
      </c>
    </row>
    <row r="32" spans="1:14">
      <c r="A32" s="1549">
        <v>3.9</v>
      </c>
      <c r="B32" s="1548">
        <v>0.98699999999999999</v>
      </c>
      <c r="C32" s="1548">
        <v>0.98699999999999999</v>
      </c>
      <c r="D32" s="1548">
        <v>0.9385</v>
      </c>
      <c r="E32" s="1548">
        <v>0.9385</v>
      </c>
      <c r="F32" s="1548">
        <v>0.9385</v>
      </c>
      <c r="G32" s="1548">
        <v>0.9385</v>
      </c>
      <c r="H32" s="1548">
        <v>0.9385</v>
      </c>
      <c r="I32" s="1548">
        <v>0.85470000000000002</v>
      </c>
      <c r="J32" s="1548">
        <v>0.85470000000000002</v>
      </c>
      <c r="K32" s="1548">
        <v>0.85470000000000002</v>
      </c>
      <c r="L32" s="1548">
        <v>0.85470000000000002</v>
      </c>
      <c r="M32" s="1548">
        <v>0.85470000000000002</v>
      </c>
    </row>
    <row r="33" spans="1:13">
      <c r="A33" s="1549">
        <v>4</v>
      </c>
      <c r="B33" s="1548">
        <v>0.98399999999999999</v>
      </c>
      <c r="C33" s="1548">
        <v>0.98399999999999999</v>
      </c>
      <c r="D33" s="1548">
        <v>0.93540000000000001</v>
      </c>
      <c r="E33" s="1548">
        <v>0.93540000000000001</v>
      </c>
      <c r="F33" s="1548">
        <v>0.93540000000000001</v>
      </c>
      <c r="G33" s="1548">
        <v>0.93540000000000001</v>
      </c>
      <c r="H33" s="1548">
        <v>0.93540000000000001</v>
      </c>
      <c r="I33" s="1548">
        <v>0.84989999999999999</v>
      </c>
      <c r="J33" s="1548">
        <v>0.84989999999999999</v>
      </c>
      <c r="K33" s="1548">
        <v>0.84989999999999999</v>
      </c>
      <c r="L33" s="1548">
        <v>0.84989999999999999</v>
      </c>
      <c r="M33" s="1548">
        <v>0.84989999999999999</v>
      </c>
    </row>
    <row r="34" spans="1:13">
      <c r="A34" s="1549">
        <v>4.0999999999999996</v>
      </c>
      <c r="B34" s="1548">
        <v>0.98109999999999997</v>
      </c>
      <c r="C34" s="1548">
        <v>0.98109999999999997</v>
      </c>
      <c r="D34" s="1548">
        <v>0.93240000000000001</v>
      </c>
      <c r="E34" s="1548">
        <v>0.93240000000000001</v>
      </c>
      <c r="F34" s="1548">
        <v>0.93240000000000001</v>
      </c>
      <c r="G34" s="1548">
        <v>0.93240000000000001</v>
      </c>
      <c r="H34" s="1548">
        <v>0.93240000000000001</v>
      </c>
      <c r="I34" s="1548">
        <v>0.84519999999999995</v>
      </c>
      <c r="J34" s="1548">
        <v>0.84519999999999995</v>
      </c>
      <c r="K34" s="1548">
        <v>0.84519999999999995</v>
      </c>
      <c r="L34" s="1548">
        <v>0.84519999999999995</v>
      </c>
      <c r="M34" s="1548">
        <v>0.84519999999999995</v>
      </c>
    </row>
    <row r="35" spans="1:13">
      <c r="A35" s="1549">
        <v>4.2</v>
      </c>
      <c r="B35" s="1548">
        <v>0.97829999999999995</v>
      </c>
      <c r="C35" s="1548">
        <v>0.97829999999999995</v>
      </c>
      <c r="D35" s="1548">
        <v>0.92949999999999999</v>
      </c>
      <c r="E35" s="1548">
        <v>0.92949999999999999</v>
      </c>
      <c r="F35" s="1548">
        <v>0.92949999999999999</v>
      </c>
      <c r="G35" s="1548">
        <v>0.92949999999999999</v>
      </c>
      <c r="H35" s="1548">
        <v>0.92949999999999999</v>
      </c>
      <c r="I35" s="1548">
        <v>0.84060000000000001</v>
      </c>
      <c r="J35" s="1548">
        <v>0.84060000000000001</v>
      </c>
      <c r="K35" s="1548">
        <v>0.84060000000000001</v>
      </c>
      <c r="L35" s="1548">
        <v>0.84060000000000001</v>
      </c>
      <c r="M35" s="1548">
        <v>0.84060000000000001</v>
      </c>
    </row>
    <row r="36" spans="1:13">
      <c r="A36" s="1549">
        <v>4.3</v>
      </c>
      <c r="B36" s="1548">
        <v>0.97560000000000002</v>
      </c>
      <c r="C36" s="1548">
        <v>0.97560000000000002</v>
      </c>
      <c r="D36" s="1548">
        <v>0.92669999999999997</v>
      </c>
      <c r="E36" s="1548">
        <v>0.92669999999999997</v>
      </c>
      <c r="F36" s="1548">
        <v>0.92669999999999997</v>
      </c>
      <c r="G36" s="1548">
        <v>0.92669999999999997</v>
      </c>
      <c r="H36" s="1548">
        <v>0.92669999999999997</v>
      </c>
      <c r="I36" s="1548">
        <v>0.83609999999999995</v>
      </c>
      <c r="J36" s="1548">
        <v>0.83609999999999995</v>
      </c>
      <c r="K36" s="1548">
        <v>0.83609999999999995</v>
      </c>
      <c r="L36" s="1548">
        <v>0.83609999999999995</v>
      </c>
      <c r="M36" s="1548">
        <v>0.83609999999999995</v>
      </c>
    </row>
    <row r="37" spans="1:13">
      <c r="A37" s="1549">
        <v>4.4000000000000004</v>
      </c>
      <c r="B37" s="1548">
        <v>0.97299999999999998</v>
      </c>
      <c r="C37" s="1548">
        <v>0.97299999999999998</v>
      </c>
      <c r="D37" s="1548">
        <v>0.92400000000000004</v>
      </c>
      <c r="E37" s="1548">
        <v>0.92400000000000004</v>
      </c>
      <c r="F37" s="1548">
        <v>0.92400000000000004</v>
      </c>
      <c r="G37" s="1548">
        <v>0.92400000000000004</v>
      </c>
      <c r="H37" s="1548">
        <v>0.92400000000000004</v>
      </c>
      <c r="I37" s="1548">
        <v>0.83169999999999999</v>
      </c>
      <c r="J37" s="1548">
        <v>0.83169999999999999</v>
      </c>
      <c r="K37" s="1548">
        <v>0.83169999999999999</v>
      </c>
      <c r="L37" s="1548">
        <v>0.83169999999999999</v>
      </c>
      <c r="M37" s="1548">
        <v>0.83169999999999999</v>
      </c>
    </row>
    <row r="38" spans="1:13">
      <c r="A38" s="1549">
        <v>4.5</v>
      </c>
      <c r="B38" s="1548">
        <v>0.97050000000000003</v>
      </c>
      <c r="C38" s="1548">
        <v>0.97050000000000003</v>
      </c>
      <c r="D38" s="1548">
        <v>0.92130000000000001</v>
      </c>
      <c r="E38" s="1548">
        <v>0.92130000000000001</v>
      </c>
      <c r="F38" s="1548">
        <v>0.92130000000000001</v>
      </c>
      <c r="G38" s="1548">
        <v>0.92130000000000001</v>
      </c>
      <c r="H38" s="1548">
        <v>0.92130000000000001</v>
      </c>
      <c r="I38" s="1548">
        <v>0.82740000000000002</v>
      </c>
      <c r="J38" s="1548">
        <v>0.82740000000000002</v>
      </c>
      <c r="K38" s="1548">
        <v>0.82740000000000002</v>
      </c>
      <c r="L38" s="1548">
        <v>0.82740000000000002</v>
      </c>
      <c r="M38" s="1548">
        <v>0.82740000000000002</v>
      </c>
    </row>
    <row r="39" spans="1:13">
      <c r="A39" s="1549">
        <v>4.5999999999999996</v>
      </c>
      <c r="B39" s="1548">
        <v>0.96809999999999996</v>
      </c>
      <c r="C39" s="1548">
        <v>0.96809999999999996</v>
      </c>
      <c r="D39" s="1548">
        <v>0.91869999999999996</v>
      </c>
      <c r="E39" s="1548">
        <v>0.91869999999999996</v>
      </c>
      <c r="F39" s="1548">
        <v>0.91869999999999996</v>
      </c>
      <c r="G39" s="1548">
        <v>0.91869999999999996</v>
      </c>
      <c r="H39" s="1548">
        <v>0.91869999999999996</v>
      </c>
      <c r="I39" s="1548">
        <v>0.82320000000000004</v>
      </c>
      <c r="J39" s="1548">
        <v>0.82320000000000004</v>
      </c>
      <c r="K39" s="1548">
        <v>0.82320000000000004</v>
      </c>
      <c r="L39" s="1548">
        <v>0.82320000000000004</v>
      </c>
      <c r="M39" s="1548">
        <v>0.82320000000000004</v>
      </c>
    </row>
    <row r="40" spans="1:13">
      <c r="A40" s="1549">
        <v>4.7</v>
      </c>
      <c r="B40" s="1548">
        <v>0.96579999999999999</v>
      </c>
      <c r="C40" s="1548">
        <v>0.96579999999999999</v>
      </c>
      <c r="D40" s="1548">
        <v>0.91610000000000003</v>
      </c>
      <c r="E40" s="1548">
        <v>0.91610000000000003</v>
      </c>
      <c r="F40" s="1548">
        <v>0.91610000000000003</v>
      </c>
      <c r="G40" s="1548">
        <v>0.91610000000000003</v>
      </c>
      <c r="H40" s="1548">
        <v>0.91610000000000003</v>
      </c>
      <c r="I40" s="1548">
        <v>0.81910000000000005</v>
      </c>
      <c r="J40" s="1548">
        <v>0.81910000000000005</v>
      </c>
      <c r="K40" s="1548">
        <v>0.81910000000000005</v>
      </c>
      <c r="L40" s="1548">
        <v>0.81910000000000005</v>
      </c>
      <c r="M40" s="1548">
        <v>0.81910000000000005</v>
      </c>
    </row>
    <row r="41" spans="1:13">
      <c r="A41" s="1549">
        <v>4.8</v>
      </c>
      <c r="B41" s="1548">
        <v>0.96360000000000001</v>
      </c>
      <c r="C41" s="1548">
        <v>0.96360000000000001</v>
      </c>
      <c r="D41" s="1548">
        <v>0.91349999999999998</v>
      </c>
      <c r="E41" s="1548">
        <v>0.91349999999999998</v>
      </c>
      <c r="F41" s="1548">
        <v>0.91349999999999998</v>
      </c>
      <c r="G41" s="1548">
        <v>0.91349999999999998</v>
      </c>
      <c r="H41" s="1548">
        <v>0.91349999999999998</v>
      </c>
      <c r="I41" s="1548">
        <v>0.81510000000000005</v>
      </c>
      <c r="J41" s="1548">
        <v>0.81510000000000005</v>
      </c>
      <c r="K41" s="1548">
        <v>0.81510000000000005</v>
      </c>
      <c r="L41" s="1548">
        <v>0.81510000000000005</v>
      </c>
      <c r="M41" s="1548">
        <v>0.81510000000000005</v>
      </c>
    </row>
    <row r="42" spans="1:13">
      <c r="A42" s="1549">
        <v>4.9000000000000004</v>
      </c>
      <c r="B42" s="1548">
        <v>0.96150000000000002</v>
      </c>
      <c r="C42" s="1548">
        <v>0.96150000000000002</v>
      </c>
      <c r="D42" s="1548">
        <v>0.91100000000000003</v>
      </c>
      <c r="E42" s="1548">
        <v>0.91100000000000003</v>
      </c>
      <c r="F42" s="1548">
        <v>0.91100000000000003</v>
      </c>
      <c r="G42" s="1548">
        <v>0.91100000000000003</v>
      </c>
      <c r="H42" s="1548">
        <v>0.91100000000000003</v>
      </c>
      <c r="I42" s="1548">
        <v>0.81110000000000004</v>
      </c>
      <c r="J42" s="1548">
        <v>0.81110000000000004</v>
      </c>
      <c r="K42" s="1548">
        <v>0.81110000000000004</v>
      </c>
      <c r="L42" s="1548">
        <v>0.81110000000000004</v>
      </c>
      <c r="M42" s="1548">
        <v>0.81110000000000004</v>
      </c>
    </row>
    <row r="43" spans="1:13">
      <c r="A43" s="1549">
        <v>5</v>
      </c>
      <c r="B43" s="1548">
        <v>0.95940000000000003</v>
      </c>
      <c r="C43" s="1548">
        <v>0.95940000000000003</v>
      </c>
      <c r="D43" s="1548">
        <v>0.90849999999999997</v>
      </c>
      <c r="E43" s="1548">
        <v>0.90849999999999997</v>
      </c>
      <c r="F43" s="1548">
        <v>0.90849999999999997</v>
      </c>
      <c r="G43" s="1548">
        <v>0.90849999999999997</v>
      </c>
      <c r="H43" s="1548">
        <v>0.90849999999999997</v>
      </c>
      <c r="I43" s="1548">
        <v>0.80720000000000003</v>
      </c>
      <c r="J43" s="1548">
        <v>0.80720000000000003</v>
      </c>
      <c r="K43" s="1548">
        <v>0.80720000000000003</v>
      </c>
      <c r="L43" s="1548">
        <v>0.80720000000000003</v>
      </c>
      <c r="M43" s="1548">
        <v>0.80720000000000003</v>
      </c>
    </row>
    <row r="44" spans="1:13">
      <c r="A44" s="1549">
        <v>5.0999999999999996</v>
      </c>
      <c r="B44" s="1548">
        <v>0.95740000000000003</v>
      </c>
      <c r="C44" s="1548">
        <v>0.95740000000000003</v>
      </c>
      <c r="D44" s="1548">
        <v>0.90600000000000003</v>
      </c>
      <c r="E44" s="1548">
        <v>0.90600000000000003</v>
      </c>
      <c r="F44" s="1548">
        <v>0.90600000000000003</v>
      </c>
      <c r="G44" s="1548">
        <v>0.90600000000000003</v>
      </c>
      <c r="H44" s="1548">
        <v>0.90600000000000003</v>
      </c>
      <c r="I44" s="1548">
        <v>0.80330000000000001</v>
      </c>
      <c r="J44" s="1548">
        <v>0.80330000000000001</v>
      </c>
      <c r="K44" s="1548">
        <v>0.80330000000000001</v>
      </c>
      <c r="L44" s="1548">
        <v>0.80330000000000001</v>
      </c>
      <c r="M44" s="1548">
        <v>0.80330000000000001</v>
      </c>
    </row>
    <row r="45" spans="1:13">
      <c r="A45" s="1549">
        <v>5.2</v>
      </c>
      <c r="B45" s="1548">
        <v>0.95540000000000003</v>
      </c>
      <c r="C45" s="1548">
        <v>0.95540000000000003</v>
      </c>
      <c r="D45" s="1548">
        <v>0.90349999999999997</v>
      </c>
      <c r="E45" s="1548">
        <v>0.90349999999999997</v>
      </c>
      <c r="F45" s="1548">
        <v>0.90349999999999997</v>
      </c>
      <c r="G45" s="1548">
        <v>0.90349999999999997</v>
      </c>
      <c r="H45" s="1548">
        <v>0.90349999999999997</v>
      </c>
      <c r="I45" s="1548">
        <v>0.79949999999999999</v>
      </c>
      <c r="J45" s="1548">
        <v>0.79949999999999999</v>
      </c>
      <c r="K45" s="1548">
        <v>0.79949999999999999</v>
      </c>
      <c r="L45" s="1548">
        <v>0.79949999999999999</v>
      </c>
      <c r="M45" s="1548">
        <v>0.79949999999999999</v>
      </c>
    </row>
    <row r="46" spans="1:13">
      <c r="A46" s="1549">
        <v>5.3</v>
      </c>
      <c r="B46" s="1548">
        <v>0.95350000000000001</v>
      </c>
      <c r="C46" s="1548">
        <v>0.95350000000000001</v>
      </c>
      <c r="D46" s="1548">
        <v>0.90110000000000001</v>
      </c>
      <c r="E46" s="1548">
        <v>0.90110000000000001</v>
      </c>
      <c r="F46" s="1548">
        <v>0.90110000000000001</v>
      </c>
      <c r="G46" s="1548">
        <v>0.90110000000000001</v>
      </c>
      <c r="H46" s="1548">
        <v>0.90110000000000001</v>
      </c>
      <c r="I46" s="1548">
        <v>0.79569999999999996</v>
      </c>
      <c r="J46" s="1548">
        <v>0.79569999999999996</v>
      </c>
      <c r="K46" s="1548">
        <v>0.79569999999999996</v>
      </c>
      <c r="L46" s="1548">
        <v>0.79569999999999996</v>
      </c>
      <c r="M46" s="1548">
        <v>0.79569999999999996</v>
      </c>
    </row>
    <row r="47" spans="1:13">
      <c r="A47" s="1549">
        <v>5.4</v>
      </c>
      <c r="B47" s="1548">
        <v>0.9516</v>
      </c>
      <c r="C47" s="1548">
        <v>0.9516</v>
      </c>
      <c r="D47" s="1548">
        <v>0.89870000000000005</v>
      </c>
      <c r="E47" s="1548">
        <v>0.89870000000000005</v>
      </c>
      <c r="F47" s="1548">
        <v>0.89870000000000005</v>
      </c>
      <c r="G47" s="1548">
        <v>0.89870000000000005</v>
      </c>
      <c r="H47" s="1548">
        <v>0.89870000000000005</v>
      </c>
      <c r="I47" s="1548">
        <v>0.79200000000000004</v>
      </c>
      <c r="J47" s="1548">
        <v>0.79200000000000004</v>
      </c>
      <c r="K47" s="1548">
        <v>0.79200000000000004</v>
      </c>
      <c r="L47" s="1548">
        <v>0.79200000000000004</v>
      </c>
      <c r="M47" s="1548">
        <v>0.79200000000000004</v>
      </c>
    </row>
    <row r="48" spans="1:13">
      <c r="A48" s="1549">
        <v>5.5</v>
      </c>
      <c r="B48" s="1548">
        <v>0.94979999999999998</v>
      </c>
      <c r="C48" s="1548">
        <v>0.94979999999999998</v>
      </c>
      <c r="D48" s="1548">
        <v>0.89629999999999999</v>
      </c>
      <c r="E48" s="1548">
        <v>0.89629999999999999</v>
      </c>
      <c r="F48" s="1548">
        <v>0.89629999999999999</v>
      </c>
      <c r="G48" s="1548">
        <v>0.89629999999999999</v>
      </c>
      <c r="H48" s="1548">
        <v>0.89629999999999999</v>
      </c>
      <c r="I48" s="1548">
        <v>0.7883</v>
      </c>
      <c r="J48" s="1548">
        <v>0.7883</v>
      </c>
      <c r="K48" s="1548">
        <v>0.7883</v>
      </c>
      <c r="L48" s="1548">
        <v>0.7883</v>
      </c>
      <c r="M48" s="1548">
        <v>0.7883</v>
      </c>
    </row>
    <row r="49" spans="1:13">
      <c r="A49" s="1549">
        <v>5.6</v>
      </c>
      <c r="B49" s="1548">
        <v>0.94799999999999995</v>
      </c>
      <c r="C49" s="1548">
        <v>0.94799999999999995</v>
      </c>
      <c r="D49" s="1548">
        <v>0.89390000000000003</v>
      </c>
      <c r="E49" s="1548">
        <v>0.89390000000000003</v>
      </c>
      <c r="F49" s="1548">
        <v>0.89390000000000003</v>
      </c>
      <c r="G49" s="1548">
        <v>0.89390000000000003</v>
      </c>
      <c r="H49" s="1548">
        <v>0.89390000000000003</v>
      </c>
      <c r="I49" s="1548">
        <v>0.78469999999999995</v>
      </c>
      <c r="J49" s="1548">
        <v>0.78469999999999995</v>
      </c>
      <c r="K49" s="1548">
        <v>0.78469999999999995</v>
      </c>
      <c r="L49" s="1548">
        <v>0.78469999999999995</v>
      </c>
      <c r="M49" s="1548">
        <v>0.78469999999999995</v>
      </c>
    </row>
    <row r="50" spans="1:13">
      <c r="A50" s="1549">
        <v>5.7</v>
      </c>
      <c r="B50" s="1548">
        <v>0.94620000000000004</v>
      </c>
      <c r="C50" s="1548">
        <v>0.94620000000000004</v>
      </c>
      <c r="D50" s="1548">
        <v>0.89149999999999996</v>
      </c>
      <c r="E50" s="1548">
        <v>0.89149999999999996</v>
      </c>
      <c r="F50" s="1548">
        <v>0.89149999999999996</v>
      </c>
      <c r="G50" s="1548">
        <v>0.89149999999999996</v>
      </c>
      <c r="H50" s="1548">
        <v>0.89149999999999996</v>
      </c>
      <c r="I50" s="1548">
        <v>0.78110000000000002</v>
      </c>
      <c r="J50" s="1548">
        <v>0.78110000000000002</v>
      </c>
      <c r="K50" s="1548">
        <v>0.78110000000000002</v>
      </c>
      <c r="L50" s="1548">
        <v>0.78110000000000002</v>
      </c>
      <c r="M50" s="1548">
        <v>0.78110000000000002</v>
      </c>
    </row>
    <row r="51" spans="1:13">
      <c r="A51" s="1549">
        <v>5.8</v>
      </c>
      <c r="B51" s="1548">
        <v>0.94450000000000001</v>
      </c>
      <c r="C51" s="1548">
        <v>0.94450000000000001</v>
      </c>
      <c r="D51" s="1548">
        <v>0.88919999999999999</v>
      </c>
      <c r="E51" s="1548">
        <v>0.88919999999999999</v>
      </c>
      <c r="F51" s="1548">
        <v>0.88919999999999999</v>
      </c>
      <c r="G51" s="1548">
        <v>0.88919999999999999</v>
      </c>
      <c r="H51" s="1548">
        <v>0.88919999999999999</v>
      </c>
      <c r="I51" s="1548">
        <v>0.77759999999999996</v>
      </c>
      <c r="J51" s="1548">
        <v>0.77759999999999996</v>
      </c>
      <c r="K51" s="1548">
        <v>0.77759999999999996</v>
      </c>
      <c r="L51" s="1548">
        <v>0.77759999999999996</v>
      </c>
      <c r="M51" s="1548">
        <v>0.77759999999999996</v>
      </c>
    </row>
    <row r="52" spans="1:13">
      <c r="A52" s="1549">
        <v>5.9</v>
      </c>
      <c r="B52" s="1548">
        <v>0.94279999999999997</v>
      </c>
      <c r="C52" s="1548">
        <v>0.94279999999999997</v>
      </c>
      <c r="D52" s="1548">
        <v>0.88690000000000002</v>
      </c>
      <c r="E52" s="1548">
        <v>0.88690000000000002</v>
      </c>
      <c r="F52" s="1548">
        <v>0.88690000000000002</v>
      </c>
      <c r="G52" s="1548">
        <v>0.88690000000000002</v>
      </c>
      <c r="H52" s="1548">
        <v>0.88690000000000002</v>
      </c>
      <c r="I52" s="1548">
        <v>0.77410000000000001</v>
      </c>
      <c r="J52" s="1548">
        <v>0.77410000000000001</v>
      </c>
      <c r="K52" s="1548">
        <v>0.77410000000000001</v>
      </c>
      <c r="L52" s="1548">
        <v>0.77410000000000001</v>
      </c>
      <c r="M52" s="1548">
        <v>0.77410000000000001</v>
      </c>
    </row>
    <row r="53" spans="1:13">
      <c r="A53" s="1545">
        <v>6</v>
      </c>
      <c r="B53" s="1548">
        <v>0.94110000000000005</v>
      </c>
      <c r="C53" s="1548">
        <v>0.94110000000000005</v>
      </c>
      <c r="D53" s="1548">
        <v>0.88460000000000005</v>
      </c>
      <c r="E53" s="1548">
        <v>0.88460000000000005</v>
      </c>
      <c r="F53" s="1548">
        <v>0.88460000000000005</v>
      </c>
      <c r="G53" s="1548">
        <v>0.88460000000000005</v>
      </c>
      <c r="H53" s="1548">
        <v>0.88460000000000005</v>
      </c>
      <c r="I53" s="1548">
        <v>0.77070000000000005</v>
      </c>
      <c r="J53" s="1548">
        <v>0.77070000000000005</v>
      </c>
      <c r="K53" s="1548">
        <v>0.77070000000000005</v>
      </c>
      <c r="L53" s="1548">
        <v>0.77070000000000005</v>
      </c>
      <c r="M53" s="1548">
        <v>0.77070000000000005</v>
      </c>
    </row>
    <row r="54" spans="1:13">
      <c r="A54" s="1545">
        <v>6.1</v>
      </c>
      <c r="B54" s="1548">
        <v>0.93940000000000001</v>
      </c>
      <c r="C54" s="1548">
        <v>0.93940000000000001</v>
      </c>
      <c r="D54" s="1548">
        <v>0.88229999999999997</v>
      </c>
      <c r="E54" s="1548">
        <v>0.88229999999999997</v>
      </c>
      <c r="F54" s="1548">
        <v>0.88229999999999997</v>
      </c>
      <c r="G54" s="1548">
        <v>0.88229999999999997</v>
      </c>
      <c r="H54" s="1548">
        <v>0.88229999999999997</v>
      </c>
      <c r="I54" s="1548">
        <v>0.76729999999999998</v>
      </c>
      <c r="J54" s="1548">
        <v>0.76729999999999998</v>
      </c>
      <c r="K54" s="1548">
        <v>0.76729999999999998</v>
      </c>
      <c r="L54" s="1548">
        <v>0.76729999999999998</v>
      </c>
      <c r="M54" s="1548">
        <v>0.76729999999999998</v>
      </c>
    </row>
    <row r="55" spans="1:13">
      <c r="A55" s="1545">
        <v>6.2</v>
      </c>
      <c r="B55" s="1548">
        <v>0.93769999999999998</v>
      </c>
      <c r="C55" s="1548">
        <v>0.93769999999999998</v>
      </c>
      <c r="D55" s="1548">
        <v>0.88</v>
      </c>
      <c r="E55" s="1548">
        <v>0.88</v>
      </c>
      <c r="F55" s="1548">
        <v>0.88</v>
      </c>
      <c r="G55" s="1548">
        <v>0.88</v>
      </c>
      <c r="H55" s="1548">
        <v>0.88</v>
      </c>
      <c r="I55" s="1548">
        <v>0.76400000000000001</v>
      </c>
      <c r="J55" s="1548">
        <v>0.76400000000000001</v>
      </c>
      <c r="K55" s="1548">
        <v>0.76400000000000001</v>
      </c>
      <c r="L55" s="1548">
        <v>0.76400000000000001</v>
      </c>
      <c r="M55" s="1548">
        <v>0.76400000000000001</v>
      </c>
    </row>
    <row r="56" spans="1:13">
      <c r="A56" s="1545">
        <v>6.3</v>
      </c>
      <c r="B56" s="1548">
        <v>0.93610000000000004</v>
      </c>
      <c r="C56" s="1548">
        <v>0.93610000000000004</v>
      </c>
      <c r="D56" s="1548">
        <v>0.87780000000000002</v>
      </c>
      <c r="E56" s="1548">
        <v>0.87780000000000002</v>
      </c>
      <c r="F56" s="1548">
        <v>0.87780000000000002</v>
      </c>
      <c r="G56" s="1548">
        <v>0.87780000000000002</v>
      </c>
      <c r="H56" s="1548">
        <v>0.87780000000000002</v>
      </c>
      <c r="I56" s="1548">
        <v>0.76070000000000004</v>
      </c>
      <c r="J56" s="1548">
        <v>0.76070000000000004</v>
      </c>
      <c r="K56" s="1548">
        <v>0.76070000000000004</v>
      </c>
      <c r="L56" s="1548">
        <v>0.76070000000000004</v>
      </c>
      <c r="M56" s="1548">
        <v>0.76070000000000004</v>
      </c>
    </row>
    <row r="57" spans="1:13">
      <c r="A57" s="1545">
        <v>6.4</v>
      </c>
      <c r="B57" s="1548">
        <v>0.9345</v>
      </c>
      <c r="C57" s="1548">
        <v>0.9345</v>
      </c>
      <c r="D57" s="1548">
        <v>0.87560000000000004</v>
      </c>
      <c r="E57" s="1548">
        <v>0.87560000000000004</v>
      </c>
      <c r="F57" s="1548">
        <v>0.87560000000000004</v>
      </c>
      <c r="G57" s="1548">
        <v>0.87560000000000004</v>
      </c>
      <c r="H57" s="1548">
        <v>0.87560000000000004</v>
      </c>
      <c r="I57" s="1548">
        <v>0.75749999999999995</v>
      </c>
      <c r="J57" s="1548">
        <v>0.75749999999999995</v>
      </c>
      <c r="K57" s="1548">
        <v>0.75749999999999995</v>
      </c>
      <c r="L57" s="1548">
        <v>0.75749999999999995</v>
      </c>
      <c r="M57" s="1548">
        <v>0.75749999999999995</v>
      </c>
    </row>
    <row r="58" spans="1:13">
      <c r="A58" s="1545">
        <v>6.5</v>
      </c>
      <c r="B58" s="1548">
        <v>0.93289999999999995</v>
      </c>
      <c r="C58" s="1548">
        <v>0.93289999999999995</v>
      </c>
      <c r="D58" s="1548">
        <v>0.87339999999999995</v>
      </c>
      <c r="E58" s="1548">
        <v>0.87339999999999995</v>
      </c>
      <c r="F58" s="1548">
        <v>0.87339999999999995</v>
      </c>
      <c r="G58" s="1548">
        <v>0.87339999999999995</v>
      </c>
      <c r="H58" s="1548">
        <v>0.87339999999999995</v>
      </c>
      <c r="I58" s="1548">
        <v>0.75429999999999997</v>
      </c>
      <c r="J58" s="1548">
        <v>0.75429999999999997</v>
      </c>
      <c r="K58" s="1548">
        <v>0.75429999999999997</v>
      </c>
      <c r="L58" s="1548">
        <v>0.75429999999999997</v>
      </c>
      <c r="M58" s="1548">
        <v>0.75429999999999997</v>
      </c>
    </row>
    <row r="59" spans="1:13">
      <c r="A59" s="1549">
        <v>6.6</v>
      </c>
      <c r="B59" s="1548">
        <v>0.93130000000000002</v>
      </c>
      <c r="C59" s="1548">
        <v>0.93130000000000002</v>
      </c>
      <c r="D59" s="1548">
        <v>0.87119999999999997</v>
      </c>
      <c r="E59" s="1548">
        <v>0.87119999999999997</v>
      </c>
      <c r="F59" s="1548">
        <v>0.87119999999999997</v>
      </c>
      <c r="G59" s="1548">
        <v>0.87119999999999997</v>
      </c>
      <c r="H59" s="1548">
        <v>0.87119999999999997</v>
      </c>
      <c r="I59" s="1548">
        <v>0.75119999999999998</v>
      </c>
      <c r="J59" s="1548">
        <v>0.75119999999999998</v>
      </c>
      <c r="K59" s="1548">
        <v>0.75119999999999998</v>
      </c>
      <c r="L59" s="1548">
        <v>0.75119999999999998</v>
      </c>
      <c r="M59" s="1548">
        <v>0.75119999999999998</v>
      </c>
    </row>
    <row r="60" spans="1:13">
      <c r="A60" s="1545">
        <v>6.7</v>
      </c>
      <c r="B60" s="1548">
        <v>0.92969999999999997</v>
      </c>
      <c r="C60" s="1548">
        <v>0.92969999999999997</v>
      </c>
      <c r="D60" s="1548">
        <v>0.86899999999999999</v>
      </c>
      <c r="E60" s="1548">
        <v>0.86899999999999999</v>
      </c>
      <c r="F60" s="1548">
        <v>0.86899999999999999</v>
      </c>
      <c r="G60" s="1548">
        <v>0.86899999999999999</v>
      </c>
      <c r="H60" s="1548">
        <v>0.86899999999999999</v>
      </c>
      <c r="I60" s="1548">
        <v>0.74809999999999999</v>
      </c>
      <c r="J60" s="1548">
        <v>0.74809999999999999</v>
      </c>
      <c r="K60" s="1548">
        <v>0.74809999999999999</v>
      </c>
      <c r="L60" s="1548">
        <v>0.74809999999999999</v>
      </c>
      <c r="M60" s="1548">
        <v>0.74809999999999999</v>
      </c>
    </row>
    <row r="61" spans="1:13">
      <c r="A61" s="1545">
        <v>6.8</v>
      </c>
      <c r="B61" s="1548">
        <v>0.92820000000000003</v>
      </c>
      <c r="C61" s="1548">
        <v>0.92820000000000003</v>
      </c>
      <c r="D61" s="1548">
        <v>0.8669</v>
      </c>
      <c r="E61" s="1548">
        <v>0.8669</v>
      </c>
      <c r="F61" s="1548">
        <v>0.8669</v>
      </c>
      <c r="G61" s="1548">
        <v>0.8669</v>
      </c>
      <c r="H61" s="1548">
        <v>0.8669</v>
      </c>
      <c r="I61" s="1548">
        <v>0.74509999999999998</v>
      </c>
      <c r="J61" s="1548">
        <v>0.74509999999999998</v>
      </c>
      <c r="K61" s="1548">
        <v>0.74509999999999998</v>
      </c>
      <c r="L61" s="1548">
        <v>0.74509999999999998</v>
      </c>
      <c r="M61" s="1548">
        <v>0.74509999999999998</v>
      </c>
    </row>
    <row r="62" spans="1:13">
      <c r="A62" s="1545">
        <v>6.9</v>
      </c>
      <c r="B62" s="1548">
        <v>0.92669999999999997</v>
      </c>
      <c r="C62" s="1548">
        <v>0.92669999999999997</v>
      </c>
      <c r="D62" s="1548">
        <v>0.86480000000000001</v>
      </c>
      <c r="E62" s="1548">
        <v>0.86480000000000001</v>
      </c>
      <c r="F62" s="1548">
        <v>0.86480000000000001</v>
      </c>
      <c r="G62" s="1548">
        <v>0.86480000000000001</v>
      </c>
      <c r="H62" s="1548">
        <v>0.86480000000000001</v>
      </c>
      <c r="I62" s="1548">
        <v>0.74209999999999998</v>
      </c>
      <c r="J62" s="1548">
        <v>0.74209999999999998</v>
      </c>
      <c r="K62" s="1548">
        <v>0.74209999999999998</v>
      </c>
      <c r="L62" s="1548">
        <v>0.74209999999999998</v>
      </c>
      <c r="M62" s="1548">
        <v>0.74209999999999998</v>
      </c>
    </row>
    <row r="63" spans="1:13">
      <c r="A63" s="1545">
        <v>7</v>
      </c>
      <c r="B63" s="1548">
        <v>0.92520000000000002</v>
      </c>
      <c r="C63" s="1548">
        <v>0.92520000000000002</v>
      </c>
      <c r="D63" s="1548">
        <v>0.86270000000000002</v>
      </c>
      <c r="E63" s="1548">
        <v>0.86270000000000002</v>
      </c>
      <c r="F63" s="1548">
        <v>0.86270000000000002</v>
      </c>
      <c r="G63" s="1548">
        <v>0.86270000000000002</v>
      </c>
      <c r="H63" s="1548">
        <v>0.86270000000000002</v>
      </c>
      <c r="I63" s="1548">
        <v>0.73919999999999997</v>
      </c>
      <c r="J63" s="1548">
        <v>0.73919999999999997</v>
      </c>
      <c r="K63" s="1548">
        <v>0.73919999999999997</v>
      </c>
      <c r="L63" s="1548">
        <v>0.73919999999999997</v>
      </c>
      <c r="M63" s="1548">
        <v>0.73919999999999997</v>
      </c>
    </row>
    <row r="64" spans="1:13">
      <c r="A64" s="1545">
        <v>7.1</v>
      </c>
      <c r="B64" s="1548">
        <v>0.92369999999999997</v>
      </c>
      <c r="C64" s="1548">
        <v>0.92369999999999997</v>
      </c>
      <c r="D64" s="1548">
        <v>0.86060000000000003</v>
      </c>
      <c r="E64" s="1548">
        <v>0.86060000000000003</v>
      </c>
      <c r="F64" s="1548">
        <v>0.86060000000000003</v>
      </c>
      <c r="G64" s="1548">
        <v>0.86060000000000003</v>
      </c>
      <c r="H64" s="1548">
        <v>0.86060000000000003</v>
      </c>
      <c r="I64" s="1548">
        <v>0.73629999999999995</v>
      </c>
      <c r="J64" s="1548">
        <v>0.73629999999999995</v>
      </c>
      <c r="K64" s="1548">
        <v>0.73629999999999995</v>
      </c>
      <c r="L64" s="1548">
        <v>0.73629999999999995</v>
      </c>
      <c r="M64" s="1548">
        <v>0.73629999999999995</v>
      </c>
    </row>
    <row r="65" spans="1:13">
      <c r="A65" s="1545">
        <v>7.2</v>
      </c>
      <c r="B65" s="1548">
        <v>0.92220000000000002</v>
      </c>
      <c r="C65" s="1548">
        <v>0.92220000000000002</v>
      </c>
      <c r="D65" s="1548">
        <v>0.85850000000000004</v>
      </c>
      <c r="E65" s="1548">
        <v>0.85850000000000004</v>
      </c>
      <c r="F65" s="1548">
        <v>0.85850000000000004</v>
      </c>
      <c r="G65" s="1548">
        <v>0.85850000000000004</v>
      </c>
      <c r="H65" s="1548">
        <v>0.85850000000000004</v>
      </c>
      <c r="I65" s="1548">
        <v>0.73350000000000004</v>
      </c>
      <c r="J65" s="1548">
        <v>0.73350000000000004</v>
      </c>
      <c r="K65" s="1548">
        <v>0.73350000000000004</v>
      </c>
      <c r="L65" s="1548">
        <v>0.73350000000000004</v>
      </c>
      <c r="M65" s="1548">
        <v>0.73350000000000004</v>
      </c>
    </row>
    <row r="66" spans="1:13">
      <c r="A66" s="1545">
        <v>7.3</v>
      </c>
      <c r="B66" s="1548">
        <v>0.92069999999999996</v>
      </c>
      <c r="C66" s="1548">
        <v>0.92069999999999996</v>
      </c>
      <c r="D66" s="1548">
        <v>0.85650000000000004</v>
      </c>
      <c r="E66" s="1548">
        <v>0.85650000000000004</v>
      </c>
      <c r="F66" s="1548">
        <v>0.85650000000000004</v>
      </c>
      <c r="G66" s="1548">
        <v>0.85650000000000004</v>
      </c>
      <c r="H66" s="1548">
        <v>0.85650000000000004</v>
      </c>
      <c r="I66" s="1548">
        <v>0.73070000000000002</v>
      </c>
      <c r="J66" s="1548">
        <v>0.73070000000000002</v>
      </c>
      <c r="K66" s="1548">
        <v>0.73070000000000002</v>
      </c>
      <c r="L66" s="1548">
        <v>0.73070000000000002</v>
      </c>
      <c r="M66" s="1548">
        <v>0.73070000000000002</v>
      </c>
    </row>
    <row r="67" spans="1:13">
      <c r="A67" s="1545">
        <v>7.4</v>
      </c>
      <c r="B67" s="1548">
        <v>0.91930000000000001</v>
      </c>
      <c r="C67" s="1548">
        <v>0.91930000000000001</v>
      </c>
      <c r="D67" s="1548">
        <v>0.85450000000000004</v>
      </c>
      <c r="E67" s="1548">
        <v>0.85450000000000004</v>
      </c>
      <c r="F67" s="1548">
        <v>0.85450000000000004</v>
      </c>
      <c r="G67" s="1548">
        <v>0.85450000000000004</v>
      </c>
      <c r="H67" s="1548">
        <v>0.85450000000000004</v>
      </c>
      <c r="I67" s="1548">
        <v>0.72799999999999998</v>
      </c>
      <c r="J67" s="1548">
        <v>0.72799999999999998</v>
      </c>
      <c r="K67" s="1548">
        <v>0.72799999999999998</v>
      </c>
      <c r="L67" s="1548">
        <v>0.72799999999999998</v>
      </c>
      <c r="M67" s="1548">
        <v>0.72799999999999998</v>
      </c>
    </row>
    <row r="68" spans="1:13">
      <c r="A68" s="1545">
        <v>7.5</v>
      </c>
      <c r="B68" s="1548">
        <v>0.91790000000000005</v>
      </c>
      <c r="C68" s="1548">
        <v>0.91790000000000005</v>
      </c>
      <c r="D68" s="1548">
        <v>0.85250000000000004</v>
      </c>
      <c r="E68" s="1548">
        <v>0.85250000000000004</v>
      </c>
      <c r="F68" s="1548">
        <v>0.85250000000000004</v>
      </c>
      <c r="G68" s="1548">
        <v>0.85250000000000004</v>
      </c>
      <c r="H68" s="1548">
        <v>0.85250000000000004</v>
      </c>
      <c r="I68" s="1548">
        <v>0.72529999999999994</v>
      </c>
      <c r="J68" s="1548">
        <v>0.72529999999999994</v>
      </c>
      <c r="K68" s="1548">
        <v>0.72529999999999994</v>
      </c>
      <c r="L68" s="1548">
        <v>0.72529999999999994</v>
      </c>
      <c r="M68" s="1548">
        <v>0.72529999999999994</v>
      </c>
    </row>
    <row r="69" spans="1:13">
      <c r="A69" s="1545">
        <v>7.6</v>
      </c>
      <c r="B69" s="1548">
        <v>0.91649999999999998</v>
      </c>
      <c r="C69" s="1548">
        <v>0.91649999999999998</v>
      </c>
      <c r="D69" s="1548">
        <v>0.85050000000000003</v>
      </c>
      <c r="E69" s="1548">
        <v>0.85050000000000003</v>
      </c>
      <c r="F69" s="1548">
        <v>0.85050000000000003</v>
      </c>
      <c r="G69" s="1548">
        <v>0.85050000000000003</v>
      </c>
      <c r="H69" s="1548">
        <v>0.85050000000000003</v>
      </c>
      <c r="I69" s="1548">
        <v>0.72260000000000002</v>
      </c>
      <c r="J69" s="1548">
        <v>0.72260000000000002</v>
      </c>
      <c r="K69" s="1548">
        <v>0.72260000000000002</v>
      </c>
      <c r="L69" s="1548">
        <v>0.72260000000000002</v>
      </c>
      <c r="M69" s="1548">
        <v>0.72260000000000002</v>
      </c>
    </row>
    <row r="70" spans="1:13">
      <c r="A70" s="1545">
        <v>7.7</v>
      </c>
      <c r="B70" s="1548">
        <v>0.91510000000000002</v>
      </c>
      <c r="C70" s="1548">
        <v>0.91510000000000002</v>
      </c>
      <c r="D70" s="1548">
        <v>0.84850000000000003</v>
      </c>
      <c r="E70" s="1548">
        <v>0.84850000000000003</v>
      </c>
      <c r="F70" s="1548">
        <v>0.84850000000000003</v>
      </c>
      <c r="G70" s="1548">
        <v>0.84850000000000003</v>
      </c>
      <c r="H70" s="1548">
        <v>0.84850000000000003</v>
      </c>
      <c r="I70" s="1548">
        <v>0.72</v>
      </c>
      <c r="J70" s="1548">
        <v>0.72</v>
      </c>
      <c r="K70" s="1548">
        <v>0.72</v>
      </c>
      <c r="L70" s="1548">
        <v>0.72</v>
      </c>
      <c r="M70" s="1548">
        <v>0.72</v>
      </c>
    </row>
    <row r="71" spans="1:13">
      <c r="A71" s="1545">
        <v>7.8</v>
      </c>
      <c r="B71" s="1548">
        <v>0.91369999999999996</v>
      </c>
      <c r="C71" s="1548">
        <v>0.91369999999999996</v>
      </c>
      <c r="D71" s="1548">
        <v>0.84660000000000002</v>
      </c>
      <c r="E71" s="1548">
        <v>0.84660000000000002</v>
      </c>
      <c r="F71" s="1548">
        <v>0.84660000000000002</v>
      </c>
      <c r="G71" s="1548">
        <v>0.84660000000000002</v>
      </c>
      <c r="H71" s="1548">
        <v>0.84660000000000002</v>
      </c>
      <c r="I71" s="1548">
        <v>0.71740000000000004</v>
      </c>
      <c r="J71" s="1548">
        <v>0.71740000000000004</v>
      </c>
      <c r="K71" s="1548">
        <v>0.71740000000000004</v>
      </c>
      <c r="L71" s="1548">
        <v>0.71740000000000004</v>
      </c>
      <c r="M71" s="1548">
        <v>0.71740000000000004</v>
      </c>
    </row>
    <row r="72" spans="1:13">
      <c r="A72" s="1545">
        <v>7.9</v>
      </c>
      <c r="B72" s="1548">
        <v>0.9123</v>
      </c>
      <c r="C72" s="1548">
        <v>0.9123</v>
      </c>
      <c r="D72" s="1548">
        <v>0.84470000000000001</v>
      </c>
      <c r="E72" s="1548">
        <v>0.84470000000000001</v>
      </c>
      <c r="F72" s="1548">
        <v>0.84470000000000001</v>
      </c>
      <c r="G72" s="1548">
        <v>0.84470000000000001</v>
      </c>
      <c r="H72" s="1548">
        <v>0.84470000000000001</v>
      </c>
      <c r="I72" s="1548">
        <v>0.71479999999999999</v>
      </c>
      <c r="J72" s="1548">
        <v>0.71479999999999999</v>
      </c>
      <c r="K72" s="1548">
        <v>0.71479999999999999</v>
      </c>
      <c r="L72" s="1548">
        <v>0.71479999999999999</v>
      </c>
      <c r="M72" s="1548">
        <v>0.71479999999999999</v>
      </c>
    </row>
    <row r="73" spans="1:13">
      <c r="A73" s="1545">
        <v>8</v>
      </c>
      <c r="B73" s="1548">
        <v>0.91090000000000004</v>
      </c>
      <c r="C73" s="1548">
        <v>0.91090000000000004</v>
      </c>
      <c r="D73" s="1548">
        <v>0.84279999999999999</v>
      </c>
      <c r="E73" s="1548">
        <v>0.84279999999999999</v>
      </c>
      <c r="F73" s="1548">
        <v>0.84279999999999999</v>
      </c>
      <c r="G73" s="1548">
        <v>0.84279999999999999</v>
      </c>
      <c r="H73" s="1548">
        <v>0.84279999999999999</v>
      </c>
      <c r="I73" s="1548">
        <v>0.71230000000000004</v>
      </c>
      <c r="J73" s="1548">
        <v>0.71230000000000004</v>
      </c>
      <c r="K73" s="1548">
        <v>0.71230000000000004</v>
      </c>
      <c r="L73" s="1548">
        <v>0.71230000000000004</v>
      </c>
      <c r="M73" s="1548">
        <v>0.71230000000000004</v>
      </c>
    </row>
    <row r="74" spans="1:13">
      <c r="A74" s="1545">
        <v>8.1</v>
      </c>
      <c r="B74" s="1548">
        <v>0.90959999999999996</v>
      </c>
      <c r="C74" s="1548">
        <v>0.90959999999999996</v>
      </c>
      <c r="D74" s="1548">
        <v>0.84089999999999998</v>
      </c>
      <c r="E74" s="1548">
        <v>0.84089999999999998</v>
      </c>
      <c r="F74" s="1548">
        <v>0.84089999999999998</v>
      </c>
      <c r="G74" s="1548">
        <v>0.84089999999999998</v>
      </c>
      <c r="H74" s="1548">
        <v>0.84089999999999998</v>
      </c>
      <c r="I74" s="1548">
        <v>0.70979999999999999</v>
      </c>
      <c r="J74" s="1548">
        <v>0.70979999999999999</v>
      </c>
      <c r="K74" s="1548">
        <v>0.70979999999999999</v>
      </c>
      <c r="L74" s="1548">
        <v>0.70979999999999999</v>
      </c>
      <c r="M74" s="1548">
        <v>0.70979999999999999</v>
      </c>
    </row>
    <row r="75" spans="1:13">
      <c r="A75" s="1545">
        <v>8.1999999999999993</v>
      </c>
      <c r="B75" s="1548">
        <v>0.9083</v>
      </c>
      <c r="C75" s="1548">
        <v>0.9083</v>
      </c>
      <c r="D75" s="1548">
        <v>0.83899999999999997</v>
      </c>
      <c r="E75" s="1548">
        <v>0.83899999999999997</v>
      </c>
      <c r="F75" s="1548">
        <v>0.83899999999999997</v>
      </c>
      <c r="G75" s="1548">
        <v>0.83899999999999997</v>
      </c>
      <c r="H75" s="1548">
        <v>0.83899999999999997</v>
      </c>
      <c r="I75" s="1548">
        <v>0.70730000000000004</v>
      </c>
      <c r="J75" s="1548">
        <v>0.70730000000000004</v>
      </c>
      <c r="K75" s="1548">
        <v>0.70730000000000004</v>
      </c>
      <c r="L75" s="1548">
        <v>0.70730000000000004</v>
      </c>
      <c r="M75" s="1548">
        <v>0.70730000000000004</v>
      </c>
    </row>
    <row r="76" spans="1:13">
      <c r="A76" s="1545">
        <v>8.3000000000000007</v>
      </c>
      <c r="B76" s="1548">
        <v>0.90700000000000003</v>
      </c>
      <c r="C76" s="1548">
        <v>0.90700000000000003</v>
      </c>
      <c r="D76" s="1548">
        <v>0.83720000000000006</v>
      </c>
      <c r="E76" s="1548">
        <v>0.83720000000000006</v>
      </c>
      <c r="F76" s="1548">
        <v>0.83720000000000006</v>
      </c>
      <c r="G76" s="1548">
        <v>0.83720000000000006</v>
      </c>
      <c r="H76" s="1548">
        <v>0.83720000000000006</v>
      </c>
      <c r="I76" s="1548">
        <v>0.70489999999999997</v>
      </c>
      <c r="J76" s="1548">
        <v>0.70489999999999997</v>
      </c>
      <c r="K76" s="1548">
        <v>0.70489999999999997</v>
      </c>
      <c r="L76" s="1548">
        <v>0.70489999999999997</v>
      </c>
      <c r="M76" s="1548">
        <v>0.70489999999999997</v>
      </c>
    </row>
    <row r="77" spans="1:13">
      <c r="A77" s="1545">
        <v>8.4</v>
      </c>
      <c r="B77" s="1548">
        <v>0.90569999999999995</v>
      </c>
      <c r="C77" s="1548">
        <v>0.90569999999999995</v>
      </c>
      <c r="D77" s="1548">
        <v>0.83540000000000003</v>
      </c>
      <c r="E77" s="1548">
        <v>0.83540000000000003</v>
      </c>
      <c r="F77" s="1548">
        <v>0.83540000000000003</v>
      </c>
      <c r="G77" s="1548">
        <v>0.83540000000000003</v>
      </c>
      <c r="H77" s="1548">
        <v>0.83540000000000003</v>
      </c>
      <c r="I77" s="1548">
        <v>0.70250000000000001</v>
      </c>
      <c r="J77" s="1548">
        <v>0.70250000000000001</v>
      </c>
      <c r="K77" s="1548">
        <v>0.70250000000000001</v>
      </c>
      <c r="L77" s="1548">
        <v>0.70250000000000001</v>
      </c>
      <c r="M77" s="1548">
        <v>0.70250000000000001</v>
      </c>
    </row>
    <row r="78" spans="1:13">
      <c r="A78" s="1545">
        <v>8.5</v>
      </c>
      <c r="B78" s="1548">
        <v>0.90439999999999998</v>
      </c>
      <c r="C78" s="1548">
        <v>0.90439999999999998</v>
      </c>
      <c r="D78" s="1548">
        <v>0.83360000000000001</v>
      </c>
      <c r="E78" s="1548">
        <v>0.83360000000000001</v>
      </c>
      <c r="F78" s="1548">
        <v>0.83360000000000001</v>
      </c>
      <c r="G78" s="1548">
        <v>0.83360000000000001</v>
      </c>
      <c r="H78" s="1548">
        <v>0.83360000000000001</v>
      </c>
      <c r="I78" s="1548">
        <v>0.70009999999999994</v>
      </c>
      <c r="J78" s="1548">
        <v>0.70009999999999994</v>
      </c>
      <c r="K78" s="1548">
        <v>0.70009999999999994</v>
      </c>
      <c r="L78" s="1548">
        <v>0.70009999999999994</v>
      </c>
      <c r="M78" s="1548">
        <v>0.70009999999999994</v>
      </c>
    </row>
    <row r="79" spans="1:13">
      <c r="A79" s="1545">
        <v>8.6</v>
      </c>
      <c r="B79" s="1548">
        <v>0.90310000000000001</v>
      </c>
      <c r="C79" s="1548">
        <v>0.90310000000000001</v>
      </c>
      <c r="D79" s="1548">
        <v>0.83179999999999998</v>
      </c>
      <c r="E79" s="1548">
        <v>0.83179999999999998</v>
      </c>
      <c r="F79" s="1548">
        <v>0.83179999999999998</v>
      </c>
      <c r="G79" s="1548">
        <v>0.83179999999999998</v>
      </c>
      <c r="H79" s="1548">
        <v>0.83179999999999998</v>
      </c>
      <c r="I79" s="1548">
        <v>0.69779999999999998</v>
      </c>
      <c r="J79" s="1548">
        <v>0.69779999999999998</v>
      </c>
      <c r="K79" s="1548">
        <v>0.69779999999999998</v>
      </c>
      <c r="L79" s="1548">
        <v>0.69779999999999998</v>
      </c>
      <c r="M79" s="1548">
        <v>0.69779999999999998</v>
      </c>
    </row>
    <row r="80" spans="1:13">
      <c r="A80" s="1545">
        <v>8.6999999999999993</v>
      </c>
      <c r="B80" s="1548">
        <v>0.90180000000000005</v>
      </c>
      <c r="C80" s="1548">
        <v>0.90180000000000005</v>
      </c>
      <c r="D80" s="1548">
        <v>0.83</v>
      </c>
      <c r="E80" s="1548">
        <v>0.83</v>
      </c>
      <c r="F80" s="1548">
        <v>0.83</v>
      </c>
      <c r="G80" s="1548">
        <v>0.83</v>
      </c>
      <c r="H80" s="1548">
        <v>0.83</v>
      </c>
      <c r="I80" s="1548">
        <v>0.69550000000000001</v>
      </c>
      <c r="J80" s="1548">
        <v>0.69550000000000001</v>
      </c>
      <c r="K80" s="1548">
        <v>0.69550000000000001</v>
      </c>
      <c r="L80" s="1548">
        <v>0.69550000000000001</v>
      </c>
      <c r="M80" s="1548">
        <v>0.69550000000000001</v>
      </c>
    </row>
    <row r="81" spans="1:14">
      <c r="A81" s="1545">
        <v>8.8000000000000007</v>
      </c>
      <c r="B81" s="1548">
        <v>0.90059999999999996</v>
      </c>
      <c r="C81" s="1548">
        <v>0.90059999999999996</v>
      </c>
      <c r="D81" s="1548">
        <v>0.82830000000000004</v>
      </c>
      <c r="E81" s="1548">
        <v>0.82830000000000004</v>
      </c>
      <c r="F81" s="1548">
        <v>0.82830000000000004</v>
      </c>
      <c r="G81" s="1548">
        <v>0.82830000000000004</v>
      </c>
      <c r="H81" s="1548">
        <v>0.82830000000000004</v>
      </c>
      <c r="I81" s="1548">
        <v>0.69320000000000004</v>
      </c>
      <c r="J81" s="1548">
        <v>0.69320000000000004</v>
      </c>
      <c r="K81" s="1548">
        <v>0.69320000000000004</v>
      </c>
      <c r="L81" s="1548">
        <v>0.69320000000000004</v>
      </c>
      <c r="M81" s="1548">
        <v>0.69320000000000004</v>
      </c>
    </row>
    <row r="82" spans="1:14">
      <c r="A82" s="1545">
        <v>8.9</v>
      </c>
      <c r="B82" s="1548">
        <v>0.89939999999999998</v>
      </c>
      <c r="C82" s="1548">
        <v>0.89939999999999998</v>
      </c>
      <c r="D82" s="1548">
        <v>0.8266</v>
      </c>
      <c r="E82" s="1548">
        <v>0.8266</v>
      </c>
      <c r="F82" s="1548">
        <v>0.8266</v>
      </c>
      <c r="G82" s="1548">
        <v>0.8266</v>
      </c>
      <c r="H82" s="1548">
        <v>0.8266</v>
      </c>
      <c r="I82" s="1548">
        <v>0.69099999999999995</v>
      </c>
      <c r="J82" s="1548">
        <v>0.69099999999999995</v>
      </c>
      <c r="K82" s="1548">
        <v>0.69099999999999995</v>
      </c>
      <c r="L82" s="1548">
        <v>0.69099999999999995</v>
      </c>
      <c r="M82" s="1548">
        <v>0.69099999999999995</v>
      </c>
    </row>
    <row r="83" spans="1:14">
      <c r="A83" s="1545">
        <v>9</v>
      </c>
      <c r="B83" s="1548">
        <v>0.8982</v>
      </c>
      <c r="C83" s="1548">
        <v>0.8982</v>
      </c>
      <c r="D83" s="1548">
        <v>0.82489999999999997</v>
      </c>
      <c r="E83" s="1548">
        <v>0.82489999999999997</v>
      </c>
      <c r="F83" s="1548">
        <v>0.82489999999999997</v>
      </c>
      <c r="G83" s="1548">
        <v>0.82489999999999997</v>
      </c>
      <c r="H83" s="1548">
        <v>0.82489999999999997</v>
      </c>
      <c r="I83" s="1548">
        <v>0.68879999999999997</v>
      </c>
      <c r="J83" s="1548">
        <v>0.68879999999999997</v>
      </c>
      <c r="K83" s="1548">
        <v>0.68879999999999997</v>
      </c>
      <c r="L83" s="1548">
        <v>0.68879999999999997</v>
      </c>
      <c r="M83" s="1548">
        <v>0.68879999999999997</v>
      </c>
    </row>
    <row r="84" spans="1:14">
      <c r="A84" s="1545">
        <v>9.1</v>
      </c>
      <c r="B84" s="1548">
        <v>0.89700000000000002</v>
      </c>
      <c r="C84" s="1548">
        <v>0.89700000000000002</v>
      </c>
      <c r="D84" s="1548">
        <v>0.82320000000000004</v>
      </c>
      <c r="E84" s="1548">
        <v>0.82320000000000004</v>
      </c>
      <c r="F84" s="1548">
        <v>0.82320000000000004</v>
      </c>
      <c r="G84" s="1548">
        <v>0.82320000000000004</v>
      </c>
      <c r="H84" s="1548">
        <v>0.82320000000000004</v>
      </c>
      <c r="I84" s="1548">
        <v>0.68659999999999999</v>
      </c>
      <c r="J84" s="1548">
        <v>0.68659999999999999</v>
      </c>
      <c r="K84" s="1548">
        <v>0.68659999999999999</v>
      </c>
      <c r="L84" s="1548">
        <v>0.68659999999999999</v>
      </c>
      <c r="M84" s="1548">
        <v>0.68659999999999999</v>
      </c>
    </row>
    <row r="85" spans="1:14">
      <c r="A85" s="1545">
        <v>9.1999999999999993</v>
      </c>
      <c r="B85" s="1548">
        <v>0.89580000000000004</v>
      </c>
      <c r="C85" s="1548">
        <v>0.89580000000000004</v>
      </c>
      <c r="D85" s="1548">
        <v>0.82150000000000001</v>
      </c>
      <c r="E85" s="1548">
        <v>0.82150000000000001</v>
      </c>
      <c r="F85" s="1548">
        <v>0.82150000000000001</v>
      </c>
      <c r="G85" s="1548">
        <v>0.82150000000000001</v>
      </c>
      <c r="H85" s="1548">
        <v>0.82150000000000001</v>
      </c>
      <c r="I85" s="1548">
        <v>0.6845</v>
      </c>
      <c r="J85" s="1548">
        <v>0.6845</v>
      </c>
      <c r="K85" s="1548">
        <v>0.6845</v>
      </c>
      <c r="L85" s="1548">
        <v>0.6845</v>
      </c>
      <c r="M85" s="1548">
        <v>0.6845</v>
      </c>
    </row>
    <row r="86" spans="1:14">
      <c r="A86" s="1545">
        <v>9.3000000000000007</v>
      </c>
      <c r="B86" s="1548">
        <v>0.89459999999999995</v>
      </c>
      <c r="C86" s="1548">
        <v>0.89459999999999995</v>
      </c>
      <c r="D86" s="1548">
        <v>0.81989999999999996</v>
      </c>
      <c r="E86" s="1548">
        <v>0.81989999999999996</v>
      </c>
      <c r="F86" s="1548">
        <v>0.81989999999999996</v>
      </c>
      <c r="G86" s="1548">
        <v>0.81989999999999996</v>
      </c>
      <c r="H86" s="1548">
        <v>0.81989999999999996</v>
      </c>
      <c r="I86" s="1548">
        <v>0.68240000000000001</v>
      </c>
      <c r="J86" s="1548">
        <v>0.68240000000000001</v>
      </c>
      <c r="K86" s="1548">
        <v>0.68240000000000001</v>
      </c>
      <c r="L86" s="1548">
        <v>0.68240000000000001</v>
      </c>
      <c r="M86" s="1548">
        <v>0.68240000000000001</v>
      </c>
    </row>
    <row r="87" spans="1:14">
      <c r="A87" s="1545">
        <v>9.4</v>
      </c>
      <c r="B87" s="1548">
        <v>0.89339999999999997</v>
      </c>
      <c r="C87" s="1548">
        <v>0.89339999999999997</v>
      </c>
      <c r="D87" s="1548">
        <v>0.81830000000000003</v>
      </c>
      <c r="E87" s="1548">
        <v>0.81830000000000003</v>
      </c>
      <c r="F87" s="1548">
        <v>0.81830000000000003</v>
      </c>
      <c r="G87" s="1548">
        <v>0.81830000000000003</v>
      </c>
      <c r="H87" s="1548">
        <v>0.81830000000000003</v>
      </c>
      <c r="I87" s="1548">
        <v>0.68030000000000002</v>
      </c>
      <c r="J87" s="1548">
        <v>0.68030000000000002</v>
      </c>
      <c r="K87" s="1548">
        <v>0.68030000000000002</v>
      </c>
      <c r="L87" s="1548">
        <v>0.68030000000000002</v>
      </c>
      <c r="M87" s="1548">
        <v>0.68030000000000002</v>
      </c>
    </row>
    <row r="88" spans="1:14">
      <c r="A88" s="1545">
        <v>9.5</v>
      </c>
      <c r="B88" s="1548">
        <v>0.89229999999999998</v>
      </c>
      <c r="C88" s="1548">
        <v>0.89229999999999998</v>
      </c>
      <c r="D88" s="1548">
        <v>0.81669999999999998</v>
      </c>
      <c r="E88" s="1548">
        <v>0.81669999999999998</v>
      </c>
      <c r="F88" s="1548">
        <v>0.81669999999999998</v>
      </c>
      <c r="G88" s="1548">
        <v>0.81669999999999998</v>
      </c>
      <c r="H88" s="1548">
        <v>0.81669999999999998</v>
      </c>
      <c r="I88" s="1548">
        <v>0.67830000000000001</v>
      </c>
      <c r="J88" s="1548">
        <v>0.67830000000000001</v>
      </c>
      <c r="K88" s="1548">
        <v>0.67830000000000001</v>
      </c>
      <c r="L88" s="1548">
        <v>0.67830000000000001</v>
      </c>
      <c r="M88" s="1548">
        <v>0.67830000000000001</v>
      </c>
    </row>
    <row r="89" spans="1:14">
      <c r="A89" s="1545">
        <v>9.6</v>
      </c>
      <c r="B89" s="1548">
        <v>0.89119999999999999</v>
      </c>
      <c r="C89" s="1548">
        <v>0.89119999999999999</v>
      </c>
      <c r="D89" s="1548">
        <v>0.81510000000000005</v>
      </c>
      <c r="E89" s="1548">
        <v>0.81510000000000005</v>
      </c>
      <c r="F89" s="1548">
        <v>0.81510000000000005</v>
      </c>
      <c r="G89" s="1548">
        <v>0.81510000000000005</v>
      </c>
      <c r="H89" s="1548">
        <v>0.81510000000000005</v>
      </c>
      <c r="I89" s="1548">
        <v>0.67630000000000001</v>
      </c>
      <c r="J89" s="1548">
        <v>0.67630000000000001</v>
      </c>
      <c r="K89" s="1548">
        <v>0.67630000000000001</v>
      </c>
      <c r="L89" s="1548">
        <v>0.67630000000000001</v>
      </c>
      <c r="M89" s="1548">
        <v>0.67630000000000001</v>
      </c>
    </row>
    <row r="90" spans="1:14">
      <c r="A90" s="1545">
        <v>9.6999999999999993</v>
      </c>
      <c r="B90" s="1548">
        <v>0.8901</v>
      </c>
      <c r="C90" s="1548">
        <v>0.8901</v>
      </c>
      <c r="D90" s="1548">
        <v>0.8135</v>
      </c>
      <c r="E90" s="1548">
        <v>0.8135</v>
      </c>
      <c r="F90" s="1548">
        <v>0.8135</v>
      </c>
      <c r="G90" s="1548">
        <v>0.8135</v>
      </c>
      <c r="H90" s="1548">
        <v>0.8135</v>
      </c>
      <c r="I90" s="1548">
        <v>0.67430000000000001</v>
      </c>
      <c r="J90" s="1548">
        <v>0.67430000000000001</v>
      </c>
      <c r="K90" s="1548">
        <v>0.67430000000000001</v>
      </c>
      <c r="L90" s="1548">
        <v>0.67430000000000001</v>
      </c>
      <c r="M90" s="1548">
        <v>0.67430000000000001</v>
      </c>
    </row>
    <row r="91" spans="1:14">
      <c r="A91" s="1545">
        <v>9.8000000000000007</v>
      </c>
      <c r="B91" s="1548">
        <v>0.88900000000000001</v>
      </c>
      <c r="C91" s="1548">
        <v>0.88900000000000001</v>
      </c>
      <c r="D91" s="1548">
        <v>0.81200000000000006</v>
      </c>
      <c r="E91" s="1548">
        <v>0.81200000000000006</v>
      </c>
      <c r="F91" s="1548">
        <v>0.81200000000000006</v>
      </c>
      <c r="G91" s="1548">
        <v>0.81200000000000006</v>
      </c>
      <c r="H91" s="1548">
        <v>0.81200000000000006</v>
      </c>
      <c r="I91" s="1548">
        <v>0.6724</v>
      </c>
      <c r="J91" s="1548">
        <v>0.6724</v>
      </c>
      <c r="K91" s="1548">
        <v>0.6724</v>
      </c>
      <c r="L91" s="1548">
        <v>0.6724</v>
      </c>
      <c r="M91" s="1548">
        <v>0.6724</v>
      </c>
    </row>
    <row r="92" spans="1:14">
      <c r="A92" s="1549">
        <v>9.9</v>
      </c>
      <c r="B92" s="1548">
        <v>0.88790000000000002</v>
      </c>
      <c r="C92" s="1548">
        <v>0.88790000000000002</v>
      </c>
      <c r="D92" s="1548">
        <v>0.8105</v>
      </c>
      <c r="E92" s="1548">
        <v>0.8105</v>
      </c>
      <c r="F92" s="1548">
        <v>0.8105</v>
      </c>
      <c r="G92" s="1548">
        <v>0.8105</v>
      </c>
      <c r="H92" s="1548">
        <v>0.8105</v>
      </c>
      <c r="I92" s="1548">
        <v>0.67049999999999998</v>
      </c>
      <c r="J92" s="1548">
        <v>0.67049999999999998</v>
      </c>
      <c r="K92" s="1548">
        <v>0.67049999999999998</v>
      </c>
      <c r="L92" s="1548">
        <v>0.67049999999999998</v>
      </c>
      <c r="M92" s="1548">
        <v>0.67049999999999998</v>
      </c>
    </row>
    <row r="93" spans="1:14" ht="14.25">
      <c r="A93" s="1543" t="s">
        <v>1918</v>
      </c>
      <c r="B93" s="1548"/>
      <c r="C93" s="1548"/>
      <c r="D93" s="1548"/>
      <c r="E93" s="1548"/>
      <c r="F93" s="1548"/>
      <c r="G93" s="1548"/>
      <c r="H93" s="1548"/>
      <c r="I93" s="1548"/>
      <c r="J93" s="1548"/>
      <c r="K93" s="1548"/>
      <c r="L93" s="1548"/>
      <c r="M93" s="1548"/>
    </row>
    <row r="94" spans="1:14">
      <c r="A94" s="1549" t="s">
        <v>105</v>
      </c>
      <c r="B94" s="1548" t="s">
        <v>238</v>
      </c>
      <c r="C94" s="1548" t="s">
        <v>251</v>
      </c>
      <c r="D94" s="1548" t="s">
        <v>263</v>
      </c>
      <c r="E94" s="1548" t="s">
        <v>273</v>
      </c>
      <c r="F94" s="1548" t="s">
        <v>282</v>
      </c>
      <c r="G94" s="1548" t="s">
        <v>290</v>
      </c>
      <c r="H94" s="1548" t="s">
        <v>295</v>
      </c>
      <c r="I94" s="1548" t="s">
        <v>301</v>
      </c>
      <c r="J94" s="1548" t="s">
        <v>305</v>
      </c>
      <c r="K94" s="1548" t="s">
        <v>309</v>
      </c>
      <c r="L94" s="1548" t="s">
        <v>313</v>
      </c>
      <c r="M94" s="1548" t="s">
        <v>317</v>
      </c>
      <c r="N94" s="1542" t="e">
        <f>SUMPRODUCT((A95:A184=ROUNDDOWN([3]基准地价修正!G3,1))*(B94:M94=[3]基准地价修正!G2)*(B95:M184))</f>
        <v>#REF!</v>
      </c>
    </row>
    <row r="95" spans="1:14">
      <c r="A95" s="1549">
        <v>1</v>
      </c>
      <c r="B95" s="1548">
        <v>1.2501</v>
      </c>
      <c r="C95" s="1548">
        <v>1.2501</v>
      </c>
      <c r="D95" s="1548">
        <v>1.2158</v>
      </c>
      <c r="E95" s="1548">
        <v>1.2158</v>
      </c>
      <c r="F95" s="1548">
        <v>1.2158</v>
      </c>
      <c r="G95" s="1548">
        <v>1.2158</v>
      </c>
      <c r="H95" s="1548">
        <v>1.2158</v>
      </c>
      <c r="I95" s="1548">
        <v>1.2302</v>
      </c>
      <c r="J95" s="1548">
        <v>1.2302</v>
      </c>
      <c r="K95" s="1548">
        <v>1.2302</v>
      </c>
      <c r="L95" s="1548">
        <v>1.2302</v>
      </c>
      <c r="M95" s="1548">
        <v>1.2302</v>
      </c>
    </row>
    <row r="96" spans="1:14">
      <c r="A96" s="1549">
        <v>1.1000000000000001</v>
      </c>
      <c r="B96" s="1548">
        <v>1.2310000000000001</v>
      </c>
      <c r="C96" s="1548">
        <v>1.2310000000000001</v>
      </c>
      <c r="D96" s="1548">
        <v>1.1947000000000001</v>
      </c>
      <c r="E96" s="1548">
        <v>1.1947000000000001</v>
      </c>
      <c r="F96" s="1548">
        <v>1.1947000000000001</v>
      </c>
      <c r="G96" s="1548">
        <v>1.1947000000000001</v>
      </c>
      <c r="H96" s="1548">
        <v>1.1947000000000001</v>
      </c>
      <c r="I96" s="1548">
        <v>1.2008000000000001</v>
      </c>
      <c r="J96" s="1548">
        <v>1.2008000000000001</v>
      </c>
      <c r="K96" s="1548">
        <v>1.2008000000000001</v>
      </c>
      <c r="L96" s="1548">
        <v>1.2008000000000001</v>
      </c>
      <c r="M96" s="1548">
        <v>1.2008000000000001</v>
      </c>
    </row>
    <row r="97" spans="1:14">
      <c r="A97" s="1549">
        <v>1.2</v>
      </c>
      <c r="B97" s="1548">
        <v>1.2130000000000001</v>
      </c>
      <c r="C97" s="1548">
        <v>1.2130000000000001</v>
      </c>
      <c r="D97" s="1548">
        <v>1.1748000000000001</v>
      </c>
      <c r="E97" s="1548">
        <v>1.1748000000000001</v>
      </c>
      <c r="F97" s="1548">
        <v>1.1748000000000001</v>
      </c>
      <c r="G97" s="1548">
        <v>1.1748000000000001</v>
      </c>
      <c r="H97" s="1548">
        <v>1.1748000000000001</v>
      </c>
      <c r="I97" s="1548">
        <v>1.173</v>
      </c>
      <c r="J97" s="1548">
        <v>1.173</v>
      </c>
      <c r="K97" s="1548">
        <v>1.173</v>
      </c>
      <c r="L97" s="1548">
        <v>1.173</v>
      </c>
      <c r="M97" s="1548">
        <v>1.173</v>
      </c>
    </row>
    <row r="98" spans="1:14">
      <c r="A98" s="1549">
        <v>1.3</v>
      </c>
      <c r="B98" s="1548">
        <v>1.196</v>
      </c>
      <c r="C98" s="1548">
        <v>1.196</v>
      </c>
      <c r="D98" s="1548">
        <v>1.1559999999999999</v>
      </c>
      <c r="E98" s="1548">
        <v>1.1559999999999999</v>
      </c>
      <c r="F98" s="1548">
        <v>1.1559999999999999</v>
      </c>
      <c r="G98" s="1548">
        <v>1.1559999999999999</v>
      </c>
      <c r="H98" s="1548">
        <v>1.1559999999999999</v>
      </c>
      <c r="I98" s="1548">
        <v>1.1468</v>
      </c>
      <c r="J98" s="1548">
        <v>1.1468</v>
      </c>
      <c r="K98" s="1548">
        <v>1.1468</v>
      </c>
      <c r="L98" s="1548">
        <v>1.1468</v>
      </c>
      <c r="M98" s="1548">
        <v>1.1468</v>
      </c>
    </row>
    <row r="99" spans="1:14">
      <c r="A99" s="1549">
        <v>1.4</v>
      </c>
      <c r="B99" s="1548">
        <v>1.18</v>
      </c>
      <c r="C99" s="1548">
        <v>1.18</v>
      </c>
      <c r="D99" s="1548">
        <v>1.1382000000000001</v>
      </c>
      <c r="E99" s="1548">
        <v>1.1382000000000001</v>
      </c>
      <c r="F99" s="1548">
        <v>1.1382000000000001</v>
      </c>
      <c r="G99" s="1548">
        <v>1.1382000000000001</v>
      </c>
      <c r="H99" s="1548">
        <v>1.1382000000000001</v>
      </c>
      <c r="I99" s="1548">
        <v>1.1220000000000001</v>
      </c>
      <c r="J99" s="1548">
        <v>1.1220000000000001</v>
      </c>
      <c r="K99" s="1548">
        <v>1.1220000000000001</v>
      </c>
      <c r="L99" s="1548">
        <v>1.1220000000000001</v>
      </c>
      <c r="M99" s="1548">
        <v>1.1220000000000001</v>
      </c>
    </row>
    <row r="100" spans="1:14">
      <c r="A100" s="1549">
        <v>1.5</v>
      </c>
      <c r="B100" s="1548">
        <v>1.1649</v>
      </c>
      <c r="C100" s="1548">
        <v>1.1649</v>
      </c>
      <c r="D100" s="1548">
        <v>1.1214999999999999</v>
      </c>
      <c r="E100" s="1548">
        <v>1.1214999999999999</v>
      </c>
      <c r="F100" s="1548">
        <v>1.1214999999999999</v>
      </c>
      <c r="G100" s="1548">
        <v>1.1214999999999999</v>
      </c>
      <c r="H100" s="1548">
        <v>1.1214999999999999</v>
      </c>
      <c r="I100" s="1548">
        <v>1.0985</v>
      </c>
      <c r="J100" s="1548">
        <v>1.0985</v>
      </c>
      <c r="K100" s="1548">
        <v>1.0985</v>
      </c>
      <c r="L100" s="1548">
        <v>1.0985</v>
      </c>
      <c r="M100" s="1548">
        <v>1.0985</v>
      </c>
    </row>
    <row r="101" spans="1:14">
      <c r="A101" s="1549">
        <v>1.6</v>
      </c>
      <c r="B101" s="1548">
        <v>1.1507000000000001</v>
      </c>
      <c r="C101" s="1548">
        <v>1.1507000000000001</v>
      </c>
      <c r="D101" s="1548">
        <v>1.1056999999999999</v>
      </c>
      <c r="E101" s="1548">
        <v>1.1056999999999999</v>
      </c>
      <c r="F101" s="1548">
        <v>1.1056999999999999</v>
      </c>
      <c r="G101" s="1548">
        <v>1.1056999999999999</v>
      </c>
      <c r="H101" s="1548">
        <v>1.1056999999999999</v>
      </c>
      <c r="I101" s="1548">
        <v>1.0764</v>
      </c>
      <c r="J101" s="1548">
        <v>1.0764</v>
      </c>
      <c r="K101" s="1548">
        <v>1.0764</v>
      </c>
      <c r="L101" s="1548">
        <v>1.0764</v>
      </c>
      <c r="M101" s="1548">
        <v>1.0764</v>
      </c>
    </row>
    <row r="102" spans="1:14">
      <c r="A102" s="1549">
        <v>1.7</v>
      </c>
      <c r="B102" s="1548">
        <v>1.1373</v>
      </c>
      <c r="C102" s="1548">
        <v>1.1373</v>
      </c>
      <c r="D102" s="1548">
        <v>1.0908</v>
      </c>
      <c r="E102" s="1548">
        <v>1.0908</v>
      </c>
      <c r="F102" s="1548">
        <v>1.0908</v>
      </c>
      <c r="G102" s="1548">
        <v>1.0908</v>
      </c>
      <c r="H102" s="1548">
        <v>1.0908</v>
      </c>
      <c r="I102" s="1548">
        <v>1.0556000000000001</v>
      </c>
      <c r="J102" s="1548">
        <v>1.0556000000000001</v>
      </c>
      <c r="K102" s="1548">
        <v>1.0556000000000001</v>
      </c>
      <c r="L102" s="1548">
        <v>1.0556000000000001</v>
      </c>
      <c r="M102" s="1548">
        <v>1.0556000000000001</v>
      </c>
    </row>
    <row r="103" spans="1:14">
      <c r="A103" s="1549">
        <v>1.8</v>
      </c>
      <c r="B103" s="1548">
        <v>1.1247</v>
      </c>
      <c r="C103" s="1548">
        <v>1.1247</v>
      </c>
      <c r="D103" s="1548">
        <v>1.0768</v>
      </c>
      <c r="E103" s="1548">
        <v>1.0768</v>
      </c>
      <c r="F103" s="1548">
        <v>1.0768</v>
      </c>
      <c r="G103" s="1548">
        <v>1.0768</v>
      </c>
      <c r="H103" s="1548">
        <v>1.0768</v>
      </c>
      <c r="I103" s="1548">
        <v>1.0359</v>
      </c>
      <c r="J103" s="1548">
        <v>1.0359</v>
      </c>
      <c r="K103" s="1548">
        <v>1.0359</v>
      </c>
      <c r="L103" s="1548">
        <v>1.0359</v>
      </c>
      <c r="M103" s="1548">
        <v>1.0359</v>
      </c>
    </row>
    <row r="104" spans="1:14" ht="14.25">
      <c r="A104" s="1545">
        <v>1.9</v>
      </c>
      <c r="B104" s="1546">
        <v>1.1128</v>
      </c>
      <c r="C104" s="1546">
        <v>1.1128</v>
      </c>
      <c r="D104" s="1546">
        <v>1.0637000000000001</v>
      </c>
      <c r="E104" s="1546">
        <v>1.0637000000000001</v>
      </c>
      <c r="F104" s="1546">
        <v>1.0637000000000001</v>
      </c>
      <c r="G104" s="1546">
        <v>1.0637000000000001</v>
      </c>
      <c r="H104" s="1547">
        <v>1.0637000000000001</v>
      </c>
      <c r="I104" s="1547">
        <v>1.0174000000000001</v>
      </c>
      <c r="J104" s="1550">
        <v>1.0174000000000001</v>
      </c>
      <c r="K104" s="1550">
        <v>1.0174000000000001</v>
      </c>
      <c r="L104" s="1550">
        <v>1.0174000000000001</v>
      </c>
      <c r="M104" s="1550">
        <v>1.0174000000000001</v>
      </c>
      <c r="N104" s="1544"/>
    </row>
    <row r="105" spans="1:14">
      <c r="A105" s="1545">
        <v>2</v>
      </c>
      <c r="B105" s="1548">
        <v>1.1016999999999999</v>
      </c>
      <c r="C105" s="1548">
        <v>1.1016999999999999</v>
      </c>
      <c r="D105" s="1548">
        <v>1.0512999999999999</v>
      </c>
      <c r="E105" s="1548">
        <v>1.0512999999999999</v>
      </c>
      <c r="F105" s="1548">
        <v>1.0512999999999999</v>
      </c>
      <c r="G105" s="1548">
        <v>1.0512999999999999</v>
      </c>
      <c r="H105" s="1548">
        <v>1.0512999999999999</v>
      </c>
      <c r="I105" s="1548">
        <v>1</v>
      </c>
      <c r="J105" s="1548">
        <v>1</v>
      </c>
      <c r="K105" s="1548">
        <v>1</v>
      </c>
      <c r="L105" s="1548">
        <v>1</v>
      </c>
      <c r="M105" s="1548">
        <v>1</v>
      </c>
    </row>
    <row r="106" spans="1:14">
      <c r="A106" s="1545">
        <v>2.1</v>
      </c>
      <c r="B106" s="1548">
        <v>1.0912999999999999</v>
      </c>
      <c r="C106" s="1548">
        <v>1.0912999999999999</v>
      </c>
      <c r="D106" s="1548">
        <v>1.0397000000000001</v>
      </c>
      <c r="E106" s="1548">
        <v>1.0397000000000001</v>
      </c>
      <c r="F106" s="1548">
        <v>1.0397000000000001</v>
      </c>
      <c r="G106" s="1548">
        <v>1.0397000000000001</v>
      </c>
      <c r="H106" s="1548">
        <v>1.0397000000000001</v>
      </c>
      <c r="I106" s="1548">
        <v>0.98360000000000003</v>
      </c>
      <c r="J106" s="1548">
        <v>0.98360000000000003</v>
      </c>
      <c r="K106" s="1548">
        <v>0.98360000000000003</v>
      </c>
      <c r="L106" s="1548">
        <v>0.98360000000000003</v>
      </c>
      <c r="M106" s="1548">
        <v>0.98360000000000003</v>
      </c>
    </row>
    <row r="107" spans="1:14">
      <c r="A107" s="1545">
        <v>2.2000000000000002</v>
      </c>
      <c r="B107" s="1548">
        <v>1.0814999999999999</v>
      </c>
      <c r="C107" s="1548">
        <v>1.0814999999999999</v>
      </c>
      <c r="D107" s="1548">
        <v>1.0287999999999999</v>
      </c>
      <c r="E107" s="1548">
        <v>1.0287999999999999</v>
      </c>
      <c r="F107" s="1548">
        <v>1.0287999999999999</v>
      </c>
      <c r="G107" s="1548">
        <v>1.0287999999999999</v>
      </c>
      <c r="H107" s="1548">
        <v>1.0287999999999999</v>
      </c>
      <c r="I107" s="1548">
        <v>0.96819999999999995</v>
      </c>
      <c r="J107" s="1548">
        <v>0.96819999999999995</v>
      </c>
      <c r="K107" s="1548">
        <v>0.96819999999999995</v>
      </c>
      <c r="L107" s="1548">
        <v>0.96819999999999995</v>
      </c>
      <c r="M107" s="1548">
        <v>0.96819999999999995</v>
      </c>
    </row>
    <row r="108" spans="1:14">
      <c r="A108" s="1545">
        <v>2.2999999999999998</v>
      </c>
      <c r="B108" s="1548">
        <v>1.0724</v>
      </c>
      <c r="C108" s="1548">
        <v>1.0724</v>
      </c>
      <c r="D108" s="1548">
        <v>1.0185999999999999</v>
      </c>
      <c r="E108" s="1548">
        <v>1.0185999999999999</v>
      </c>
      <c r="F108" s="1548">
        <v>1.0185999999999999</v>
      </c>
      <c r="G108" s="1548">
        <v>1.0185999999999999</v>
      </c>
      <c r="H108" s="1548">
        <v>1.0185999999999999</v>
      </c>
      <c r="I108" s="1548">
        <v>0.95369999999999999</v>
      </c>
      <c r="J108" s="1548">
        <v>0.95369999999999999</v>
      </c>
      <c r="K108" s="1548">
        <v>0.95369999999999999</v>
      </c>
      <c r="L108" s="1548">
        <v>0.95369999999999999</v>
      </c>
      <c r="M108" s="1548">
        <v>0.95369999999999999</v>
      </c>
    </row>
    <row r="109" spans="1:14">
      <c r="A109" s="1545">
        <v>2.4</v>
      </c>
      <c r="B109" s="1548">
        <v>1.0638000000000001</v>
      </c>
      <c r="C109" s="1548">
        <v>1.0638000000000001</v>
      </c>
      <c r="D109" s="1548">
        <v>1.0089999999999999</v>
      </c>
      <c r="E109" s="1548">
        <v>1.0089999999999999</v>
      </c>
      <c r="F109" s="1548">
        <v>1.0089999999999999</v>
      </c>
      <c r="G109" s="1548">
        <v>1.0089999999999999</v>
      </c>
      <c r="H109" s="1548">
        <v>1.0089999999999999</v>
      </c>
      <c r="I109" s="1548">
        <v>0.94010000000000005</v>
      </c>
      <c r="J109" s="1548">
        <v>0.94010000000000005</v>
      </c>
      <c r="K109" s="1548">
        <v>0.94010000000000005</v>
      </c>
      <c r="L109" s="1548">
        <v>0.94010000000000005</v>
      </c>
      <c r="M109" s="1548">
        <v>0.94010000000000005</v>
      </c>
    </row>
    <row r="110" spans="1:14">
      <c r="A110" s="1545">
        <v>2.5</v>
      </c>
      <c r="B110" s="1548">
        <v>1.0558000000000001</v>
      </c>
      <c r="C110" s="1548">
        <v>1.0558000000000001</v>
      </c>
      <c r="D110" s="1548">
        <v>1</v>
      </c>
      <c r="E110" s="1548">
        <v>1</v>
      </c>
      <c r="F110" s="1548">
        <v>1</v>
      </c>
      <c r="G110" s="1548">
        <v>1</v>
      </c>
      <c r="H110" s="1548">
        <v>1</v>
      </c>
      <c r="I110" s="1548">
        <v>0.9274</v>
      </c>
      <c r="J110" s="1548">
        <v>0.9274</v>
      </c>
      <c r="K110" s="1548">
        <v>0.9274</v>
      </c>
      <c r="L110" s="1548">
        <v>0.9274</v>
      </c>
      <c r="M110" s="1548">
        <v>0.9274</v>
      </c>
    </row>
    <row r="111" spans="1:14">
      <c r="A111" s="1545">
        <v>2.6</v>
      </c>
      <c r="B111" s="1548">
        <v>1.0483</v>
      </c>
      <c r="C111" s="1548">
        <v>1.0483</v>
      </c>
      <c r="D111" s="1548">
        <v>0.99160000000000004</v>
      </c>
      <c r="E111" s="1548">
        <v>0.99160000000000004</v>
      </c>
      <c r="F111" s="1548">
        <v>0.99160000000000004</v>
      </c>
      <c r="G111" s="1548">
        <v>0.99160000000000004</v>
      </c>
      <c r="H111" s="1548">
        <v>0.99160000000000004</v>
      </c>
      <c r="I111" s="1548">
        <v>0.91539999999999999</v>
      </c>
      <c r="J111" s="1548">
        <v>0.91539999999999999</v>
      </c>
      <c r="K111" s="1548">
        <v>0.91539999999999999</v>
      </c>
      <c r="L111" s="1548">
        <v>0.91539999999999999</v>
      </c>
      <c r="M111" s="1548">
        <v>0.91539999999999999</v>
      </c>
    </row>
    <row r="112" spans="1:14">
      <c r="A112" s="1545">
        <v>2.7</v>
      </c>
      <c r="B112" s="1548">
        <v>1.0412999999999999</v>
      </c>
      <c r="C112" s="1548">
        <v>1.0412999999999999</v>
      </c>
      <c r="D112" s="1548">
        <v>0.98370000000000002</v>
      </c>
      <c r="E112" s="1548">
        <v>0.98370000000000002</v>
      </c>
      <c r="F112" s="1548">
        <v>0.98370000000000002</v>
      </c>
      <c r="G112" s="1548">
        <v>0.98370000000000002</v>
      </c>
      <c r="H112" s="1548">
        <v>0.98370000000000002</v>
      </c>
      <c r="I112" s="1548">
        <v>0.90429999999999999</v>
      </c>
      <c r="J112" s="1548">
        <v>0.90429999999999999</v>
      </c>
      <c r="K112" s="1548">
        <v>0.90429999999999999</v>
      </c>
      <c r="L112" s="1548">
        <v>0.90429999999999999</v>
      </c>
      <c r="M112" s="1548">
        <v>0.90429999999999999</v>
      </c>
    </row>
    <row r="113" spans="1:13">
      <c r="A113" s="1545">
        <v>2.8</v>
      </c>
      <c r="B113" s="1548">
        <v>1.0347999999999999</v>
      </c>
      <c r="C113" s="1548">
        <v>1.0347999999999999</v>
      </c>
      <c r="D113" s="1548">
        <v>0.97640000000000005</v>
      </c>
      <c r="E113" s="1548">
        <v>0.97640000000000005</v>
      </c>
      <c r="F113" s="1548">
        <v>0.97640000000000005</v>
      </c>
      <c r="G113" s="1548">
        <v>0.97640000000000005</v>
      </c>
      <c r="H113" s="1548">
        <v>0.97640000000000005</v>
      </c>
      <c r="I113" s="1548">
        <v>0.89370000000000005</v>
      </c>
      <c r="J113" s="1548">
        <v>0.89370000000000005</v>
      </c>
      <c r="K113" s="1548">
        <v>0.89370000000000005</v>
      </c>
      <c r="L113" s="1548">
        <v>0.89370000000000005</v>
      </c>
      <c r="M113" s="1548">
        <v>0.89370000000000005</v>
      </c>
    </row>
    <row r="114" spans="1:13">
      <c r="A114" s="1545">
        <v>2.9</v>
      </c>
      <c r="B114" s="1548">
        <v>1.0286999999999999</v>
      </c>
      <c r="C114" s="1548">
        <v>1.0286999999999999</v>
      </c>
      <c r="D114" s="1548">
        <v>0.96950000000000003</v>
      </c>
      <c r="E114" s="1548">
        <v>0.96950000000000003</v>
      </c>
      <c r="F114" s="1548">
        <v>0.96950000000000003</v>
      </c>
      <c r="G114" s="1548">
        <v>0.96950000000000003</v>
      </c>
      <c r="H114" s="1548">
        <v>0.96950000000000003</v>
      </c>
      <c r="I114" s="1548">
        <v>0.88390000000000002</v>
      </c>
      <c r="J114" s="1548">
        <v>0.88390000000000002</v>
      </c>
      <c r="K114" s="1548">
        <v>0.88390000000000002</v>
      </c>
      <c r="L114" s="1548">
        <v>0.88390000000000002</v>
      </c>
      <c r="M114" s="1548">
        <v>0.88390000000000002</v>
      </c>
    </row>
    <row r="115" spans="1:13">
      <c r="A115" s="1545">
        <v>3</v>
      </c>
      <c r="B115" s="1548">
        <v>1.0229999999999999</v>
      </c>
      <c r="C115" s="1548">
        <v>1.0229999999999999</v>
      </c>
      <c r="D115" s="1548">
        <v>0.96309999999999996</v>
      </c>
      <c r="E115" s="1548">
        <v>0.96309999999999996</v>
      </c>
      <c r="F115" s="1548">
        <v>0.96309999999999996</v>
      </c>
      <c r="G115" s="1548">
        <v>0.96309999999999996</v>
      </c>
      <c r="H115" s="1548">
        <v>0.96309999999999996</v>
      </c>
      <c r="I115" s="1548">
        <v>0.87460000000000004</v>
      </c>
      <c r="J115" s="1548">
        <v>0.87460000000000004</v>
      </c>
      <c r="K115" s="1548">
        <v>0.87460000000000004</v>
      </c>
      <c r="L115" s="1548">
        <v>0.87460000000000004</v>
      </c>
      <c r="M115" s="1548">
        <v>0.87460000000000004</v>
      </c>
    </row>
    <row r="116" spans="1:13">
      <c r="A116" s="1545">
        <v>3.1</v>
      </c>
      <c r="B116" s="1548">
        <v>1.0177</v>
      </c>
      <c r="C116" s="1548">
        <v>1.0177</v>
      </c>
      <c r="D116" s="1548">
        <v>0.95709999999999995</v>
      </c>
      <c r="E116" s="1548">
        <v>0.95709999999999995</v>
      </c>
      <c r="F116" s="1548">
        <v>0.95709999999999995</v>
      </c>
      <c r="G116" s="1548">
        <v>0.95709999999999995</v>
      </c>
      <c r="H116" s="1548">
        <v>0.95709999999999995</v>
      </c>
      <c r="I116" s="1548">
        <v>0.8659</v>
      </c>
      <c r="J116" s="1548">
        <v>0.8659</v>
      </c>
      <c r="K116" s="1548">
        <v>0.8659</v>
      </c>
      <c r="L116" s="1548">
        <v>0.8659</v>
      </c>
      <c r="M116" s="1548">
        <v>0.8659</v>
      </c>
    </row>
    <row r="117" spans="1:13">
      <c r="A117" s="1545">
        <v>3.2</v>
      </c>
      <c r="B117" s="1548">
        <v>1.0127999999999999</v>
      </c>
      <c r="C117" s="1548">
        <v>1.0127999999999999</v>
      </c>
      <c r="D117" s="1548">
        <v>0.9516</v>
      </c>
      <c r="E117" s="1548">
        <v>0.9516</v>
      </c>
      <c r="F117" s="1548">
        <v>0.9516</v>
      </c>
      <c r="G117" s="1548">
        <v>0.9516</v>
      </c>
      <c r="H117" s="1548">
        <v>0.9516</v>
      </c>
      <c r="I117" s="1548">
        <v>0.85780000000000001</v>
      </c>
      <c r="J117" s="1548">
        <v>0.85780000000000001</v>
      </c>
      <c r="K117" s="1548">
        <v>0.85780000000000001</v>
      </c>
      <c r="L117" s="1548">
        <v>0.85780000000000001</v>
      </c>
      <c r="M117" s="1548">
        <v>0.85780000000000001</v>
      </c>
    </row>
    <row r="118" spans="1:13">
      <c r="A118" s="1545">
        <v>3.3</v>
      </c>
      <c r="B118" s="1548">
        <v>1.0082</v>
      </c>
      <c r="C118" s="1548">
        <v>1.0082</v>
      </c>
      <c r="D118" s="1548">
        <v>0.94640000000000002</v>
      </c>
      <c r="E118" s="1548">
        <v>0.94640000000000002</v>
      </c>
      <c r="F118" s="1548">
        <v>0.94640000000000002</v>
      </c>
      <c r="G118" s="1548">
        <v>0.94640000000000002</v>
      </c>
      <c r="H118" s="1548">
        <v>0.94640000000000002</v>
      </c>
      <c r="I118" s="1548">
        <v>0.85029999999999994</v>
      </c>
      <c r="J118" s="1548">
        <v>0.85029999999999994</v>
      </c>
      <c r="K118" s="1548">
        <v>0.85029999999999994</v>
      </c>
      <c r="L118" s="1548">
        <v>0.85029999999999994</v>
      </c>
      <c r="M118" s="1548">
        <v>0.85029999999999994</v>
      </c>
    </row>
    <row r="119" spans="1:13">
      <c r="A119" s="1545">
        <v>3.4</v>
      </c>
      <c r="B119" s="1548">
        <v>1.004</v>
      </c>
      <c r="C119" s="1548">
        <v>1.004</v>
      </c>
      <c r="D119" s="1548">
        <v>0.9415</v>
      </c>
      <c r="E119" s="1548">
        <v>0.9415</v>
      </c>
      <c r="F119" s="1548">
        <v>0.9415</v>
      </c>
      <c r="G119" s="1548">
        <v>0.9415</v>
      </c>
      <c r="H119" s="1548">
        <v>0.9415</v>
      </c>
      <c r="I119" s="1548">
        <v>0.84319999999999995</v>
      </c>
      <c r="J119" s="1548">
        <v>0.84319999999999995</v>
      </c>
      <c r="K119" s="1548">
        <v>0.84319999999999995</v>
      </c>
      <c r="L119" s="1548">
        <v>0.84319999999999995</v>
      </c>
      <c r="M119" s="1548">
        <v>0.84319999999999995</v>
      </c>
    </row>
    <row r="120" spans="1:13">
      <c r="A120" s="1545">
        <v>3.5</v>
      </c>
      <c r="B120" s="1548">
        <v>1</v>
      </c>
      <c r="C120" s="1548">
        <v>1</v>
      </c>
      <c r="D120" s="1548">
        <v>0.93700000000000006</v>
      </c>
      <c r="E120" s="1548">
        <v>0.93700000000000006</v>
      </c>
      <c r="F120" s="1548">
        <v>0.93700000000000006</v>
      </c>
      <c r="G120" s="1548">
        <v>0.93700000000000006</v>
      </c>
      <c r="H120" s="1548">
        <v>0.93700000000000006</v>
      </c>
      <c r="I120" s="1548">
        <v>0.83660000000000001</v>
      </c>
      <c r="J120" s="1548">
        <v>0.83660000000000001</v>
      </c>
      <c r="K120" s="1548">
        <v>0.83660000000000001</v>
      </c>
      <c r="L120" s="1548">
        <v>0.83660000000000001</v>
      </c>
      <c r="M120" s="1548">
        <v>0.83660000000000001</v>
      </c>
    </row>
    <row r="121" spans="1:13">
      <c r="A121" s="1545">
        <v>3.6</v>
      </c>
      <c r="B121" s="1548">
        <v>0.99629999999999996</v>
      </c>
      <c r="C121" s="1548">
        <v>0.99629999999999996</v>
      </c>
      <c r="D121" s="1548">
        <v>0.93279999999999996</v>
      </c>
      <c r="E121" s="1548">
        <v>0.93279999999999996</v>
      </c>
      <c r="F121" s="1548">
        <v>0.93279999999999996</v>
      </c>
      <c r="G121" s="1548">
        <v>0.93279999999999996</v>
      </c>
      <c r="H121" s="1548">
        <v>0.93279999999999996</v>
      </c>
      <c r="I121" s="1548">
        <v>0.83040000000000003</v>
      </c>
      <c r="J121" s="1548">
        <v>0.83040000000000003</v>
      </c>
      <c r="K121" s="1548">
        <v>0.83040000000000003</v>
      </c>
      <c r="L121" s="1548">
        <v>0.83040000000000003</v>
      </c>
      <c r="M121" s="1548">
        <v>0.83040000000000003</v>
      </c>
    </row>
    <row r="122" spans="1:13">
      <c r="A122" s="1545">
        <v>3.7</v>
      </c>
      <c r="B122" s="1548">
        <v>0.9929</v>
      </c>
      <c r="C122" s="1548">
        <v>0.9929</v>
      </c>
      <c r="D122" s="1548">
        <v>0.92879999999999996</v>
      </c>
      <c r="E122" s="1548">
        <v>0.92879999999999996</v>
      </c>
      <c r="F122" s="1548">
        <v>0.92879999999999996</v>
      </c>
      <c r="G122" s="1548">
        <v>0.92879999999999996</v>
      </c>
      <c r="H122" s="1548">
        <v>0.92879999999999996</v>
      </c>
      <c r="I122" s="1548">
        <v>0.8246</v>
      </c>
      <c r="J122" s="1548">
        <v>0.8246</v>
      </c>
      <c r="K122" s="1548">
        <v>0.8246</v>
      </c>
      <c r="L122" s="1548">
        <v>0.8246</v>
      </c>
      <c r="M122" s="1548">
        <v>0.8246</v>
      </c>
    </row>
    <row r="123" spans="1:13">
      <c r="A123" s="1545">
        <v>3.8</v>
      </c>
      <c r="B123" s="1548">
        <v>0.98970000000000002</v>
      </c>
      <c r="C123" s="1548">
        <v>0.98970000000000002</v>
      </c>
      <c r="D123" s="1548">
        <v>0.92520000000000002</v>
      </c>
      <c r="E123" s="1548">
        <v>0.92520000000000002</v>
      </c>
      <c r="F123" s="1548">
        <v>0.92520000000000002</v>
      </c>
      <c r="G123" s="1548">
        <v>0.92520000000000002</v>
      </c>
      <c r="H123" s="1548">
        <v>0.92520000000000002</v>
      </c>
      <c r="I123" s="1548">
        <v>0.81920000000000004</v>
      </c>
      <c r="J123" s="1548">
        <v>0.81920000000000004</v>
      </c>
      <c r="K123" s="1548">
        <v>0.81920000000000004</v>
      </c>
      <c r="L123" s="1548">
        <v>0.81920000000000004</v>
      </c>
      <c r="M123" s="1548">
        <v>0.81920000000000004</v>
      </c>
    </row>
    <row r="124" spans="1:13">
      <c r="A124" s="1545">
        <v>3.9</v>
      </c>
      <c r="B124" s="1548">
        <v>0.98670000000000002</v>
      </c>
      <c r="C124" s="1548">
        <v>0.98670000000000002</v>
      </c>
      <c r="D124" s="1548">
        <v>0.92179999999999995</v>
      </c>
      <c r="E124" s="1548">
        <v>0.92179999999999995</v>
      </c>
      <c r="F124" s="1548">
        <v>0.92179999999999995</v>
      </c>
      <c r="G124" s="1548">
        <v>0.92179999999999995</v>
      </c>
      <c r="H124" s="1548">
        <v>0.92179999999999995</v>
      </c>
      <c r="I124" s="1548">
        <v>0.81410000000000005</v>
      </c>
      <c r="J124" s="1548">
        <v>0.81410000000000005</v>
      </c>
      <c r="K124" s="1548">
        <v>0.81410000000000005</v>
      </c>
      <c r="L124" s="1548">
        <v>0.81410000000000005</v>
      </c>
      <c r="M124" s="1548">
        <v>0.81410000000000005</v>
      </c>
    </row>
    <row r="125" spans="1:13">
      <c r="A125" s="1549">
        <v>4</v>
      </c>
      <c r="B125" s="1548">
        <v>0.98380000000000001</v>
      </c>
      <c r="C125" s="1548">
        <v>0.98380000000000001</v>
      </c>
      <c r="D125" s="1548">
        <v>0.91859999999999997</v>
      </c>
      <c r="E125" s="1548">
        <v>0.91859999999999997</v>
      </c>
      <c r="F125" s="1548">
        <v>0.91859999999999997</v>
      </c>
      <c r="G125" s="1548">
        <v>0.91859999999999997</v>
      </c>
      <c r="H125" s="1548">
        <v>0.91859999999999997</v>
      </c>
      <c r="I125" s="1548">
        <v>0.80940000000000001</v>
      </c>
      <c r="J125" s="1548">
        <v>0.80940000000000001</v>
      </c>
      <c r="K125" s="1548">
        <v>0.80940000000000001</v>
      </c>
      <c r="L125" s="1548">
        <v>0.80940000000000001</v>
      </c>
      <c r="M125" s="1548">
        <v>0.80940000000000001</v>
      </c>
    </row>
    <row r="126" spans="1:13">
      <c r="A126" s="1549">
        <v>4.0999999999999996</v>
      </c>
      <c r="B126" s="1548">
        <v>0.98099999999999998</v>
      </c>
      <c r="C126" s="1548">
        <v>0.98099999999999998</v>
      </c>
      <c r="D126" s="1548">
        <v>0.91559999999999997</v>
      </c>
      <c r="E126" s="1548">
        <v>0.91559999999999997</v>
      </c>
      <c r="F126" s="1548">
        <v>0.91559999999999997</v>
      </c>
      <c r="G126" s="1548">
        <v>0.91559999999999997</v>
      </c>
      <c r="H126" s="1548">
        <v>0.91559999999999997</v>
      </c>
      <c r="I126" s="1548">
        <v>0.80489999999999995</v>
      </c>
      <c r="J126" s="1548">
        <v>0.80489999999999995</v>
      </c>
      <c r="K126" s="1548">
        <v>0.80489999999999995</v>
      </c>
      <c r="L126" s="1548">
        <v>0.80489999999999995</v>
      </c>
      <c r="M126" s="1548">
        <v>0.80489999999999995</v>
      </c>
    </row>
    <row r="127" spans="1:13">
      <c r="A127" s="1549">
        <v>4.2</v>
      </c>
      <c r="B127" s="1548">
        <v>0.97829999999999995</v>
      </c>
      <c r="C127" s="1548">
        <v>0.97829999999999995</v>
      </c>
      <c r="D127" s="1548">
        <v>0.91269999999999996</v>
      </c>
      <c r="E127" s="1548">
        <v>0.91269999999999996</v>
      </c>
      <c r="F127" s="1548">
        <v>0.91269999999999996</v>
      </c>
      <c r="G127" s="1548">
        <v>0.91269999999999996</v>
      </c>
      <c r="H127" s="1548">
        <v>0.91269999999999996</v>
      </c>
      <c r="I127" s="1548">
        <v>0.80059999999999998</v>
      </c>
      <c r="J127" s="1548">
        <v>0.80059999999999998</v>
      </c>
      <c r="K127" s="1548">
        <v>0.80059999999999998</v>
      </c>
      <c r="L127" s="1548">
        <v>0.80059999999999998</v>
      </c>
      <c r="M127" s="1548">
        <v>0.80059999999999998</v>
      </c>
    </row>
    <row r="128" spans="1:13">
      <c r="A128" s="1549">
        <v>4.3</v>
      </c>
      <c r="B128" s="1548">
        <v>0.97570000000000001</v>
      </c>
      <c r="C128" s="1548">
        <v>0.97570000000000001</v>
      </c>
      <c r="D128" s="1548">
        <v>0.90990000000000004</v>
      </c>
      <c r="E128" s="1548">
        <v>0.90990000000000004</v>
      </c>
      <c r="F128" s="1548">
        <v>0.90990000000000004</v>
      </c>
      <c r="G128" s="1548">
        <v>0.90990000000000004</v>
      </c>
      <c r="H128" s="1548">
        <v>0.90990000000000004</v>
      </c>
      <c r="I128" s="1548">
        <v>0.79649999999999999</v>
      </c>
      <c r="J128" s="1548">
        <v>0.79649999999999999</v>
      </c>
      <c r="K128" s="1548">
        <v>0.79649999999999999</v>
      </c>
      <c r="L128" s="1548">
        <v>0.79649999999999999</v>
      </c>
      <c r="M128" s="1548">
        <v>0.79649999999999999</v>
      </c>
    </row>
    <row r="129" spans="1:13">
      <c r="A129" s="1549">
        <v>4.4000000000000004</v>
      </c>
      <c r="B129" s="1548">
        <v>0.97319999999999995</v>
      </c>
      <c r="C129" s="1548">
        <v>0.97319999999999995</v>
      </c>
      <c r="D129" s="1548">
        <v>0.90720000000000001</v>
      </c>
      <c r="E129" s="1548">
        <v>0.90720000000000001</v>
      </c>
      <c r="F129" s="1548">
        <v>0.90720000000000001</v>
      </c>
      <c r="G129" s="1548">
        <v>0.90720000000000001</v>
      </c>
      <c r="H129" s="1548">
        <v>0.90720000000000001</v>
      </c>
      <c r="I129" s="1548">
        <v>0.79259999999999997</v>
      </c>
      <c r="J129" s="1548">
        <v>0.79259999999999997</v>
      </c>
      <c r="K129" s="1548">
        <v>0.79259999999999997</v>
      </c>
      <c r="L129" s="1548">
        <v>0.79259999999999997</v>
      </c>
      <c r="M129" s="1548">
        <v>0.79259999999999997</v>
      </c>
    </row>
    <row r="130" spans="1:13">
      <c r="A130" s="1549">
        <v>4.5</v>
      </c>
      <c r="B130" s="1548">
        <v>0.9708</v>
      </c>
      <c r="C130" s="1548">
        <v>0.9708</v>
      </c>
      <c r="D130" s="1548">
        <v>0.90459999999999996</v>
      </c>
      <c r="E130" s="1548">
        <v>0.90459999999999996</v>
      </c>
      <c r="F130" s="1548">
        <v>0.90459999999999996</v>
      </c>
      <c r="G130" s="1548">
        <v>0.90459999999999996</v>
      </c>
      <c r="H130" s="1548">
        <v>0.90459999999999996</v>
      </c>
      <c r="I130" s="1548">
        <v>0.78890000000000005</v>
      </c>
      <c r="J130" s="1548">
        <v>0.78890000000000005</v>
      </c>
      <c r="K130" s="1548">
        <v>0.78890000000000005</v>
      </c>
      <c r="L130" s="1548">
        <v>0.78890000000000005</v>
      </c>
      <c r="M130" s="1548">
        <v>0.78890000000000005</v>
      </c>
    </row>
    <row r="131" spans="1:13">
      <c r="A131" s="1549">
        <v>4.5999999999999996</v>
      </c>
      <c r="B131" s="1548">
        <v>0.96850000000000003</v>
      </c>
      <c r="C131" s="1548">
        <v>0.96850000000000003</v>
      </c>
      <c r="D131" s="1548">
        <v>0.90210000000000001</v>
      </c>
      <c r="E131" s="1548">
        <v>0.90210000000000001</v>
      </c>
      <c r="F131" s="1548">
        <v>0.90210000000000001</v>
      </c>
      <c r="G131" s="1548">
        <v>0.90210000000000001</v>
      </c>
      <c r="H131" s="1548">
        <v>0.90210000000000001</v>
      </c>
      <c r="I131" s="1548">
        <v>0.78539999999999999</v>
      </c>
      <c r="J131" s="1548">
        <v>0.78539999999999999</v>
      </c>
      <c r="K131" s="1548">
        <v>0.78539999999999999</v>
      </c>
      <c r="L131" s="1548">
        <v>0.78539999999999999</v>
      </c>
      <c r="M131" s="1548">
        <v>0.78539999999999999</v>
      </c>
    </row>
    <row r="132" spans="1:13">
      <c r="A132" s="1549">
        <v>4.7</v>
      </c>
      <c r="B132" s="1548">
        <v>0.96630000000000005</v>
      </c>
      <c r="C132" s="1548">
        <v>0.96630000000000005</v>
      </c>
      <c r="D132" s="1548">
        <v>0.89959999999999996</v>
      </c>
      <c r="E132" s="1548">
        <v>0.89959999999999996</v>
      </c>
      <c r="F132" s="1548">
        <v>0.89959999999999996</v>
      </c>
      <c r="G132" s="1548">
        <v>0.89959999999999996</v>
      </c>
      <c r="H132" s="1548">
        <v>0.89959999999999996</v>
      </c>
      <c r="I132" s="1548">
        <v>0.78210000000000002</v>
      </c>
      <c r="J132" s="1548">
        <v>0.78210000000000002</v>
      </c>
      <c r="K132" s="1548">
        <v>0.78210000000000002</v>
      </c>
      <c r="L132" s="1548">
        <v>0.78210000000000002</v>
      </c>
      <c r="M132" s="1548">
        <v>0.78210000000000002</v>
      </c>
    </row>
    <row r="133" spans="1:13">
      <c r="A133" s="1549">
        <v>4.8</v>
      </c>
      <c r="B133" s="1548">
        <v>0.96409999999999996</v>
      </c>
      <c r="C133" s="1548">
        <v>0.96409999999999996</v>
      </c>
      <c r="D133" s="1548">
        <v>0.8972</v>
      </c>
      <c r="E133" s="1548">
        <v>0.8972</v>
      </c>
      <c r="F133" s="1548">
        <v>0.8972</v>
      </c>
      <c r="G133" s="1548">
        <v>0.8972</v>
      </c>
      <c r="H133" s="1548">
        <v>0.8972</v>
      </c>
      <c r="I133" s="1548">
        <v>0.77890000000000004</v>
      </c>
      <c r="J133" s="1548">
        <v>0.77890000000000004</v>
      </c>
      <c r="K133" s="1548">
        <v>0.77890000000000004</v>
      </c>
      <c r="L133" s="1548">
        <v>0.77890000000000004</v>
      </c>
      <c r="M133" s="1548">
        <v>0.77890000000000004</v>
      </c>
    </row>
    <row r="134" spans="1:13">
      <c r="A134" s="1549">
        <v>4.9000000000000004</v>
      </c>
      <c r="B134" s="1548">
        <v>0.96199999999999997</v>
      </c>
      <c r="C134" s="1548">
        <v>0.96199999999999997</v>
      </c>
      <c r="D134" s="1548">
        <v>0.89480000000000004</v>
      </c>
      <c r="E134" s="1548">
        <v>0.89480000000000004</v>
      </c>
      <c r="F134" s="1548">
        <v>0.89480000000000004</v>
      </c>
      <c r="G134" s="1548">
        <v>0.89480000000000004</v>
      </c>
      <c r="H134" s="1548">
        <v>0.89480000000000004</v>
      </c>
      <c r="I134" s="1548">
        <v>0.77580000000000005</v>
      </c>
      <c r="J134" s="1548">
        <v>0.77580000000000005</v>
      </c>
      <c r="K134" s="1548">
        <v>0.77580000000000005</v>
      </c>
      <c r="L134" s="1548">
        <v>0.77580000000000005</v>
      </c>
      <c r="M134" s="1548">
        <v>0.77580000000000005</v>
      </c>
    </row>
    <row r="135" spans="1:13">
      <c r="A135" s="1549">
        <v>5</v>
      </c>
      <c r="B135" s="1548">
        <v>0.95989999999999998</v>
      </c>
      <c r="C135" s="1548">
        <v>0.95989999999999998</v>
      </c>
      <c r="D135" s="1548">
        <v>0.89239999999999997</v>
      </c>
      <c r="E135" s="1548">
        <v>0.89239999999999997</v>
      </c>
      <c r="F135" s="1548">
        <v>0.89239999999999997</v>
      </c>
      <c r="G135" s="1548">
        <v>0.89239999999999997</v>
      </c>
      <c r="H135" s="1548">
        <v>0.89239999999999997</v>
      </c>
      <c r="I135" s="1548">
        <v>0.77280000000000004</v>
      </c>
      <c r="J135" s="1548">
        <v>0.77280000000000004</v>
      </c>
      <c r="K135" s="1548">
        <v>0.77280000000000004</v>
      </c>
      <c r="L135" s="1548">
        <v>0.77280000000000004</v>
      </c>
      <c r="M135" s="1548">
        <v>0.77280000000000004</v>
      </c>
    </row>
    <row r="136" spans="1:13">
      <c r="A136" s="1549">
        <v>5.0999999999999996</v>
      </c>
      <c r="B136" s="1548">
        <v>0.95779999999999998</v>
      </c>
      <c r="C136" s="1548">
        <v>0.95779999999999998</v>
      </c>
      <c r="D136" s="1548">
        <v>0.8901</v>
      </c>
      <c r="E136" s="1548">
        <v>0.8901</v>
      </c>
      <c r="F136" s="1548">
        <v>0.8901</v>
      </c>
      <c r="G136" s="1548">
        <v>0.8901</v>
      </c>
      <c r="H136" s="1548">
        <v>0.8901</v>
      </c>
      <c r="I136" s="1548">
        <v>0.76990000000000003</v>
      </c>
      <c r="J136" s="1548">
        <v>0.76990000000000003</v>
      </c>
      <c r="K136" s="1548">
        <v>0.76990000000000003</v>
      </c>
      <c r="L136" s="1548">
        <v>0.76990000000000003</v>
      </c>
      <c r="M136" s="1548">
        <v>0.76990000000000003</v>
      </c>
    </row>
    <row r="137" spans="1:13">
      <c r="A137" s="1549">
        <v>5.2</v>
      </c>
      <c r="B137" s="1548">
        <v>0.95579999999999998</v>
      </c>
      <c r="C137" s="1548">
        <v>0.95579999999999998</v>
      </c>
      <c r="D137" s="1548">
        <v>0.88780000000000003</v>
      </c>
      <c r="E137" s="1548">
        <v>0.88780000000000003</v>
      </c>
      <c r="F137" s="1548">
        <v>0.88780000000000003</v>
      </c>
      <c r="G137" s="1548">
        <v>0.88780000000000003</v>
      </c>
      <c r="H137" s="1548">
        <v>0.88780000000000003</v>
      </c>
      <c r="I137" s="1548">
        <v>0.76700000000000002</v>
      </c>
      <c r="J137" s="1548">
        <v>0.76700000000000002</v>
      </c>
      <c r="K137" s="1548">
        <v>0.76700000000000002</v>
      </c>
      <c r="L137" s="1548">
        <v>0.76700000000000002</v>
      </c>
      <c r="M137" s="1548">
        <v>0.76700000000000002</v>
      </c>
    </row>
    <row r="138" spans="1:13">
      <c r="A138" s="1549">
        <v>5.3</v>
      </c>
      <c r="B138" s="1548">
        <v>0.95379999999999998</v>
      </c>
      <c r="C138" s="1548">
        <v>0.95379999999999998</v>
      </c>
      <c r="D138" s="1548">
        <v>0.88549999999999995</v>
      </c>
      <c r="E138" s="1548">
        <v>0.88549999999999995</v>
      </c>
      <c r="F138" s="1548">
        <v>0.88549999999999995</v>
      </c>
      <c r="G138" s="1548">
        <v>0.88549999999999995</v>
      </c>
      <c r="H138" s="1548">
        <v>0.88549999999999995</v>
      </c>
      <c r="I138" s="1548">
        <v>0.76419999999999999</v>
      </c>
      <c r="J138" s="1548">
        <v>0.76419999999999999</v>
      </c>
      <c r="K138" s="1548">
        <v>0.76419999999999999</v>
      </c>
      <c r="L138" s="1548">
        <v>0.76419999999999999</v>
      </c>
      <c r="M138" s="1548">
        <v>0.76419999999999999</v>
      </c>
    </row>
    <row r="139" spans="1:13">
      <c r="A139" s="1549">
        <v>5.4</v>
      </c>
      <c r="B139" s="1548">
        <v>0.95179999999999998</v>
      </c>
      <c r="C139" s="1548">
        <v>0.95179999999999998</v>
      </c>
      <c r="D139" s="1548">
        <v>0.88329999999999997</v>
      </c>
      <c r="E139" s="1548">
        <v>0.88329999999999997</v>
      </c>
      <c r="F139" s="1548">
        <v>0.88329999999999997</v>
      </c>
      <c r="G139" s="1548">
        <v>0.88329999999999997</v>
      </c>
      <c r="H139" s="1548">
        <v>0.88329999999999997</v>
      </c>
      <c r="I139" s="1548">
        <v>0.76139999999999997</v>
      </c>
      <c r="J139" s="1548">
        <v>0.76139999999999997</v>
      </c>
      <c r="K139" s="1548">
        <v>0.76139999999999997</v>
      </c>
      <c r="L139" s="1548">
        <v>0.76139999999999997</v>
      </c>
      <c r="M139" s="1548">
        <v>0.76139999999999997</v>
      </c>
    </row>
    <row r="140" spans="1:13">
      <c r="A140" s="1549">
        <v>5.5</v>
      </c>
      <c r="B140" s="1548">
        <v>0.94979999999999998</v>
      </c>
      <c r="C140" s="1548">
        <v>0.94979999999999998</v>
      </c>
      <c r="D140" s="1548">
        <v>0.88109999999999999</v>
      </c>
      <c r="E140" s="1548">
        <v>0.88109999999999999</v>
      </c>
      <c r="F140" s="1548">
        <v>0.88109999999999999</v>
      </c>
      <c r="G140" s="1548">
        <v>0.88109999999999999</v>
      </c>
      <c r="H140" s="1548">
        <v>0.88109999999999999</v>
      </c>
      <c r="I140" s="1548">
        <v>0.75860000000000005</v>
      </c>
      <c r="J140" s="1548">
        <v>0.75860000000000005</v>
      </c>
      <c r="K140" s="1548">
        <v>0.75860000000000005</v>
      </c>
      <c r="L140" s="1548">
        <v>0.75860000000000005</v>
      </c>
      <c r="M140" s="1548">
        <v>0.75860000000000005</v>
      </c>
    </row>
    <row r="141" spans="1:13">
      <c r="A141" s="1549">
        <v>5.6</v>
      </c>
      <c r="B141" s="1548">
        <v>0.94789999999999996</v>
      </c>
      <c r="C141" s="1548">
        <v>0.94789999999999996</v>
      </c>
      <c r="D141" s="1548">
        <v>0.87890000000000001</v>
      </c>
      <c r="E141" s="1548">
        <v>0.87890000000000001</v>
      </c>
      <c r="F141" s="1548">
        <v>0.87890000000000001</v>
      </c>
      <c r="G141" s="1548">
        <v>0.87890000000000001</v>
      </c>
      <c r="H141" s="1548">
        <v>0.87890000000000001</v>
      </c>
      <c r="I141" s="1548">
        <v>0.75590000000000002</v>
      </c>
      <c r="J141" s="1548">
        <v>0.75590000000000002</v>
      </c>
      <c r="K141" s="1548">
        <v>0.75590000000000002</v>
      </c>
      <c r="L141" s="1548">
        <v>0.75590000000000002</v>
      </c>
      <c r="M141" s="1548">
        <v>0.75590000000000002</v>
      </c>
    </row>
    <row r="142" spans="1:13">
      <c r="A142" s="1549">
        <v>5.7</v>
      </c>
      <c r="B142" s="1548">
        <v>0.94599999999999995</v>
      </c>
      <c r="C142" s="1548">
        <v>0.94599999999999995</v>
      </c>
      <c r="D142" s="1548">
        <v>0.87670000000000003</v>
      </c>
      <c r="E142" s="1548">
        <v>0.87670000000000003</v>
      </c>
      <c r="F142" s="1548">
        <v>0.87670000000000003</v>
      </c>
      <c r="G142" s="1548">
        <v>0.87670000000000003</v>
      </c>
      <c r="H142" s="1548">
        <v>0.87670000000000003</v>
      </c>
      <c r="I142" s="1548">
        <v>0.75319999999999998</v>
      </c>
      <c r="J142" s="1548">
        <v>0.75319999999999998</v>
      </c>
      <c r="K142" s="1548">
        <v>0.75319999999999998</v>
      </c>
      <c r="L142" s="1548">
        <v>0.75319999999999998</v>
      </c>
      <c r="M142" s="1548">
        <v>0.75319999999999998</v>
      </c>
    </row>
    <row r="143" spans="1:13">
      <c r="A143" s="1549">
        <v>5.8</v>
      </c>
      <c r="B143" s="1548">
        <v>0.94410000000000005</v>
      </c>
      <c r="C143" s="1548">
        <v>0.94410000000000005</v>
      </c>
      <c r="D143" s="1548">
        <v>0.87460000000000004</v>
      </c>
      <c r="E143" s="1548">
        <v>0.87460000000000004</v>
      </c>
      <c r="F143" s="1548">
        <v>0.87460000000000004</v>
      </c>
      <c r="G143" s="1548">
        <v>0.87460000000000004</v>
      </c>
      <c r="H143" s="1548">
        <v>0.87460000000000004</v>
      </c>
      <c r="I143" s="1548">
        <v>0.75049999999999994</v>
      </c>
      <c r="J143" s="1548">
        <v>0.75049999999999994</v>
      </c>
      <c r="K143" s="1548">
        <v>0.75049999999999994</v>
      </c>
      <c r="L143" s="1548">
        <v>0.75049999999999994</v>
      </c>
      <c r="M143" s="1548">
        <v>0.75049999999999994</v>
      </c>
    </row>
    <row r="144" spans="1:13">
      <c r="A144" s="1549">
        <v>5.9</v>
      </c>
      <c r="B144" s="1548">
        <v>0.94220000000000004</v>
      </c>
      <c r="C144" s="1548">
        <v>0.94220000000000004</v>
      </c>
      <c r="D144" s="1548">
        <v>0.87250000000000005</v>
      </c>
      <c r="E144" s="1548">
        <v>0.87250000000000005</v>
      </c>
      <c r="F144" s="1548">
        <v>0.87250000000000005</v>
      </c>
      <c r="G144" s="1548">
        <v>0.87250000000000005</v>
      </c>
      <c r="H144" s="1548">
        <v>0.87250000000000005</v>
      </c>
      <c r="I144" s="1548">
        <v>0.74780000000000002</v>
      </c>
      <c r="J144" s="1548">
        <v>0.74780000000000002</v>
      </c>
      <c r="K144" s="1548">
        <v>0.74780000000000002</v>
      </c>
      <c r="L144" s="1548">
        <v>0.74780000000000002</v>
      </c>
      <c r="M144" s="1548">
        <v>0.74780000000000002</v>
      </c>
    </row>
    <row r="145" spans="1:13">
      <c r="A145" s="1549">
        <v>6</v>
      </c>
      <c r="B145" s="1548">
        <v>0.94040000000000001</v>
      </c>
      <c r="C145" s="1548">
        <v>0.94040000000000001</v>
      </c>
      <c r="D145" s="1548">
        <v>0.87039999999999995</v>
      </c>
      <c r="E145" s="1548">
        <v>0.87039999999999995</v>
      </c>
      <c r="F145" s="1548">
        <v>0.87039999999999995</v>
      </c>
      <c r="G145" s="1548">
        <v>0.87039999999999995</v>
      </c>
      <c r="H145" s="1548">
        <v>0.87039999999999995</v>
      </c>
      <c r="I145" s="1548">
        <v>0.74519999999999997</v>
      </c>
      <c r="J145" s="1548">
        <v>0.74519999999999997</v>
      </c>
      <c r="K145" s="1548">
        <v>0.74519999999999997</v>
      </c>
      <c r="L145" s="1548">
        <v>0.74519999999999997</v>
      </c>
      <c r="M145" s="1548">
        <v>0.74519999999999997</v>
      </c>
    </row>
    <row r="146" spans="1:13">
      <c r="A146" s="1549">
        <v>6.1</v>
      </c>
      <c r="B146" s="1548">
        <v>0.93859999999999999</v>
      </c>
      <c r="C146" s="1548">
        <v>0.93859999999999999</v>
      </c>
      <c r="D146" s="1548">
        <v>0.86829999999999996</v>
      </c>
      <c r="E146" s="1548">
        <v>0.86829999999999996</v>
      </c>
      <c r="F146" s="1548">
        <v>0.86829999999999996</v>
      </c>
      <c r="G146" s="1548">
        <v>0.86829999999999996</v>
      </c>
      <c r="H146" s="1548">
        <v>0.86829999999999996</v>
      </c>
      <c r="I146" s="1548">
        <v>0.74260000000000004</v>
      </c>
      <c r="J146" s="1548">
        <v>0.74260000000000004</v>
      </c>
      <c r="K146" s="1548">
        <v>0.74260000000000004</v>
      </c>
      <c r="L146" s="1548">
        <v>0.74260000000000004</v>
      </c>
      <c r="M146" s="1548">
        <v>0.74260000000000004</v>
      </c>
    </row>
    <row r="147" spans="1:13">
      <c r="A147" s="1549">
        <v>6.2</v>
      </c>
      <c r="B147" s="1548">
        <v>0.93679999999999997</v>
      </c>
      <c r="C147" s="1548">
        <v>0.93679999999999997</v>
      </c>
      <c r="D147" s="1548">
        <v>0.86619999999999997</v>
      </c>
      <c r="E147" s="1548">
        <v>0.86619999999999997</v>
      </c>
      <c r="F147" s="1548">
        <v>0.86619999999999997</v>
      </c>
      <c r="G147" s="1548">
        <v>0.86619999999999997</v>
      </c>
      <c r="H147" s="1548">
        <v>0.86619999999999997</v>
      </c>
      <c r="I147" s="1548">
        <v>0.74</v>
      </c>
      <c r="J147" s="1548">
        <v>0.74</v>
      </c>
      <c r="K147" s="1548">
        <v>0.74</v>
      </c>
      <c r="L147" s="1548">
        <v>0.74</v>
      </c>
      <c r="M147" s="1548">
        <v>0.74</v>
      </c>
    </row>
    <row r="148" spans="1:13">
      <c r="A148" s="1549">
        <v>6.3</v>
      </c>
      <c r="B148" s="1548">
        <v>0.93500000000000005</v>
      </c>
      <c r="C148" s="1548">
        <v>0.93500000000000005</v>
      </c>
      <c r="D148" s="1548">
        <v>0.86409999999999998</v>
      </c>
      <c r="E148" s="1548">
        <v>0.86409999999999998</v>
      </c>
      <c r="F148" s="1548">
        <v>0.86409999999999998</v>
      </c>
      <c r="G148" s="1548">
        <v>0.86409999999999998</v>
      </c>
      <c r="H148" s="1548">
        <v>0.86409999999999998</v>
      </c>
      <c r="I148" s="1548">
        <v>0.73740000000000006</v>
      </c>
      <c r="J148" s="1548">
        <v>0.73740000000000006</v>
      </c>
      <c r="K148" s="1548">
        <v>0.73740000000000006</v>
      </c>
      <c r="L148" s="1548">
        <v>0.73740000000000006</v>
      </c>
      <c r="M148" s="1548">
        <v>0.73740000000000006</v>
      </c>
    </row>
    <row r="149" spans="1:13">
      <c r="A149" s="1549">
        <v>6.4</v>
      </c>
      <c r="B149" s="1548">
        <v>0.93320000000000003</v>
      </c>
      <c r="C149" s="1548">
        <v>0.93320000000000003</v>
      </c>
      <c r="D149" s="1548">
        <v>0.86209999999999998</v>
      </c>
      <c r="E149" s="1548">
        <v>0.86209999999999998</v>
      </c>
      <c r="F149" s="1548">
        <v>0.86209999999999998</v>
      </c>
      <c r="G149" s="1548">
        <v>0.86209999999999998</v>
      </c>
      <c r="H149" s="1548">
        <v>0.86209999999999998</v>
      </c>
      <c r="I149" s="1548">
        <v>0.73480000000000001</v>
      </c>
      <c r="J149" s="1548">
        <v>0.73480000000000001</v>
      </c>
      <c r="K149" s="1548">
        <v>0.73480000000000001</v>
      </c>
      <c r="L149" s="1548">
        <v>0.73480000000000001</v>
      </c>
      <c r="M149" s="1548">
        <v>0.73480000000000001</v>
      </c>
    </row>
    <row r="150" spans="1:13">
      <c r="A150" s="1549">
        <v>6.5</v>
      </c>
      <c r="B150" s="1548">
        <v>0.93149999999999999</v>
      </c>
      <c r="C150" s="1548">
        <v>0.93149999999999999</v>
      </c>
      <c r="D150" s="1548">
        <v>0.86009999999999998</v>
      </c>
      <c r="E150" s="1548">
        <v>0.86009999999999998</v>
      </c>
      <c r="F150" s="1548">
        <v>0.86009999999999998</v>
      </c>
      <c r="G150" s="1548">
        <v>0.86009999999999998</v>
      </c>
      <c r="H150" s="1548">
        <v>0.86009999999999998</v>
      </c>
      <c r="I150" s="1548">
        <v>0.73229999999999995</v>
      </c>
      <c r="J150" s="1548">
        <v>0.73229999999999995</v>
      </c>
      <c r="K150" s="1548">
        <v>0.73229999999999995</v>
      </c>
      <c r="L150" s="1548">
        <v>0.73229999999999995</v>
      </c>
      <c r="M150" s="1548">
        <v>0.73229999999999995</v>
      </c>
    </row>
    <row r="151" spans="1:13">
      <c r="A151" s="1549">
        <v>6.6</v>
      </c>
      <c r="B151" s="1548">
        <v>0.92979999999999996</v>
      </c>
      <c r="C151" s="1548">
        <v>0.92979999999999996</v>
      </c>
      <c r="D151" s="1548">
        <v>0.85809999999999997</v>
      </c>
      <c r="E151" s="1548">
        <v>0.85809999999999997</v>
      </c>
      <c r="F151" s="1548">
        <v>0.85809999999999997</v>
      </c>
      <c r="G151" s="1548">
        <v>0.85809999999999997</v>
      </c>
      <c r="H151" s="1548">
        <v>0.85809999999999997</v>
      </c>
      <c r="I151" s="1548">
        <v>0.7298</v>
      </c>
      <c r="J151" s="1548">
        <v>0.7298</v>
      </c>
      <c r="K151" s="1548">
        <v>0.7298</v>
      </c>
      <c r="L151" s="1548">
        <v>0.7298</v>
      </c>
      <c r="M151" s="1548">
        <v>0.7298</v>
      </c>
    </row>
    <row r="152" spans="1:13">
      <c r="A152" s="1549">
        <v>6.7</v>
      </c>
      <c r="B152" s="1548">
        <v>0.92810000000000004</v>
      </c>
      <c r="C152" s="1548">
        <v>0.92810000000000004</v>
      </c>
      <c r="D152" s="1548">
        <v>0.85609999999999997</v>
      </c>
      <c r="E152" s="1548">
        <v>0.85609999999999997</v>
      </c>
      <c r="F152" s="1548">
        <v>0.85609999999999997</v>
      </c>
      <c r="G152" s="1548">
        <v>0.85609999999999997</v>
      </c>
      <c r="H152" s="1548">
        <v>0.85609999999999997</v>
      </c>
      <c r="I152" s="1548">
        <v>0.72729999999999995</v>
      </c>
      <c r="J152" s="1548">
        <v>0.72729999999999995</v>
      </c>
      <c r="K152" s="1548">
        <v>0.72729999999999995</v>
      </c>
      <c r="L152" s="1548">
        <v>0.72729999999999995</v>
      </c>
      <c r="M152" s="1548">
        <v>0.72729999999999995</v>
      </c>
    </row>
    <row r="153" spans="1:13">
      <c r="A153" s="1549">
        <v>6.8</v>
      </c>
      <c r="B153" s="1548">
        <v>0.9264</v>
      </c>
      <c r="C153" s="1548">
        <v>0.9264</v>
      </c>
      <c r="D153" s="1548">
        <v>0.85409999999999997</v>
      </c>
      <c r="E153" s="1548">
        <v>0.85409999999999997</v>
      </c>
      <c r="F153" s="1548">
        <v>0.85409999999999997</v>
      </c>
      <c r="G153" s="1548">
        <v>0.85409999999999997</v>
      </c>
      <c r="H153" s="1548">
        <v>0.85409999999999997</v>
      </c>
      <c r="I153" s="1548">
        <v>0.7248</v>
      </c>
      <c r="J153" s="1548">
        <v>0.7248</v>
      </c>
      <c r="K153" s="1548">
        <v>0.7248</v>
      </c>
      <c r="L153" s="1548">
        <v>0.7248</v>
      </c>
      <c r="M153" s="1548">
        <v>0.7248</v>
      </c>
    </row>
    <row r="154" spans="1:13">
      <c r="A154" s="1549">
        <v>6.9</v>
      </c>
      <c r="B154" s="1548">
        <v>0.92469999999999997</v>
      </c>
      <c r="C154" s="1548">
        <v>0.92469999999999997</v>
      </c>
      <c r="D154" s="1548">
        <v>0.85209999999999997</v>
      </c>
      <c r="E154" s="1548">
        <v>0.85209999999999997</v>
      </c>
      <c r="F154" s="1548">
        <v>0.85209999999999997</v>
      </c>
      <c r="G154" s="1548">
        <v>0.85209999999999997</v>
      </c>
      <c r="H154" s="1548">
        <v>0.85209999999999997</v>
      </c>
      <c r="I154" s="1548">
        <v>0.72230000000000005</v>
      </c>
      <c r="J154" s="1548">
        <v>0.72230000000000005</v>
      </c>
      <c r="K154" s="1548">
        <v>0.72230000000000005</v>
      </c>
      <c r="L154" s="1548">
        <v>0.72230000000000005</v>
      </c>
      <c r="M154" s="1548">
        <v>0.72230000000000005</v>
      </c>
    </row>
    <row r="155" spans="1:13">
      <c r="A155" s="1545">
        <v>7</v>
      </c>
      <c r="B155" s="1548">
        <v>0.92300000000000004</v>
      </c>
      <c r="C155" s="1548">
        <v>0.92300000000000004</v>
      </c>
      <c r="D155" s="1548">
        <v>0.85019999999999996</v>
      </c>
      <c r="E155" s="1548">
        <v>0.85019999999999996</v>
      </c>
      <c r="F155" s="1548">
        <v>0.85019999999999996</v>
      </c>
      <c r="G155" s="1548">
        <v>0.85019999999999996</v>
      </c>
      <c r="H155" s="1548">
        <v>0.85019999999999996</v>
      </c>
      <c r="I155" s="1548">
        <v>0.71989999999999998</v>
      </c>
      <c r="J155" s="1548">
        <v>0.71989999999999998</v>
      </c>
      <c r="K155" s="1548">
        <v>0.71989999999999998</v>
      </c>
      <c r="L155" s="1548">
        <v>0.71989999999999998</v>
      </c>
      <c r="M155" s="1548">
        <v>0.71989999999999998</v>
      </c>
    </row>
    <row r="156" spans="1:13">
      <c r="A156" s="1545">
        <v>7.1</v>
      </c>
      <c r="B156" s="1548">
        <v>0.9214</v>
      </c>
      <c r="C156" s="1548">
        <v>0.9214</v>
      </c>
      <c r="D156" s="1548">
        <v>0.84830000000000005</v>
      </c>
      <c r="E156" s="1548">
        <v>0.84830000000000005</v>
      </c>
      <c r="F156" s="1548">
        <v>0.84830000000000005</v>
      </c>
      <c r="G156" s="1548">
        <v>0.84830000000000005</v>
      </c>
      <c r="H156" s="1548">
        <v>0.84830000000000005</v>
      </c>
      <c r="I156" s="1548">
        <v>0.71750000000000003</v>
      </c>
      <c r="J156" s="1548">
        <v>0.71750000000000003</v>
      </c>
      <c r="K156" s="1548">
        <v>0.71750000000000003</v>
      </c>
      <c r="L156" s="1548">
        <v>0.71750000000000003</v>
      </c>
      <c r="M156" s="1548">
        <v>0.71750000000000003</v>
      </c>
    </row>
    <row r="157" spans="1:13">
      <c r="A157" s="1545">
        <v>7.2</v>
      </c>
      <c r="B157" s="1548">
        <v>0.91979999999999995</v>
      </c>
      <c r="C157" s="1548">
        <v>0.91979999999999995</v>
      </c>
      <c r="D157" s="1548">
        <v>0.84640000000000004</v>
      </c>
      <c r="E157" s="1548">
        <v>0.84640000000000004</v>
      </c>
      <c r="F157" s="1548">
        <v>0.84640000000000004</v>
      </c>
      <c r="G157" s="1548">
        <v>0.84640000000000004</v>
      </c>
      <c r="H157" s="1548">
        <v>0.84640000000000004</v>
      </c>
      <c r="I157" s="1548">
        <v>0.71509999999999996</v>
      </c>
      <c r="J157" s="1548">
        <v>0.71509999999999996</v>
      </c>
      <c r="K157" s="1548">
        <v>0.71509999999999996</v>
      </c>
      <c r="L157" s="1548">
        <v>0.71509999999999996</v>
      </c>
      <c r="M157" s="1548">
        <v>0.71509999999999996</v>
      </c>
    </row>
    <row r="158" spans="1:13">
      <c r="A158" s="1545">
        <v>7.3</v>
      </c>
      <c r="B158" s="1548">
        <v>0.91820000000000002</v>
      </c>
      <c r="C158" s="1548">
        <v>0.91820000000000002</v>
      </c>
      <c r="D158" s="1548">
        <v>0.84450000000000003</v>
      </c>
      <c r="E158" s="1548">
        <v>0.84450000000000003</v>
      </c>
      <c r="F158" s="1548">
        <v>0.84450000000000003</v>
      </c>
      <c r="G158" s="1548">
        <v>0.84450000000000003</v>
      </c>
      <c r="H158" s="1548">
        <v>0.84450000000000003</v>
      </c>
      <c r="I158" s="1548">
        <v>0.7127</v>
      </c>
      <c r="J158" s="1548">
        <v>0.7127</v>
      </c>
      <c r="K158" s="1548">
        <v>0.7127</v>
      </c>
      <c r="L158" s="1548">
        <v>0.7127</v>
      </c>
      <c r="M158" s="1548">
        <v>0.7127</v>
      </c>
    </row>
    <row r="159" spans="1:13">
      <c r="A159" s="1545">
        <v>7.4</v>
      </c>
      <c r="B159" s="1548">
        <v>0.91659999999999997</v>
      </c>
      <c r="C159" s="1548">
        <v>0.91659999999999997</v>
      </c>
      <c r="D159" s="1548">
        <v>0.84260000000000002</v>
      </c>
      <c r="E159" s="1548">
        <v>0.84260000000000002</v>
      </c>
      <c r="F159" s="1548">
        <v>0.84260000000000002</v>
      </c>
      <c r="G159" s="1548">
        <v>0.84260000000000002</v>
      </c>
      <c r="H159" s="1548">
        <v>0.84260000000000002</v>
      </c>
      <c r="I159" s="1548">
        <v>0.71030000000000004</v>
      </c>
      <c r="J159" s="1548">
        <v>0.71030000000000004</v>
      </c>
      <c r="K159" s="1548">
        <v>0.71030000000000004</v>
      </c>
      <c r="L159" s="1548">
        <v>0.71030000000000004</v>
      </c>
      <c r="M159" s="1548">
        <v>0.71030000000000004</v>
      </c>
    </row>
    <row r="160" spans="1:13">
      <c r="A160" s="1545">
        <v>7.5</v>
      </c>
      <c r="B160" s="1548">
        <v>0.91500000000000004</v>
      </c>
      <c r="C160" s="1548">
        <v>0.91500000000000004</v>
      </c>
      <c r="D160" s="1548">
        <v>0.8407</v>
      </c>
      <c r="E160" s="1548">
        <v>0.8407</v>
      </c>
      <c r="F160" s="1548">
        <v>0.8407</v>
      </c>
      <c r="G160" s="1548">
        <v>0.8407</v>
      </c>
      <c r="H160" s="1548">
        <v>0.8407</v>
      </c>
      <c r="I160" s="1548">
        <v>0.70799999999999996</v>
      </c>
      <c r="J160" s="1548">
        <v>0.70799999999999996</v>
      </c>
      <c r="K160" s="1548">
        <v>0.70799999999999996</v>
      </c>
      <c r="L160" s="1548">
        <v>0.70799999999999996</v>
      </c>
      <c r="M160" s="1548">
        <v>0.70799999999999996</v>
      </c>
    </row>
    <row r="161" spans="1:13">
      <c r="A161" s="1549">
        <v>7.6</v>
      </c>
      <c r="B161" s="1548">
        <v>0.91339999999999999</v>
      </c>
      <c r="C161" s="1548">
        <v>0.91339999999999999</v>
      </c>
      <c r="D161" s="1548">
        <v>0.83889999999999998</v>
      </c>
      <c r="E161" s="1548">
        <v>0.83889999999999998</v>
      </c>
      <c r="F161" s="1548">
        <v>0.83889999999999998</v>
      </c>
      <c r="G161" s="1548">
        <v>0.83889999999999998</v>
      </c>
      <c r="H161" s="1548">
        <v>0.83889999999999998</v>
      </c>
      <c r="I161" s="1548">
        <v>0.70569999999999999</v>
      </c>
      <c r="J161" s="1548">
        <v>0.70569999999999999</v>
      </c>
      <c r="K161" s="1548">
        <v>0.70569999999999999</v>
      </c>
      <c r="L161" s="1548">
        <v>0.70569999999999999</v>
      </c>
      <c r="M161" s="1548">
        <v>0.70569999999999999</v>
      </c>
    </row>
    <row r="162" spans="1:13">
      <c r="A162" s="1545">
        <v>7.7</v>
      </c>
      <c r="B162" s="1548">
        <v>0.91190000000000004</v>
      </c>
      <c r="C162" s="1548">
        <v>0.91190000000000004</v>
      </c>
      <c r="D162" s="1548">
        <v>0.83709999999999996</v>
      </c>
      <c r="E162" s="1548">
        <v>0.83709999999999996</v>
      </c>
      <c r="F162" s="1548">
        <v>0.83709999999999996</v>
      </c>
      <c r="G162" s="1548">
        <v>0.83709999999999996</v>
      </c>
      <c r="H162" s="1548">
        <v>0.83709999999999996</v>
      </c>
      <c r="I162" s="1548">
        <v>0.70340000000000003</v>
      </c>
      <c r="J162" s="1548">
        <v>0.70340000000000003</v>
      </c>
      <c r="K162" s="1548">
        <v>0.70340000000000003</v>
      </c>
      <c r="L162" s="1548">
        <v>0.70340000000000003</v>
      </c>
      <c r="M162" s="1548">
        <v>0.70340000000000003</v>
      </c>
    </row>
    <row r="163" spans="1:13">
      <c r="A163" s="1545">
        <v>7.8</v>
      </c>
      <c r="B163" s="1548">
        <v>0.91039999999999999</v>
      </c>
      <c r="C163" s="1548">
        <v>0.91039999999999999</v>
      </c>
      <c r="D163" s="1548">
        <v>0.83530000000000004</v>
      </c>
      <c r="E163" s="1548">
        <v>0.83530000000000004</v>
      </c>
      <c r="F163" s="1548">
        <v>0.83530000000000004</v>
      </c>
      <c r="G163" s="1548">
        <v>0.83530000000000004</v>
      </c>
      <c r="H163" s="1548">
        <v>0.83530000000000004</v>
      </c>
      <c r="I163" s="1548">
        <v>0.70109999999999995</v>
      </c>
      <c r="J163" s="1548">
        <v>0.70109999999999995</v>
      </c>
      <c r="K163" s="1548">
        <v>0.70109999999999995</v>
      </c>
      <c r="L163" s="1548">
        <v>0.70109999999999995</v>
      </c>
      <c r="M163" s="1548">
        <v>0.70109999999999995</v>
      </c>
    </row>
    <row r="164" spans="1:13">
      <c r="A164" s="1545">
        <v>7.9</v>
      </c>
      <c r="B164" s="1548">
        <v>0.90890000000000004</v>
      </c>
      <c r="C164" s="1548">
        <v>0.90890000000000004</v>
      </c>
      <c r="D164" s="1548">
        <v>0.83350000000000002</v>
      </c>
      <c r="E164" s="1548">
        <v>0.83350000000000002</v>
      </c>
      <c r="F164" s="1548">
        <v>0.83350000000000002</v>
      </c>
      <c r="G164" s="1548">
        <v>0.83350000000000002</v>
      </c>
      <c r="H164" s="1548">
        <v>0.83350000000000002</v>
      </c>
      <c r="I164" s="1548">
        <v>0.69879999999999998</v>
      </c>
      <c r="J164" s="1548">
        <v>0.69879999999999998</v>
      </c>
      <c r="K164" s="1548">
        <v>0.69879999999999998</v>
      </c>
      <c r="L164" s="1548">
        <v>0.69879999999999998</v>
      </c>
      <c r="M164" s="1548">
        <v>0.69879999999999998</v>
      </c>
    </row>
    <row r="165" spans="1:13">
      <c r="A165" s="1545">
        <v>8</v>
      </c>
      <c r="B165" s="1548">
        <v>0.90739999999999998</v>
      </c>
      <c r="C165" s="1548">
        <v>0.90739999999999998</v>
      </c>
      <c r="D165" s="1548">
        <v>0.83169999999999999</v>
      </c>
      <c r="E165" s="1548">
        <v>0.83169999999999999</v>
      </c>
      <c r="F165" s="1548">
        <v>0.83169999999999999</v>
      </c>
      <c r="G165" s="1548">
        <v>0.83169999999999999</v>
      </c>
      <c r="H165" s="1548">
        <v>0.83169999999999999</v>
      </c>
      <c r="I165" s="1548">
        <v>0.6966</v>
      </c>
      <c r="J165" s="1548">
        <v>0.6966</v>
      </c>
      <c r="K165" s="1548">
        <v>0.6966</v>
      </c>
      <c r="L165" s="1548">
        <v>0.6966</v>
      </c>
      <c r="M165" s="1548">
        <v>0.6966</v>
      </c>
    </row>
    <row r="166" spans="1:13">
      <c r="A166" s="1545">
        <v>8.1</v>
      </c>
      <c r="B166" s="1548">
        <v>0.90590000000000004</v>
      </c>
      <c r="C166" s="1548">
        <v>0.90590000000000004</v>
      </c>
      <c r="D166" s="1548">
        <v>0.82989999999999997</v>
      </c>
      <c r="E166" s="1548">
        <v>0.82989999999999997</v>
      </c>
      <c r="F166" s="1548">
        <v>0.82989999999999997</v>
      </c>
      <c r="G166" s="1548">
        <v>0.82989999999999997</v>
      </c>
      <c r="H166" s="1548">
        <v>0.82989999999999997</v>
      </c>
      <c r="I166" s="1548">
        <v>0.69440000000000002</v>
      </c>
      <c r="J166" s="1548">
        <v>0.69440000000000002</v>
      </c>
      <c r="K166" s="1548">
        <v>0.69440000000000002</v>
      </c>
      <c r="L166" s="1548">
        <v>0.69440000000000002</v>
      </c>
      <c r="M166" s="1548">
        <v>0.69440000000000002</v>
      </c>
    </row>
    <row r="167" spans="1:13">
      <c r="A167" s="1545">
        <v>8.1999999999999993</v>
      </c>
      <c r="B167" s="1548">
        <v>0.90439999999999998</v>
      </c>
      <c r="C167" s="1548">
        <v>0.90439999999999998</v>
      </c>
      <c r="D167" s="1548">
        <v>0.82820000000000005</v>
      </c>
      <c r="E167" s="1548">
        <v>0.82820000000000005</v>
      </c>
      <c r="F167" s="1548">
        <v>0.82820000000000005</v>
      </c>
      <c r="G167" s="1548">
        <v>0.82820000000000005</v>
      </c>
      <c r="H167" s="1548">
        <v>0.82820000000000005</v>
      </c>
      <c r="I167" s="1548">
        <v>0.69220000000000004</v>
      </c>
      <c r="J167" s="1548">
        <v>0.69220000000000004</v>
      </c>
      <c r="K167" s="1548">
        <v>0.69220000000000004</v>
      </c>
      <c r="L167" s="1548">
        <v>0.69220000000000004</v>
      </c>
      <c r="M167" s="1548">
        <v>0.69220000000000004</v>
      </c>
    </row>
    <row r="168" spans="1:13">
      <c r="A168" s="1545">
        <v>8.3000000000000007</v>
      </c>
      <c r="B168" s="1548">
        <v>0.90300000000000002</v>
      </c>
      <c r="C168" s="1548">
        <v>0.90300000000000002</v>
      </c>
      <c r="D168" s="1548">
        <v>0.82650000000000001</v>
      </c>
      <c r="E168" s="1548">
        <v>0.82650000000000001</v>
      </c>
      <c r="F168" s="1548">
        <v>0.82650000000000001</v>
      </c>
      <c r="G168" s="1548">
        <v>0.82650000000000001</v>
      </c>
      <c r="H168" s="1548">
        <v>0.82650000000000001</v>
      </c>
      <c r="I168" s="1548">
        <v>0.69</v>
      </c>
      <c r="J168" s="1548">
        <v>0.69</v>
      </c>
      <c r="K168" s="1548">
        <v>0.69</v>
      </c>
      <c r="L168" s="1548">
        <v>0.69</v>
      </c>
      <c r="M168" s="1548">
        <v>0.69</v>
      </c>
    </row>
    <row r="169" spans="1:13">
      <c r="A169" s="1545">
        <v>8.4</v>
      </c>
      <c r="B169" s="1548">
        <v>0.90159999999999996</v>
      </c>
      <c r="C169" s="1548">
        <v>0.90159999999999996</v>
      </c>
      <c r="D169" s="1548">
        <v>0.82479999999999998</v>
      </c>
      <c r="E169" s="1548">
        <v>0.82479999999999998</v>
      </c>
      <c r="F169" s="1548">
        <v>0.82479999999999998</v>
      </c>
      <c r="G169" s="1548">
        <v>0.82479999999999998</v>
      </c>
      <c r="H169" s="1548">
        <v>0.82479999999999998</v>
      </c>
      <c r="I169" s="1548">
        <v>0.68779999999999997</v>
      </c>
      <c r="J169" s="1548">
        <v>0.68779999999999997</v>
      </c>
      <c r="K169" s="1548">
        <v>0.68779999999999997</v>
      </c>
      <c r="L169" s="1548">
        <v>0.68779999999999997</v>
      </c>
      <c r="M169" s="1548">
        <v>0.68779999999999997</v>
      </c>
    </row>
    <row r="170" spans="1:13">
      <c r="A170" s="1545">
        <v>8.5</v>
      </c>
      <c r="B170" s="1548">
        <v>0.9002</v>
      </c>
      <c r="C170" s="1548">
        <v>0.9002</v>
      </c>
      <c r="D170" s="1548">
        <v>0.82310000000000005</v>
      </c>
      <c r="E170" s="1548">
        <v>0.82310000000000005</v>
      </c>
      <c r="F170" s="1548">
        <v>0.82310000000000005</v>
      </c>
      <c r="G170" s="1548">
        <v>0.82310000000000005</v>
      </c>
      <c r="H170" s="1548">
        <v>0.82310000000000005</v>
      </c>
      <c r="I170" s="1548">
        <v>0.68569999999999998</v>
      </c>
      <c r="J170" s="1548">
        <v>0.68569999999999998</v>
      </c>
      <c r="K170" s="1548">
        <v>0.68569999999999998</v>
      </c>
      <c r="L170" s="1548">
        <v>0.68569999999999998</v>
      </c>
      <c r="M170" s="1548">
        <v>0.68569999999999998</v>
      </c>
    </row>
    <row r="171" spans="1:13">
      <c r="A171" s="1545">
        <v>8.6</v>
      </c>
      <c r="B171" s="1548">
        <v>0.89880000000000004</v>
      </c>
      <c r="C171" s="1548">
        <v>0.89880000000000004</v>
      </c>
      <c r="D171" s="1548">
        <v>0.82140000000000002</v>
      </c>
      <c r="E171" s="1548">
        <v>0.82140000000000002</v>
      </c>
      <c r="F171" s="1548">
        <v>0.82140000000000002</v>
      </c>
      <c r="G171" s="1548">
        <v>0.82140000000000002</v>
      </c>
      <c r="H171" s="1548">
        <v>0.82140000000000002</v>
      </c>
      <c r="I171" s="1548">
        <v>0.68359999999999999</v>
      </c>
      <c r="J171" s="1548">
        <v>0.68359999999999999</v>
      </c>
      <c r="K171" s="1548">
        <v>0.68359999999999999</v>
      </c>
      <c r="L171" s="1548">
        <v>0.68359999999999999</v>
      </c>
      <c r="M171" s="1548">
        <v>0.68359999999999999</v>
      </c>
    </row>
    <row r="172" spans="1:13">
      <c r="A172" s="1545">
        <v>8.6999999999999993</v>
      </c>
      <c r="B172" s="1548">
        <v>0.89739999999999998</v>
      </c>
      <c r="C172" s="1548">
        <v>0.89739999999999998</v>
      </c>
      <c r="D172" s="1548">
        <v>0.81969999999999998</v>
      </c>
      <c r="E172" s="1548">
        <v>0.81969999999999998</v>
      </c>
      <c r="F172" s="1548">
        <v>0.81969999999999998</v>
      </c>
      <c r="G172" s="1548">
        <v>0.81969999999999998</v>
      </c>
      <c r="H172" s="1548">
        <v>0.81969999999999998</v>
      </c>
      <c r="I172" s="1548">
        <v>0.68149999999999999</v>
      </c>
      <c r="J172" s="1548">
        <v>0.68149999999999999</v>
      </c>
      <c r="K172" s="1548">
        <v>0.68149999999999999</v>
      </c>
      <c r="L172" s="1548">
        <v>0.68149999999999999</v>
      </c>
      <c r="M172" s="1548">
        <v>0.68149999999999999</v>
      </c>
    </row>
    <row r="173" spans="1:13">
      <c r="A173" s="1545">
        <v>8.8000000000000007</v>
      </c>
      <c r="B173" s="1548">
        <v>0.89600000000000002</v>
      </c>
      <c r="C173" s="1548">
        <v>0.89600000000000002</v>
      </c>
      <c r="D173" s="1548">
        <v>0.81810000000000005</v>
      </c>
      <c r="E173" s="1548">
        <v>0.81810000000000005</v>
      </c>
      <c r="F173" s="1548">
        <v>0.81810000000000005</v>
      </c>
      <c r="G173" s="1548">
        <v>0.81810000000000005</v>
      </c>
      <c r="H173" s="1548">
        <v>0.81810000000000005</v>
      </c>
      <c r="I173" s="1548">
        <v>0.6794</v>
      </c>
      <c r="J173" s="1548">
        <v>0.6794</v>
      </c>
      <c r="K173" s="1548">
        <v>0.6794</v>
      </c>
      <c r="L173" s="1548">
        <v>0.6794</v>
      </c>
      <c r="M173" s="1548">
        <v>0.6794</v>
      </c>
    </row>
    <row r="174" spans="1:13">
      <c r="A174" s="1545">
        <v>8.9</v>
      </c>
      <c r="B174" s="1548">
        <v>0.89470000000000005</v>
      </c>
      <c r="C174" s="1548">
        <v>0.89470000000000005</v>
      </c>
      <c r="D174" s="1548">
        <v>0.8165</v>
      </c>
      <c r="E174" s="1548">
        <v>0.8165</v>
      </c>
      <c r="F174" s="1548">
        <v>0.8165</v>
      </c>
      <c r="G174" s="1548">
        <v>0.8165</v>
      </c>
      <c r="H174" s="1548">
        <v>0.8165</v>
      </c>
      <c r="I174" s="1548">
        <v>0.6774</v>
      </c>
      <c r="J174" s="1548">
        <v>0.6774</v>
      </c>
      <c r="K174" s="1548">
        <v>0.6774</v>
      </c>
      <c r="L174" s="1548">
        <v>0.6774</v>
      </c>
      <c r="M174" s="1548">
        <v>0.6774</v>
      </c>
    </row>
    <row r="175" spans="1:13">
      <c r="A175" s="1545">
        <v>9</v>
      </c>
      <c r="B175" s="1548">
        <v>0.89339999999999997</v>
      </c>
      <c r="C175" s="1548">
        <v>0.89339999999999997</v>
      </c>
      <c r="D175" s="1548">
        <v>0.81489999999999996</v>
      </c>
      <c r="E175" s="1548">
        <v>0.81489999999999996</v>
      </c>
      <c r="F175" s="1548">
        <v>0.81489999999999996</v>
      </c>
      <c r="G175" s="1548">
        <v>0.81489999999999996</v>
      </c>
      <c r="H175" s="1548">
        <v>0.81489999999999996</v>
      </c>
      <c r="I175" s="1548">
        <v>0.6754</v>
      </c>
      <c r="J175" s="1548">
        <v>0.6754</v>
      </c>
      <c r="K175" s="1548">
        <v>0.6754</v>
      </c>
      <c r="L175" s="1548">
        <v>0.6754</v>
      </c>
      <c r="M175" s="1548">
        <v>0.6754</v>
      </c>
    </row>
    <row r="176" spans="1:13">
      <c r="A176" s="1545">
        <v>9.1</v>
      </c>
      <c r="B176" s="1548">
        <v>0.8921</v>
      </c>
      <c r="C176" s="1548">
        <v>0.8921</v>
      </c>
      <c r="D176" s="1548">
        <v>0.81330000000000002</v>
      </c>
      <c r="E176" s="1548">
        <v>0.81330000000000002</v>
      </c>
      <c r="F176" s="1548">
        <v>0.81330000000000002</v>
      </c>
      <c r="G176" s="1548">
        <v>0.81330000000000002</v>
      </c>
      <c r="H176" s="1548">
        <v>0.81330000000000002</v>
      </c>
      <c r="I176" s="1548">
        <v>0.6734</v>
      </c>
      <c r="J176" s="1548">
        <v>0.6734</v>
      </c>
      <c r="K176" s="1548">
        <v>0.6734</v>
      </c>
      <c r="L176" s="1548">
        <v>0.6734</v>
      </c>
      <c r="M176" s="1548">
        <v>0.6734</v>
      </c>
    </row>
    <row r="177" spans="1:13">
      <c r="A177" s="1545">
        <v>9.1999999999999993</v>
      </c>
      <c r="B177" s="1548">
        <v>0.89080000000000004</v>
      </c>
      <c r="C177" s="1548">
        <v>0.89080000000000004</v>
      </c>
      <c r="D177" s="1548">
        <v>0.81169999999999998</v>
      </c>
      <c r="E177" s="1548">
        <v>0.81169999999999998</v>
      </c>
      <c r="F177" s="1548">
        <v>0.81169999999999998</v>
      </c>
      <c r="G177" s="1548">
        <v>0.81169999999999998</v>
      </c>
      <c r="H177" s="1548">
        <v>0.81169999999999998</v>
      </c>
      <c r="I177" s="1548">
        <v>0.6714</v>
      </c>
      <c r="J177" s="1548">
        <v>0.6714</v>
      </c>
      <c r="K177" s="1548">
        <v>0.6714</v>
      </c>
      <c r="L177" s="1548">
        <v>0.6714</v>
      </c>
      <c r="M177" s="1548">
        <v>0.6714</v>
      </c>
    </row>
    <row r="178" spans="1:13">
      <c r="A178" s="1545">
        <v>9.3000000000000007</v>
      </c>
      <c r="B178" s="1548">
        <v>0.88949999999999996</v>
      </c>
      <c r="C178" s="1548">
        <v>0.88949999999999996</v>
      </c>
      <c r="D178" s="1548">
        <v>0.81010000000000004</v>
      </c>
      <c r="E178" s="1548">
        <v>0.81010000000000004</v>
      </c>
      <c r="F178" s="1548">
        <v>0.81010000000000004</v>
      </c>
      <c r="G178" s="1548">
        <v>0.81010000000000004</v>
      </c>
      <c r="H178" s="1548">
        <v>0.81010000000000004</v>
      </c>
      <c r="I178" s="1548">
        <v>0.6694</v>
      </c>
      <c r="J178" s="1548">
        <v>0.6694</v>
      </c>
      <c r="K178" s="1548">
        <v>0.6694</v>
      </c>
      <c r="L178" s="1548">
        <v>0.6694</v>
      </c>
      <c r="M178" s="1548">
        <v>0.6694</v>
      </c>
    </row>
    <row r="179" spans="1:13">
      <c r="A179" s="1545">
        <v>9.4</v>
      </c>
      <c r="B179" s="1548">
        <v>0.88819999999999999</v>
      </c>
      <c r="C179" s="1548">
        <v>0.88819999999999999</v>
      </c>
      <c r="D179" s="1548">
        <v>0.8085</v>
      </c>
      <c r="E179" s="1548">
        <v>0.8085</v>
      </c>
      <c r="F179" s="1548">
        <v>0.8085</v>
      </c>
      <c r="G179" s="1548">
        <v>0.8085</v>
      </c>
      <c r="H179" s="1548">
        <v>0.8085</v>
      </c>
      <c r="I179" s="1548">
        <v>0.66739999999999999</v>
      </c>
      <c r="J179" s="1548">
        <v>0.66739999999999999</v>
      </c>
      <c r="K179" s="1548">
        <v>0.66739999999999999</v>
      </c>
      <c r="L179" s="1548">
        <v>0.66739999999999999</v>
      </c>
      <c r="M179" s="1548">
        <v>0.66739999999999999</v>
      </c>
    </row>
    <row r="180" spans="1:13">
      <c r="A180" s="1545">
        <v>9.5</v>
      </c>
      <c r="B180" s="1548">
        <v>0.88700000000000001</v>
      </c>
      <c r="C180" s="1548">
        <v>0.88700000000000001</v>
      </c>
      <c r="D180" s="1548">
        <v>0.80700000000000005</v>
      </c>
      <c r="E180" s="1548">
        <v>0.80700000000000005</v>
      </c>
      <c r="F180" s="1548">
        <v>0.80700000000000005</v>
      </c>
      <c r="G180" s="1548">
        <v>0.80700000000000005</v>
      </c>
      <c r="H180" s="1548">
        <v>0.80700000000000005</v>
      </c>
      <c r="I180" s="1548">
        <v>0.66549999999999998</v>
      </c>
      <c r="J180" s="1548">
        <v>0.66549999999999998</v>
      </c>
      <c r="K180" s="1548">
        <v>0.66549999999999998</v>
      </c>
      <c r="L180" s="1548">
        <v>0.66549999999999998</v>
      </c>
      <c r="M180" s="1548">
        <v>0.66549999999999998</v>
      </c>
    </row>
    <row r="181" spans="1:13">
      <c r="A181" s="1545">
        <v>9.6</v>
      </c>
      <c r="B181" s="1548">
        <v>0.88580000000000003</v>
      </c>
      <c r="C181" s="1548">
        <v>0.88580000000000003</v>
      </c>
      <c r="D181" s="1548">
        <v>0.80549999999999999</v>
      </c>
      <c r="E181" s="1548">
        <v>0.80549999999999999</v>
      </c>
      <c r="F181" s="1548">
        <v>0.80549999999999999</v>
      </c>
      <c r="G181" s="1548">
        <v>0.80549999999999999</v>
      </c>
      <c r="H181" s="1548">
        <v>0.80549999999999999</v>
      </c>
      <c r="I181" s="1548">
        <v>0.66359999999999997</v>
      </c>
      <c r="J181" s="1548">
        <v>0.66359999999999997</v>
      </c>
      <c r="K181" s="1548">
        <v>0.66359999999999997</v>
      </c>
      <c r="L181" s="1548">
        <v>0.66359999999999997</v>
      </c>
      <c r="M181" s="1548">
        <v>0.66359999999999997</v>
      </c>
    </row>
    <row r="182" spans="1:13">
      <c r="A182" s="1545">
        <v>9.6999999999999993</v>
      </c>
      <c r="B182" s="1548">
        <v>0.88460000000000005</v>
      </c>
      <c r="C182" s="1548">
        <v>0.88460000000000005</v>
      </c>
      <c r="D182" s="1548">
        <v>0.80400000000000005</v>
      </c>
      <c r="E182" s="1548">
        <v>0.80400000000000005</v>
      </c>
      <c r="F182" s="1548">
        <v>0.80400000000000005</v>
      </c>
      <c r="G182" s="1548">
        <v>0.80400000000000005</v>
      </c>
      <c r="H182" s="1548">
        <v>0.80400000000000005</v>
      </c>
      <c r="I182" s="1548">
        <v>0.66169999999999995</v>
      </c>
      <c r="J182" s="1548">
        <v>0.66169999999999995</v>
      </c>
      <c r="K182" s="1548">
        <v>0.66169999999999995</v>
      </c>
      <c r="L182" s="1548">
        <v>0.66169999999999995</v>
      </c>
      <c r="M182" s="1548">
        <v>0.66169999999999995</v>
      </c>
    </row>
    <row r="183" spans="1:13">
      <c r="A183" s="1545">
        <v>9.8000000000000007</v>
      </c>
      <c r="B183" s="1548">
        <v>0.88339999999999996</v>
      </c>
      <c r="C183" s="1548">
        <v>0.88339999999999996</v>
      </c>
      <c r="D183" s="1548">
        <v>0.80249999999999999</v>
      </c>
      <c r="E183" s="1548">
        <v>0.80249999999999999</v>
      </c>
      <c r="F183" s="1548">
        <v>0.80249999999999999</v>
      </c>
      <c r="G183" s="1548">
        <v>0.80249999999999999</v>
      </c>
      <c r="H183" s="1548">
        <v>0.80249999999999999</v>
      </c>
      <c r="I183" s="1548">
        <v>0.65980000000000005</v>
      </c>
      <c r="J183" s="1548">
        <v>0.65980000000000005</v>
      </c>
      <c r="K183" s="1548">
        <v>0.65980000000000005</v>
      </c>
      <c r="L183" s="1548">
        <v>0.65980000000000005</v>
      </c>
      <c r="M183" s="1548">
        <v>0.65980000000000005</v>
      </c>
    </row>
    <row r="184" spans="1:13">
      <c r="A184" s="1545">
        <v>9.9</v>
      </c>
      <c r="B184" s="1548">
        <v>0.88219999999999998</v>
      </c>
      <c r="C184" s="1548">
        <v>0.88219999999999998</v>
      </c>
      <c r="D184" s="1548">
        <v>0.80100000000000005</v>
      </c>
      <c r="E184" s="1548">
        <v>0.80100000000000005</v>
      </c>
      <c r="F184" s="1548">
        <v>0.80100000000000005</v>
      </c>
      <c r="G184" s="1548">
        <v>0.80100000000000005</v>
      </c>
      <c r="H184" s="1548">
        <v>0.80100000000000005</v>
      </c>
      <c r="I184" s="1548">
        <v>0.65790000000000004</v>
      </c>
      <c r="J184" s="1548">
        <v>0.65790000000000004</v>
      </c>
      <c r="K184" s="1548">
        <v>0.65790000000000004</v>
      </c>
      <c r="L184" s="1548">
        <v>0.65790000000000004</v>
      </c>
      <c r="M184" s="1548">
        <v>0.65790000000000004</v>
      </c>
    </row>
    <row r="185" spans="1:13" ht="14.25">
      <c r="A185" s="1543" t="s">
        <v>1919</v>
      </c>
      <c r="B185" s="1548"/>
      <c r="C185" s="1548"/>
      <c r="D185" s="1548"/>
      <c r="E185" s="1548"/>
      <c r="F185" s="1548"/>
      <c r="G185" s="1548"/>
      <c r="H185" s="1548"/>
      <c r="I185" s="1548"/>
      <c r="J185" s="1548"/>
      <c r="K185" s="1548"/>
      <c r="L185" s="1548"/>
      <c r="M185" s="1548"/>
    </row>
    <row r="186" spans="1:13">
      <c r="A186" s="1545" t="s">
        <v>105</v>
      </c>
      <c r="B186" s="1548" t="s">
        <v>238</v>
      </c>
      <c r="C186" s="1548" t="s">
        <v>251</v>
      </c>
      <c r="D186" s="1548" t="s">
        <v>263</v>
      </c>
      <c r="E186" s="1548" t="s">
        <v>273</v>
      </c>
      <c r="F186" s="1548" t="s">
        <v>282</v>
      </c>
      <c r="G186" s="1548" t="s">
        <v>290</v>
      </c>
      <c r="H186" s="1548" t="s">
        <v>295</v>
      </c>
      <c r="I186" s="1548" t="s">
        <v>301</v>
      </c>
      <c r="J186" s="1548" t="s">
        <v>305</v>
      </c>
      <c r="K186" s="1548" t="s">
        <v>309</v>
      </c>
      <c r="L186" s="1548" t="s">
        <v>313</v>
      </c>
      <c r="M186" s="1548" t="s">
        <v>317</v>
      </c>
    </row>
    <row r="187" spans="1:13">
      <c r="A187" s="1545">
        <v>1</v>
      </c>
      <c r="B187" s="1548">
        <v>1.1901999999999999</v>
      </c>
      <c r="C187" s="1548">
        <v>1.1901999999999999</v>
      </c>
      <c r="D187" s="1548">
        <v>1.222</v>
      </c>
      <c r="E187" s="1548">
        <v>1.222</v>
      </c>
      <c r="F187" s="1548">
        <v>1.222</v>
      </c>
      <c r="G187" s="1548">
        <v>1.222</v>
      </c>
      <c r="H187" s="1548">
        <v>1.222</v>
      </c>
      <c r="I187" s="1548">
        <v>1.1054999999999999</v>
      </c>
      <c r="J187" s="1548">
        <v>1.1054999999999999</v>
      </c>
      <c r="K187" s="1548">
        <v>1.1054999999999999</v>
      </c>
      <c r="L187" s="1548">
        <v>1.1054999999999999</v>
      </c>
      <c r="M187" s="1548">
        <v>1.1054999999999999</v>
      </c>
    </row>
    <row r="188" spans="1:13">
      <c r="A188" s="1545">
        <v>1.1000000000000001</v>
      </c>
      <c r="B188" s="1548">
        <v>1.1715</v>
      </c>
      <c r="C188" s="1548">
        <v>1.1715</v>
      </c>
      <c r="D188" s="1548">
        <v>1.2002999999999999</v>
      </c>
      <c r="E188" s="1548">
        <v>1.2002999999999999</v>
      </c>
      <c r="F188" s="1548">
        <v>1.2002999999999999</v>
      </c>
      <c r="G188" s="1548">
        <v>1.2002999999999999</v>
      </c>
      <c r="H188" s="1548">
        <v>1.2002999999999999</v>
      </c>
      <c r="I188" s="1548">
        <v>1.0819000000000001</v>
      </c>
      <c r="J188" s="1548">
        <v>1.0819000000000001</v>
      </c>
      <c r="K188" s="1548">
        <v>1.0819000000000001</v>
      </c>
      <c r="L188" s="1548">
        <v>1.0819000000000001</v>
      </c>
      <c r="M188" s="1548">
        <v>1.0819000000000001</v>
      </c>
    </row>
    <row r="189" spans="1:13">
      <c r="A189" s="1545">
        <v>1.2</v>
      </c>
      <c r="B189" s="1548">
        <v>1.1538999999999999</v>
      </c>
      <c r="C189" s="1548">
        <v>1.1538999999999999</v>
      </c>
      <c r="D189" s="1548">
        <v>1.1798</v>
      </c>
      <c r="E189" s="1548">
        <v>1.1798</v>
      </c>
      <c r="F189" s="1548">
        <v>1.1798</v>
      </c>
      <c r="G189" s="1548">
        <v>1.1798</v>
      </c>
      <c r="H189" s="1548">
        <v>1.1798</v>
      </c>
      <c r="I189" s="1548">
        <v>1.0597000000000001</v>
      </c>
      <c r="J189" s="1548">
        <v>1.0597000000000001</v>
      </c>
      <c r="K189" s="1548">
        <v>1.0597000000000001</v>
      </c>
      <c r="L189" s="1548">
        <v>1.0597000000000001</v>
      </c>
      <c r="M189" s="1548">
        <v>1.0597000000000001</v>
      </c>
    </row>
    <row r="190" spans="1:13">
      <c r="A190" s="1545">
        <v>1.3</v>
      </c>
      <c r="B190" s="1548">
        <v>1.1372</v>
      </c>
      <c r="C190" s="1548">
        <v>1.1372</v>
      </c>
      <c r="D190" s="1548">
        <v>1.1605000000000001</v>
      </c>
      <c r="E190" s="1548">
        <v>1.1605000000000001</v>
      </c>
      <c r="F190" s="1548">
        <v>1.1605000000000001</v>
      </c>
      <c r="G190" s="1548">
        <v>1.1605000000000001</v>
      </c>
      <c r="H190" s="1548">
        <v>1.1605000000000001</v>
      </c>
      <c r="I190" s="1548">
        <v>1.0386</v>
      </c>
      <c r="J190" s="1548">
        <v>1.0386</v>
      </c>
      <c r="K190" s="1548">
        <v>1.0386</v>
      </c>
      <c r="L190" s="1548">
        <v>1.0386</v>
      </c>
      <c r="M190" s="1548">
        <v>1.0386</v>
      </c>
    </row>
    <row r="191" spans="1:13">
      <c r="A191" s="1545">
        <v>1.4</v>
      </c>
      <c r="B191" s="1548">
        <v>1.1215999999999999</v>
      </c>
      <c r="C191" s="1548">
        <v>1.1215999999999999</v>
      </c>
      <c r="D191" s="1548">
        <v>1.1422000000000001</v>
      </c>
      <c r="E191" s="1548">
        <v>1.1422000000000001</v>
      </c>
      <c r="F191" s="1548">
        <v>1.1422000000000001</v>
      </c>
      <c r="G191" s="1548">
        <v>1.1422000000000001</v>
      </c>
      <c r="H191" s="1548">
        <v>1.1422000000000001</v>
      </c>
      <c r="I191" s="1548">
        <v>1.0187999999999999</v>
      </c>
      <c r="J191" s="1548">
        <v>1.0187999999999999</v>
      </c>
      <c r="K191" s="1548">
        <v>1.0187999999999999</v>
      </c>
      <c r="L191" s="1548">
        <v>1.0187999999999999</v>
      </c>
      <c r="M191" s="1548">
        <v>1.0187999999999999</v>
      </c>
    </row>
    <row r="192" spans="1:13">
      <c r="A192" s="1545">
        <v>1.5</v>
      </c>
      <c r="B192" s="1548">
        <v>1.1069</v>
      </c>
      <c r="C192" s="1548">
        <v>1.1069</v>
      </c>
      <c r="D192" s="1548">
        <v>1.125</v>
      </c>
      <c r="E192" s="1548">
        <v>1.125</v>
      </c>
      <c r="F192" s="1548">
        <v>1.125</v>
      </c>
      <c r="G192" s="1548">
        <v>1.125</v>
      </c>
      <c r="H192" s="1548">
        <v>1.125</v>
      </c>
      <c r="I192" s="1548">
        <v>1</v>
      </c>
      <c r="J192" s="1548">
        <v>1</v>
      </c>
      <c r="K192" s="1548">
        <v>1</v>
      </c>
      <c r="L192" s="1548">
        <v>1</v>
      </c>
      <c r="M192" s="1548">
        <v>1</v>
      </c>
    </row>
    <row r="193" spans="1:13">
      <c r="A193" s="1545">
        <v>1.6</v>
      </c>
      <c r="B193" s="1548">
        <v>1.0929</v>
      </c>
      <c r="C193" s="1548">
        <v>1.0929</v>
      </c>
      <c r="D193" s="1548">
        <v>1.1087</v>
      </c>
      <c r="E193" s="1548">
        <v>1.1087</v>
      </c>
      <c r="F193" s="1548">
        <v>1.1087</v>
      </c>
      <c r="G193" s="1548">
        <v>1.1087</v>
      </c>
      <c r="H193" s="1548">
        <v>1.1087</v>
      </c>
      <c r="I193" s="1548">
        <v>0.98229999999999995</v>
      </c>
      <c r="J193" s="1548">
        <v>0.98229999999999995</v>
      </c>
      <c r="K193" s="1548">
        <v>0.98229999999999995</v>
      </c>
      <c r="L193" s="1548">
        <v>0.98229999999999995</v>
      </c>
      <c r="M193" s="1548">
        <v>0.98229999999999995</v>
      </c>
    </row>
    <row r="194" spans="1:13">
      <c r="A194" s="1549">
        <v>1.7</v>
      </c>
      <c r="B194" s="1548">
        <v>1.0798000000000001</v>
      </c>
      <c r="C194" s="1548">
        <v>1.0798000000000001</v>
      </c>
      <c r="D194" s="1548">
        <v>1.0933999999999999</v>
      </c>
      <c r="E194" s="1548">
        <v>1.0933999999999999</v>
      </c>
      <c r="F194" s="1548">
        <v>1.0933999999999999</v>
      </c>
      <c r="G194" s="1548">
        <v>1.0933999999999999</v>
      </c>
      <c r="H194" s="1548">
        <v>1.0933999999999999</v>
      </c>
      <c r="I194" s="1548">
        <v>0.96560000000000001</v>
      </c>
      <c r="J194" s="1548">
        <v>0.96560000000000001</v>
      </c>
      <c r="K194" s="1548">
        <v>0.96560000000000001</v>
      </c>
      <c r="L194" s="1548">
        <v>0.96560000000000001</v>
      </c>
      <c r="M194" s="1548">
        <v>0.96560000000000001</v>
      </c>
    </row>
    <row r="195" spans="1:13">
      <c r="A195" s="1549">
        <v>1.8</v>
      </c>
      <c r="B195" s="1548">
        <v>1.0674999999999999</v>
      </c>
      <c r="C195" s="1548">
        <v>1.0674999999999999</v>
      </c>
      <c r="D195" s="1548">
        <v>1.0790999999999999</v>
      </c>
      <c r="E195" s="1548">
        <v>1.0790999999999999</v>
      </c>
      <c r="F195" s="1548">
        <v>1.0790999999999999</v>
      </c>
      <c r="G195" s="1548">
        <v>1.0790999999999999</v>
      </c>
      <c r="H195" s="1548">
        <v>1.0790999999999999</v>
      </c>
      <c r="I195" s="1548">
        <v>0.94989999999999997</v>
      </c>
      <c r="J195" s="1548">
        <v>0.94989999999999997</v>
      </c>
      <c r="K195" s="1548">
        <v>0.94989999999999997</v>
      </c>
      <c r="L195" s="1548">
        <v>0.94989999999999997</v>
      </c>
      <c r="M195" s="1548">
        <v>0.94989999999999997</v>
      </c>
    </row>
    <row r="196" spans="1:13">
      <c r="A196" s="1549">
        <v>1.9</v>
      </c>
      <c r="B196" s="1548">
        <v>1.0558000000000001</v>
      </c>
      <c r="C196" s="1548">
        <v>1.0558000000000001</v>
      </c>
      <c r="D196" s="1548">
        <v>1.0654999999999999</v>
      </c>
      <c r="E196" s="1548">
        <v>1.0654999999999999</v>
      </c>
      <c r="F196" s="1548">
        <v>1.0654999999999999</v>
      </c>
      <c r="G196" s="1548">
        <v>1.0654999999999999</v>
      </c>
      <c r="H196" s="1548">
        <v>1.0654999999999999</v>
      </c>
      <c r="I196" s="1548">
        <v>0.93520000000000003</v>
      </c>
      <c r="J196" s="1548">
        <v>0.93520000000000003</v>
      </c>
      <c r="K196" s="1548">
        <v>0.93520000000000003</v>
      </c>
      <c r="L196" s="1548">
        <v>0.93520000000000003</v>
      </c>
      <c r="M196" s="1548">
        <v>0.93520000000000003</v>
      </c>
    </row>
    <row r="197" spans="1:13">
      <c r="A197" s="1549">
        <v>2</v>
      </c>
      <c r="B197" s="1548">
        <v>1.0449999999999999</v>
      </c>
      <c r="C197" s="1548">
        <v>1.0449999999999999</v>
      </c>
      <c r="D197" s="1548">
        <v>1.0528</v>
      </c>
      <c r="E197" s="1548">
        <v>1.0528</v>
      </c>
      <c r="F197" s="1548">
        <v>1.0528</v>
      </c>
      <c r="G197" s="1548">
        <v>1.0528</v>
      </c>
      <c r="H197" s="1548">
        <v>1.0528</v>
      </c>
      <c r="I197" s="1548">
        <v>0.92130000000000001</v>
      </c>
      <c r="J197" s="1548">
        <v>0.92130000000000001</v>
      </c>
      <c r="K197" s="1548">
        <v>0.92130000000000001</v>
      </c>
      <c r="L197" s="1548">
        <v>0.92130000000000001</v>
      </c>
      <c r="M197" s="1548">
        <v>0.92130000000000001</v>
      </c>
    </row>
    <row r="198" spans="1:13">
      <c r="A198" s="1549">
        <v>2.1</v>
      </c>
      <c r="B198" s="1548">
        <v>1.0347999999999999</v>
      </c>
      <c r="C198" s="1548">
        <v>1.0347999999999999</v>
      </c>
      <c r="D198" s="1548">
        <v>1.0407999999999999</v>
      </c>
      <c r="E198" s="1548">
        <v>1.0407999999999999</v>
      </c>
      <c r="F198" s="1548">
        <v>1.0407999999999999</v>
      </c>
      <c r="G198" s="1548">
        <v>1.0407999999999999</v>
      </c>
      <c r="H198" s="1548">
        <v>1.0407999999999999</v>
      </c>
      <c r="I198" s="1548">
        <v>0.90820000000000001</v>
      </c>
      <c r="J198" s="1548">
        <v>0.90820000000000001</v>
      </c>
      <c r="K198" s="1548">
        <v>0.90820000000000001</v>
      </c>
      <c r="L198" s="1548">
        <v>0.90820000000000001</v>
      </c>
      <c r="M198" s="1548">
        <v>0.90820000000000001</v>
      </c>
    </row>
    <row r="199" spans="1:13">
      <c r="A199" s="1549">
        <v>2.2000000000000002</v>
      </c>
      <c r="B199" s="1548">
        <v>1.0251999999999999</v>
      </c>
      <c r="C199" s="1548">
        <v>1.0251999999999999</v>
      </c>
      <c r="D199" s="1548">
        <v>1.0296000000000001</v>
      </c>
      <c r="E199" s="1548">
        <v>1.0296000000000001</v>
      </c>
      <c r="F199" s="1548">
        <v>1.0296000000000001</v>
      </c>
      <c r="G199" s="1548">
        <v>1.0296000000000001</v>
      </c>
      <c r="H199" s="1548">
        <v>1.0296000000000001</v>
      </c>
      <c r="I199" s="1548">
        <v>0.89570000000000005</v>
      </c>
      <c r="J199" s="1548">
        <v>0.89570000000000005</v>
      </c>
      <c r="K199" s="1548">
        <v>0.89570000000000005</v>
      </c>
      <c r="L199" s="1548">
        <v>0.89570000000000005</v>
      </c>
      <c r="M199" s="1548">
        <v>0.89570000000000005</v>
      </c>
    </row>
    <row r="200" spans="1:13">
      <c r="A200" s="1549">
        <v>2.2999999999999998</v>
      </c>
      <c r="B200" s="1548">
        <v>1.0162</v>
      </c>
      <c r="C200" s="1548">
        <v>1.0162</v>
      </c>
      <c r="D200" s="1548">
        <v>1.0190999999999999</v>
      </c>
      <c r="E200" s="1548">
        <v>1.0190999999999999</v>
      </c>
      <c r="F200" s="1548">
        <v>1.0190999999999999</v>
      </c>
      <c r="G200" s="1548">
        <v>1.0190999999999999</v>
      </c>
      <c r="H200" s="1548">
        <v>1.0190999999999999</v>
      </c>
      <c r="I200" s="1548">
        <v>0.88419999999999999</v>
      </c>
      <c r="J200" s="1548">
        <v>0.88419999999999999</v>
      </c>
      <c r="K200" s="1548">
        <v>0.88419999999999999</v>
      </c>
      <c r="L200" s="1548">
        <v>0.88419999999999999</v>
      </c>
      <c r="M200" s="1548">
        <v>0.88419999999999999</v>
      </c>
    </row>
    <row r="201" spans="1:13">
      <c r="A201" s="1549">
        <v>2.4</v>
      </c>
      <c r="B201" s="1548">
        <v>1.0078</v>
      </c>
      <c r="C201" s="1548">
        <v>1.0078</v>
      </c>
      <c r="D201" s="1548">
        <v>1.0092000000000001</v>
      </c>
      <c r="E201" s="1548">
        <v>1.0092000000000001</v>
      </c>
      <c r="F201" s="1548">
        <v>1.0092000000000001</v>
      </c>
      <c r="G201" s="1548">
        <v>1.0092000000000001</v>
      </c>
      <c r="H201" s="1548">
        <v>1.0092000000000001</v>
      </c>
      <c r="I201" s="1548">
        <v>0.87329999999999997</v>
      </c>
      <c r="J201" s="1548">
        <v>0.87329999999999997</v>
      </c>
      <c r="K201" s="1548">
        <v>0.87329999999999997</v>
      </c>
      <c r="L201" s="1548">
        <v>0.87329999999999997</v>
      </c>
      <c r="M201" s="1548">
        <v>0.87329999999999997</v>
      </c>
    </row>
    <row r="202" spans="1:13">
      <c r="A202" s="1549">
        <v>2.5</v>
      </c>
      <c r="B202" s="1548">
        <v>1</v>
      </c>
      <c r="C202" s="1548">
        <v>1</v>
      </c>
      <c r="D202" s="1548">
        <v>1</v>
      </c>
      <c r="E202" s="1548">
        <v>1</v>
      </c>
      <c r="F202" s="1548">
        <v>1</v>
      </c>
      <c r="G202" s="1548">
        <v>1</v>
      </c>
      <c r="H202" s="1548">
        <v>1</v>
      </c>
      <c r="I202" s="1548">
        <v>0.86299999999999999</v>
      </c>
      <c r="J202" s="1548">
        <v>0.86299999999999999</v>
      </c>
      <c r="K202" s="1548">
        <v>0.86299999999999999</v>
      </c>
      <c r="L202" s="1548">
        <v>0.86299999999999999</v>
      </c>
      <c r="M202" s="1548">
        <v>0.86299999999999999</v>
      </c>
    </row>
    <row r="203" spans="1:13">
      <c r="A203" s="1549">
        <v>2.6</v>
      </c>
      <c r="B203" s="1548">
        <v>0.99270000000000003</v>
      </c>
      <c r="C203" s="1548">
        <v>0.99270000000000003</v>
      </c>
      <c r="D203" s="1548">
        <v>0.99139999999999995</v>
      </c>
      <c r="E203" s="1548">
        <v>0.99139999999999995</v>
      </c>
      <c r="F203" s="1548">
        <v>0.99139999999999995</v>
      </c>
      <c r="G203" s="1548">
        <v>0.99139999999999995</v>
      </c>
      <c r="H203" s="1548">
        <v>0.99139999999999995</v>
      </c>
      <c r="I203" s="1548">
        <v>0.85340000000000005</v>
      </c>
      <c r="J203" s="1548">
        <v>0.85340000000000005</v>
      </c>
      <c r="K203" s="1548">
        <v>0.85340000000000005</v>
      </c>
      <c r="L203" s="1548">
        <v>0.85340000000000005</v>
      </c>
      <c r="M203" s="1548">
        <v>0.85340000000000005</v>
      </c>
    </row>
    <row r="204" spans="1:13">
      <c r="A204" s="1549">
        <v>2.7</v>
      </c>
      <c r="B204" s="1548">
        <v>0.98580000000000001</v>
      </c>
      <c r="C204" s="1548">
        <v>0.98580000000000001</v>
      </c>
      <c r="D204" s="1548">
        <v>0.98329999999999995</v>
      </c>
      <c r="E204" s="1548">
        <v>0.98329999999999995</v>
      </c>
      <c r="F204" s="1548">
        <v>0.98329999999999995</v>
      </c>
      <c r="G204" s="1548">
        <v>0.98329999999999995</v>
      </c>
      <c r="H204" s="1548">
        <v>0.98329999999999995</v>
      </c>
      <c r="I204" s="1548">
        <v>0.84440000000000004</v>
      </c>
      <c r="J204" s="1548">
        <v>0.84440000000000004</v>
      </c>
      <c r="K204" s="1548">
        <v>0.84440000000000004</v>
      </c>
      <c r="L204" s="1548">
        <v>0.84440000000000004</v>
      </c>
      <c r="M204" s="1548">
        <v>0.84440000000000004</v>
      </c>
    </row>
    <row r="205" spans="1:13">
      <c r="A205" s="1549">
        <v>2.8</v>
      </c>
      <c r="B205" s="1548">
        <v>0.97940000000000005</v>
      </c>
      <c r="C205" s="1548">
        <v>0.97940000000000005</v>
      </c>
      <c r="D205" s="1548">
        <v>0.97570000000000001</v>
      </c>
      <c r="E205" s="1548">
        <v>0.97570000000000001</v>
      </c>
      <c r="F205" s="1548">
        <v>0.97570000000000001</v>
      </c>
      <c r="G205" s="1548">
        <v>0.97570000000000001</v>
      </c>
      <c r="H205" s="1548">
        <v>0.97570000000000001</v>
      </c>
      <c r="I205" s="1548">
        <v>0.83599999999999997</v>
      </c>
      <c r="J205" s="1548">
        <v>0.83599999999999997</v>
      </c>
      <c r="K205" s="1548">
        <v>0.83599999999999997</v>
      </c>
      <c r="L205" s="1548">
        <v>0.83599999999999997</v>
      </c>
      <c r="M205" s="1548">
        <v>0.83599999999999997</v>
      </c>
    </row>
    <row r="206" spans="1:13">
      <c r="A206" s="1545">
        <v>2.9</v>
      </c>
      <c r="B206" s="1546">
        <v>0.97350000000000003</v>
      </c>
      <c r="C206" s="1546">
        <v>0.97350000000000003</v>
      </c>
      <c r="D206" s="1546">
        <v>0.96870000000000001</v>
      </c>
      <c r="E206" s="1546">
        <v>0.96870000000000001</v>
      </c>
      <c r="F206" s="1546">
        <v>0.96870000000000001</v>
      </c>
      <c r="G206" s="1546">
        <v>0.96870000000000001</v>
      </c>
      <c r="H206" s="1547">
        <v>0.96870000000000001</v>
      </c>
      <c r="I206" s="1547">
        <v>0.82820000000000005</v>
      </c>
      <c r="J206" s="1550">
        <v>0.82820000000000005</v>
      </c>
      <c r="K206" s="1550">
        <v>0.82820000000000005</v>
      </c>
      <c r="L206" s="1550">
        <v>0.82820000000000005</v>
      </c>
      <c r="M206" s="1550">
        <v>0.82820000000000005</v>
      </c>
    </row>
    <row r="207" spans="1:13">
      <c r="A207" s="1545">
        <v>3</v>
      </c>
      <c r="B207" s="1548">
        <v>0.96789999999999998</v>
      </c>
      <c r="C207" s="1548">
        <v>0.96789999999999998</v>
      </c>
      <c r="D207" s="1548">
        <v>0.96209999999999996</v>
      </c>
      <c r="E207" s="1548">
        <v>0.96209999999999996</v>
      </c>
      <c r="F207" s="1548">
        <v>0.96209999999999996</v>
      </c>
      <c r="G207" s="1548">
        <v>0.96209999999999996</v>
      </c>
      <c r="H207" s="1548">
        <v>0.96209999999999996</v>
      </c>
      <c r="I207" s="1548">
        <v>0.82079999999999997</v>
      </c>
      <c r="J207" s="1548">
        <v>0.82079999999999997</v>
      </c>
      <c r="K207" s="1548">
        <v>0.82079999999999997</v>
      </c>
      <c r="L207" s="1548">
        <v>0.82079999999999997</v>
      </c>
      <c r="M207" s="1548">
        <v>0.82079999999999997</v>
      </c>
    </row>
    <row r="208" spans="1:13">
      <c r="A208" s="1545">
        <v>3.1</v>
      </c>
      <c r="B208" s="1548">
        <v>0.9627</v>
      </c>
      <c r="C208" s="1548">
        <v>0.9627</v>
      </c>
      <c r="D208" s="1548">
        <v>0.95589999999999997</v>
      </c>
      <c r="E208" s="1548">
        <v>0.95589999999999997</v>
      </c>
      <c r="F208" s="1548">
        <v>0.95589999999999997</v>
      </c>
      <c r="G208" s="1548">
        <v>0.95589999999999997</v>
      </c>
      <c r="H208" s="1548">
        <v>0.95589999999999997</v>
      </c>
      <c r="I208" s="1548">
        <v>0.81389999999999996</v>
      </c>
      <c r="J208" s="1548">
        <v>0.81389999999999996</v>
      </c>
      <c r="K208" s="1548">
        <v>0.81389999999999996</v>
      </c>
      <c r="L208" s="1548">
        <v>0.81389999999999996</v>
      </c>
      <c r="M208" s="1548">
        <v>0.81389999999999996</v>
      </c>
    </row>
    <row r="209" spans="1:13">
      <c r="A209" s="1545">
        <v>3.2</v>
      </c>
      <c r="B209" s="1548">
        <v>0.95789999999999997</v>
      </c>
      <c r="C209" s="1548">
        <v>0.95789999999999997</v>
      </c>
      <c r="D209" s="1548">
        <v>0.95020000000000004</v>
      </c>
      <c r="E209" s="1548">
        <v>0.95020000000000004</v>
      </c>
      <c r="F209" s="1548">
        <v>0.95020000000000004</v>
      </c>
      <c r="G209" s="1548">
        <v>0.95020000000000004</v>
      </c>
      <c r="H209" s="1548">
        <v>0.95020000000000004</v>
      </c>
      <c r="I209" s="1548">
        <v>0.8075</v>
      </c>
      <c r="J209" s="1548">
        <v>0.8075</v>
      </c>
      <c r="K209" s="1548">
        <v>0.8075</v>
      </c>
      <c r="L209" s="1548">
        <v>0.8075</v>
      </c>
      <c r="M209" s="1548">
        <v>0.8075</v>
      </c>
    </row>
    <row r="210" spans="1:13">
      <c r="A210" s="1545">
        <v>3.3</v>
      </c>
      <c r="B210" s="1548">
        <v>0.95340000000000003</v>
      </c>
      <c r="C210" s="1548">
        <v>0.95340000000000003</v>
      </c>
      <c r="D210" s="1548">
        <v>0.94479999999999997</v>
      </c>
      <c r="E210" s="1548">
        <v>0.94479999999999997</v>
      </c>
      <c r="F210" s="1548">
        <v>0.94479999999999997</v>
      </c>
      <c r="G210" s="1548">
        <v>0.94479999999999997</v>
      </c>
      <c r="H210" s="1548">
        <v>0.94479999999999997</v>
      </c>
      <c r="I210" s="1548">
        <v>0.80149999999999999</v>
      </c>
      <c r="J210" s="1548">
        <v>0.80149999999999999</v>
      </c>
      <c r="K210" s="1548">
        <v>0.80149999999999999</v>
      </c>
      <c r="L210" s="1548">
        <v>0.80149999999999999</v>
      </c>
      <c r="M210" s="1548">
        <v>0.80149999999999999</v>
      </c>
    </row>
    <row r="211" spans="1:13">
      <c r="A211" s="1545">
        <v>3.4</v>
      </c>
      <c r="B211" s="1548">
        <v>0.94920000000000004</v>
      </c>
      <c r="C211" s="1548">
        <v>0.94920000000000004</v>
      </c>
      <c r="D211" s="1548">
        <v>0.93989999999999996</v>
      </c>
      <c r="E211" s="1548">
        <v>0.93989999999999996</v>
      </c>
      <c r="F211" s="1548">
        <v>0.93989999999999996</v>
      </c>
      <c r="G211" s="1548">
        <v>0.93989999999999996</v>
      </c>
      <c r="H211" s="1548">
        <v>0.93989999999999996</v>
      </c>
      <c r="I211" s="1548">
        <v>0.79590000000000005</v>
      </c>
      <c r="J211" s="1548">
        <v>0.79590000000000005</v>
      </c>
      <c r="K211" s="1548">
        <v>0.79590000000000005</v>
      </c>
      <c r="L211" s="1548">
        <v>0.79590000000000005</v>
      </c>
      <c r="M211" s="1548">
        <v>0.79590000000000005</v>
      </c>
    </row>
    <row r="212" spans="1:13">
      <c r="A212" s="1545">
        <v>3.5</v>
      </c>
      <c r="B212" s="1548">
        <v>0.94540000000000002</v>
      </c>
      <c r="C212" s="1548">
        <v>0.94540000000000002</v>
      </c>
      <c r="D212" s="1548">
        <v>0.93520000000000003</v>
      </c>
      <c r="E212" s="1548">
        <v>0.93520000000000003</v>
      </c>
      <c r="F212" s="1548">
        <v>0.93520000000000003</v>
      </c>
      <c r="G212" s="1548">
        <v>0.93520000000000003</v>
      </c>
      <c r="H212" s="1548">
        <v>0.93520000000000003</v>
      </c>
      <c r="I212" s="1548">
        <v>0.79059999999999997</v>
      </c>
      <c r="J212" s="1548">
        <v>0.79059999999999997</v>
      </c>
      <c r="K212" s="1548">
        <v>0.79059999999999997</v>
      </c>
      <c r="L212" s="1548">
        <v>0.79059999999999997</v>
      </c>
      <c r="M212" s="1548">
        <v>0.79059999999999997</v>
      </c>
    </row>
    <row r="213" spans="1:13">
      <c r="A213" s="1545">
        <v>3.6</v>
      </c>
      <c r="B213" s="1548">
        <v>0.94179999999999997</v>
      </c>
      <c r="C213" s="1548">
        <v>0.94179999999999997</v>
      </c>
      <c r="D213" s="1548">
        <v>0.93089999999999995</v>
      </c>
      <c r="E213" s="1548">
        <v>0.93089999999999995</v>
      </c>
      <c r="F213" s="1548">
        <v>0.93089999999999995</v>
      </c>
      <c r="G213" s="1548">
        <v>0.93089999999999995</v>
      </c>
      <c r="H213" s="1548">
        <v>0.93089999999999995</v>
      </c>
      <c r="I213" s="1548">
        <v>0.78569999999999995</v>
      </c>
      <c r="J213" s="1548">
        <v>0.78569999999999995</v>
      </c>
      <c r="K213" s="1548">
        <v>0.78569999999999995</v>
      </c>
      <c r="L213" s="1548">
        <v>0.78569999999999995</v>
      </c>
      <c r="M213" s="1548">
        <v>0.78569999999999995</v>
      </c>
    </row>
    <row r="214" spans="1:13">
      <c r="A214" s="1545">
        <v>3.7</v>
      </c>
      <c r="B214" s="1548">
        <v>0.93840000000000001</v>
      </c>
      <c r="C214" s="1548">
        <v>0.93840000000000001</v>
      </c>
      <c r="D214" s="1548">
        <v>0.92689999999999995</v>
      </c>
      <c r="E214" s="1548">
        <v>0.92689999999999995</v>
      </c>
      <c r="F214" s="1548">
        <v>0.92689999999999995</v>
      </c>
      <c r="G214" s="1548">
        <v>0.92689999999999995</v>
      </c>
      <c r="H214" s="1548">
        <v>0.92689999999999995</v>
      </c>
      <c r="I214" s="1548">
        <v>0.78110000000000002</v>
      </c>
      <c r="J214" s="1548">
        <v>0.78110000000000002</v>
      </c>
      <c r="K214" s="1548">
        <v>0.78110000000000002</v>
      </c>
      <c r="L214" s="1548">
        <v>0.78110000000000002</v>
      </c>
      <c r="M214" s="1548">
        <v>0.78110000000000002</v>
      </c>
    </row>
    <row r="215" spans="1:13">
      <c r="A215" s="1545">
        <v>3.8</v>
      </c>
      <c r="B215" s="1548">
        <v>0.93530000000000002</v>
      </c>
      <c r="C215" s="1548">
        <v>0.93530000000000002</v>
      </c>
      <c r="D215" s="1548">
        <v>0.92310000000000003</v>
      </c>
      <c r="E215" s="1548">
        <v>0.92310000000000003</v>
      </c>
      <c r="F215" s="1548">
        <v>0.92310000000000003</v>
      </c>
      <c r="G215" s="1548">
        <v>0.92310000000000003</v>
      </c>
      <c r="H215" s="1548">
        <v>0.92310000000000003</v>
      </c>
      <c r="I215" s="1548">
        <v>0.77680000000000005</v>
      </c>
      <c r="J215" s="1548">
        <v>0.77680000000000005</v>
      </c>
      <c r="K215" s="1548">
        <v>0.77680000000000005</v>
      </c>
      <c r="L215" s="1548">
        <v>0.77680000000000005</v>
      </c>
      <c r="M215" s="1548">
        <v>0.77680000000000005</v>
      </c>
    </row>
    <row r="216" spans="1:13">
      <c r="A216" s="1545">
        <v>3.9</v>
      </c>
      <c r="B216" s="1548">
        <v>0.93240000000000001</v>
      </c>
      <c r="C216" s="1548">
        <v>0.93240000000000001</v>
      </c>
      <c r="D216" s="1548">
        <v>0.91959999999999997</v>
      </c>
      <c r="E216" s="1548">
        <v>0.91959999999999997</v>
      </c>
      <c r="F216" s="1548">
        <v>0.91959999999999997</v>
      </c>
      <c r="G216" s="1548">
        <v>0.91959999999999997</v>
      </c>
      <c r="H216" s="1548">
        <v>0.91959999999999997</v>
      </c>
      <c r="I216" s="1548">
        <v>0.77270000000000005</v>
      </c>
      <c r="J216" s="1548">
        <v>0.77270000000000005</v>
      </c>
      <c r="K216" s="1548">
        <v>0.77270000000000005</v>
      </c>
      <c r="L216" s="1548">
        <v>0.77270000000000005</v>
      </c>
      <c r="M216" s="1548">
        <v>0.77270000000000005</v>
      </c>
    </row>
    <row r="217" spans="1:13">
      <c r="A217" s="1545">
        <v>4</v>
      </c>
      <c r="B217" s="1548">
        <v>0.92969999999999997</v>
      </c>
      <c r="C217" s="1548">
        <v>0.92969999999999997</v>
      </c>
      <c r="D217" s="1548">
        <v>0.9163</v>
      </c>
      <c r="E217" s="1548">
        <v>0.9163</v>
      </c>
      <c r="F217" s="1548">
        <v>0.9163</v>
      </c>
      <c r="G217" s="1548">
        <v>0.9163</v>
      </c>
      <c r="H217" s="1548">
        <v>0.9163</v>
      </c>
      <c r="I217" s="1548">
        <v>0.76880000000000004</v>
      </c>
      <c r="J217" s="1548">
        <v>0.76880000000000004</v>
      </c>
      <c r="K217" s="1548">
        <v>0.76880000000000004</v>
      </c>
      <c r="L217" s="1548">
        <v>0.76880000000000004</v>
      </c>
      <c r="M217" s="1548">
        <v>0.76880000000000004</v>
      </c>
    </row>
    <row r="218" spans="1:13">
      <c r="A218" s="1545">
        <v>4.0999999999999996</v>
      </c>
      <c r="B218" s="1548">
        <v>0.92720000000000002</v>
      </c>
      <c r="C218" s="1548">
        <v>0.92720000000000002</v>
      </c>
      <c r="D218" s="1548">
        <v>0.91320000000000001</v>
      </c>
      <c r="E218" s="1548">
        <v>0.91320000000000001</v>
      </c>
      <c r="F218" s="1548">
        <v>0.91320000000000001</v>
      </c>
      <c r="G218" s="1548">
        <v>0.91320000000000001</v>
      </c>
      <c r="H218" s="1548">
        <v>0.91320000000000001</v>
      </c>
      <c r="I218" s="1548">
        <v>0.7651</v>
      </c>
      <c r="J218" s="1548">
        <v>0.7651</v>
      </c>
      <c r="K218" s="1548">
        <v>0.7651</v>
      </c>
      <c r="L218" s="1548">
        <v>0.7651</v>
      </c>
      <c r="M218" s="1548">
        <v>0.7651</v>
      </c>
    </row>
    <row r="219" spans="1:13">
      <c r="A219" s="1545">
        <v>4.2</v>
      </c>
      <c r="B219" s="1548">
        <v>0.92479999999999996</v>
      </c>
      <c r="C219" s="1548">
        <v>0.92479999999999996</v>
      </c>
      <c r="D219" s="1548">
        <v>0.91020000000000001</v>
      </c>
      <c r="E219" s="1548">
        <v>0.91020000000000001</v>
      </c>
      <c r="F219" s="1548">
        <v>0.91020000000000001</v>
      </c>
      <c r="G219" s="1548">
        <v>0.91020000000000001</v>
      </c>
      <c r="H219" s="1548">
        <v>0.91020000000000001</v>
      </c>
      <c r="I219" s="1548">
        <v>0.76149999999999995</v>
      </c>
      <c r="J219" s="1548">
        <v>0.76149999999999995</v>
      </c>
      <c r="K219" s="1548">
        <v>0.76149999999999995</v>
      </c>
      <c r="L219" s="1548">
        <v>0.76149999999999995</v>
      </c>
      <c r="M219" s="1548">
        <v>0.76149999999999995</v>
      </c>
    </row>
    <row r="220" spans="1:13">
      <c r="A220" s="1545">
        <v>4.3</v>
      </c>
      <c r="B220" s="1548">
        <v>0.92249999999999999</v>
      </c>
      <c r="C220" s="1548">
        <v>0.92249999999999999</v>
      </c>
      <c r="D220" s="1548">
        <v>0.9073</v>
      </c>
      <c r="E220" s="1548">
        <v>0.9073</v>
      </c>
      <c r="F220" s="1548">
        <v>0.9073</v>
      </c>
      <c r="G220" s="1548">
        <v>0.9073</v>
      </c>
      <c r="H220" s="1548">
        <v>0.9073</v>
      </c>
      <c r="I220" s="1548">
        <v>0.75800000000000001</v>
      </c>
      <c r="J220" s="1548">
        <v>0.75800000000000001</v>
      </c>
      <c r="K220" s="1548">
        <v>0.75800000000000001</v>
      </c>
      <c r="L220" s="1548">
        <v>0.75800000000000001</v>
      </c>
      <c r="M220" s="1548">
        <v>0.75800000000000001</v>
      </c>
    </row>
    <row r="221" spans="1:13">
      <c r="A221" s="1545">
        <v>4.4000000000000004</v>
      </c>
      <c r="B221" s="1548">
        <v>0.92030000000000001</v>
      </c>
      <c r="C221" s="1548">
        <v>0.92030000000000001</v>
      </c>
      <c r="D221" s="1548">
        <v>0.90449999999999997</v>
      </c>
      <c r="E221" s="1548">
        <v>0.90449999999999997</v>
      </c>
      <c r="F221" s="1548">
        <v>0.90449999999999997</v>
      </c>
      <c r="G221" s="1548">
        <v>0.90449999999999997</v>
      </c>
      <c r="H221" s="1548">
        <v>0.90449999999999997</v>
      </c>
      <c r="I221" s="1548">
        <v>0.75460000000000005</v>
      </c>
      <c r="J221" s="1548">
        <v>0.75460000000000005</v>
      </c>
      <c r="K221" s="1548">
        <v>0.75460000000000005</v>
      </c>
      <c r="L221" s="1548">
        <v>0.75460000000000005</v>
      </c>
      <c r="M221" s="1548">
        <v>0.75460000000000005</v>
      </c>
    </row>
    <row r="222" spans="1:13">
      <c r="A222" s="1545">
        <v>4.5</v>
      </c>
      <c r="B222" s="1548">
        <v>0.91810000000000003</v>
      </c>
      <c r="C222" s="1548">
        <v>0.91810000000000003</v>
      </c>
      <c r="D222" s="1548">
        <v>0.90180000000000005</v>
      </c>
      <c r="E222" s="1548">
        <v>0.90180000000000005</v>
      </c>
      <c r="F222" s="1548">
        <v>0.90180000000000005</v>
      </c>
      <c r="G222" s="1548">
        <v>0.90180000000000005</v>
      </c>
      <c r="H222" s="1548">
        <v>0.90180000000000005</v>
      </c>
      <c r="I222" s="1548">
        <v>0.75129999999999997</v>
      </c>
      <c r="J222" s="1548">
        <v>0.75129999999999997</v>
      </c>
      <c r="K222" s="1548">
        <v>0.75129999999999997</v>
      </c>
      <c r="L222" s="1548">
        <v>0.75129999999999997</v>
      </c>
      <c r="M222" s="1548">
        <v>0.75129999999999997</v>
      </c>
    </row>
    <row r="223" spans="1:13">
      <c r="A223" s="1545">
        <v>4.5999999999999996</v>
      </c>
      <c r="B223" s="1548">
        <v>0.91600000000000004</v>
      </c>
      <c r="C223" s="1548">
        <v>0.91600000000000004</v>
      </c>
      <c r="D223" s="1548">
        <v>0.8992</v>
      </c>
      <c r="E223" s="1548">
        <v>0.8992</v>
      </c>
      <c r="F223" s="1548">
        <v>0.8992</v>
      </c>
      <c r="G223" s="1548">
        <v>0.8992</v>
      </c>
      <c r="H223" s="1548">
        <v>0.8992</v>
      </c>
      <c r="I223" s="1548">
        <v>0.748</v>
      </c>
      <c r="J223" s="1548">
        <v>0.748</v>
      </c>
      <c r="K223" s="1548">
        <v>0.748</v>
      </c>
      <c r="L223" s="1548">
        <v>0.748</v>
      </c>
      <c r="M223" s="1548">
        <v>0.748</v>
      </c>
    </row>
    <row r="224" spans="1:13">
      <c r="A224" s="1545">
        <v>4.7</v>
      </c>
      <c r="B224" s="1548">
        <v>0.91390000000000005</v>
      </c>
      <c r="C224" s="1548">
        <v>0.91390000000000005</v>
      </c>
      <c r="D224" s="1548">
        <v>0.89659999999999995</v>
      </c>
      <c r="E224" s="1548">
        <v>0.89659999999999995</v>
      </c>
      <c r="F224" s="1548">
        <v>0.89659999999999995</v>
      </c>
      <c r="G224" s="1548">
        <v>0.89659999999999995</v>
      </c>
      <c r="H224" s="1548">
        <v>0.89659999999999995</v>
      </c>
      <c r="I224" s="1548">
        <v>0.74480000000000002</v>
      </c>
      <c r="J224" s="1548">
        <v>0.74480000000000002</v>
      </c>
      <c r="K224" s="1548">
        <v>0.74480000000000002</v>
      </c>
      <c r="L224" s="1548">
        <v>0.74480000000000002</v>
      </c>
      <c r="M224" s="1548">
        <v>0.74480000000000002</v>
      </c>
    </row>
    <row r="225" spans="1:13">
      <c r="A225" s="1545">
        <v>4.8</v>
      </c>
      <c r="B225" s="1548">
        <v>0.91180000000000005</v>
      </c>
      <c r="C225" s="1548">
        <v>0.91180000000000005</v>
      </c>
      <c r="D225" s="1548">
        <v>0.89410000000000001</v>
      </c>
      <c r="E225" s="1548">
        <v>0.89410000000000001</v>
      </c>
      <c r="F225" s="1548">
        <v>0.89410000000000001</v>
      </c>
      <c r="G225" s="1548">
        <v>0.89410000000000001</v>
      </c>
      <c r="H225" s="1548">
        <v>0.89410000000000001</v>
      </c>
      <c r="I225" s="1548">
        <v>0.74160000000000004</v>
      </c>
      <c r="J225" s="1548">
        <v>0.74160000000000004</v>
      </c>
      <c r="K225" s="1548">
        <v>0.74160000000000004</v>
      </c>
      <c r="L225" s="1548">
        <v>0.74160000000000004</v>
      </c>
      <c r="M225" s="1548">
        <v>0.74160000000000004</v>
      </c>
    </row>
    <row r="226" spans="1:13">
      <c r="A226" s="1545">
        <v>4.9000000000000004</v>
      </c>
      <c r="B226" s="1548">
        <v>0.90980000000000005</v>
      </c>
      <c r="C226" s="1548">
        <v>0.90980000000000005</v>
      </c>
      <c r="D226" s="1548">
        <v>0.89159999999999995</v>
      </c>
      <c r="E226" s="1548">
        <v>0.89159999999999995</v>
      </c>
      <c r="F226" s="1548">
        <v>0.89159999999999995</v>
      </c>
      <c r="G226" s="1548">
        <v>0.89159999999999995</v>
      </c>
      <c r="H226" s="1548">
        <v>0.89159999999999995</v>
      </c>
      <c r="I226" s="1548">
        <v>0.73839999999999995</v>
      </c>
      <c r="J226" s="1548">
        <v>0.73839999999999995</v>
      </c>
      <c r="K226" s="1548">
        <v>0.73839999999999995</v>
      </c>
      <c r="L226" s="1548">
        <v>0.73839999999999995</v>
      </c>
      <c r="M226" s="1548">
        <v>0.73839999999999995</v>
      </c>
    </row>
    <row r="227" spans="1:13">
      <c r="A227" s="1549">
        <v>5</v>
      </c>
      <c r="B227" s="1548">
        <v>0.90780000000000005</v>
      </c>
      <c r="C227" s="1548">
        <v>0.90780000000000005</v>
      </c>
      <c r="D227" s="1548">
        <v>0.8891</v>
      </c>
      <c r="E227" s="1548">
        <v>0.8891</v>
      </c>
      <c r="F227" s="1548">
        <v>0.8891</v>
      </c>
      <c r="G227" s="1548">
        <v>0.8891</v>
      </c>
      <c r="H227" s="1548">
        <v>0.8891</v>
      </c>
      <c r="I227" s="1548">
        <v>0.73529999999999995</v>
      </c>
      <c r="J227" s="1548">
        <v>0.73529999999999995</v>
      </c>
      <c r="K227" s="1548">
        <v>0.73529999999999995</v>
      </c>
      <c r="L227" s="1548">
        <v>0.73529999999999995</v>
      </c>
      <c r="M227" s="1548">
        <v>0.73529999999999995</v>
      </c>
    </row>
    <row r="228" spans="1:13">
      <c r="A228" s="1549">
        <v>5.0999999999999996</v>
      </c>
      <c r="B228" s="1548">
        <v>0.90580000000000005</v>
      </c>
      <c r="C228" s="1548">
        <v>0.90580000000000005</v>
      </c>
      <c r="D228" s="1548">
        <v>0.88670000000000004</v>
      </c>
      <c r="E228" s="1548">
        <v>0.88670000000000004</v>
      </c>
      <c r="F228" s="1548">
        <v>0.88670000000000004</v>
      </c>
      <c r="G228" s="1548">
        <v>0.88670000000000004</v>
      </c>
      <c r="H228" s="1548">
        <v>0.88670000000000004</v>
      </c>
      <c r="I228" s="1548">
        <v>0.73219999999999996</v>
      </c>
      <c r="J228" s="1548">
        <v>0.73219999999999996</v>
      </c>
      <c r="K228" s="1548">
        <v>0.73219999999999996</v>
      </c>
      <c r="L228" s="1548">
        <v>0.73219999999999996</v>
      </c>
      <c r="M228" s="1548">
        <v>0.73219999999999996</v>
      </c>
    </row>
    <row r="229" spans="1:13">
      <c r="A229" s="1549">
        <v>5.2</v>
      </c>
      <c r="B229" s="1548">
        <v>0.90380000000000005</v>
      </c>
      <c r="C229" s="1548">
        <v>0.90380000000000005</v>
      </c>
      <c r="D229" s="1548">
        <v>0.88429999999999997</v>
      </c>
      <c r="E229" s="1548">
        <v>0.88429999999999997</v>
      </c>
      <c r="F229" s="1548">
        <v>0.88429999999999997</v>
      </c>
      <c r="G229" s="1548">
        <v>0.88429999999999997</v>
      </c>
      <c r="H229" s="1548">
        <v>0.88429999999999997</v>
      </c>
      <c r="I229" s="1548">
        <v>0.72909999999999997</v>
      </c>
      <c r="J229" s="1548">
        <v>0.72909999999999997</v>
      </c>
      <c r="K229" s="1548">
        <v>0.72909999999999997</v>
      </c>
      <c r="L229" s="1548">
        <v>0.72909999999999997</v>
      </c>
      <c r="M229" s="1548">
        <v>0.72909999999999997</v>
      </c>
    </row>
    <row r="230" spans="1:13">
      <c r="A230" s="1549">
        <v>5.3</v>
      </c>
      <c r="B230" s="1548">
        <v>0.90190000000000003</v>
      </c>
      <c r="C230" s="1548">
        <v>0.90190000000000003</v>
      </c>
      <c r="D230" s="1548">
        <v>0.88190000000000002</v>
      </c>
      <c r="E230" s="1548">
        <v>0.88190000000000002</v>
      </c>
      <c r="F230" s="1548">
        <v>0.88190000000000002</v>
      </c>
      <c r="G230" s="1548">
        <v>0.88190000000000002</v>
      </c>
      <c r="H230" s="1548">
        <v>0.88190000000000002</v>
      </c>
      <c r="I230" s="1548">
        <v>0.72609999999999997</v>
      </c>
      <c r="J230" s="1548">
        <v>0.72609999999999997</v>
      </c>
      <c r="K230" s="1548">
        <v>0.72609999999999997</v>
      </c>
      <c r="L230" s="1548">
        <v>0.72609999999999997</v>
      </c>
      <c r="M230" s="1548">
        <v>0.72609999999999997</v>
      </c>
    </row>
    <row r="231" spans="1:13">
      <c r="A231" s="1549">
        <v>5.4</v>
      </c>
      <c r="B231" s="1548">
        <v>0.9</v>
      </c>
      <c r="C231" s="1548">
        <v>0.9</v>
      </c>
      <c r="D231" s="1548">
        <v>0.87949999999999995</v>
      </c>
      <c r="E231" s="1548">
        <v>0.87949999999999995</v>
      </c>
      <c r="F231" s="1548">
        <v>0.87949999999999995</v>
      </c>
      <c r="G231" s="1548">
        <v>0.87949999999999995</v>
      </c>
      <c r="H231" s="1548">
        <v>0.87949999999999995</v>
      </c>
      <c r="I231" s="1548">
        <v>0.72309999999999997</v>
      </c>
      <c r="J231" s="1548">
        <v>0.72309999999999997</v>
      </c>
      <c r="K231" s="1548">
        <v>0.72309999999999997</v>
      </c>
      <c r="L231" s="1548">
        <v>0.72309999999999997</v>
      </c>
      <c r="M231" s="1548">
        <v>0.72309999999999997</v>
      </c>
    </row>
    <row r="232" spans="1:13">
      <c r="A232" s="1549">
        <v>5.5</v>
      </c>
      <c r="B232" s="1548">
        <v>0.89810000000000001</v>
      </c>
      <c r="C232" s="1548">
        <v>0.89810000000000001</v>
      </c>
      <c r="D232" s="1548">
        <v>0.87719999999999998</v>
      </c>
      <c r="E232" s="1548">
        <v>0.87719999999999998</v>
      </c>
      <c r="F232" s="1548">
        <v>0.87719999999999998</v>
      </c>
      <c r="G232" s="1548">
        <v>0.87719999999999998</v>
      </c>
      <c r="H232" s="1548">
        <v>0.87719999999999998</v>
      </c>
      <c r="I232" s="1548">
        <v>0.72009999999999996</v>
      </c>
      <c r="J232" s="1548">
        <v>0.72009999999999996</v>
      </c>
      <c r="K232" s="1548">
        <v>0.72009999999999996</v>
      </c>
      <c r="L232" s="1548">
        <v>0.72009999999999996</v>
      </c>
      <c r="M232" s="1548">
        <v>0.72009999999999996</v>
      </c>
    </row>
    <row r="233" spans="1:13">
      <c r="A233" s="1549">
        <v>5.6</v>
      </c>
      <c r="B233" s="1548">
        <v>0.8962</v>
      </c>
      <c r="C233" s="1548">
        <v>0.8962</v>
      </c>
      <c r="D233" s="1548">
        <v>0.87490000000000001</v>
      </c>
      <c r="E233" s="1548">
        <v>0.87490000000000001</v>
      </c>
      <c r="F233" s="1548">
        <v>0.87490000000000001</v>
      </c>
      <c r="G233" s="1548">
        <v>0.87490000000000001</v>
      </c>
      <c r="H233" s="1548">
        <v>0.87490000000000001</v>
      </c>
      <c r="I233" s="1548">
        <v>0.71709999999999996</v>
      </c>
      <c r="J233" s="1548">
        <v>0.71709999999999996</v>
      </c>
      <c r="K233" s="1548">
        <v>0.71709999999999996</v>
      </c>
      <c r="L233" s="1548">
        <v>0.71709999999999996</v>
      </c>
      <c r="M233" s="1548">
        <v>0.71709999999999996</v>
      </c>
    </row>
    <row r="234" spans="1:13">
      <c r="A234" s="1549">
        <v>5.7</v>
      </c>
      <c r="B234" s="1548">
        <v>0.89429999999999998</v>
      </c>
      <c r="C234" s="1548">
        <v>0.89429999999999998</v>
      </c>
      <c r="D234" s="1548">
        <v>0.87260000000000004</v>
      </c>
      <c r="E234" s="1548">
        <v>0.87260000000000004</v>
      </c>
      <c r="F234" s="1548">
        <v>0.87260000000000004</v>
      </c>
      <c r="G234" s="1548">
        <v>0.87260000000000004</v>
      </c>
      <c r="H234" s="1548">
        <v>0.87260000000000004</v>
      </c>
      <c r="I234" s="1548">
        <v>0.71419999999999995</v>
      </c>
      <c r="J234" s="1548">
        <v>0.71419999999999995</v>
      </c>
      <c r="K234" s="1548">
        <v>0.71419999999999995</v>
      </c>
      <c r="L234" s="1548">
        <v>0.71419999999999995</v>
      </c>
      <c r="M234" s="1548">
        <v>0.71419999999999995</v>
      </c>
    </row>
    <row r="235" spans="1:13">
      <c r="A235" s="1549">
        <v>5.8</v>
      </c>
      <c r="B235" s="1548">
        <v>0.89249999999999996</v>
      </c>
      <c r="C235" s="1548">
        <v>0.89249999999999996</v>
      </c>
      <c r="D235" s="1548">
        <v>0.87029999999999996</v>
      </c>
      <c r="E235" s="1548">
        <v>0.87029999999999996</v>
      </c>
      <c r="F235" s="1548">
        <v>0.87029999999999996</v>
      </c>
      <c r="G235" s="1548">
        <v>0.87029999999999996</v>
      </c>
      <c r="H235" s="1548">
        <v>0.87029999999999996</v>
      </c>
      <c r="I235" s="1548">
        <v>0.71130000000000004</v>
      </c>
      <c r="J235" s="1548">
        <v>0.71130000000000004</v>
      </c>
      <c r="K235" s="1548">
        <v>0.71130000000000004</v>
      </c>
      <c r="L235" s="1548">
        <v>0.71130000000000004</v>
      </c>
      <c r="M235" s="1548">
        <v>0.71130000000000004</v>
      </c>
    </row>
    <row r="236" spans="1:13">
      <c r="A236" s="1549">
        <v>5.9</v>
      </c>
      <c r="B236" s="1548">
        <v>0.89070000000000005</v>
      </c>
      <c r="C236" s="1548">
        <v>0.89070000000000005</v>
      </c>
      <c r="D236" s="1548">
        <v>0.86799999999999999</v>
      </c>
      <c r="E236" s="1548">
        <v>0.86799999999999999</v>
      </c>
      <c r="F236" s="1548">
        <v>0.86799999999999999</v>
      </c>
      <c r="G236" s="1548">
        <v>0.86799999999999999</v>
      </c>
      <c r="H236" s="1548">
        <v>0.86799999999999999</v>
      </c>
      <c r="I236" s="1548">
        <v>0.70840000000000003</v>
      </c>
      <c r="J236" s="1548">
        <v>0.70840000000000003</v>
      </c>
      <c r="K236" s="1548">
        <v>0.70840000000000003</v>
      </c>
      <c r="L236" s="1548">
        <v>0.70840000000000003</v>
      </c>
      <c r="M236" s="1548">
        <v>0.70840000000000003</v>
      </c>
    </row>
    <row r="237" spans="1:13">
      <c r="A237" s="1549">
        <v>6</v>
      </c>
      <c r="B237" s="1548">
        <v>0.88890000000000002</v>
      </c>
      <c r="C237" s="1548">
        <v>0.88890000000000002</v>
      </c>
      <c r="D237" s="1548">
        <v>0.86580000000000001</v>
      </c>
      <c r="E237" s="1548">
        <v>0.86580000000000001</v>
      </c>
      <c r="F237" s="1548">
        <v>0.86580000000000001</v>
      </c>
      <c r="G237" s="1548">
        <v>0.86580000000000001</v>
      </c>
      <c r="H237" s="1548">
        <v>0.86580000000000001</v>
      </c>
      <c r="I237" s="1548">
        <v>0.70550000000000002</v>
      </c>
      <c r="J237" s="1548">
        <v>0.70550000000000002</v>
      </c>
      <c r="K237" s="1548">
        <v>0.70550000000000002</v>
      </c>
      <c r="L237" s="1548">
        <v>0.70550000000000002</v>
      </c>
      <c r="M237" s="1548">
        <v>0.70550000000000002</v>
      </c>
    </row>
    <row r="238" spans="1:13">
      <c r="A238" s="1549">
        <v>6.1</v>
      </c>
      <c r="B238" s="1548">
        <v>0.8871</v>
      </c>
      <c r="C238" s="1548">
        <v>0.8871</v>
      </c>
      <c r="D238" s="1548">
        <v>0.86360000000000003</v>
      </c>
      <c r="E238" s="1548">
        <v>0.86360000000000003</v>
      </c>
      <c r="F238" s="1548">
        <v>0.86360000000000003</v>
      </c>
      <c r="G238" s="1548">
        <v>0.86360000000000003</v>
      </c>
      <c r="H238" s="1548">
        <v>0.86360000000000003</v>
      </c>
      <c r="I238" s="1548">
        <v>0.70269999999999999</v>
      </c>
      <c r="J238" s="1548">
        <v>0.70269999999999999</v>
      </c>
      <c r="K238" s="1548">
        <v>0.70269999999999999</v>
      </c>
      <c r="L238" s="1548">
        <v>0.70269999999999999</v>
      </c>
      <c r="M238" s="1548">
        <v>0.70269999999999999</v>
      </c>
    </row>
    <row r="239" spans="1:13">
      <c r="A239" s="1549">
        <v>6.2</v>
      </c>
      <c r="B239" s="1548">
        <v>0.88529999999999998</v>
      </c>
      <c r="C239" s="1548">
        <v>0.88529999999999998</v>
      </c>
      <c r="D239" s="1548">
        <v>0.86140000000000005</v>
      </c>
      <c r="E239" s="1548">
        <v>0.86140000000000005</v>
      </c>
      <c r="F239" s="1548">
        <v>0.86140000000000005</v>
      </c>
      <c r="G239" s="1548">
        <v>0.86140000000000005</v>
      </c>
      <c r="H239" s="1548">
        <v>0.86140000000000005</v>
      </c>
      <c r="I239" s="1548">
        <v>0.69989999999999997</v>
      </c>
      <c r="J239" s="1548">
        <v>0.69989999999999997</v>
      </c>
      <c r="K239" s="1548">
        <v>0.69989999999999997</v>
      </c>
      <c r="L239" s="1548">
        <v>0.69989999999999997</v>
      </c>
      <c r="M239" s="1548">
        <v>0.69989999999999997</v>
      </c>
    </row>
    <row r="240" spans="1:13">
      <c r="A240" s="1549">
        <v>6.3</v>
      </c>
      <c r="B240" s="1548">
        <v>0.88349999999999995</v>
      </c>
      <c r="C240" s="1548">
        <v>0.88349999999999995</v>
      </c>
      <c r="D240" s="1548">
        <v>0.85919999999999996</v>
      </c>
      <c r="E240" s="1548">
        <v>0.85919999999999996</v>
      </c>
      <c r="F240" s="1548">
        <v>0.85919999999999996</v>
      </c>
      <c r="G240" s="1548">
        <v>0.85919999999999996</v>
      </c>
      <c r="H240" s="1548">
        <v>0.85919999999999996</v>
      </c>
      <c r="I240" s="1548">
        <v>0.69710000000000005</v>
      </c>
      <c r="J240" s="1548">
        <v>0.69710000000000005</v>
      </c>
      <c r="K240" s="1548">
        <v>0.69710000000000005</v>
      </c>
      <c r="L240" s="1548">
        <v>0.69710000000000005</v>
      </c>
      <c r="M240" s="1548">
        <v>0.69710000000000005</v>
      </c>
    </row>
    <row r="241" spans="1:13">
      <c r="A241" s="1549">
        <v>6.4</v>
      </c>
      <c r="B241" s="1548">
        <v>0.88180000000000003</v>
      </c>
      <c r="C241" s="1548">
        <v>0.88180000000000003</v>
      </c>
      <c r="D241" s="1548">
        <v>0.85699999999999998</v>
      </c>
      <c r="E241" s="1548">
        <v>0.85699999999999998</v>
      </c>
      <c r="F241" s="1548">
        <v>0.85699999999999998</v>
      </c>
      <c r="G241" s="1548">
        <v>0.85699999999999998</v>
      </c>
      <c r="H241" s="1548">
        <v>0.85699999999999998</v>
      </c>
      <c r="I241" s="1548">
        <v>0.69430000000000003</v>
      </c>
      <c r="J241" s="1548">
        <v>0.69430000000000003</v>
      </c>
      <c r="K241" s="1548">
        <v>0.69430000000000003</v>
      </c>
      <c r="L241" s="1548">
        <v>0.69430000000000003</v>
      </c>
      <c r="M241" s="1548">
        <v>0.69430000000000003</v>
      </c>
    </row>
    <row r="242" spans="1:13">
      <c r="A242" s="1549">
        <v>6.5</v>
      </c>
      <c r="B242" s="1548">
        <v>0.88009999999999999</v>
      </c>
      <c r="C242" s="1548">
        <v>0.88009999999999999</v>
      </c>
      <c r="D242" s="1548">
        <v>0.85489999999999999</v>
      </c>
      <c r="E242" s="1548">
        <v>0.85489999999999999</v>
      </c>
      <c r="F242" s="1548">
        <v>0.85489999999999999</v>
      </c>
      <c r="G242" s="1548">
        <v>0.85489999999999999</v>
      </c>
      <c r="H242" s="1548">
        <v>0.85489999999999999</v>
      </c>
      <c r="I242" s="1548">
        <v>0.69159999999999999</v>
      </c>
      <c r="J242" s="1548">
        <v>0.69159999999999999</v>
      </c>
      <c r="K242" s="1548">
        <v>0.69159999999999999</v>
      </c>
      <c r="L242" s="1548">
        <v>0.69159999999999999</v>
      </c>
      <c r="M242" s="1548">
        <v>0.69159999999999999</v>
      </c>
    </row>
    <row r="243" spans="1:13">
      <c r="A243" s="1549">
        <v>6.6</v>
      </c>
      <c r="B243" s="1548">
        <v>0.87839999999999996</v>
      </c>
      <c r="C243" s="1548">
        <v>0.87839999999999996</v>
      </c>
      <c r="D243" s="1548">
        <v>0.8528</v>
      </c>
      <c r="E243" s="1548">
        <v>0.8528</v>
      </c>
      <c r="F243" s="1548">
        <v>0.8528</v>
      </c>
      <c r="G243" s="1548">
        <v>0.8528</v>
      </c>
      <c r="H243" s="1548">
        <v>0.8528</v>
      </c>
      <c r="I243" s="1548">
        <v>0.68889999999999996</v>
      </c>
      <c r="J243" s="1548">
        <v>0.68889999999999996</v>
      </c>
      <c r="K243" s="1548">
        <v>0.68889999999999996</v>
      </c>
      <c r="L243" s="1548">
        <v>0.68889999999999996</v>
      </c>
      <c r="M243" s="1548">
        <v>0.68889999999999996</v>
      </c>
    </row>
    <row r="244" spans="1:13">
      <c r="A244" s="1549">
        <v>6.7</v>
      </c>
      <c r="B244" s="1548">
        <v>0.87670000000000003</v>
      </c>
      <c r="C244" s="1548">
        <v>0.87670000000000003</v>
      </c>
      <c r="D244" s="1548">
        <v>0.85070000000000001</v>
      </c>
      <c r="E244" s="1548">
        <v>0.85070000000000001</v>
      </c>
      <c r="F244" s="1548">
        <v>0.85070000000000001</v>
      </c>
      <c r="G244" s="1548">
        <v>0.85070000000000001</v>
      </c>
      <c r="H244" s="1548">
        <v>0.85070000000000001</v>
      </c>
      <c r="I244" s="1548">
        <v>0.68620000000000003</v>
      </c>
      <c r="J244" s="1548">
        <v>0.68620000000000003</v>
      </c>
      <c r="K244" s="1548">
        <v>0.68620000000000003</v>
      </c>
      <c r="L244" s="1548">
        <v>0.68620000000000003</v>
      </c>
      <c r="M244" s="1548">
        <v>0.68620000000000003</v>
      </c>
    </row>
    <row r="245" spans="1:13">
      <c r="A245" s="1549">
        <v>6.8</v>
      </c>
      <c r="B245" s="1548">
        <v>0.875</v>
      </c>
      <c r="C245" s="1548">
        <v>0.875</v>
      </c>
      <c r="D245" s="1548">
        <v>0.84860000000000002</v>
      </c>
      <c r="E245" s="1548">
        <v>0.84860000000000002</v>
      </c>
      <c r="F245" s="1548">
        <v>0.84860000000000002</v>
      </c>
      <c r="G245" s="1548">
        <v>0.84860000000000002</v>
      </c>
      <c r="H245" s="1548">
        <v>0.84860000000000002</v>
      </c>
      <c r="I245" s="1548">
        <v>0.6835</v>
      </c>
      <c r="J245" s="1548">
        <v>0.6835</v>
      </c>
      <c r="K245" s="1548">
        <v>0.6835</v>
      </c>
      <c r="L245" s="1548">
        <v>0.6835</v>
      </c>
      <c r="M245" s="1548">
        <v>0.6835</v>
      </c>
    </row>
    <row r="246" spans="1:13">
      <c r="A246" s="1549">
        <v>6.9</v>
      </c>
      <c r="B246" s="1548">
        <v>0.87329999999999997</v>
      </c>
      <c r="C246" s="1548">
        <v>0.87329999999999997</v>
      </c>
      <c r="D246" s="1548">
        <v>0.84650000000000003</v>
      </c>
      <c r="E246" s="1548">
        <v>0.84650000000000003</v>
      </c>
      <c r="F246" s="1548">
        <v>0.84650000000000003</v>
      </c>
      <c r="G246" s="1548">
        <v>0.84650000000000003</v>
      </c>
      <c r="H246" s="1548">
        <v>0.84650000000000003</v>
      </c>
      <c r="I246" s="1548">
        <v>0.68089999999999995</v>
      </c>
      <c r="J246" s="1548">
        <v>0.68089999999999995</v>
      </c>
      <c r="K246" s="1548">
        <v>0.68089999999999995</v>
      </c>
      <c r="L246" s="1548">
        <v>0.68089999999999995</v>
      </c>
      <c r="M246" s="1548">
        <v>0.68089999999999995</v>
      </c>
    </row>
    <row r="247" spans="1:13">
      <c r="A247" s="1549">
        <v>7</v>
      </c>
      <c r="B247" s="1548">
        <v>0.87170000000000003</v>
      </c>
      <c r="C247" s="1548">
        <v>0.87170000000000003</v>
      </c>
      <c r="D247" s="1548">
        <v>0.84450000000000003</v>
      </c>
      <c r="E247" s="1548">
        <v>0.84450000000000003</v>
      </c>
      <c r="F247" s="1548">
        <v>0.84450000000000003</v>
      </c>
      <c r="G247" s="1548">
        <v>0.84450000000000003</v>
      </c>
      <c r="H247" s="1548">
        <v>0.84450000000000003</v>
      </c>
      <c r="I247" s="1548">
        <v>0.67830000000000001</v>
      </c>
      <c r="J247" s="1548">
        <v>0.67830000000000001</v>
      </c>
      <c r="K247" s="1548">
        <v>0.67830000000000001</v>
      </c>
      <c r="L247" s="1548">
        <v>0.67830000000000001</v>
      </c>
      <c r="M247" s="1548">
        <v>0.67830000000000001</v>
      </c>
    </row>
    <row r="248" spans="1:13">
      <c r="A248" s="1549">
        <v>7.1</v>
      </c>
      <c r="B248" s="1548">
        <v>0.87009999999999998</v>
      </c>
      <c r="C248" s="1548">
        <v>0.87009999999999998</v>
      </c>
      <c r="D248" s="1548">
        <v>0.84250000000000003</v>
      </c>
      <c r="E248" s="1548">
        <v>0.84250000000000003</v>
      </c>
      <c r="F248" s="1548">
        <v>0.84250000000000003</v>
      </c>
      <c r="G248" s="1548">
        <v>0.84250000000000003</v>
      </c>
      <c r="H248" s="1548">
        <v>0.84250000000000003</v>
      </c>
      <c r="I248" s="1548">
        <v>0.67569999999999997</v>
      </c>
      <c r="J248" s="1548">
        <v>0.67569999999999997</v>
      </c>
      <c r="K248" s="1548">
        <v>0.67569999999999997</v>
      </c>
      <c r="L248" s="1548">
        <v>0.67569999999999997</v>
      </c>
      <c r="M248" s="1548">
        <v>0.67569999999999997</v>
      </c>
    </row>
    <row r="249" spans="1:13">
      <c r="A249" s="1549">
        <v>7.2</v>
      </c>
      <c r="B249" s="1548">
        <v>0.86850000000000005</v>
      </c>
      <c r="C249" s="1548">
        <v>0.86850000000000005</v>
      </c>
      <c r="D249" s="1548">
        <v>0.84050000000000002</v>
      </c>
      <c r="E249" s="1548">
        <v>0.84050000000000002</v>
      </c>
      <c r="F249" s="1548">
        <v>0.84050000000000002</v>
      </c>
      <c r="G249" s="1548">
        <v>0.84050000000000002</v>
      </c>
      <c r="H249" s="1548">
        <v>0.84050000000000002</v>
      </c>
      <c r="I249" s="1548">
        <v>0.67310000000000003</v>
      </c>
      <c r="J249" s="1548">
        <v>0.67310000000000003</v>
      </c>
      <c r="K249" s="1548">
        <v>0.67310000000000003</v>
      </c>
      <c r="L249" s="1548">
        <v>0.67310000000000003</v>
      </c>
      <c r="M249" s="1548">
        <v>0.67310000000000003</v>
      </c>
    </row>
    <row r="250" spans="1:13">
      <c r="A250" s="1549">
        <v>7.3</v>
      </c>
      <c r="B250" s="1548">
        <v>0.8669</v>
      </c>
      <c r="C250" s="1548">
        <v>0.8669</v>
      </c>
      <c r="D250" s="1548">
        <v>0.83850000000000002</v>
      </c>
      <c r="E250" s="1548">
        <v>0.83850000000000002</v>
      </c>
      <c r="F250" s="1548">
        <v>0.83850000000000002</v>
      </c>
      <c r="G250" s="1548">
        <v>0.83850000000000002</v>
      </c>
      <c r="H250" s="1548">
        <v>0.83850000000000002</v>
      </c>
      <c r="I250" s="1548">
        <v>0.67059999999999997</v>
      </c>
      <c r="J250" s="1548">
        <v>0.67059999999999997</v>
      </c>
      <c r="K250" s="1548">
        <v>0.67059999999999997</v>
      </c>
      <c r="L250" s="1548">
        <v>0.67059999999999997</v>
      </c>
      <c r="M250" s="1548">
        <v>0.67059999999999997</v>
      </c>
    </row>
    <row r="251" spans="1:13">
      <c r="A251" s="1549">
        <v>7.4</v>
      </c>
      <c r="B251" s="1548">
        <v>0.86529999999999996</v>
      </c>
      <c r="C251" s="1548">
        <v>0.86529999999999996</v>
      </c>
      <c r="D251" s="1548">
        <v>0.83650000000000002</v>
      </c>
      <c r="E251" s="1548">
        <v>0.83650000000000002</v>
      </c>
      <c r="F251" s="1548">
        <v>0.83650000000000002</v>
      </c>
      <c r="G251" s="1548">
        <v>0.83650000000000002</v>
      </c>
      <c r="H251" s="1548">
        <v>0.83650000000000002</v>
      </c>
      <c r="I251" s="1548">
        <v>0.66810000000000003</v>
      </c>
      <c r="J251" s="1548">
        <v>0.66810000000000003</v>
      </c>
      <c r="K251" s="1548">
        <v>0.66810000000000003</v>
      </c>
      <c r="L251" s="1548">
        <v>0.66810000000000003</v>
      </c>
      <c r="M251" s="1548">
        <v>0.66810000000000003</v>
      </c>
    </row>
    <row r="252" spans="1:13">
      <c r="A252" s="1549">
        <v>7.5</v>
      </c>
      <c r="B252" s="1548">
        <v>0.86370000000000002</v>
      </c>
      <c r="C252" s="1548">
        <v>0.86370000000000002</v>
      </c>
      <c r="D252" s="1548">
        <v>0.83460000000000001</v>
      </c>
      <c r="E252" s="1548">
        <v>0.83460000000000001</v>
      </c>
      <c r="F252" s="1548">
        <v>0.83460000000000001</v>
      </c>
      <c r="G252" s="1548">
        <v>0.83460000000000001</v>
      </c>
      <c r="H252" s="1548">
        <v>0.83460000000000001</v>
      </c>
      <c r="I252" s="1548">
        <v>0.66559999999999997</v>
      </c>
      <c r="J252" s="1548">
        <v>0.66559999999999997</v>
      </c>
      <c r="K252" s="1548">
        <v>0.66559999999999997</v>
      </c>
      <c r="L252" s="1548">
        <v>0.66559999999999997</v>
      </c>
      <c r="M252" s="1548">
        <v>0.66559999999999997</v>
      </c>
    </row>
    <row r="253" spans="1:13">
      <c r="A253" s="1549">
        <v>7.6</v>
      </c>
      <c r="B253" s="1548">
        <v>0.86219999999999997</v>
      </c>
      <c r="C253" s="1548">
        <v>0.86219999999999997</v>
      </c>
      <c r="D253" s="1548">
        <v>0.8327</v>
      </c>
      <c r="E253" s="1548">
        <v>0.8327</v>
      </c>
      <c r="F253" s="1548">
        <v>0.8327</v>
      </c>
      <c r="G253" s="1548">
        <v>0.8327</v>
      </c>
      <c r="H253" s="1548">
        <v>0.8327</v>
      </c>
      <c r="I253" s="1548">
        <v>0.66310000000000002</v>
      </c>
      <c r="J253" s="1548">
        <v>0.66310000000000002</v>
      </c>
      <c r="K253" s="1548">
        <v>0.66310000000000002</v>
      </c>
      <c r="L253" s="1548">
        <v>0.66310000000000002</v>
      </c>
      <c r="M253" s="1548">
        <v>0.66310000000000002</v>
      </c>
    </row>
    <row r="254" spans="1:13">
      <c r="A254" s="1549">
        <v>7.7</v>
      </c>
      <c r="B254" s="1548">
        <v>0.86070000000000002</v>
      </c>
      <c r="C254" s="1548">
        <v>0.86070000000000002</v>
      </c>
      <c r="D254" s="1548">
        <v>0.83079999999999998</v>
      </c>
      <c r="E254" s="1548">
        <v>0.83079999999999998</v>
      </c>
      <c r="F254" s="1548">
        <v>0.83079999999999998</v>
      </c>
      <c r="G254" s="1548">
        <v>0.83079999999999998</v>
      </c>
      <c r="H254" s="1548">
        <v>0.83079999999999998</v>
      </c>
      <c r="I254" s="1548">
        <v>0.66069999999999995</v>
      </c>
      <c r="J254" s="1548">
        <v>0.66069999999999995</v>
      </c>
      <c r="K254" s="1548">
        <v>0.66069999999999995</v>
      </c>
      <c r="L254" s="1548">
        <v>0.66069999999999995</v>
      </c>
      <c r="M254" s="1548">
        <v>0.66069999999999995</v>
      </c>
    </row>
    <row r="255" spans="1:13">
      <c r="A255" s="1549">
        <v>7.8</v>
      </c>
      <c r="B255" s="1548">
        <v>0.85919999999999996</v>
      </c>
      <c r="C255" s="1548">
        <v>0.85919999999999996</v>
      </c>
      <c r="D255" s="1548">
        <v>0.82889999999999997</v>
      </c>
      <c r="E255" s="1548">
        <v>0.82889999999999997</v>
      </c>
      <c r="F255" s="1548">
        <v>0.82889999999999997</v>
      </c>
      <c r="G255" s="1548">
        <v>0.82889999999999997</v>
      </c>
      <c r="H255" s="1548">
        <v>0.82889999999999997</v>
      </c>
      <c r="I255" s="1548">
        <v>0.6583</v>
      </c>
      <c r="J255" s="1548">
        <v>0.6583</v>
      </c>
      <c r="K255" s="1548">
        <v>0.6583</v>
      </c>
      <c r="L255" s="1548">
        <v>0.6583</v>
      </c>
      <c r="M255" s="1548">
        <v>0.6583</v>
      </c>
    </row>
    <row r="256" spans="1:13">
      <c r="A256" s="1549">
        <v>7.9</v>
      </c>
      <c r="B256" s="1548">
        <v>0.85770000000000002</v>
      </c>
      <c r="C256" s="1548">
        <v>0.85770000000000002</v>
      </c>
      <c r="D256" s="1548">
        <v>0.82699999999999996</v>
      </c>
      <c r="E256" s="1548">
        <v>0.82699999999999996</v>
      </c>
      <c r="F256" s="1548">
        <v>0.82699999999999996</v>
      </c>
      <c r="G256" s="1548">
        <v>0.82699999999999996</v>
      </c>
      <c r="H256" s="1548">
        <v>0.82699999999999996</v>
      </c>
      <c r="I256" s="1548">
        <v>0.65590000000000004</v>
      </c>
      <c r="J256" s="1548">
        <v>0.65590000000000004</v>
      </c>
      <c r="K256" s="1548">
        <v>0.65590000000000004</v>
      </c>
      <c r="L256" s="1548">
        <v>0.65590000000000004</v>
      </c>
      <c r="M256" s="1548">
        <v>0.65590000000000004</v>
      </c>
    </row>
    <row r="257" spans="1:13">
      <c r="A257" s="1545">
        <v>8</v>
      </c>
      <c r="B257" s="1548">
        <v>0.85619999999999996</v>
      </c>
      <c r="C257" s="1548">
        <v>0.85619999999999996</v>
      </c>
      <c r="D257" s="1548">
        <v>0.82509999999999994</v>
      </c>
      <c r="E257" s="1548">
        <v>0.82509999999999994</v>
      </c>
      <c r="F257" s="1548">
        <v>0.82509999999999994</v>
      </c>
      <c r="G257" s="1548">
        <v>0.82509999999999994</v>
      </c>
      <c r="H257" s="1548">
        <v>0.82509999999999994</v>
      </c>
      <c r="I257" s="1548">
        <v>0.65349999999999997</v>
      </c>
      <c r="J257" s="1548">
        <v>0.65349999999999997</v>
      </c>
      <c r="K257" s="1548">
        <v>0.65349999999999997</v>
      </c>
      <c r="L257" s="1548">
        <v>0.65349999999999997</v>
      </c>
      <c r="M257" s="1548">
        <v>0.65349999999999997</v>
      </c>
    </row>
    <row r="258" spans="1:13">
      <c r="A258" s="1545">
        <v>8.1</v>
      </c>
      <c r="B258" s="1548">
        <v>0.85470000000000002</v>
      </c>
      <c r="C258" s="1548">
        <v>0.85470000000000002</v>
      </c>
      <c r="D258" s="1548">
        <v>0.82330000000000003</v>
      </c>
      <c r="E258" s="1548">
        <v>0.82330000000000003</v>
      </c>
      <c r="F258" s="1548">
        <v>0.82330000000000003</v>
      </c>
      <c r="G258" s="1548">
        <v>0.82330000000000003</v>
      </c>
      <c r="H258" s="1548">
        <v>0.82330000000000003</v>
      </c>
      <c r="I258" s="1548">
        <v>0.6512</v>
      </c>
      <c r="J258" s="1548">
        <v>0.6512</v>
      </c>
      <c r="K258" s="1548">
        <v>0.6512</v>
      </c>
      <c r="L258" s="1548">
        <v>0.6512</v>
      </c>
      <c r="M258" s="1548">
        <v>0.6512</v>
      </c>
    </row>
    <row r="259" spans="1:13">
      <c r="A259" s="1545">
        <v>8.1999999999999993</v>
      </c>
      <c r="B259" s="1548">
        <v>0.85329999999999995</v>
      </c>
      <c r="C259" s="1548">
        <v>0.85329999999999995</v>
      </c>
      <c r="D259" s="1548">
        <v>0.82150000000000001</v>
      </c>
      <c r="E259" s="1548">
        <v>0.82150000000000001</v>
      </c>
      <c r="F259" s="1548">
        <v>0.82150000000000001</v>
      </c>
      <c r="G259" s="1548">
        <v>0.82150000000000001</v>
      </c>
      <c r="H259" s="1548">
        <v>0.82150000000000001</v>
      </c>
      <c r="I259" s="1548">
        <v>0.64890000000000003</v>
      </c>
      <c r="J259" s="1548">
        <v>0.64890000000000003</v>
      </c>
      <c r="K259" s="1548">
        <v>0.64890000000000003</v>
      </c>
      <c r="L259" s="1548">
        <v>0.64890000000000003</v>
      </c>
      <c r="M259" s="1548">
        <v>0.64890000000000003</v>
      </c>
    </row>
    <row r="260" spans="1:13">
      <c r="A260" s="1545">
        <v>8.3000000000000007</v>
      </c>
      <c r="B260" s="1548">
        <v>0.85189999999999999</v>
      </c>
      <c r="C260" s="1548">
        <v>0.85189999999999999</v>
      </c>
      <c r="D260" s="1548">
        <v>0.81969999999999998</v>
      </c>
      <c r="E260" s="1548">
        <v>0.81969999999999998</v>
      </c>
      <c r="F260" s="1548">
        <v>0.81969999999999998</v>
      </c>
      <c r="G260" s="1548">
        <v>0.81969999999999998</v>
      </c>
      <c r="H260" s="1548">
        <v>0.81969999999999998</v>
      </c>
      <c r="I260" s="1548">
        <v>0.64659999999999995</v>
      </c>
      <c r="J260" s="1548">
        <v>0.64659999999999995</v>
      </c>
      <c r="K260" s="1548">
        <v>0.64659999999999995</v>
      </c>
      <c r="L260" s="1548">
        <v>0.64659999999999995</v>
      </c>
      <c r="M260" s="1548">
        <v>0.64659999999999995</v>
      </c>
    </row>
    <row r="261" spans="1:13">
      <c r="A261" s="1545">
        <v>8.4</v>
      </c>
      <c r="B261" s="1548">
        <v>0.85050000000000003</v>
      </c>
      <c r="C261" s="1548">
        <v>0.85050000000000003</v>
      </c>
      <c r="D261" s="1548">
        <v>0.81789999999999996</v>
      </c>
      <c r="E261" s="1548">
        <v>0.81789999999999996</v>
      </c>
      <c r="F261" s="1548">
        <v>0.81789999999999996</v>
      </c>
      <c r="G261" s="1548">
        <v>0.81789999999999996</v>
      </c>
      <c r="H261" s="1548">
        <v>0.81789999999999996</v>
      </c>
      <c r="I261" s="1548">
        <v>0.64429999999999998</v>
      </c>
      <c r="J261" s="1548">
        <v>0.64429999999999998</v>
      </c>
      <c r="K261" s="1548">
        <v>0.64429999999999998</v>
      </c>
      <c r="L261" s="1548">
        <v>0.64429999999999998</v>
      </c>
      <c r="M261" s="1548">
        <v>0.64429999999999998</v>
      </c>
    </row>
    <row r="262" spans="1:13">
      <c r="A262" s="1545">
        <v>8.5</v>
      </c>
      <c r="B262" s="1548">
        <v>0.84909999999999997</v>
      </c>
      <c r="C262" s="1548">
        <v>0.84909999999999997</v>
      </c>
      <c r="D262" s="1548">
        <v>0.81610000000000005</v>
      </c>
      <c r="E262" s="1548">
        <v>0.81610000000000005</v>
      </c>
      <c r="F262" s="1548">
        <v>0.81610000000000005</v>
      </c>
      <c r="G262" s="1548">
        <v>0.81610000000000005</v>
      </c>
      <c r="H262" s="1548">
        <v>0.81610000000000005</v>
      </c>
      <c r="I262" s="1548">
        <v>0.6421</v>
      </c>
      <c r="J262" s="1548">
        <v>0.6421</v>
      </c>
      <c r="K262" s="1548">
        <v>0.6421</v>
      </c>
      <c r="L262" s="1548">
        <v>0.6421</v>
      </c>
      <c r="M262" s="1548">
        <v>0.6421</v>
      </c>
    </row>
    <row r="263" spans="1:13">
      <c r="A263" s="1549">
        <v>8.6</v>
      </c>
      <c r="B263" s="1548">
        <v>0.84770000000000001</v>
      </c>
      <c r="C263" s="1548">
        <v>0.84770000000000001</v>
      </c>
      <c r="D263" s="1548">
        <v>0.81440000000000001</v>
      </c>
      <c r="E263" s="1548">
        <v>0.81440000000000001</v>
      </c>
      <c r="F263" s="1548">
        <v>0.81440000000000001</v>
      </c>
      <c r="G263" s="1548">
        <v>0.81440000000000001</v>
      </c>
      <c r="H263" s="1548">
        <v>0.81440000000000001</v>
      </c>
      <c r="I263" s="1548">
        <v>0.63990000000000002</v>
      </c>
      <c r="J263" s="1548">
        <v>0.63990000000000002</v>
      </c>
      <c r="K263" s="1548">
        <v>0.63990000000000002</v>
      </c>
      <c r="L263" s="1548">
        <v>0.63990000000000002</v>
      </c>
      <c r="M263" s="1548">
        <v>0.63990000000000002</v>
      </c>
    </row>
    <row r="264" spans="1:13">
      <c r="A264" s="1545">
        <v>8.6999999999999993</v>
      </c>
      <c r="B264" s="1548">
        <v>0.84630000000000005</v>
      </c>
      <c r="C264" s="1548">
        <v>0.84630000000000005</v>
      </c>
      <c r="D264" s="1548">
        <v>0.81269999999999998</v>
      </c>
      <c r="E264" s="1548">
        <v>0.81269999999999998</v>
      </c>
      <c r="F264" s="1548">
        <v>0.81269999999999998</v>
      </c>
      <c r="G264" s="1548">
        <v>0.81269999999999998</v>
      </c>
      <c r="H264" s="1548">
        <v>0.81269999999999998</v>
      </c>
      <c r="I264" s="1548">
        <v>0.63770000000000004</v>
      </c>
      <c r="J264" s="1548">
        <v>0.63770000000000004</v>
      </c>
      <c r="K264" s="1548">
        <v>0.63770000000000004</v>
      </c>
      <c r="L264" s="1548">
        <v>0.63770000000000004</v>
      </c>
      <c r="M264" s="1548">
        <v>0.63770000000000004</v>
      </c>
    </row>
    <row r="265" spans="1:13">
      <c r="A265" s="1545">
        <v>8.8000000000000007</v>
      </c>
      <c r="B265" s="1548">
        <v>0.84489999999999998</v>
      </c>
      <c r="C265" s="1548">
        <v>0.84489999999999998</v>
      </c>
      <c r="D265" s="1548">
        <v>0.81100000000000005</v>
      </c>
      <c r="E265" s="1548">
        <v>0.81100000000000005</v>
      </c>
      <c r="F265" s="1548">
        <v>0.81100000000000005</v>
      </c>
      <c r="G265" s="1548">
        <v>0.81100000000000005</v>
      </c>
      <c r="H265" s="1548">
        <v>0.81100000000000005</v>
      </c>
      <c r="I265" s="1548">
        <v>0.63549999999999995</v>
      </c>
      <c r="J265" s="1548">
        <v>0.63549999999999995</v>
      </c>
      <c r="K265" s="1548">
        <v>0.63549999999999995</v>
      </c>
      <c r="L265" s="1548">
        <v>0.63549999999999995</v>
      </c>
      <c r="M265" s="1548">
        <v>0.63549999999999995</v>
      </c>
    </row>
    <row r="266" spans="1:13">
      <c r="A266" s="1545">
        <v>8.9</v>
      </c>
      <c r="B266" s="1548">
        <v>0.84360000000000002</v>
      </c>
      <c r="C266" s="1548">
        <v>0.84360000000000002</v>
      </c>
      <c r="D266" s="1548">
        <v>0.80930000000000002</v>
      </c>
      <c r="E266" s="1548">
        <v>0.80930000000000002</v>
      </c>
      <c r="F266" s="1548">
        <v>0.80930000000000002</v>
      </c>
      <c r="G266" s="1548">
        <v>0.80930000000000002</v>
      </c>
      <c r="H266" s="1548">
        <v>0.80930000000000002</v>
      </c>
      <c r="I266" s="1548">
        <v>0.63339999999999996</v>
      </c>
      <c r="J266" s="1548">
        <v>0.63339999999999996</v>
      </c>
      <c r="K266" s="1548">
        <v>0.63339999999999996</v>
      </c>
      <c r="L266" s="1548">
        <v>0.63339999999999996</v>
      </c>
      <c r="M266" s="1548">
        <v>0.63339999999999996</v>
      </c>
    </row>
    <row r="267" spans="1:13">
      <c r="A267" s="1545">
        <v>9</v>
      </c>
      <c r="B267" s="1548">
        <v>0.84230000000000005</v>
      </c>
      <c r="C267" s="1548">
        <v>0.84230000000000005</v>
      </c>
      <c r="D267" s="1548">
        <v>0.80759999999999998</v>
      </c>
      <c r="E267" s="1548">
        <v>0.80759999999999998</v>
      </c>
      <c r="F267" s="1548">
        <v>0.80759999999999998</v>
      </c>
      <c r="G267" s="1548">
        <v>0.80759999999999998</v>
      </c>
      <c r="H267" s="1548">
        <v>0.80759999999999998</v>
      </c>
      <c r="I267" s="1548">
        <v>0.63129999999999997</v>
      </c>
      <c r="J267" s="1548">
        <v>0.63129999999999997</v>
      </c>
      <c r="K267" s="1548">
        <v>0.63129999999999997</v>
      </c>
      <c r="L267" s="1548">
        <v>0.63129999999999997</v>
      </c>
      <c r="M267" s="1548">
        <v>0.63129999999999997</v>
      </c>
    </row>
    <row r="268" spans="1:13">
      <c r="A268" s="1545">
        <v>9.1</v>
      </c>
      <c r="B268" s="1548">
        <v>0.84099999999999997</v>
      </c>
      <c r="C268" s="1548">
        <v>0.84099999999999997</v>
      </c>
      <c r="D268" s="1548">
        <v>0.80600000000000005</v>
      </c>
      <c r="E268" s="1548">
        <v>0.80600000000000005</v>
      </c>
      <c r="F268" s="1548">
        <v>0.80600000000000005</v>
      </c>
      <c r="G268" s="1548">
        <v>0.80600000000000005</v>
      </c>
      <c r="H268" s="1548">
        <v>0.80600000000000005</v>
      </c>
      <c r="I268" s="1548">
        <v>0.62919999999999998</v>
      </c>
      <c r="J268" s="1548">
        <v>0.62919999999999998</v>
      </c>
      <c r="K268" s="1548">
        <v>0.62919999999999998</v>
      </c>
      <c r="L268" s="1548">
        <v>0.62919999999999998</v>
      </c>
      <c r="M268" s="1548">
        <v>0.62919999999999998</v>
      </c>
    </row>
    <row r="269" spans="1:13">
      <c r="A269" s="1545">
        <v>9.1999999999999993</v>
      </c>
      <c r="B269" s="1548">
        <v>0.8397</v>
      </c>
      <c r="C269" s="1548">
        <v>0.8397</v>
      </c>
      <c r="D269" s="1548">
        <v>0.8044</v>
      </c>
      <c r="E269" s="1548">
        <v>0.8044</v>
      </c>
      <c r="F269" s="1548">
        <v>0.8044</v>
      </c>
      <c r="G269" s="1548">
        <v>0.8044</v>
      </c>
      <c r="H269" s="1548">
        <v>0.8044</v>
      </c>
      <c r="I269" s="1548">
        <v>0.62709999999999999</v>
      </c>
      <c r="J269" s="1548">
        <v>0.62709999999999999</v>
      </c>
      <c r="K269" s="1548">
        <v>0.62709999999999999</v>
      </c>
      <c r="L269" s="1548">
        <v>0.62709999999999999</v>
      </c>
      <c r="M269" s="1548">
        <v>0.62709999999999999</v>
      </c>
    </row>
    <row r="270" spans="1:13">
      <c r="A270" s="1545">
        <v>9.3000000000000007</v>
      </c>
      <c r="B270" s="1548">
        <v>0.83840000000000003</v>
      </c>
      <c r="C270" s="1548">
        <v>0.83840000000000003</v>
      </c>
      <c r="D270" s="1548">
        <v>0.80279999999999996</v>
      </c>
      <c r="E270" s="1548">
        <v>0.80279999999999996</v>
      </c>
      <c r="F270" s="1548">
        <v>0.80279999999999996</v>
      </c>
      <c r="G270" s="1548">
        <v>0.80279999999999996</v>
      </c>
      <c r="H270" s="1548">
        <v>0.80279999999999996</v>
      </c>
      <c r="I270" s="1548">
        <v>0.62509999999999999</v>
      </c>
      <c r="J270" s="1548">
        <v>0.62509999999999999</v>
      </c>
      <c r="K270" s="1548">
        <v>0.62509999999999999</v>
      </c>
      <c r="L270" s="1548">
        <v>0.62509999999999999</v>
      </c>
      <c r="M270" s="1548">
        <v>0.62509999999999999</v>
      </c>
    </row>
    <row r="271" spans="1:13">
      <c r="A271" s="1545">
        <v>9.4</v>
      </c>
      <c r="B271" s="1548">
        <v>0.83709999999999996</v>
      </c>
      <c r="C271" s="1548">
        <v>0.83709999999999996</v>
      </c>
      <c r="D271" s="1548">
        <v>0.80120000000000002</v>
      </c>
      <c r="E271" s="1548">
        <v>0.80120000000000002</v>
      </c>
      <c r="F271" s="1548">
        <v>0.80120000000000002</v>
      </c>
      <c r="G271" s="1548">
        <v>0.80120000000000002</v>
      </c>
      <c r="H271" s="1548">
        <v>0.80120000000000002</v>
      </c>
      <c r="I271" s="1548">
        <v>0.62309999999999999</v>
      </c>
      <c r="J271" s="1548">
        <v>0.62309999999999999</v>
      </c>
      <c r="K271" s="1548">
        <v>0.62309999999999999</v>
      </c>
      <c r="L271" s="1548">
        <v>0.62309999999999999</v>
      </c>
      <c r="M271" s="1548">
        <v>0.62309999999999999</v>
      </c>
    </row>
    <row r="272" spans="1:13">
      <c r="A272" s="1545">
        <v>9.5</v>
      </c>
      <c r="B272" s="1548">
        <v>0.83579999999999999</v>
      </c>
      <c r="C272" s="1548">
        <v>0.83579999999999999</v>
      </c>
      <c r="D272" s="1548">
        <v>0.79959999999999998</v>
      </c>
      <c r="E272" s="1548">
        <v>0.79959999999999998</v>
      </c>
      <c r="F272" s="1548">
        <v>0.79959999999999998</v>
      </c>
      <c r="G272" s="1548">
        <v>0.79959999999999998</v>
      </c>
      <c r="H272" s="1548">
        <v>0.79959999999999998</v>
      </c>
      <c r="I272" s="1548">
        <v>0.62109999999999999</v>
      </c>
      <c r="J272" s="1548">
        <v>0.62109999999999999</v>
      </c>
      <c r="K272" s="1548">
        <v>0.62109999999999999</v>
      </c>
      <c r="L272" s="1548">
        <v>0.62109999999999999</v>
      </c>
      <c r="M272" s="1548">
        <v>0.62109999999999999</v>
      </c>
    </row>
    <row r="273" spans="1:13">
      <c r="A273" s="1545">
        <v>9.6</v>
      </c>
      <c r="B273" s="1548">
        <v>0.83460000000000001</v>
      </c>
      <c r="C273" s="1548">
        <v>0.83460000000000001</v>
      </c>
      <c r="D273" s="1548">
        <v>0.79800000000000004</v>
      </c>
      <c r="E273" s="1548">
        <v>0.79800000000000004</v>
      </c>
      <c r="F273" s="1548">
        <v>0.79800000000000004</v>
      </c>
      <c r="G273" s="1548">
        <v>0.79800000000000004</v>
      </c>
      <c r="H273" s="1548">
        <v>0.79800000000000004</v>
      </c>
      <c r="I273" s="1548">
        <v>0.61909999999999998</v>
      </c>
      <c r="J273" s="1548">
        <v>0.61909999999999998</v>
      </c>
      <c r="K273" s="1548">
        <v>0.61909999999999998</v>
      </c>
      <c r="L273" s="1548">
        <v>0.61909999999999998</v>
      </c>
      <c r="M273" s="1548">
        <v>0.61909999999999998</v>
      </c>
    </row>
    <row r="274" spans="1:13">
      <c r="A274" s="1545">
        <v>9.6999999999999993</v>
      </c>
      <c r="B274" s="1548">
        <v>0.83340000000000003</v>
      </c>
      <c r="C274" s="1548">
        <v>0.83340000000000003</v>
      </c>
      <c r="D274" s="1548">
        <v>0.79649999999999999</v>
      </c>
      <c r="E274" s="1548">
        <v>0.79649999999999999</v>
      </c>
      <c r="F274" s="1548">
        <v>0.79649999999999999</v>
      </c>
      <c r="G274" s="1548">
        <v>0.79649999999999999</v>
      </c>
      <c r="H274" s="1548">
        <v>0.79649999999999999</v>
      </c>
      <c r="I274" s="1548">
        <v>0.61719999999999997</v>
      </c>
      <c r="J274" s="1548">
        <v>0.61719999999999997</v>
      </c>
      <c r="K274" s="1548">
        <v>0.61719999999999997</v>
      </c>
      <c r="L274" s="1548">
        <v>0.61719999999999997</v>
      </c>
      <c r="M274" s="1548">
        <v>0.61719999999999997</v>
      </c>
    </row>
    <row r="275" spans="1:13">
      <c r="A275" s="1545">
        <v>9.8000000000000007</v>
      </c>
      <c r="B275" s="1548">
        <v>0.83220000000000005</v>
      </c>
      <c r="C275" s="1548">
        <v>0.83220000000000005</v>
      </c>
      <c r="D275" s="1548">
        <v>0.79500000000000004</v>
      </c>
      <c r="E275" s="1548">
        <v>0.79500000000000004</v>
      </c>
      <c r="F275" s="1548">
        <v>0.79500000000000004</v>
      </c>
      <c r="G275" s="1548">
        <v>0.79500000000000004</v>
      </c>
      <c r="H275" s="1548">
        <v>0.79500000000000004</v>
      </c>
      <c r="I275" s="1548">
        <v>0.61529999999999996</v>
      </c>
      <c r="J275" s="1548">
        <v>0.61529999999999996</v>
      </c>
      <c r="K275" s="1548">
        <v>0.61529999999999996</v>
      </c>
      <c r="L275" s="1548">
        <v>0.61529999999999996</v>
      </c>
      <c r="M275" s="1548">
        <v>0.61529999999999996</v>
      </c>
    </row>
    <row r="276" spans="1:13">
      <c r="A276" s="1545">
        <v>9.9</v>
      </c>
      <c r="B276" s="1548">
        <v>0.83099999999999996</v>
      </c>
      <c r="C276" s="1548">
        <v>0.83099999999999996</v>
      </c>
      <c r="D276" s="1548">
        <v>0.79349999999999998</v>
      </c>
      <c r="E276" s="1548">
        <v>0.79349999999999998</v>
      </c>
      <c r="F276" s="1548">
        <v>0.79349999999999998</v>
      </c>
      <c r="G276" s="1548">
        <v>0.79349999999999998</v>
      </c>
      <c r="H276" s="1548">
        <v>0.79349999999999998</v>
      </c>
      <c r="I276" s="1548">
        <v>0.61339999999999995</v>
      </c>
      <c r="J276" s="1548">
        <v>0.61339999999999995</v>
      </c>
      <c r="K276" s="1548">
        <v>0.61339999999999995</v>
      </c>
      <c r="L276" s="1548">
        <v>0.61339999999999995</v>
      </c>
      <c r="M276" s="1548">
        <v>0.61339999999999995</v>
      </c>
    </row>
    <row r="277" spans="1:13" ht="14.25">
      <c r="A277" s="1543" t="s">
        <v>1920</v>
      </c>
      <c r="B277" s="1548"/>
      <c r="C277" s="1548"/>
      <c r="D277" s="1548"/>
      <c r="E277" s="1548"/>
      <c r="F277" s="1548"/>
      <c r="G277" s="1548"/>
      <c r="H277" s="1548"/>
      <c r="I277" s="1548"/>
      <c r="J277" s="1548"/>
      <c r="K277" s="1548"/>
      <c r="L277" s="1548"/>
      <c r="M277" s="1548"/>
    </row>
    <row r="278" spans="1:13">
      <c r="A278" s="1545" t="s">
        <v>105</v>
      </c>
      <c r="B278" s="1548" t="s">
        <v>238</v>
      </c>
      <c r="C278" s="1548" t="s">
        <v>251</v>
      </c>
      <c r="D278" s="1548" t="s">
        <v>263</v>
      </c>
      <c r="E278" s="1548" t="s">
        <v>273</v>
      </c>
      <c r="F278" s="1548" t="s">
        <v>282</v>
      </c>
      <c r="G278" s="1548" t="s">
        <v>290</v>
      </c>
      <c r="H278" s="1548" t="s">
        <v>295</v>
      </c>
      <c r="I278" s="1548" t="s">
        <v>301</v>
      </c>
      <c r="J278" s="1548" t="s">
        <v>305</v>
      </c>
      <c r="K278" s="1548" t="s">
        <v>309</v>
      </c>
      <c r="L278" s="1548" t="s">
        <v>313</v>
      </c>
      <c r="M278" s="1548" t="s">
        <v>317</v>
      </c>
    </row>
    <row r="279" spans="1:13">
      <c r="A279" s="1545">
        <v>1</v>
      </c>
      <c r="B279" s="1548">
        <v>1.1055999999999999</v>
      </c>
      <c r="C279" s="1548">
        <v>1.1055999999999999</v>
      </c>
      <c r="D279" s="1548">
        <v>1.1220000000000001</v>
      </c>
      <c r="E279" s="1548">
        <v>1.1220000000000001</v>
      </c>
      <c r="F279" s="1548">
        <v>1.1220000000000001</v>
      </c>
      <c r="G279" s="1548">
        <v>1.0583</v>
      </c>
      <c r="H279" s="1548">
        <v>1.0583</v>
      </c>
      <c r="I279" s="1548">
        <v>1</v>
      </c>
      <c r="J279" s="1548">
        <v>1</v>
      </c>
      <c r="K279" s="1548">
        <v>1</v>
      </c>
      <c r="L279" s="1548">
        <v>1</v>
      </c>
      <c r="M279" s="1548">
        <v>1</v>
      </c>
    </row>
    <row r="280" spans="1:13">
      <c r="A280" s="1545">
        <v>1.1000000000000001</v>
      </c>
      <c r="B280" s="1548">
        <v>1.0820000000000001</v>
      </c>
      <c r="C280" s="1548">
        <v>1.0820000000000001</v>
      </c>
      <c r="D280" s="1548">
        <v>1.0948</v>
      </c>
      <c r="E280" s="1548">
        <v>1.0948</v>
      </c>
      <c r="F280" s="1548">
        <v>1.0948</v>
      </c>
      <c r="G280" s="1548">
        <v>1.0284</v>
      </c>
      <c r="H280" s="1548">
        <v>1.0284</v>
      </c>
      <c r="I280" s="1548">
        <v>0.96860000000000002</v>
      </c>
      <c r="J280" s="1548">
        <v>0.96860000000000002</v>
      </c>
      <c r="K280" s="1548">
        <v>0.96860000000000002</v>
      </c>
      <c r="L280" s="1548">
        <v>0.96860000000000002</v>
      </c>
      <c r="M280" s="1548">
        <v>0.96860000000000002</v>
      </c>
    </row>
    <row r="281" spans="1:13">
      <c r="A281" s="1545">
        <v>1.2</v>
      </c>
      <c r="B281" s="1548">
        <v>1.0598000000000001</v>
      </c>
      <c r="C281" s="1548">
        <v>1.0598000000000001</v>
      </c>
      <c r="D281" s="1548">
        <v>1.0690999999999999</v>
      </c>
      <c r="E281" s="1548">
        <v>1.0690999999999999</v>
      </c>
      <c r="F281" s="1548">
        <v>1.0690999999999999</v>
      </c>
      <c r="G281" s="1548">
        <v>1</v>
      </c>
      <c r="H281" s="1548">
        <v>1</v>
      </c>
      <c r="I281" s="1548">
        <v>0.93879999999999997</v>
      </c>
      <c r="J281" s="1548">
        <v>0.93879999999999997</v>
      </c>
      <c r="K281" s="1548">
        <v>0.93879999999999997</v>
      </c>
      <c r="L281" s="1548">
        <v>0.93879999999999997</v>
      </c>
      <c r="M281" s="1548">
        <v>0.93879999999999997</v>
      </c>
    </row>
    <row r="282" spans="1:13">
      <c r="A282" s="1545">
        <v>1.3</v>
      </c>
      <c r="B282" s="1548">
        <v>1.0387</v>
      </c>
      <c r="C282" s="1548">
        <v>1.0387</v>
      </c>
      <c r="D282" s="1548">
        <v>1.0447</v>
      </c>
      <c r="E282" s="1548">
        <v>1.0447</v>
      </c>
      <c r="F282" s="1548">
        <v>1.0447</v>
      </c>
      <c r="G282" s="1548">
        <v>0.97319999999999995</v>
      </c>
      <c r="H282" s="1548">
        <v>0.97319999999999995</v>
      </c>
      <c r="I282" s="1548">
        <v>0.91069999999999995</v>
      </c>
      <c r="J282" s="1548">
        <v>0.91069999999999995</v>
      </c>
      <c r="K282" s="1548">
        <v>0.91069999999999995</v>
      </c>
      <c r="L282" s="1548">
        <v>0.91069999999999995</v>
      </c>
      <c r="M282" s="1548">
        <v>0.91069999999999995</v>
      </c>
    </row>
    <row r="283" spans="1:13">
      <c r="A283" s="1545">
        <v>1.4</v>
      </c>
      <c r="B283" s="1548">
        <v>1.0187999999999999</v>
      </c>
      <c r="C283" s="1548">
        <v>1.0187999999999999</v>
      </c>
      <c r="D283" s="1548">
        <v>1.0217000000000001</v>
      </c>
      <c r="E283" s="1548">
        <v>1.0217000000000001</v>
      </c>
      <c r="F283" s="1548">
        <v>1.0217000000000001</v>
      </c>
      <c r="G283" s="1548">
        <v>0.94779999999999998</v>
      </c>
      <c r="H283" s="1548">
        <v>0.94779999999999998</v>
      </c>
      <c r="I283" s="1548">
        <v>0.8841</v>
      </c>
      <c r="J283" s="1548">
        <v>0.8841</v>
      </c>
      <c r="K283" s="1548">
        <v>0.8841</v>
      </c>
      <c r="L283" s="1548">
        <v>0.8841</v>
      </c>
      <c r="M283" s="1548">
        <v>0.8841</v>
      </c>
    </row>
    <row r="284" spans="1:13">
      <c r="A284" s="1545">
        <v>1.5</v>
      </c>
      <c r="B284" s="1548">
        <v>1</v>
      </c>
      <c r="C284" s="1548">
        <v>1</v>
      </c>
      <c r="D284" s="1548">
        <v>1</v>
      </c>
      <c r="E284" s="1548">
        <v>1</v>
      </c>
      <c r="F284" s="1548">
        <v>1</v>
      </c>
      <c r="G284" s="1548">
        <v>0.92379999999999995</v>
      </c>
      <c r="H284" s="1548">
        <v>0.92379999999999995</v>
      </c>
      <c r="I284" s="1548">
        <v>0.8589</v>
      </c>
      <c r="J284" s="1548">
        <v>0.8589</v>
      </c>
      <c r="K284" s="1548">
        <v>0.8589</v>
      </c>
      <c r="L284" s="1548">
        <v>0.8589</v>
      </c>
      <c r="M284" s="1548">
        <v>0.8589</v>
      </c>
    </row>
    <row r="285" spans="1:13">
      <c r="A285" s="1545">
        <v>1.6</v>
      </c>
      <c r="B285" s="1548">
        <v>0.98229999999999995</v>
      </c>
      <c r="C285" s="1548">
        <v>0.98229999999999995</v>
      </c>
      <c r="D285" s="1548">
        <v>0.97950000000000004</v>
      </c>
      <c r="E285" s="1548">
        <v>0.97950000000000004</v>
      </c>
      <c r="F285" s="1548">
        <v>0.97950000000000004</v>
      </c>
      <c r="G285" s="1548">
        <v>0.9012</v>
      </c>
      <c r="H285" s="1548">
        <v>0.9012</v>
      </c>
      <c r="I285" s="1548">
        <v>0.83509999999999995</v>
      </c>
      <c r="J285" s="1548">
        <v>0.83509999999999995</v>
      </c>
      <c r="K285" s="1548">
        <v>0.83509999999999995</v>
      </c>
      <c r="L285" s="1548">
        <v>0.83509999999999995</v>
      </c>
      <c r="M285" s="1548">
        <v>0.83509999999999995</v>
      </c>
    </row>
    <row r="286" spans="1:13">
      <c r="A286" s="1545">
        <v>1.7</v>
      </c>
      <c r="B286" s="1548">
        <v>0.96550000000000002</v>
      </c>
      <c r="C286" s="1548">
        <v>0.96550000000000002</v>
      </c>
      <c r="D286" s="1548">
        <v>0.96009999999999995</v>
      </c>
      <c r="E286" s="1548">
        <v>0.96009999999999995</v>
      </c>
      <c r="F286" s="1548">
        <v>0.96009999999999995</v>
      </c>
      <c r="G286" s="1548">
        <v>0.87980000000000003</v>
      </c>
      <c r="H286" s="1548">
        <v>0.87980000000000003</v>
      </c>
      <c r="I286" s="1548">
        <v>0.81269999999999998</v>
      </c>
      <c r="J286" s="1548">
        <v>0.81269999999999998</v>
      </c>
      <c r="K286" s="1548">
        <v>0.81269999999999998</v>
      </c>
      <c r="L286" s="1548">
        <v>0.81269999999999998</v>
      </c>
      <c r="M286" s="1548">
        <v>0.81269999999999998</v>
      </c>
    </row>
    <row r="287" spans="1:13">
      <c r="A287" s="1545">
        <v>1.8</v>
      </c>
      <c r="B287" s="1548">
        <v>0.94969999999999999</v>
      </c>
      <c r="C287" s="1548">
        <v>0.94969999999999999</v>
      </c>
      <c r="D287" s="1548">
        <v>0.94189999999999996</v>
      </c>
      <c r="E287" s="1548">
        <v>0.94189999999999996</v>
      </c>
      <c r="F287" s="1548">
        <v>0.94189999999999996</v>
      </c>
      <c r="G287" s="1548">
        <v>0.85960000000000003</v>
      </c>
      <c r="H287" s="1548">
        <v>0.85960000000000003</v>
      </c>
      <c r="I287" s="1548">
        <v>0.79149999999999998</v>
      </c>
      <c r="J287" s="1548">
        <v>0.79149999999999998</v>
      </c>
      <c r="K287" s="1548">
        <v>0.79149999999999998</v>
      </c>
      <c r="L287" s="1548">
        <v>0.79149999999999998</v>
      </c>
      <c r="M287" s="1548">
        <v>0.79149999999999998</v>
      </c>
    </row>
    <row r="288" spans="1:13">
      <c r="A288" s="1545">
        <v>1.9</v>
      </c>
      <c r="B288" s="1548">
        <v>0.93479999999999996</v>
      </c>
      <c r="C288" s="1548">
        <v>0.93479999999999996</v>
      </c>
      <c r="D288" s="1548">
        <v>0.92459999999999998</v>
      </c>
      <c r="E288" s="1548">
        <v>0.92459999999999998</v>
      </c>
      <c r="F288" s="1548">
        <v>0.92459999999999998</v>
      </c>
      <c r="G288" s="1548">
        <v>0.84060000000000001</v>
      </c>
      <c r="H288" s="1548">
        <v>0.84060000000000001</v>
      </c>
      <c r="I288" s="1548">
        <v>0.77149999999999996</v>
      </c>
      <c r="J288" s="1548">
        <v>0.77149999999999996</v>
      </c>
      <c r="K288" s="1548">
        <v>0.77149999999999996</v>
      </c>
      <c r="L288" s="1548">
        <v>0.77149999999999996</v>
      </c>
      <c r="M288" s="1548">
        <v>0.77149999999999996</v>
      </c>
    </row>
    <row r="289" spans="1:13">
      <c r="A289" s="1545">
        <v>2</v>
      </c>
      <c r="B289" s="1548">
        <v>0.92079999999999995</v>
      </c>
      <c r="C289" s="1548">
        <v>0.92079999999999995</v>
      </c>
      <c r="D289" s="1548">
        <v>0.90839999999999999</v>
      </c>
      <c r="E289" s="1548">
        <v>0.90839999999999999</v>
      </c>
      <c r="F289" s="1548">
        <v>0.90839999999999999</v>
      </c>
      <c r="G289" s="1548">
        <v>0.82269999999999999</v>
      </c>
      <c r="H289" s="1548">
        <v>0.82269999999999999</v>
      </c>
      <c r="I289" s="1548">
        <v>0.75270000000000004</v>
      </c>
      <c r="J289" s="1548">
        <v>0.75270000000000004</v>
      </c>
      <c r="K289" s="1548">
        <v>0.75270000000000004</v>
      </c>
      <c r="L289" s="1548">
        <v>0.75270000000000004</v>
      </c>
      <c r="M289" s="1548">
        <v>0.75270000000000004</v>
      </c>
    </row>
    <row r="290" spans="1:13">
      <c r="A290" s="1545">
        <v>2.1</v>
      </c>
      <c r="B290" s="1548">
        <v>0.90759999999999996</v>
      </c>
      <c r="C290" s="1548">
        <v>0.90759999999999996</v>
      </c>
      <c r="D290" s="1548">
        <v>0.89319999999999999</v>
      </c>
      <c r="E290" s="1548">
        <v>0.89319999999999999</v>
      </c>
      <c r="F290" s="1548">
        <v>0.89319999999999999</v>
      </c>
      <c r="G290" s="1548">
        <v>0.80589999999999995</v>
      </c>
      <c r="H290" s="1548">
        <v>0.80589999999999995</v>
      </c>
      <c r="I290" s="1548">
        <v>0.73499999999999999</v>
      </c>
      <c r="J290" s="1548">
        <v>0.73499999999999999</v>
      </c>
      <c r="K290" s="1548">
        <v>0.73499999999999999</v>
      </c>
      <c r="L290" s="1548">
        <v>0.73499999999999999</v>
      </c>
      <c r="M290" s="1548">
        <v>0.73499999999999999</v>
      </c>
    </row>
    <row r="291" spans="1:13">
      <c r="A291" s="1545">
        <v>2.2000000000000002</v>
      </c>
      <c r="B291" s="1548">
        <v>0.8952</v>
      </c>
      <c r="C291" s="1548">
        <v>0.8952</v>
      </c>
      <c r="D291" s="1548">
        <v>0.87880000000000003</v>
      </c>
      <c r="E291" s="1548">
        <v>0.87880000000000003</v>
      </c>
      <c r="F291" s="1548">
        <v>0.87880000000000003</v>
      </c>
      <c r="G291" s="1548">
        <v>0.79</v>
      </c>
      <c r="H291" s="1548">
        <v>0.79</v>
      </c>
      <c r="I291" s="1548">
        <v>0.71840000000000004</v>
      </c>
      <c r="J291" s="1548">
        <v>0.71840000000000004</v>
      </c>
      <c r="K291" s="1548">
        <v>0.71840000000000004</v>
      </c>
      <c r="L291" s="1548">
        <v>0.71840000000000004</v>
      </c>
      <c r="M291" s="1548">
        <v>0.71840000000000004</v>
      </c>
    </row>
    <row r="292" spans="1:13">
      <c r="A292" s="1545">
        <v>2.2999999999999998</v>
      </c>
      <c r="B292" s="1548">
        <v>0.88360000000000005</v>
      </c>
      <c r="C292" s="1548">
        <v>0.88360000000000005</v>
      </c>
      <c r="D292" s="1548">
        <v>0.86529999999999996</v>
      </c>
      <c r="E292" s="1548">
        <v>0.86529999999999996</v>
      </c>
      <c r="F292" s="1548">
        <v>0.86529999999999996</v>
      </c>
      <c r="G292" s="1548">
        <v>0.77510000000000001</v>
      </c>
      <c r="H292" s="1548">
        <v>0.77510000000000001</v>
      </c>
      <c r="I292" s="1548">
        <v>0.70269999999999999</v>
      </c>
      <c r="J292" s="1548">
        <v>0.70269999999999999</v>
      </c>
      <c r="K292" s="1548">
        <v>0.70269999999999999</v>
      </c>
      <c r="L292" s="1548">
        <v>0.70269999999999999</v>
      </c>
      <c r="M292" s="1548">
        <v>0.70269999999999999</v>
      </c>
    </row>
    <row r="293" spans="1:13">
      <c r="A293" s="1545">
        <v>2.4</v>
      </c>
      <c r="B293" s="1548">
        <v>0.87260000000000004</v>
      </c>
      <c r="C293" s="1548">
        <v>0.87260000000000004</v>
      </c>
      <c r="D293" s="1548">
        <v>0.85260000000000002</v>
      </c>
      <c r="E293" s="1548">
        <v>0.85260000000000002</v>
      </c>
      <c r="F293" s="1548">
        <v>0.85260000000000002</v>
      </c>
      <c r="G293" s="1548">
        <v>0.76100000000000001</v>
      </c>
      <c r="H293" s="1548">
        <v>0.76100000000000001</v>
      </c>
      <c r="I293" s="1548">
        <v>0.68799999999999994</v>
      </c>
      <c r="J293" s="1548">
        <v>0.68799999999999994</v>
      </c>
      <c r="K293" s="1548">
        <v>0.68799999999999994</v>
      </c>
      <c r="L293" s="1548">
        <v>0.68799999999999994</v>
      </c>
      <c r="M293" s="1548">
        <v>0.68799999999999994</v>
      </c>
    </row>
    <row r="294" spans="1:13">
      <c r="A294" s="1545">
        <v>2.5</v>
      </c>
      <c r="B294" s="1548">
        <v>0.86229999999999996</v>
      </c>
      <c r="C294" s="1548">
        <v>0.86229999999999996</v>
      </c>
      <c r="D294" s="1548">
        <v>0.8407</v>
      </c>
      <c r="E294" s="1548">
        <v>0.8407</v>
      </c>
      <c r="F294" s="1548">
        <v>0.8407</v>
      </c>
      <c r="G294" s="1548">
        <v>0.74780000000000002</v>
      </c>
      <c r="H294" s="1548">
        <v>0.74780000000000002</v>
      </c>
      <c r="I294" s="1548">
        <v>0.67410000000000003</v>
      </c>
      <c r="J294" s="1548">
        <v>0.67410000000000003</v>
      </c>
      <c r="K294" s="1548">
        <v>0.67410000000000003</v>
      </c>
      <c r="L294" s="1548">
        <v>0.67410000000000003</v>
      </c>
      <c r="M294" s="1548">
        <v>0.67410000000000003</v>
      </c>
    </row>
    <row r="295" spans="1:13">
      <c r="A295" s="1545">
        <v>2.6</v>
      </c>
      <c r="B295" s="1548">
        <v>0.85270000000000001</v>
      </c>
      <c r="C295" s="1548">
        <v>0.85270000000000001</v>
      </c>
      <c r="D295" s="1548">
        <v>0.82950000000000002</v>
      </c>
      <c r="E295" s="1548">
        <v>0.82950000000000002</v>
      </c>
      <c r="F295" s="1548">
        <v>0.82950000000000002</v>
      </c>
      <c r="G295" s="1548">
        <v>0.73540000000000005</v>
      </c>
      <c r="H295" s="1548">
        <v>0.73540000000000005</v>
      </c>
      <c r="I295" s="1548">
        <v>0.66110000000000002</v>
      </c>
      <c r="J295" s="1548">
        <v>0.66110000000000002</v>
      </c>
      <c r="K295" s="1548">
        <v>0.66110000000000002</v>
      </c>
      <c r="L295" s="1548">
        <v>0.66110000000000002</v>
      </c>
      <c r="M295" s="1548">
        <v>0.66110000000000002</v>
      </c>
    </row>
    <row r="296" spans="1:13">
      <c r="A296" s="1549">
        <v>2.7</v>
      </c>
      <c r="B296" s="1548">
        <v>0.84360000000000002</v>
      </c>
      <c r="C296" s="1548">
        <v>0.84360000000000002</v>
      </c>
      <c r="D296" s="1548">
        <v>0.81899999999999995</v>
      </c>
      <c r="E296" s="1548">
        <v>0.81899999999999995</v>
      </c>
      <c r="F296" s="1548">
        <v>0.81899999999999995</v>
      </c>
      <c r="G296" s="1548">
        <v>0.7238</v>
      </c>
      <c r="H296" s="1548">
        <v>0.7238</v>
      </c>
      <c r="I296" s="1548">
        <v>0.64880000000000004</v>
      </c>
      <c r="J296" s="1548">
        <v>0.64880000000000004</v>
      </c>
      <c r="K296" s="1548">
        <v>0.64880000000000004</v>
      </c>
      <c r="L296" s="1548">
        <v>0.64880000000000004</v>
      </c>
      <c r="M296" s="1548">
        <v>0.64880000000000004</v>
      </c>
    </row>
    <row r="297" spans="1:13">
      <c r="A297" s="1549">
        <v>2.8</v>
      </c>
      <c r="B297" s="1548">
        <v>0.83509999999999995</v>
      </c>
      <c r="C297" s="1548">
        <v>0.83509999999999995</v>
      </c>
      <c r="D297" s="1548">
        <v>0.80910000000000004</v>
      </c>
      <c r="E297" s="1548">
        <v>0.80910000000000004</v>
      </c>
      <c r="F297" s="1548">
        <v>0.80910000000000004</v>
      </c>
      <c r="G297" s="1548">
        <v>0.71289999999999998</v>
      </c>
      <c r="H297" s="1548">
        <v>0.71289999999999998</v>
      </c>
      <c r="I297" s="1548">
        <v>0.63739999999999997</v>
      </c>
      <c r="J297" s="1548">
        <v>0.63739999999999997</v>
      </c>
      <c r="K297" s="1548">
        <v>0.63739999999999997</v>
      </c>
      <c r="L297" s="1548">
        <v>0.63739999999999997</v>
      </c>
      <c r="M297" s="1548">
        <v>0.63739999999999997</v>
      </c>
    </row>
    <row r="298" spans="1:13">
      <c r="A298" s="1549">
        <v>2.9</v>
      </c>
      <c r="B298" s="1548">
        <v>0.82720000000000005</v>
      </c>
      <c r="C298" s="1548">
        <v>0.82720000000000005</v>
      </c>
      <c r="D298" s="1548">
        <v>0.79990000000000006</v>
      </c>
      <c r="E298" s="1548">
        <v>0.79990000000000006</v>
      </c>
      <c r="F298" s="1548">
        <v>0.79990000000000006</v>
      </c>
      <c r="G298" s="1548">
        <v>0.7026</v>
      </c>
      <c r="H298" s="1548">
        <v>0.7026</v>
      </c>
      <c r="I298" s="1548">
        <v>0.62660000000000005</v>
      </c>
      <c r="J298" s="1548">
        <v>0.62660000000000005</v>
      </c>
      <c r="K298" s="1548">
        <v>0.62660000000000005</v>
      </c>
      <c r="L298" s="1548">
        <v>0.62660000000000005</v>
      </c>
      <c r="M298" s="1548">
        <v>0.62660000000000005</v>
      </c>
    </row>
    <row r="299" spans="1:13">
      <c r="A299" s="1549">
        <v>3</v>
      </c>
      <c r="B299" s="1548">
        <v>0.81969999999999998</v>
      </c>
      <c r="C299" s="1548">
        <v>0.81969999999999998</v>
      </c>
      <c r="D299" s="1548">
        <v>0.79120000000000001</v>
      </c>
      <c r="E299" s="1548">
        <v>0.79120000000000001</v>
      </c>
      <c r="F299" s="1548">
        <v>0.79120000000000001</v>
      </c>
      <c r="G299" s="1548">
        <v>0.69299999999999995</v>
      </c>
      <c r="H299" s="1548">
        <v>0.69299999999999995</v>
      </c>
      <c r="I299" s="1548">
        <v>0.61650000000000005</v>
      </c>
      <c r="J299" s="1548">
        <v>0.61650000000000005</v>
      </c>
      <c r="K299" s="1548">
        <v>0.61650000000000005</v>
      </c>
      <c r="L299" s="1548">
        <v>0.61650000000000005</v>
      </c>
      <c r="M299" s="1548">
        <v>0.61650000000000005</v>
      </c>
    </row>
    <row r="300" spans="1:13">
      <c r="A300" s="1549">
        <v>3.1</v>
      </c>
      <c r="B300" s="1548">
        <v>0.81279999999999997</v>
      </c>
      <c r="C300" s="1548">
        <v>0.81279999999999997</v>
      </c>
      <c r="D300" s="1548">
        <v>0.78310000000000002</v>
      </c>
      <c r="E300" s="1548">
        <v>0.78310000000000002</v>
      </c>
      <c r="F300" s="1548">
        <v>0.78310000000000002</v>
      </c>
      <c r="G300" s="1548">
        <v>0.68400000000000005</v>
      </c>
      <c r="H300" s="1548">
        <v>0.68400000000000005</v>
      </c>
      <c r="I300" s="1548">
        <v>0.60709999999999997</v>
      </c>
      <c r="J300" s="1548">
        <v>0.60709999999999997</v>
      </c>
      <c r="K300" s="1548">
        <v>0.60709999999999997</v>
      </c>
      <c r="L300" s="1548">
        <v>0.60709999999999997</v>
      </c>
      <c r="M300" s="1548">
        <v>0.60709999999999997</v>
      </c>
    </row>
    <row r="301" spans="1:13">
      <c r="A301" s="1549">
        <v>3.2</v>
      </c>
      <c r="B301" s="1548">
        <v>0.80620000000000003</v>
      </c>
      <c r="C301" s="1548">
        <v>0.80620000000000003</v>
      </c>
      <c r="D301" s="1548">
        <v>0.77549999999999997</v>
      </c>
      <c r="E301" s="1548">
        <v>0.77549999999999997</v>
      </c>
      <c r="F301" s="1548">
        <v>0.77549999999999997</v>
      </c>
      <c r="G301" s="1548">
        <v>0.67559999999999998</v>
      </c>
      <c r="H301" s="1548">
        <v>0.67559999999999998</v>
      </c>
      <c r="I301" s="1548">
        <v>0.59809999999999997</v>
      </c>
      <c r="J301" s="1548">
        <v>0.59809999999999997</v>
      </c>
      <c r="K301" s="1548">
        <v>0.59809999999999997</v>
      </c>
      <c r="L301" s="1548">
        <v>0.59809999999999997</v>
      </c>
      <c r="M301" s="1548">
        <v>0.59809999999999997</v>
      </c>
    </row>
    <row r="302" spans="1:13">
      <c r="A302" s="1549">
        <v>3.3</v>
      </c>
      <c r="B302" s="1548">
        <v>0.80010000000000003</v>
      </c>
      <c r="C302" s="1548">
        <v>0.80010000000000003</v>
      </c>
      <c r="D302" s="1548">
        <v>0.76839999999999997</v>
      </c>
      <c r="E302" s="1548">
        <v>0.76839999999999997</v>
      </c>
      <c r="F302" s="1548">
        <v>0.76839999999999997</v>
      </c>
      <c r="G302" s="1548">
        <v>0.66769999999999996</v>
      </c>
      <c r="H302" s="1548">
        <v>0.66769999999999996</v>
      </c>
      <c r="I302" s="1548">
        <v>0.58979999999999999</v>
      </c>
      <c r="J302" s="1548">
        <v>0.58979999999999999</v>
      </c>
      <c r="K302" s="1548">
        <v>0.58979999999999999</v>
      </c>
      <c r="L302" s="1548">
        <v>0.58979999999999999</v>
      </c>
      <c r="M302" s="1548">
        <v>0.58979999999999999</v>
      </c>
    </row>
    <row r="303" spans="1:13">
      <c r="A303" s="1549">
        <v>3.4</v>
      </c>
      <c r="B303" s="1548">
        <v>0.7944</v>
      </c>
      <c r="C303" s="1548">
        <v>0.7944</v>
      </c>
      <c r="D303" s="1548">
        <v>0.76170000000000004</v>
      </c>
      <c r="E303" s="1548">
        <v>0.76170000000000004</v>
      </c>
      <c r="F303" s="1548">
        <v>0.76170000000000004</v>
      </c>
      <c r="G303" s="1548">
        <v>0.66020000000000001</v>
      </c>
      <c r="H303" s="1548">
        <v>0.66020000000000001</v>
      </c>
      <c r="I303" s="1548">
        <v>0.58209999999999995</v>
      </c>
      <c r="J303" s="1548">
        <v>0.58209999999999995</v>
      </c>
      <c r="K303" s="1548">
        <v>0.58209999999999995</v>
      </c>
      <c r="L303" s="1548">
        <v>0.58209999999999995</v>
      </c>
      <c r="M303" s="1548">
        <v>0.58209999999999995</v>
      </c>
    </row>
    <row r="304" spans="1:13">
      <c r="A304" s="1549">
        <v>3.5</v>
      </c>
      <c r="B304" s="1548">
        <v>0.78910000000000002</v>
      </c>
      <c r="C304" s="1548">
        <v>0.78910000000000002</v>
      </c>
      <c r="D304" s="1548">
        <v>0.75549999999999995</v>
      </c>
      <c r="E304" s="1548">
        <v>0.75549999999999995</v>
      </c>
      <c r="F304" s="1548">
        <v>0.75549999999999995</v>
      </c>
      <c r="G304" s="1548">
        <v>0.65329999999999999</v>
      </c>
      <c r="H304" s="1548">
        <v>0.65329999999999999</v>
      </c>
      <c r="I304" s="1548">
        <v>0.57479999999999998</v>
      </c>
      <c r="J304" s="1548">
        <v>0.57479999999999998</v>
      </c>
      <c r="K304" s="1548">
        <v>0.57479999999999998</v>
      </c>
      <c r="L304" s="1548">
        <v>0.57479999999999998</v>
      </c>
      <c r="M304" s="1548">
        <v>0.57479999999999998</v>
      </c>
    </row>
    <row r="305" spans="1:13">
      <c r="A305" s="1549">
        <v>3.6</v>
      </c>
      <c r="B305" s="1548">
        <v>0.78410000000000002</v>
      </c>
      <c r="C305" s="1548">
        <v>0.78410000000000002</v>
      </c>
      <c r="D305" s="1548">
        <v>0.74960000000000004</v>
      </c>
      <c r="E305" s="1548">
        <v>0.74960000000000004</v>
      </c>
      <c r="F305" s="1548">
        <v>0.74960000000000004</v>
      </c>
      <c r="G305" s="1548">
        <v>0.64680000000000004</v>
      </c>
      <c r="H305" s="1548">
        <v>0.64680000000000004</v>
      </c>
      <c r="I305" s="1548">
        <v>0.56789999999999996</v>
      </c>
      <c r="J305" s="1548">
        <v>0.56789999999999996</v>
      </c>
      <c r="K305" s="1548">
        <v>0.56789999999999996</v>
      </c>
      <c r="L305" s="1548">
        <v>0.56789999999999996</v>
      </c>
      <c r="M305" s="1548">
        <v>0.56789999999999996</v>
      </c>
    </row>
    <row r="306" spans="1:13">
      <c r="A306" s="1549">
        <v>3.7</v>
      </c>
      <c r="B306" s="1548">
        <v>0.77939999999999998</v>
      </c>
      <c r="C306" s="1548">
        <v>0.77939999999999998</v>
      </c>
      <c r="D306" s="1548">
        <v>0.74409999999999998</v>
      </c>
      <c r="E306" s="1548">
        <v>0.74409999999999998</v>
      </c>
      <c r="F306" s="1548">
        <v>0.74409999999999998</v>
      </c>
      <c r="G306" s="1548">
        <v>0.64070000000000005</v>
      </c>
      <c r="H306" s="1548">
        <v>0.64070000000000005</v>
      </c>
      <c r="I306" s="1548">
        <v>0.5615</v>
      </c>
      <c r="J306" s="1548">
        <v>0.5615</v>
      </c>
      <c r="K306" s="1548">
        <v>0.5615</v>
      </c>
      <c r="L306" s="1548">
        <v>0.5615</v>
      </c>
      <c r="M306" s="1548">
        <v>0.5615</v>
      </c>
    </row>
    <row r="307" spans="1:13">
      <c r="A307" s="1549">
        <v>3.8</v>
      </c>
      <c r="B307" s="1548">
        <v>0.77500000000000002</v>
      </c>
      <c r="C307" s="1548">
        <v>0.77500000000000002</v>
      </c>
      <c r="D307" s="1548">
        <v>0.73899999999999999</v>
      </c>
      <c r="E307" s="1548">
        <v>0.73899999999999999</v>
      </c>
      <c r="F307" s="1548">
        <v>0.73899999999999999</v>
      </c>
      <c r="G307" s="1548">
        <v>0.63490000000000002</v>
      </c>
      <c r="H307" s="1548">
        <v>0.63490000000000002</v>
      </c>
      <c r="I307" s="1548">
        <v>0.55549999999999999</v>
      </c>
      <c r="J307" s="1548">
        <v>0.55549999999999999</v>
      </c>
      <c r="K307" s="1548">
        <v>0.55549999999999999</v>
      </c>
      <c r="L307" s="1548">
        <v>0.55549999999999999</v>
      </c>
      <c r="M307" s="1548">
        <v>0.55549999999999999</v>
      </c>
    </row>
    <row r="308" spans="1:13">
      <c r="A308" s="1545">
        <v>3.9</v>
      </c>
      <c r="B308" s="1546">
        <v>0.77090000000000003</v>
      </c>
      <c r="C308" s="1546">
        <v>0.77090000000000003</v>
      </c>
      <c r="D308" s="1546">
        <v>0.73419999999999996</v>
      </c>
      <c r="E308" s="1546">
        <v>0.73419999999999996</v>
      </c>
      <c r="F308" s="1546">
        <v>0.73419999999999996</v>
      </c>
      <c r="G308" s="1546">
        <v>0.62949999999999995</v>
      </c>
      <c r="H308" s="1547">
        <v>0.62949999999999995</v>
      </c>
      <c r="I308" s="1547">
        <v>0.54990000000000006</v>
      </c>
      <c r="J308" s="1550">
        <v>0.54990000000000006</v>
      </c>
      <c r="K308" s="1550">
        <v>0.54990000000000006</v>
      </c>
      <c r="L308" s="1550">
        <v>0.54990000000000006</v>
      </c>
      <c r="M308" s="1550">
        <v>0.54990000000000006</v>
      </c>
    </row>
    <row r="309" spans="1:13">
      <c r="A309" s="1545">
        <v>4</v>
      </c>
      <c r="B309" s="1548">
        <v>0.7671</v>
      </c>
      <c r="C309" s="1548">
        <v>0.7671</v>
      </c>
      <c r="D309" s="1548">
        <v>0.72970000000000002</v>
      </c>
      <c r="E309" s="1548">
        <v>0.72970000000000002</v>
      </c>
      <c r="F309" s="1548">
        <v>0.72970000000000002</v>
      </c>
      <c r="G309" s="1548">
        <v>0.62450000000000006</v>
      </c>
      <c r="H309" s="1548">
        <v>0.62450000000000006</v>
      </c>
      <c r="I309" s="1548">
        <v>0.54449999999999998</v>
      </c>
      <c r="J309" s="1548">
        <v>0.54449999999999998</v>
      </c>
      <c r="K309" s="1548">
        <v>0.54449999999999998</v>
      </c>
      <c r="L309" s="1548">
        <v>0.54449999999999998</v>
      </c>
      <c r="M309" s="1548">
        <v>0.54449999999999998</v>
      </c>
    </row>
    <row r="310" spans="1:13">
      <c r="A310" s="1545">
        <v>4.0999999999999996</v>
      </c>
      <c r="B310" s="1548">
        <v>0.76349999999999996</v>
      </c>
      <c r="C310" s="1548">
        <v>0.76349999999999996</v>
      </c>
      <c r="D310" s="1548">
        <v>0.72540000000000004</v>
      </c>
      <c r="E310" s="1548">
        <v>0.72540000000000004</v>
      </c>
      <c r="F310" s="1548">
        <v>0.72540000000000004</v>
      </c>
      <c r="G310" s="1548">
        <v>0.61970000000000003</v>
      </c>
      <c r="H310" s="1548">
        <v>0.61970000000000003</v>
      </c>
      <c r="I310" s="1548">
        <v>0.53959999999999997</v>
      </c>
      <c r="J310" s="1548">
        <v>0.53959999999999997</v>
      </c>
      <c r="K310" s="1548">
        <v>0.53959999999999997</v>
      </c>
      <c r="L310" s="1548">
        <v>0.53959999999999997</v>
      </c>
      <c r="M310" s="1548">
        <v>0.53959999999999997</v>
      </c>
    </row>
    <row r="311" spans="1:13">
      <c r="A311" s="1545">
        <v>4.2</v>
      </c>
      <c r="B311" s="1548">
        <v>0.7601</v>
      </c>
      <c r="C311" s="1548">
        <v>0.7601</v>
      </c>
      <c r="D311" s="1548">
        <v>0.72140000000000004</v>
      </c>
      <c r="E311" s="1548">
        <v>0.72140000000000004</v>
      </c>
      <c r="F311" s="1548">
        <v>0.72140000000000004</v>
      </c>
      <c r="G311" s="1548">
        <v>0.61529999999999996</v>
      </c>
      <c r="H311" s="1548">
        <v>0.61529999999999996</v>
      </c>
      <c r="I311" s="1548">
        <v>0.53490000000000004</v>
      </c>
      <c r="J311" s="1548">
        <v>0.53490000000000004</v>
      </c>
      <c r="K311" s="1548">
        <v>0.53490000000000004</v>
      </c>
      <c r="L311" s="1548">
        <v>0.53490000000000004</v>
      </c>
      <c r="M311" s="1548">
        <v>0.53490000000000004</v>
      </c>
    </row>
    <row r="312" spans="1:13">
      <c r="A312" s="1545">
        <v>4.3</v>
      </c>
      <c r="B312" s="1548">
        <v>0.75700000000000001</v>
      </c>
      <c r="C312" s="1548">
        <v>0.75700000000000001</v>
      </c>
      <c r="D312" s="1548">
        <v>0.7177</v>
      </c>
      <c r="E312" s="1548">
        <v>0.7177</v>
      </c>
      <c r="F312" s="1548">
        <v>0.7177</v>
      </c>
      <c r="G312" s="1548">
        <v>0.61109999999999998</v>
      </c>
      <c r="H312" s="1548">
        <v>0.61109999999999998</v>
      </c>
      <c r="I312" s="1548">
        <v>0.53049999999999997</v>
      </c>
      <c r="J312" s="1548">
        <v>0.53049999999999997</v>
      </c>
      <c r="K312" s="1548">
        <v>0.53049999999999997</v>
      </c>
      <c r="L312" s="1548">
        <v>0.53049999999999997</v>
      </c>
      <c r="M312" s="1548">
        <v>0.53049999999999997</v>
      </c>
    </row>
    <row r="313" spans="1:13">
      <c r="A313" s="1545">
        <v>4.4000000000000004</v>
      </c>
      <c r="B313" s="1548">
        <v>0.754</v>
      </c>
      <c r="C313" s="1548">
        <v>0.754</v>
      </c>
      <c r="D313" s="1548">
        <v>0.71409999999999996</v>
      </c>
      <c r="E313" s="1548">
        <v>0.71409999999999996</v>
      </c>
      <c r="F313" s="1548">
        <v>0.71409999999999996</v>
      </c>
      <c r="G313" s="1548">
        <v>0.60709999999999997</v>
      </c>
      <c r="H313" s="1548">
        <v>0.60709999999999997</v>
      </c>
      <c r="I313" s="1548">
        <v>0.52639999999999998</v>
      </c>
      <c r="J313" s="1548">
        <v>0.52639999999999998</v>
      </c>
      <c r="K313" s="1548">
        <v>0.52639999999999998</v>
      </c>
      <c r="L313" s="1548">
        <v>0.52639999999999998</v>
      </c>
      <c r="M313" s="1548">
        <v>0.52639999999999998</v>
      </c>
    </row>
    <row r="314" spans="1:13">
      <c r="A314" s="1545">
        <v>4.5</v>
      </c>
      <c r="B314" s="1548">
        <v>0.75119999999999998</v>
      </c>
      <c r="C314" s="1548">
        <v>0.75119999999999998</v>
      </c>
      <c r="D314" s="1548">
        <v>0.71079999999999999</v>
      </c>
      <c r="E314" s="1548">
        <v>0.71079999999999999</v>
      </c>
      <c r="F314" s="1548">
        <v>0.71079999999999999</v>
      </c>
      <c r="G314" s="1548">
        <v>0.60329999999999995</v>
      </c>
      <c r="H314" s="1548">
        <v>0.60329999999999995</v>
      </c>
      <c r="I314" s="1548">
        <v>0.52249999999999996</v>
      </c>
      <c r="J314" s="1548">
        <v>0.52249999999999996</v>
      </c>
      <c r="K314" s="1548">
        <v>0.52249999999999996</v>
      </c>
      <c r="L314" s="1548">
        <v>0.52249999999999996</v>
      </c>
      <c r="M314" s="1548">
        <v>0.52249999999999996</v>
      </c>
    </row>
    <row r="315" spans="1:13">
      <c r="A315" s="1545">
        <v>4.5999999999999996</v>
      </c>
      <c r="B315" s="1548">
        <v>0.74860000000000004</v>
      </c>
      <c r="C315" s="1548">
        <v>0.74860000000000004</v>
      </c>
      <c r="D315" s="1548">
        <v>0.70760000000000001</v>
      </c>
      <c r="E315" s="1548">
        <v>0.70760000000000001</v>
      </c>
      <c r="F315" s="1548">
        <v>0.70760000000000001</v>
      </c>
      <c r="G315" s="1548">
        <v>0.59970000000000001</v>
      </c>
      <c r="H315" s="1548">
        <v>0.59970000000000001</v>
      </c>
      <c r="I315" s="1548">
        <v>0.51890000000000003</v>
      </c>
      <c r="J315" s="1548">
        <v>0.51890000000000003</v>
      </c>
      <c r="K315" s="1548">
        <v>0.51890000000000003</v>
      </c>
      <c r="L315" s="1548">
        <v>0.51890000000000003</v>
      </c>
      <c r="M315" s="1548">
        <v>0.51890000000000003</v>
      </c>
    </row>
    <row r="316" spans="1:13">
      <c r="A316" s="1545">
        <v>4.7</v>
      </c>
      <c r="B316" s="1548">
        <v>0.74609999999999999</v>
      </c>
      <c r="C316" s="1548">
        <v>0.74609999999999999</v>
      </c>
      <c r="D316" s="1548">
        <v>0.7046</v>
      </c>
      <c r="E316" s="1548">
        <v>0.7046</v>
      </c>
      <c r="F316" s="1548">
        <v>0.7046</v>
      </c>
      <c r="G316" s="1548">
        <v>0.59630000000000005</v>
      </c>
      <c r="H316" s="1548">
        <v>0.59630000000000005</v>
      </c>
      <c r="I316" s="1548">
        <v>0.51529999999999998</v>
      </c>
      <c r="J316" s="1548">
        <v>0.51529999999999998</v>
      </c>
      <c r="K316" s="1548">
        <v>0.51529999999999998</v>
      </c>
      <c r="L316" s="1548">
        <v>0.51529999999999998</v>
      </c>
      <c r="M316" s="1548">
        <v>0.51529999999999998</v>
      </c>
    </row>
    <row r="317" spans="1:13">
      <c r="A317" s="1545">
        <v>4.8</v>
      </c>
      <c r="B317" s="1548">
        <v>0.74380000000000002</v>
      </c>
      <c r="C317" s="1548">
        <v>0.74380000000000002</v>
      </c>
      <c r="D317" s="1548">
        <v>0.70169999999999999</v>
      </c>
      <c r="E317" s="1548">
        <v>0.70169999999999999</v>
      </c>
      <c r="F317" s="1548">
        <v>0.70169999999999999</v>
      </c>
      <c r="G317" s="1548">
        <v>0.59309999999999996</v>
      </c>
      <c r="H317" s="1548">
        <v>0.59309999999999996</v>
      </c>
      <c r="I317" s="1548">
        <v>0.5121</v>
      </c>
      <c r="J317" s="1548">
        <v>0.5121</v>
      </c>
      <c r="K317" s="1548">
        <v>0.5121</v>
      </c>
      <c r="L317" s="1548">
        <v>0.5121</v>
      </c>
      <c r="M317" s="1548">
        <v>0.5121</v>
      </c>
    </row>
    <row r="318" spans="1:13">
      <c r="A318" s="1545">
        <v>4.9000000000000004</v>
      </c>
      <c r="B318" s="1548">
        <v>0.74160000000000004</v>
      </c>
      <c r="C318" s="1548">
        <v>0.74160000000000004</v>
      </c>
      <c r="D318" s="1548">
        <v>0.69889999999999997</v>
      </c>
      <c r="E318" s="1548">
        <v>0.69889999999999997</v>
      </c>
      <c r="F318" s="1548">
        <v>0.69889999999999997</v>
      </c>
      <c r="G318" s="1548">
        <v>0.59009999999999996</v>
      </c>
      <c r="H318" s="1548">
        <v>0.59009999999999996</v>
      </c>
      <c r="I318" s="1548">
        <v>0.50900000000000001</v>
      </c>
      <c r="J318" s="1548">
        <v>0.50900000000000001</v>
      </c>
      <c r="K318" s="1548">
        <v>0.50900000000000001</v>
      </c>
      <c r="L318" s="1548">
        <v>0.50900000000000001</v>
      </c>
      <c r="M318" s="1548">
        <v>0.50900000000000001</v>
      </c>
    </row>
    <row r="319" spans="1:13">
      <c r="A319" s="1545">
        <v>5</v>
      </c>
      <c r="B319" s="1548">
        <v>0.73950000000000005</v>
      </c>
      <c r="C319" s="1548">
        <v>0.73950000000000005</v>
      </c>
      <c r="D319" s="1548">
        <v>0.69620000000000004</v>
      </c>
      <c r="E319" s="1548">
        <v>0.69620000000000004</v>
      </c>
      <c r="F319" s="1548">
        <v>0.69620000000000004</v>
      </c>
      <c r="G319" s="1548">
        <v>0.58720000000000006</v>
      </c>
      <c r="H319" s="1548">
        <v>0.58720000000000006</v>
      </c>
      <c r="I319" s="1548">
        <v>0.50609999999999999</v>
      </c>
      <c r="J319" s="1548">
        <v>0.50609999999999999</v>
      </c>
      <c r="K319" s="1548">
        <v>0.50609999999999999</v>
      </c>
      <c r="L319" s="1548">
        <v>0.50609999999999999</v>
      </c>
      <c r="M319" s="1548">
        <v>0.50609999999999999</v>
      </c>
    </row>
    <row r="320" spans="1:13">
      <c r="A320" s="1545">
        <v>5.0999999999999996</v>
      </c>
      <c r="B320" s="1548">
        <v>0.73750000000000004</v>
      </c>
      <c r="C320" s="1548">
        <v>0.73750000000000004</v>
      </c>
      <c r="D320" s="1548">
        <v>0.69359999999999999</v>
      </c>
      <c r="E320" s="1548">
        <v>0.69359999999999999</v>
      </c>
      <c r="F320" s="1548">
        <v>0.69359999999999999</v>
      </c>
      <c r="G320" s="1548">
        <v>0.58440000000000003</v>
      </c>
      <c r="H320" s="1548">
        <v>0.58440000000000003</v>
      </c>
      <c r="I320" s="1548">
        <v>0.50329999999999997</v>
      </c>
      <c r="J320" s="1548">
        <v>0.50329999999999997</v>
      </c>
      <c r="K320" s="1548">
        <v>0.50329999999999997</v>
      </c>
      <c r="L320" s="1548">
        <v>0.50329999999999997</v>
      </c>
      <c r="M320" s="1548">
        <v>0.50329999999999997</v>
      </c>
    </row>
    <row r="321" spans="1:13">
      <c r="A321" s="1545">
        <v>5.2</v>
      </c>
      <c r="B321" s="1548">
        <v>0.73560000000000003</v>
      </c>
      <c r="C321" s="1548">
        <v>0.73560000000000003</v>
      </c>
      <c r="D321" s="1548">
        <v>0.69110000000000005</v>
      </c>
      <c r="E321" s="1548">
        <v>0.69110000000000005</v>
      </c>
      <c r="F321" s="1548">
        <v>0.69110000000000005</v>
      </c>
      <c r="G321" s="1548">
        <v>0.58169999999999999</v>
      </c>
      <c r="H321" s="1548">
        <v>0.58169999999999999</v>
      </c>
      <c r="I321" s="1548">
        <v>0.50060000000000004</v>
      </c>
      <c r="J321" s="1548">
        <v>0.50060000000000004</v>
      </c>
      <c r="K321" s="1548">
        <v>0.50060000000000004</v>
      </c>
      <c r="L321" s="1548">
        <v>0.50060000000000004</v>
      </c>
      <c r="M321" s="1548">
        <v>0.50060000000000004</v>
      </c>
    </row>
    <row r="322" spans="1:13">
      <c r="A322" s="1545">
        <v>5.3</v>
      </c>
      <c r="B322" s="1548">
        <v>0.73380000000000001</v>
      </c>
      <c r="C322" s="1548">
        <v>0.73380000000000001</v>
      </c>
      <c r="D322" s="1548">
        <v>0.68869999999999998</v>
      </c>
      <c r="E322" s="1548">
        <v>0.68869999999999998</v>
      </c>
      <c r="F322" s="1548">
        <v>0.68869999999999998</v>
      </c>
      <c r="G322" s="1548">
        <v>0.57909999999999995</v>
      </c>
      <c r="H322" s="1548">
        <v>0.57909999999999995</v>
      </c>
      <c r="I322" s="1548">
        <v>0.49809999999999999</v>
      </c>
      <c r="J322" s="1548">
        <v>0.49809999999999999</v>
      </c>
      <c r="K322" s="1548">
        <v>0.49809999999999999</v>
      </c>
      <c r="L322" s="1548">
        <v>0.49809999999999999</v>
      </c>
      <c r="M322" s="1548">
        <v>0.49809999999999999</v>
      </c>
    </row>
    <row r="323" spans="1:13">
      <c r="A323" s="1545">
        <v>5.4</v>
      </c>
      <c r="B323" s="1548">
        <v>0.73199999999999998</v>
      </c>
      <c r="C323" s="1548">
        <v>0.73199999999999998</v>
      </c>
      <c r="D323" s="1548">
        <v>0.68640000000000001</v>
      </c>
      <c r="E323" s="1548">
        <v>0.68640000000000001</v>
      </c>
      <c r="F323" s="1548">
        <v>0.68640000000000001</v>
      </c>
      <c r="G323" s="1548">
        <v>0.57650000000000001</v>
      </c>
      <c r="H323" s="1548">
        <v>0.57650000000000001</v>
      </c>
      <c r="I323" s="1548">
        <v>0.49559999999999998</v>
      </c>
      <c r="J323" s="1548">
        <v>0.49559999999999998</v>
      </c>
      <c r="K323" s="1548">
        <v>0.49559999999999998</v>
      </c>
      <c r="L323" s="1548">
        <v>0.49559999999999998</v>
      </c>
      <c r="M323" s="1548">
        <v>0.49559999999999998</v>
      </c>
    </row>
    <row r="324" spans="1:13">
      <c r="A324" s="1545">
        <v>5.5</v>
      </c>
      <c r="B324" s="1548">
        <v>0.73009999999999997</v>
      </c>
      <c r="C324" s="1548">
        <v>0.73009999999999997</v>
      </c>
      <c r="D324" s="1548">
        <v>0.68420000000000003</v>
      </c>
      <c r="E324" s="1548">
        <v>0.68420000000000003</v>
      </c>
      <c r="F324" s="1548">
        <v>0.68420000000000003</v>
      </c>
      <c r="G324" s="1548">
        <v>0.57399999999999995</v>
      </c>
      <c r="H324" s="1548">
        <v>0.57399999999999995</v>
      </c>
      <c r="I324" s="1548">
        <v>0.49320000000000003</v>
      </c>
      <c r="J324" s="1548">
        <v>0.49320000000000003</v>
      </c>
      <c r="K324" s="1548">
        <v>0.49320000000000003</v>
      </c>
      <c r="L324" s="1548">
        <v>0.49320000000000003</v>
      </c>
      <c r="M324" s="1548">
        <v>0.49320000000000003</v>
      </c>
    </row>
    <row r="325" spans="1:13">
      <c r="A325" s="1545">
        <v>5.6</v>
      </c>
      <c r="B325" s="1548">
        <v>0.72819999999999996</v>
      </c>
      <c r="C325" s="1548">
        <v>0.72819999999999996</v>
      </c>
      <c r="D325" s="1548">
        <v>0.68200000000000005</v>
      </c>
      <c r="E325" s="1548">
        <v>0.68200000000000005</v>
      </c>
      <c r="F325" s="1548">
        <v>0.68200000000000005</v>
      </c>
      <c r="G325" s="1548">
        <v>0.57150000000000001</v>
      </c>
      <c r="H325" s="1548">
        <v>0.57150000000000001</v>
      </c>
      <c r="I325" s="1548">
        <v>0.49080000000000001</v>
      </c>
      <c r="J325" s="1548">
        <v>0.49080000000000001</v>
      </c>
      <c r="K325" s="1548">
        <v>0.49080000000000001</v>
      </c>
      <c r="L325" s="1548">
        <v>0.49080000000000001</v>
      </c>
      <c r="M325" s="1548">
        <v>0.49080000000000001</v>
      </c>
    </row>
    <row r="326" spans="1:13">
      <c r="A326" s="1545">
        <v>5.7</v>
      </c>
      <c r="B326" s="1548">
        <v>0.72640000000000005</v>
      </c>
      <c r="C326" s="1548">
        <v>0.72640000000000005</v>
      </c>
      <c r="D326" s="1548">
        <v>0.67989999999999995</v>
      </c>
      <c r="E326" s="1548">
        <v>0.67989999999999995</v>
      </c>
      <c r="F326" s="1548">
        <v>0.67989999999999995</v>
      </c>
      <c r="G326" s="1548">
        <v>0.56899999999999995</v>
      </c>
      <c r="H326" s="1548">
        <v>0.56899999999999995</v>
      </c>
      <c r="I326" s="1548">
        <v>0.4884</v>
      </c>
      <c r="J326" s="1548">
        <v>0.4884</v>
      </c>
      <c r="K326" s="1548">
        <v>0.4884</v>
      </c>
      <c r="L326" s="1548">
        <v>0.4884</v>
      </c>
      <c r="M326" s="1548">
        <v>0.4884</v>
      </c>
    </row>
    <row r="327" spans="1:13">
      <c r="A327" s="1545">
        <v>5.8</v>
      </c>
      <c r="B327" s="1548">
        <v>0.72460000000000002</v>
      </c>
      <c r="C327" s="1548">
        <v>0.72460000000000002</v>
      </c>
      <c r="D327" s="1548">
        <v>0.67779999999999996</v>
      </c>
      <c r="E327" s="1548">
        <v>0.67779999999999996</v>
      </c>
      <c r="F327" s="1548">
        <v>0.67779999999999996</v>
      </c>
      <c r="G327" s="1548">
        <v>0.56659999999999999</v>
      </c>
      <c r="H327" s="1548">
        <v>0.56659999999999999</v>
      </c>
      <c r="I327" s="1548">
        <v>0.48609999999999998</v>
      </c>
      <c r="J327" s="1548">
        <v>0.48609999999999998</v>
      </c>
      <c r="K327" s="1548">
        <v>0.48609999999999998</v>
      </c>
      <c r="L327" s="1548">
        <v>0.48609999999999998</v>
      </c>
      <c r="M327" s="1548">
        <v>0.48609999999999998</v>
      </c>
    </row>
    <row r="328" spans="1:13">
      <c r="A328" s="1545">
        <v>5.9</v>
      </c>
      <c r="B328" s="1548">
        <v>0.7228</v>
      </c>
      <c r="C328" s="1548">
        <v>0.7228</v>
      </c>
      <c r="D328" s="1548">
        <v>0.67569999999999997</v>
      </c>
      <c r="E328" s="1548">
        <v>0.67569999999999997</v>
      </c>
      <c r="F328" s="1548">
        <v>0.67569999999999997</v>
      </c>
      <c r="G328" s="1548">
        <v>0.56420000000000003</v>
      </c>
      <c r="H328" s="1548">
        <v>0.56420000000000003</v>
      </c>
      <c r="I328" s="1548">
        <v>0.48380000000000001</v>
      </c>
      <c r="J328" s="1548">
        <v>0.48380000000000001</v>
      </c>
      <c r="K328" s="1548">
        <v>0.48380000000000001</v>
      </c>
      <c r="L328" s="1548">
        <v>0.48380000000000001</v>
      </c>
      <c r="M328" s="1548">
        <v>0.48380000000000001</v>
      </c>
    </row>
    <row r="329" spans="1:13">
      <c r="A329" s="1549">
        <v>6</v>
      </c>
      <c r="B329" s="1548">
        <v>0.72099999999999997</v>
      </c>
      <c r="C329" s="1548">
        <v>0.72099999999999997</v>
      </c>
      <c r="D329" s="1548">
        <v>0.67359999999999998</v>
      </c>
      <c r="E329" s="1548">
        <v>0.67359999999999998</v>
      </c>
      <c r="F329" s="1548">
        <v>0.67359999999999998</v>
      </c>
      <c r="G329" s="1548">
        <v>0.56179999999999997</v>
      </c>
      <c r="H329" s="1548">
        <v>0.56179999999999997</v>
      </c>
      <c r="I329" s="1548">
        <v>0.48159999999999997</v>
      </c>
      <c r="J329" s="1548">
        <v>0.48159999999999997</v>
      </c>
      <c r="K329" s="1548">
        <v>0.48159999999999997</v>
      </c>
      <c r="L329" s="1548">
        <v>0.48159999999999997</v>
      </c>
      <c r="M329" s="1548">
        <v>0.48159999999999997</v>
      </c>
    </row>
    <row r="330" spans="1:13">
      <c r="A330" s="1549">
        <v>6.1</v>
      </c>
      <c r="B330" s="1548">
        <v>0.71930000000000005</v>
      </c>
      <c r="C330" s="1548">
        <v>0.71930000000000005</v>
      </c>
      <c r="D330" s="1548">
        <v>0.67159999999999997</v>
      </c>
      <c r="E330" s="1548">
        <v>0.67159999999999997</v>
      </c>
      <c r="F330" s="1548">
        <v>0.67159999999999997</v>
      </c>
      <c r="G330" s="1548">
        <v>0.55940000000000001</v>
      </c>
      <c r="H330" s="1548">
        <v>0.55940000000000001</v>
      </c>
      <c r="I330" s="1548">
        <v>0.4793</v>
      </c>
      <c r="J330" s="1548">
        <v>0.4793</v>
      </c>
      <c r="K330" s="1548">
        <v>0.4793</v>
      </c>
      <c r="L330" s="1548">
        <v>0.4793</v>
      </c>
      <c r="M330" s="1548">
        <v>0.4793</v>
      </c>
    </row>
    <row r="331" spans="1:13">
      <c r="A331" s="1549">
        <v>6.2</v>
      </c>
      <c r="B331" s="1548">
        <v>0.71760000000000002</v>
      </c>
      <c r="C331" s="1548">
        <v>0.71760000000000002</v>
      </c>
      <c r="D331" s="1548">
        <v>0.66959999999999997</v>
      </c>
      <c r="E331" s="1548">
        <v>0.66959999999999997</v>
      </c>
      <c r="F331" s="1548">
        <v>0.66959999999999997</v>
      </c>
      <c r="G331" s="1548">
        <v>0.55710000000000004</v>
      </c>
      <c r="H331" s="1548">
        <v>0.55710000000000004</v>
      </c>
      <c r="I331" s="1548">
        <v>0.47710000000000002</v>
      </c>
      <c r="J331" s="1548">
        <v>0.47710000000000002</v>
      </c>
      <c r="K331" s="1548">
        <v>0.47710000000000002</v>
      </c>
      <c r="L331" s="1548">
        <v>0.47710000000000002</v>
      </c>
      <c r="M331" s="1548">
        <v>0.47710000000000002</v>
      </c>
    </row>
    <row r="332" spans="1:13">
      <c r="A332" s="1549">
        <v>6.3</v>
      </c>
      <c r="B332" s="1548">
        <v>0.71589999999999998</v>
      </c>
      <c r="C332" s="1548">
        <v>0.71589999999999998</v>
      </c>
      <c r="D332" s="1548">
        <v>0.66759999999999997</v>
      </c>
      <c r="E332" s="1548">
        <v>0.66759999999999997</v>
      </c>
      <c r="F332" s="1548">
        <v>0.66759999999999997</v>
      </c>
      <c r="G332" s="1548">
        <v>0.55479999999999996</v>
      </c>
      <c r="H332" s="1548">
        <v>0.55479999999999996</v>
      </c>
      <c r="I332" s="1548">
        <v>0.47489999999999999</v>
      </c>
      <c r="J332" s="1548">
        <v>0.47489999999999999</v>
      </c>
      <c r="K332" s="1548">
        <v>0.47489999999999999</v>
      </c>
      <c r="L332" s="1548">
        <v>0.47489999999999999</v>
      </c>
      <c r="M332" s="1548">
        <v>0.47489999999999999</v>
      </c>
    </row>
    <row r="333" spans="1:13">
      <c r="A333" s="1549">
        <v>6.4</v>
      </c>
      <c r="B333" s="1548">
        <v>0.71419999999999995</v>
      </c>
      <c r="C333" s="1548">
        <v>0.71419999999999995</v>
      </c>
      <c r="D333" s="1548">
        <v>0.66559999999999997</v>
      </c>
      <c r="E333" s="1548">
        <v>0.66559999999999997</v>
      </c>
      <c r="F333" s="1548">
        <v>0.66559999999999997</v>
      </c>
      <c r="G333" s="1548">
        <v>0.55249999999999999</v>
      </c>
      <c r="H333" s="1548">
        <v>0.55249999999999999</v>
      </c>
      <c r="I333" s="1548">
        <v>0.47270000000000001</v>
      </c>
      <c r="J333" s="1548">
        <v>0.47270000000000001</v>
      </c>
      <c r="K333" s="1548">
        <v>0.47270000000000001</v>
      </c>
      <c r="L333" s="1548">
        <v>0.47270000000000001</v>
      </c>
      <c r="M333" s="1548">
        <v>0.47270000000000001</v>
      </c>
    </row>
    <row r="334" spans="1:13">
      <c r="A334" s="1549">
        <v>6.5</v>
      </c>
      <c r="B334" s="1548">
        <v>0.71250000000000002</v>
      </c>
      <c r="C334" s="1548">
        <v>0.71250000000000002</v>
      </c>
      <c r="D334" s="1548">
        <v>0.66359999999999997</v>
      </c>
      <c r="E334" s="1548">
        <v>0.66359999999999997</v>
      </c>
      <c r="F334" s="1548">
        <v>0.66359999999999997</v>
      </c>
      <c r="G334" s="1548">
        <v>0.55020000000000002</v>
      </c>
      <c r="H334" s="1548">
        <v>0.55020000000000002</v>
      </c>
      <c r="I334" s="1548">
        <v>0.47060000000000002</v>
      </c>
      <c r="J334" s="1548">
        <v>0.47060000000000002</v>
      </c>
      <c r="K334" s="1548">
        <v>0.47060000000000002</v>
      </c>
      <c r="L334" s="1548">
        <v>0.47060000000000002</v>
      </c>
      <c r="M334" s="1548">
        <v>0.47060000000000002</v>
      </c>
    </row>
    <row r="335" spans="1:13">
      <c r="A335" s="1549">
        <v>6.6</v>
      </c>
      <c r="B335" s="1548">
        <v>0.71089999999999998</v>
      </c>
      <c r="C335" s="1548">
        <v>0.71089999999999998</v>
      </c>
      <c r="D335" s="1548">
        <v>0.66159999999999997</v>
      </c>
      <c r="E335" s="1548">
        <v>0.66159999999999997</v>
      </c>
      <c r="F335" s="1548">
        <v>0.66159999999999997</v>
      </c>
      <c r="G335" s="1548">
        <v>0.54800000000000004</v>
      </c>
      <c r="H335" s="1548">
        <v>0.54800000000000004</v>
      </c>
      <c r="I335" s="1548">
        <v>0.46839999999999998</v>
      </c>
      <c r="J335" s="1548">
        <v>0.46839999999999998</v>
      </c>
      <c r="K335" s="1548">
        <v>0.46839999999999998</v>
      </c>
      <c r="L335" s="1548">
        <v>0.46839999999999998</v>
      </c>
      <c r="M335" s="1548">
        <v>0.46839999999999998</v>
      </c>
    </row>
    <row r="336" spans="1:13">
      <c r="A336" s="1549">
        <v>6.7</v>
      </c>
      <c r="B336" s="1548">
        <v>0.70930000000000004</v>
      </c>
      <c r="C336" s="1548">
        <v>0.70930000000000004</v>
      </c>
      <c r="D336" s="1548">
        <v>0.65969999999999995</v>
      </c>
      <c r="E336" s="1548">
        <v>0.65969999999999995</v>
      </c>
      <c r="F336" s="1548">
        <v>0.65969999999999995</v>
      </c>
      <c r="G336" s="1548">
        <v>0.54579999999999995</v>
      </c>
      <c r="H336" s="1548">
        <v>0.54579999999999995</v>
      </c>
      <c r="I336" s="1548">
        <v>0.46629999999999999</v>
      </c>
      <c r="J336" s="1548">
        <v>0.46629999999999999</v>
      </c>
      <c r="K336" s="1548">
        <v>0.46629999999999999</v>
      </c>
      <c r="L336" s="1548">
        <v>0.46629999999999999</v>
      </c>
      <c r="M336" s="1548">
        <v>0.46629999999999999</v>
      </c>
    </row>
    <row r="337" spans="1:13">
      <c r="A337" s="1549">
        <v>6.8</v>
      </c>
      <c r="B337" s="1548">
        <v>0.7077</v>
      </c>
      <c r="C337" s="1548">
        <v>0.7077</v>
      </c>
      <c r="D337" s="1548">
        <v>0.65780000000000005</v>
      </c>
      <c r="E337" s="1548">
        <v>0.65780000000000005</v>
      </c>
      <c r="F337" s="1548">
        <v>0.65780000000000005</v>
      </c>
      <c r="G337" s="1548">
        <v>0.54359999999999997</v>
      </c>
      <c r="H337" s="1548">
        <v>0.54359999999999997</v>
      </c>
      <c r="I337" s="1548">
        <v>0.46410000000000001</v>
      </c>
      <c r="J337" s="1548">
        <v>0.46410000000000001</v>
      </c>
      <c r="K337" s="1548">
        <v>0.46410000000000001</v>
      </c>
      <c r="L337" s="1548">
        <v>0.46410000000000001</v>
      </c>
      <c r="M337" s="1548">
        <v>0.46410000000000001</v>
      </c>
    </row>
    <row r="338" spans="1:13">
      <c r="A338" s="1549">
        <v>6.9</v>
      </c>
      <c r="B338" s="1548">
        <v>0.70609999999999995</v>
      </c>
      <c r="C338" s="1548">
        <v>0.70609999999999995</v>
      </c>
      <c r="D338" s="1548">
        <v>0.65590000000000004</v>
      </c>
      <c r="E338" s="1548">
        <v>0.65590000000000004</v>
      </c>
      <c r="F338" s="1548">
        <v>0.65590000000000004</v>
      </c>
      <c r="G338" s="1548">
        <v>0.54139999999999999</v>
      </c>
      <c r="H338" s="1548">
        <v>0.54139999999999999</v>
      </c>
      <c r="I338" s="1548">
        <v>0.46200000000000002</v>
      </c>
      <c r="J338" s="1548">
        <v>0.46200000000000002</v>
      </c>
      <c r="K338" s="1548">
        <v>0.46200000000000002</v>
      </c>
      <c r="L338" s="1548">
        <v>0.46200000000000002</v>
      </c>
      <c r="M338" s="1548">
        <v>0.46200000000000002</v>
      </c>
    </row>
    <row r="339" spans="1:13">
      <c r="A339" s="1549">
        <v>7</v>
      </c>
      <c r="B339" s="1548">
        <v>0.70450000000000002</v>
      </c>
      <c r="C339" s="1548">
        <v>0.70450000000000002</v>
      </c>
      <c r="D339" s="1548">
        <v>0.65400000000000003</v>
      </c>
      <c r="E339" s="1548">
        <v>0.65400000000000003</v>
      </c>
      <c r="F339" s="1548">
        <v>0.65400000000000003</v>
      </c>
      <c r="G339" s="1548">
        <v>0.53920000000000001</v>
      </c>
      <c r="H339" s="1548">
        <v>0.53920000000000001</v>
      </c>
      <c r="I339" s="1548">
        <v>0.45979999999999999</v>
      </c>
      <c r="J339" s="1548">
        <v>0.45979999999999999</v>
      </c>
      <c r="K339" s="1548">
        <v>0.45979999999999999</v>
      </c>
      <c r="L339" s="1548">
        <v>0.45979999999999999</v>
      </c>
      <c r="M339" s="1548">
        <v>0.45979999999999999</v>
      </c>
    </row>
    <row r="340" spans="1:13">
      <c r="A340" s="1549">
        <v>7.1</v>
      </c>
      <c r="B340" s="1548">
        <v>0.70289999999999997</v>
      </c>
      <c r="C340" s="1548">
        <v>0.70289999999999997</v>
      </c>
      <c r="D340" s="1548">
        <v>0.65210000000000001</v>
      </c>
      <c r="E340" s="1548">
        <v>0.65210000000000001</v>
      </c>
      <c r="F340" s="1548">
        <v>0.65210000000000001</v>
      </c>
      <c r="G340" s="1548">
        <v>0.53710000000000002</v>
      </c>
      <c r="H340" s="1548">
        <v>0.53710000000000002</v>
      </c>
      <c r="I340" s="1548">
        <v>0.45779999999999998</v>
      </c>
      <c r="J340" s="1548">
        <v>0.45779999999999998</v>
      </c>
      <c r="K340" s="1548">
        <v>0.45779999999999998</v>
      </c>
      <c r="L340" s="1548">
        <v>0.45779999999999998</v>
      </c>
      <c r="M340" s="1548">
        <v>0.45779999999999998</v>
      </c>
    </row>
    <row r="341" spans="1:13">
      <c r="A341" s="1549">
        <v>7.2</v>
      </c>
      <c r="B341" s="1548">
        <v>0.70140000000000002</v>
      </c>
      <c r="C341" s="1548">
        <v>0.70140000000000002</v>
      </c>
      <c r="D341" s="1548">
        <v>0.6502</v>
      </c>
      <c r="E341" s="1548">
        <v>0.6502</v>
      </c>
      <c r="F341" s="1548">
        <v>0.6502</v>
      </c>
      <c r="G341" s="1548">
        <v>0.53500000000000003</v>
      </c>
      <c r="H341" s="1548">
        <v>0.53500000000000003</v>
      </c>
      <c r="I341" s="1548">
        <v>0.45569999999999999</v>
      </c>
      <c r="J341" s="1548">
        <v>0.45569999999999999</v>
      </c>
      <c r="K341" s="1548">
        <v>0.45569999999999999</v>
      </c>
      <c r="L341" s="1548">
        <v>0.45569999999999999</v>
      </c>
      <c r="M341" s="1548">
        <v>0.45569999999999999</v>
      </c>
    </row>
    <row r="342" spans="1:13">
      <c r="A342" s="1549">
        <v>7.3</v>
      </c>
      <c r="B342" s="1548">
        <v>0.69989999999999997</v>
      </c>
      <c r="C342" s="1548">
        <v>0.69989999999999997</v>
      </c>
      <c r="D342" s="1548">
        <v>0.64829999999999999</v>
      </c>
      <c r="E342" s="1548">
        <v>0.64829999999999999</v>
      </c>
      <c r="F342" s="1548">
        <v>0.64829999999999999</v>
      </c>
      <c r="G342" s="1548">
        <v>0.53290000000000004</v>
      </c>
      <c r="H342" s="1548">
        <v>0.53290000000000004</v>
      </c>
      <c r="I342" s="1548">
        <v>0.45369999999999999</v>
      </c>
      <c r="J342" s="1548">
        <v>0.45369999999999999</v>
      </c>
      <c r="K342" s="1548">
        <v>0.45369999999999999</v>
      </c>
      <c r="L342" s="1548">
        <v>0.45369999999999999</v>
      </c>
      <c r="M342" s="1548">
        <v>0.45369999999999999</v>
      </c>
    </row>
    <row r="343" spans="1:13">
      <c r="A343" s="1549">
        <v>7.4</v>
      </c>
      <c r="B343" s="1548">
        <v>0.69840000000000002</v>
      </c>
      <c r="C343" s="1548">
        <v>0.69840000000000002</v>
      </c>
      <c r="D343" s="1548">
        <v>0.64649999999999996</v>
      </c>
      <c r="E343" s="1548">
        <v>0.64649999999999996</v>
      </c>
      <c r="F343" s="1548">
        <v>0.64649999999999996</v>
      </c>
      <c r="G343" s="1548">
        <v>0.53080000000000005</v>
      </c>
      <c r="H343" s="1548">
        <v>0.53080000000000005</v>
      </c>
      <c r="I343" s="1548">
        <v>0.4516</v>
      </c>
      <c r="J343" s="1548">
        <v>0.4516</v>
      </c>
      <c r="K343" s="1548">
        <v>0.4516</v>
      </c>
      <c r="L343" s="1548">
        <v>0.4516</v>
      </c>
      <c r="M343" s="1548">
        <v>0.4516</v>
      </c>
    </row>
    <row r="344" spans="1:13">
      <c r="A344" s="1549">
        <v>7.5</v>
      </c>
      <c r="B344" s="1548">
        <v>0.69689999999999996</v>
      </c>
      <c r="C344" s="1548">
        <v>0.69689999999999996</v>
      </c>
      <c r="D344" s="1548">
        <v>0.64470000000000005</v>
      </c>
      <c r="E344" s="1548">
        <v>0.64470000000000005</v>
      </c>
      <c r="F344" s="1548">
        <v>0.64470000000000005</v>
      </c>
      <c r="G344" s="1548">
        <v>0.52869999999999995</v>
      </c>
      <c r="H344" s="1548">
        <v>0.52869999999999995</v>
      </c>
      <c r="I344" s="1548">
        <v>0.44950000000000001</v>
      </c>
      <c r="J344" s="1548">
        <v>0.44950000000000001</v>
      </c>
      <c r="K344" s="1548">
        <v>0.44950000000000001</v>
      </c>
      <c r="L344" s="1548">
        <v>0.44950000000000001</v>
      </c>
      <c r="M344" s="1548">
        <v>0.44950000000000001</v>
      </c>
    </row>
    <row r="345" spans="1:13">
      <c r="A345" s="1549">
        <v>7.6</v>
      </c>
      <c r="B345" s="1548">
        <v>0.69540000000000002</v>
      </c>
      <c r="C345" s="1548">
        <v>0.69540000000000002</v>
      </c>
      <c r="D345" s="1548">
        <v>0.64290000000000003</v>
      </c>
      <c r="E345" s="1548">
        <v>0.64290000000000003</v>
      </c>
      <c r="F345" s="1548">
        <v>0.64290000000000003</v>
      </c>
      <c r="G345" s="1548">
        <v>0.52659999999999996</v>
      </c>
      <c r="H345" s="1548">
        <v>0.52659999999999996</v>
      </c>
      <c r="I345" s="1548">
        <v>0.44750000000000001</v>
      </c>
      <c r="J345" s="1548">
        <v>0.44750000000000001</v>
      </c>
      <c r="K345" s="1548">
        <v>0.44750000000000001</v>
      </c>
      <c r="L345" s="1548">
        <v>0.44750000000000001</v>
      </c>
      <c r="M345" s="1548">
        <v>0.44750000000000001</v>
      </c>
    </row>
    <row r="346" spans="1:13">
      <c r="A346" s="1549">
        <v>7.7</v>
      </c>
      <c r="B346" s="1548">
        <v>0.69389999999999996</v>
      </c>
      <c r="C346" s="1548">
        <v>0.69389999999999996</v>
      </c>
      <c r="D346" s="1548">
        <v>0.6411</v>
      </c>
      <c r="E346" s="1548">
        <v>0.6411</v>
      </c>
      <c r="F346" s="1548">
        <v>0.6411</v>
      </c>
      <c r="G346" s="1548">
        <v>0.52459999999999996</v>
      </c>
      <c r="H346" s="1548">
        <v>0.52459999999999996</v>
      </c>
      <c r="I346" s="1548">
        <v>0.44540000000000002</v>
      </c>
      <c r="J346" s="1548">
        <v>0.44540000000000002</v>
      </c>
      <c r="K346" s="1548">
        <v>0.44540000000000002</v>
      </c>
      <c r="L346" s="1548">
        <v>0.44540000000000002</v>
      </c>
      <c r="M346" s="1548">
        <v>0.44540000000000002</v>
      </c>
    </row>
    <row r="347" spans="1:13">
      <c r="A347" s="1549">
        <v>7.8</v>
      </c>
      <c r="B347" s="1548">
        <v>0.69240000000000002</v>
      </c>
      <c r="C347" s="1548">
        <v>0.69240000000000002</v>
      </c>
      <c r="D347" s="1548">
        <v>0.63929999999999998</v>
      </c>
      <c r="E347" s="1548">
        <v>0.63929999999999998</v>
      </c>
      <c r="F347" s="1548">
        <v>0.63929999999999998</v>
      </c>
      <c r="G347" s="1548">
        <v>0.52259999999999995</v>
      </c>
      <c r="H347" s="1548">
        <v>0.52259999999999995</v>
      </c>
      <c r="I347" s="1548">
        <v>0.44340000000000002</v>
      </c>
      <c r="J347" s="1548">
        <v>0.44340000000000002</v>
      </c>
      <c r="K347" s="1548">
        <v>0.44340000000000002</v>
      </c>
      <c r="L347" s="1548">
        <v>0.44340000000000002</v>
      </c>
      <c r="M347" s="1548">
        <v>0.44340000000000002</v>
      </c>
    </row>
    <row r="348" spans="1:13">
      <c r="A348" s="1549">
        <v>7.9</v>
      </c>
      <c r="B348" s="1548">
        <v>0.69099999999999995</v>
      </c>
      <c r="C348" s="1548">
        <v>0.69099999999999995</v>
      </c>
      <c r="D348" s="1548">
        <v>0.63749999999999996</v>
      </c>
      <c r="E348" s="1548">
        <v>0.63749999999999996</v>
      </c>
      <c r="F348" s="1548">
        <v>0.63749999999999996</v>
      </c>
      <c r="G348" s="1548">
        <v>0.52059999999999995</v>
      </c>
      <c r="H348" s="1548">
        <v>0.52059999999999995</v>
      </c>
      <c r="I348" s="1548">
        <v>0.44130000000000003</v>
      </c>
      <c r="J348" s="1548">
        <v>0.44130000000000003</v>
      </c>
      <c r="K348" s="1548">
        <v>0.44130000000000003</v>
      </c>
      <c r="L348" s="1548">
        <v>0.44130000000000003</v>
      </c>
      <c r="M348" s="1548">
        <v>0.44130000000000003</v>
      </c>
    </row>
    <row r="349" spans="1:13">
      <c r="A349" s="1549">
        <v>8</v>
      </c>
      <c r="B349" s="1548">
        <v>0.68959999999999999</v>
      </c>
      <c r="C349" s="1548">
        <v>0.68959999999999999</v>
      </c>
      <c r="D349" s="1548">
        <v>0.63570000000000004</v>
      </c>
      <c r="E349" s="1548">
        <v>0.63570000000000004</v>
      </c>
      <c r="F349" s="1548">
        <v>0.63570000000000004</v>
      </c>
      <c r="G349" s="1548">
        <v>0.51859999999999995</v>
      </c>
      <c r="H349" s="1548">
        <v>0.51859999999999995</v>
      </c>
      <c r="I349" s="1548">
        <v>0.43919999999999998</v>
      </c>
      <c r="J349" s="1548">
        <v>0.43919999999999998</v>
      </c>
      <c r="K349" s="1548">
        <v>0.43919999999999998</v>
      </c>
      <c r="L349" s="1548">
        <v>0.43919999999999998</v>
      </c>
      <c r="M349" s="1548">
        <v>0.43919999999999998</v>
      </c>
    </row>
    <row r="350" spans="1:13">
      <c r="A350" s="1549">
        <v>8.1</v>
      </c>
      <c r="B350" s="1548">
        <v>0.68820000000000003</v>
      </c>
      <c r="C350" s="1548">
        <v>0.68820000000000003</v>
      </c>
      <c r="D350" s="1548">
        <v>0.63390000000000002</v>
      </c>
      <c r="E350" s="1548">
        <v>0.63390000000000002</v>
      </c>
      <c r="F350" s="1548">
        <v>0.63390000000000002</v>
      </c>
      <c r="G350" s="1548">
        <v>0.51659999999999995</v>
      </c>
      <c r="H350" s="1548">
        <v>0.51659999999999995</v>
      </c>
      <c r="I350" s="1548">
        <v>0.43730000000000002</v>
      </c>
      <c r="J350" s="1548">
        <v>0.43730000000000002</v>
      </c>
      <c r="K350" s="1548">
        <v>0.43730000000000002</v>
      </c>
      <c r="L350" s="1548">
        <v>0.43730000000000002</v>
      </c>
      <c r="M350" s="1548">
        <v>0.43730000000000002</v>
      </c>
    </row>
    <row r="351" spans="1:13">
      <c r="A351" s="1549">
        <v>8.1999999999999993</v>
      </c>
      <c r="B351" s="1548">
        <v>0.68679999999999997</v>
      </c>
      <c r="C351" s="1548">
        <v>0.68679999999999997</v>
      </c>
      <c r="D351" s="1548">
        <v>0.63219999999999998</v>
      </c>
      <c r="E351" s="1548">
        <v>0.63219999999999998</v>
      </c>
      <c r="F351" s="1548">
        <v>0.63219999999999998</v>
      </c>
      <c r="G351" s="1548">
        <v>0.51459999999999995</v>
      </c>
      <c r="H351" s="1548">
        <v>0.51459999999999995</v>
      </c>
      <c r="I351" s="1548">
        <v>0.43530000000000002</v>
      </c>
      <c r="J351" s="1548">
        <v>0.43530000000000002</v>
      </c>
      <c r="K351" s="1548">
        <v>0.43530000000000002</v>
      </c>
      <c r="L351" s="1548">
        <v>0.43530000000000002</v>
      </c>
      <c r="M351" s="1548">
        <v>0.43530000000000002</v>
      </c>
    </row>
    <row r="352" spans="1:13">
      <c r="A352" s="1549">
        <v>8.3000000000000007</v>
      </c>
      <c r="B352" s="1548">
        <v>0.68540000000000001</v>
      </c>
      <c r="C352" s="1548">
        <v>0.68540000000000001</v>
      </c>
      <c r="D352" s="1548">
        <v>0.63049999999999995</v>
      </c>
      <c r="E352" s="1548">
        <v>0.63049999999999995</v>
      </c>
      <c r="F352" s="1548">
        <v>0.63049999999999995</v>
      </c>
      <c r="G352" s="1548">
        <v>0.51259999999999994</v>
      </c>
      <c r="H352" s="1548">
        <v>0.51259999999999994</v>
      </c>
      <c r="I352" s="1548">
        <v>0.43330000000000002</v>
      </c>
      <c r="J352" s="1548">
        <v>0.43330000000000002</v>
      </c>
      <c r="K352" s="1548">
        <v>0.43330000000000002</v>
      </c>
      <c r="L352" s="1548">
        <v>0.43330000000000002</v>
      </c>
      <c r="M352" s="1548">
        <v>0.43330000000000002</v>
      </c>
    </row>
    <row r="353" spans="1:13">
      <c r="A353" s="1549">
        <v>8.4</v>
      </c>
      <c r="B353" s="1548">
        <v>0.68400000000000005</v>
      </c>
      <c r="C353" s="1548">
        <v>0.68400000000000005</v>
      </c>
      <c r="D353" s="1548">
        <v>0.62880000000000003</v>
      </c>
      <c r="E353" s="1548">
        <v>0.62880000000000003</v>
      </c>
      <c r="F353" s="1548">
        <v>0.62880000000000003</v>
      </c>
      <c r="G353" s="1548">
        <v>0.51070000000000004</v>
      </c>
      <c r="H353" s="1548">
        <v>0.51070000000000004</v>
      </c>
      <c r="I353" s="1548">
        <v>0.43130000000000002</v>
      </c>
      <c r="J353" s="1548">
        <v>0.43130000000000002</v>
      </c>
      <c r="K353" s="1548">
        <v>0.43130000000000002</v>
      </c>
      <c r="L353" s="1548">
        <v>0.43130000000000002</v>
      </c>
      <c r="M353" s="1548">
        <v>0.43130000000000002</v>
      </c>
    </row>
    <row r="354" spans="1:13">
      <c r="A354" s="1549">
        <v>8.5</v>
      </c>
      <c r="B354" s="1548">
        <v>0.68259999999999998</v>
      </c>
      <c r="C354" s="1548">
        <v>0.68259999999999998</v>
      </c>
      <c r="D354" s="1548">
        <v>0.62709999999999999</v>
      </c>
      <c r="E354" s="1548">
        <v>0.62709999999999999</v>
      </c>
      <c r="F354" s="1548">
        <v>0.62709999999999999</v>
      </c>
      <c r="G354" s="1548">
        <v>0.50880000000000003</v>
      </c>
      <c r="H354" s="1548">
        <v>0.50880000000000003</v>
      </c>
      <c r="I354" s="1548">
        <v>0.4294</v>
      </c>
      <c r="J354" s="1548">
        <v>0.4294</v>
      </c>
      <c r="K354" s="1548">
        <v>0.4294</v>
      </c>
      <c r="L354" s="1548">
        <v>0.4294</v>
      </c>
      <c r="M354" s="1548">
        <v>0.4294</v>
      </c>
    </row>
    <row r="355" spans="1:13">
      <c r="A355" s="1549">
        <v>8.6</v>
      </c>
      <c r="B355" s="1548">
        <v>0.68120000000000003</v>
      </c>
      <c r="C355" s="1548">
        <v>0.68120000000000003</v>
      </c>
      <c r="D355" s="1548">
        <v>0.62539999999999996</v>
      </c>
      <c r="E355" s="1548">
        <v>0.62539999999999996</v>
      </c>
      <c r="F355" s="1548">
        <v>0.62539999999999996</v>
      </c>
      <c r="G355" s="1548">
        <v>0.50690000000000002</v>
      </c>
      <c r="H355" s="1548">
        <v>0.50690000000000002</v>
      </c>
      <c r="I355" s="1548">
        <v>0.4274</v>
      </c>
      <c r="J355" s="1548">
        <v>0.4274</v>
      </c>
      <c r="K355" s="1548">
        <v>0.4274</v>
      </c>
      <c r="L355" s="1548">
        <v>0.4274</v>
      </c>
      <c r="M355" s="1548">
        <v>0.4274</v>
      </c>
    </row>
    <row r="356" spans="1:13">
      <c r="A356" s="1549">
        <v>8.6999999999999993</v>
      </c>
      <c r="B356" s="1548">
        <v>0.67989999999999995</v>
      </c>
      <c r="C356" s="1548">
        <v>0.67989999999999995</v>
      </c>
      <c r="D356" s="1548">
        <v>0.62370000000000003</v>
      </c>
      <c r="E356" s="1548">
        <v>0.62370000000000003</v>
      </c>
      <c r="F356" s="1548">
        <v>0.62370000000000003</v>
      </c>
      <c r="G356" s="1548">
        <v>0.505</v>
      </c>
      <c r="H356" s="1548">
        <v>0.505</v>
      </c>
      <c r="I356" s="1548">
        <v>0.4254</v>
      </c>
      <c r="J356" s="1548">
        <v>0.4254</v>
      </c>
      <c r="K356" s="1548">
        <v>0.4254</v>
      </c>
      <c r="L356" s="1548">
        <v>0.4254</v>
      </c>
      <c r="M356" s="1548">
        <v>0.4254</v>
      </c>
    </row>
    <row r="357" spans="1:13">
      <c r="A357" s="1549">
        <v>8.8000000000000007</v>
      </c>
      <c r="B357" s="1548">
        <v>0.67859999999999998</v>
      </c>
      <c r="C357" s="1548">
        <v>0.67859999999999998</v>
      </c>
      <c r="D357" s="1548">
        <v>0.622</v>
      </c>
      <c r="E357" s="1548">
        <v>0.622</v>
      </c>
      <c r="F357" s="1548">
        <v>0.622</v>
      </c>
      <c r="G357" s="1548">
        <v>0.50309999999999999</v>
      </c>
      <c r="H357" s="1548">
        <v>0.50309999999999999</v>
      </c>
      <c r="I357" s="1548">
        <v>0.4234</v>
      </c>
      <c r="J357" s="1548">
        <v>0.4234</v>
      </c>
      <c r="K357" s="1548">
        <v>0.4234</v>
      </c>
      <c r="L357" s="1548">
        <v>0.4234</v>
      </c>
      <c r="M357" s="1548">
        <v>0.4234</v>
      </c>
    </row>
    <row r="358" spans="1:13">
      <c r="A358" s="1549">
        <v>8.9</v>
      </c>
      <c r="B358" s="1548">
        <v>0.67730000000000001</v>
      </c>
      <c r="C358" s="1548">
        <v>0.67730000000000001</v>
      </c>
      <c r="D358" s="1548">
        <v>0.62029999999999996</v>
      </c>
      <c r="E358" s="1548">
        <v>0.62029999999999996</v>
      </c>
      <c r="F358" s="1548">
        <v>0.62029999999999996</v>
      </c>
      <c r="G358" s="1548">
        <v>0.50119999999999998</v>
      </c>
      <c r="H358" s="1548">
        <v>0.50119999999999998</v>
      </c>
      <c r="I358" s="1548">
        <v>0.42149999999999999</v>
      </c>
      <c r="J358" s="1548">
        <v>0.42149999999999999</v>
      </c>
      <c r="K358" s="1548">
        <v>0.42149999999999999</v>
      </c>
      <c r="L358" s="1548">
        <v>0.42149999999999999</v>
      </c>
      <c r="M358" s="1548">
        <v>0.42149999999999999</v>
      </c>
    </row>
    <row r="359" spans="1:13">
      <c r="A359" s="1545">
        <v>9</v>
      </c>
      <c r="B359" s="1548">
        <v>0.67600000000000005</v>
      </c>
      <c r="C359" s="1548">
        <v>0.67600000000000005</v>
      </c>
      <c r="D359" s="1548">
        <v>0.61870000000000003</v>
      </c>
      <c r="E359" s="1548">
        <v>0.61870000000000003</v>
      </c>
      <c r="F359" s="1548">
        <v>0.61870000000000003</v>
      </c>
      <c r="G359" s="1548">
        <v>0.49930000000000002</v>
      </c>
      <c r="H359" s="1548">
        <v>0.49930000000000002</v>
      </c>
      <c r="I359" s="1548">
        <v>0.41949999999999998</v>
      </c>
      <c r="J359" s="1548">
        <v>0.41949999999999998</v>
      </c>
      <c r="K359" s="1548">
        <v>0.41949999999999998</v>
      </c>
      <c r="L359" s="1548">
        <v>0.41949999999999998</v>
      </c>
      <c r="M359" s="1548">
        <v>0.41949999999999998</v>
      </c>
    </row>
    <row r="360" spans="1:13">
      <c r="A360" s="1545">
        <v>9.1</v>
      </c>
      <c r="B360" s="1548">
        <v>0.67469999999999997</v>
      </c>
      <c r="C360" s="1548">
        <v>0.67469999999999997</v>
      </c>
      <c r="D360" s="1548">
        <v>0.61709999999999998</v>
      </c>
      <c r="E360" s="1548">
        <v>0.61709999999999998</v>
      </c>
      <c r="F360" s="1548">
        <v>0.61709999999999998</v>
      </c>
      <c r="G360" s="1548">
        <v>0.49740000000000001</v>
      </c>
      <c r="H360" s="1548">
        <v>0.49740000000000001</v>
      </c>
      <c r="I360" s="1548">
        <v>0.41760000000000003</v>
      </c>
      <c r="J360" s="1548">
        <v>0.41760000000000003</v>
      </c>
      <c r="K360" s="1548">
        <v>0.41760000000000003</v>
      </c>
      <c r="L360" s="1548">
        <v>0.41760000000000003</v>
      </c>
      <c r="M360" s="1548">
        <v>0.41760000000000003</v>
      </c>
    </row>
    <row r="361" spans="1:13">
      <c r="A361" s="1545">
        <v>9.1999999999999993</v>
      </c>
      <c r="B361" s="1548">
        <v>0.6734</v>
      </c>
      <c r="C361" s="1548">
        <v>0.6734</v>
      </c>
      <c r="D361" s="1548">
        <v>0.61550000000000005</v>
      </c>
      <c r="E361" s="1548">
        <v>0.61550000000000005</v>
      </c>
      <c r="F361" s="1548">
        <v>0.61550000000000005</v>
      </c>
      <c r="G361" s="1548">
        <v>0.49559999999999998</v>
      </c>
      <c r="H361" s="1548">
        <v>0.49559999999999998</v>
      </c>
      <c r="I361" s="1548">
        <v>0.41570000000000001</v>
      </c>
      <c r="J361" s="1548">
        <v>0.41570000000000001</v>
      </c>
      <c r="K361" s="1548">
        <v>0.41570000000000001</v>
      </c>
      <c r="L361" s="1548">
        <v>0.41570000000000001</v>
      </c>
      <c r="M361" s="1548">
        <v>0.41570000000000001</v>
      </c>
    </row>
    <row r="362" spans="1:13">
      <c r="A362" s="1545">
        <v>9.3000000000000007</v>
      </c>
      <c r="B362" s="1548">
        <v>0.67210000000000003</v>
      </c>
      <c r="C362" s="1548">
        <v>0.67210000000000003</v>
      </c>
      <c r="D362" s="1548">
        <v>0.6139</v>
      </c>
      <c r="E362" s="1548">
        <v>0.6139</v>
      </c>
      <c r="F362" s="1548">
        <v>0.6139</v>
      </c>
      <c r="G362" s="1548">
        <v>0.49380000000000002</v>
      </c>
      <c r="H362" s="1548">
        <v>0.49380000000000002</v>
      </c>
      <c r="I362" s="1548">
        <v>0.4138</v>
      </c>
      <c r="J362" s="1548">
        <v>0.4138</v>
      </c>
      <c r="K362" s="1548">
        <v>0.4138</v>
      </c>
      <c r="L362" s="1548">
        <v>0.4138</v>
      </c>
      <c r="M362" s="1548">
        <v>0.4138</v>
      </c>
    </row>
    <row r="363" spans="1:13">
      <c r="A363" s="1545">
        <v>9.4</v>
      </c>
      <c r="B363" s="1548">
        <v>0.67079999999999995</v>
      </c>
      <c r="C363" s="1548">
        <v>0.67079999999999995</v>
      </c>
      <c r="D363" s="1548">
        <v>0.61229999999999996</v>
      </c>
      <c r="E363" s="1548">
        <v>0.61229999999999996</v>
      </c>
      <c r="F363" s="1548">
        <v>0.61229999999999996</v>
      </c>
      <c r="G363" s="1548">
        <v>0.49199999999999999</v>
      </c>
      <c r="H363" s="1548">
        <v>0.49199999999999999</v>
      </c>
      <c r="I363" s="1548">
        <v>0.41189999999999999</v>
      </c>
      <c r="J363" s="1548">
        <v>0.41189999999999999</v>
      </c>
      <c r="K363" s="1548">
        <v>0.41189999999999999</v>
      </c>
      <c r="L363" s="1548">
        <v>0.41189999999999999</v>
      </c>
      <c r="M363" s="1548">
        <v>0.41189999999999999</v>
      </c>
    </row>
    <row r="364" spans="1:13">
      <c r="A364" s="1545">
        <v>9.5</v>
      </c>
      <c r="B364" s="1548">
        <v>0.66959999999999997</v>
      </c>
      <c r="C364" s="1548">
        <v>0.66959999999999997</v>
      </c>
      <c r="D364" s="1548">
        <v>0.61070000000000002</v>
      </c>
      <c r="E364" s="1548">
        <v>0.61070000000000002</v>
      </c>
      <c r="F364" s="1548">
        <v>0.61070000000000002</v>
      </c>
      <c r="G364" s="1548">
        <v>0.49020000000000002</v>
      </c>
      <c r="H364" s="1548">
        <v>0.49020000000000002</v>
      </c>
      <c r="I364" s="1548">
        <v>0.41</v>
      </c>
      <c r="J364" s="1548">
        <v>0.41</v>
      </c>
      <c r="K364" s="1548">
        <v>0.41</v>
      </c>
      <c r="L364" s="1548">
        <v>0.41</v>
      </c>
      <c r="M364" s="1548">
        <v>0.41</v>
      </c>
    </row>
    <row r="365" spans="1:13">
      <c r="A365" s="1549">
        <v>9.6</v>
      </c>
      <c r="B365" s="1548">
        <v>0.66839999999999999</v>
      </c>
      <c r="C365" s="1548">
        <v>0.66839999999999999</v>
      </c>
      <c r="D365" s="1548">
        <v>0.60909999999999997</v>
      </c>
      <c r="E365" s="1548">
        <v>0.60909999999999997</v>
      </c>
      <c r="F365" s="1548">
        <v>0.60909999999999997</v>
      </c>
      <c r="G365" s="1548">
        <v>0.4884</v>
      </c>
      <c r="H365" s="1548">
        <v>0.4884</v>
      </c>
      <c r="I365" s="1548">
        <v>0.40810000000000002</v>
      </c>
      <c r="J365" s="1548">
        <v>0.40810000000000002</v>
      </c>
      <c r="K365" s="1548">
        <v>0.40810000000000002</v>
      </c>
      <c r="L365" s="1548">
        <v>0.40810000000000002</v>
      </c>
      <c r="M365" s="1548">
        <v>0.40810000000000002</v>
      </c>
    </row>
    <row r="366" spans="1:13">
      <c r="A366" s="1545">
        <v>9.6999999999999993</v>
      </c>
      <c r="B366" s="1548">
        <v>0.66720000000000002</v>
      </c>
      <c r="C366" s="1548">
        <v>0.66720000000000002</v>
      </c>
      <c r="D366" s="1548">
        <v>0.60750000000000004</v>
      </c>
      <c r="E366" s="1548">
        <v>0.60750000000000004</v>
      </c>
      <c r="F366" s="1548">
        <v>0.60750000000000004</v>
      </c>
      <c r="G366" s="1548">
        <v>0.48659999999999998</v>
      </c>
      <c r="H366" s="1548">
        <v>0.48659999999999998</v>
      </c>
      <c r="I366" s="1548">
        <v>0.40620000000000001</v>
      </c>
      <c r="J366" s="1548">
        <v>0.40620000000000001</v>
      </c>
      <c r="K366" s="1548">
        <v>0.40620000000000001</v>
      </c>
      <c r="L366" s="1548">
        <v>0.40620000000000001</v>
      </c>
      <c r="M366" s="1548">
        <v>0.40620000000000001</v>
      </c>
    </row>
    <row r="367" spans="1:13">
      <c r="A367" s="1545">
        <v>9.8000000000000007</v>
      </c>
      <c r="B367" s="1548">
        <v>0.66600000000000004</v>
      </c>
      <c r="C367" s="1548">
        <v>0.66600000000000004</v>
      </c>
      <c r="D367" s="1548">
        <v>0.60599999999999998</v>
      </c>
      <c r="E367" s="1548">
        <v>0.60599999999999998</v>
      </c>
      <c r="F367" s="1548">
        <v>0.60599999999999998</v>
      </c>
      <c r="G367" s="1548">
        <v>0.48480000000000001</v>
      </c>
      <c r="H367" s="1548">
        <v>0.48480000000000001</v>
      </c>
      <c r="I367" s="1548">
        <v>0.40429999999999999</v>
      </c>
      <c r="J367" s="1548">
        <v>0.40429999999999999</v>
      </c>
      <c r="K367" s="1548">
        <v>0.40429999999999999</v>
      </c>
      <c r="L367" s="1548">
        <v>0.40429999999999999</v>
      </c>
      <c r="M367" s="1548">
        <v>0.40429999999999999</v>
      </c>
    </row>
    <row r="368" spans="1:13">
      <c r="A368" s="1545">
        <v>9.9</v>
      </c>
      <c r="B368" s="1548">
        <v>0.66479999999999995</v>
      </c>
      <c r="C368" s="1548">
        <v>0.66479999999999995</v>
      </c>
      <c r="D368" s="1548">
        <v>0.60450000000000004</v>
      </c>
      <c r="E368" s="1548">
        <v>0.60450000000000004</v>
      </c>
      <c r="F368" s="1548">
        <v>0.60450000000000004</v>
      </c>
      <c r="G368" s="1548">
        <v>0.48299999999999998</v>
      </c>
      <c r="H368" s="1548">
        <v>0.48299999999999998</v>
      </c>
      <c r="I368" s="1548">
        <v>0.40239999999999998</v>
      </c>
      <c r="J368" s="1548">
        <v>0.40239999999999998</v>
      </c>
      <c r="K368" s="1548">
        <v>0.40239999999999998</v>
      </c>
      <c r="L368" s="1548">
        <v>0.40239999999999998</v>
      </c>
      <c r="M368" s="1548">
        <v>0.40239999999999998</v>
      </c>
    </row>
    <row r="369" spans="1:14" ht="14.25">
      <c r="A369" s="1543" t="s">
        <v>1921</v>
      </c>
      <c r="B369" s="1548"/>
      <c r="C369" s="1548"/>
      <c r="D369" s="1548"/>
      <c r="E369" s="1548"/>
      <c r="F369" s="1548"/>
      <c r="G369" s="1548"/>
      <c r="H369" s="1548"/>
      <c r="I369" s="1548"/>
      <c r="J369" s="1548"/>
      <c r="K369" s="1548"/>
      <c r="L369" s="1548"/>
      <c r="M369" s="1548"/>
    </row>
    <row r="370" spans="1:14">
      <c r="A370" s="1545" t="s">
        <v>105</v>
      </c>
      <c r="B370" s="1548" t="s">
        <v>238</v>
      </c>
      <c r="C370" s="1548" t="s">
        <v>251</v>
      </c>
      <c r="D370" s="1548" t="s">
        <v>263</v>
      </c>
      <c r="E370" s="1548" t="s">
        <v>273</v>
      </c>
      <c r="F370" s="1548" t="s">
        <v>282</v>
      </c>
      <c r="G370" s="1548" t="s">
        <v>290</v>
      </c>
      <c r="H370" s="1548" t="s">
        <v>295</v>
      </c>
      <c r="I370" s="1548" t="s">
        <v>301</v>
      </c>
      <c r="J370" s="1548" t="s">
        <v>305</v>
      </c>
      <c r="K370" s="1548" t="s">
        <v>309</v>
      </c>
      <c r="L370" s="1548" t="s">
        <v>313</v>
      </c>
      <c r="M370" s="1548" t="s">
        <v>317</v>
      </c>
      <c r="N370" s="1542" t="e">
        <f>SUMPRODUCT((A371:A460=ROUNDDOWN([3]基准地价修正!G3,1))*(B370:M370=[3]基准地价修正!G2)*(B371:M460))</f>
        <v>#REF!</v>
      </c>
    </row>
    <row r="371" spans="1:14">
      <c r="A371" s="1545">
        <v>1</v>
      </c>
      <c r="B371" s="1548">
        <v>1.1839999999999999</v>
      </c>
      <c r="C371" s="1548">
        <v>1.1839999999999999</v>
      </c>
      <c r="D371" s="1548">
        <v>1.1565000000000001</v>
      </c>
      <c r="E371" s="1548">
        <v>1.1565000000000001</v>
      </c>
      <c r="F371" s="1548">
        <v>1.1565000000000001</v>
      </c>
      <c r="G371" s="1548">
        <v>1.1565000000000001</v>
      </c>
      <c r="H371" s="1548">
        <v>1.1565000000000001</v>
      </c>
      <c r="I371" s="1548">
        <v>1.1198999999999999</v>
      </c>
      <c r="J371" s="1548">
        <v>1.1198999999999999</v>
      </c>
      <c r="K371" s="1548">
        <v>1.1198999999999999</v>
      </c>
      <c r="L371" s="1548">
        <v>1.1198999999999999</v>
      </c>
      <c r="M371" s="1548">
        <v>1.1198999999999999</v>
      </c>
    </row>
    <row r="372" spans="1:14">
      <c r="A372" s="1545">
        <v>1.1000000000000001</v>
      </c>
      <c r="B372" s="1548">
        <v>1.1658999999999999</v>
      </c>
      <c r="C372" s="1548">
        <v>1.1658999999999999</v>
      </c>
      <c r="D372" s="1548">
        <v>1.1364000000000001</v>
      </c>
      <c r="E372" s="1548">
        <v>1.1364000000000001</v>
      </c>
      <c r="F372" s="1548">
        <v>1.1364000000000001</v>
      </c>
      <c r="G372" s="1548">
        <v>1.1364000000000001</v>
      </c>
      <c r="H372" s="1548">
        <v>1.1364000000000001</v>
      </c>
      <c r="I372" s="1548">
        <v>1.0931</v>
      </c>
      <c r="J372" s="1548">
        <v>1.0931</v>
      </c>
      <c r="K372" s="1548">
        <v>1.0931</v>
      </c>
      <c r="L372" s="1548">
        <v>1.0931</v>
      </c>
      <c r="M372" s="1548">
        <v>1.0931</v>
      </c>
    </row>
    <row r="373" spans="1:14">
      <c r="A373" s="1545">
        <v>1.2</v>
      </c>
      <c r="B373" s="1548">
        <v>1.1489</v>
      </c>
      <c r="C373" s="1548">
        <v>1.1489</v>
      </c>
      <c r="D373" s="1548">
        <v>1.1174999999999999</v>
      </c>
      <c r="E373" s="1548">
        <v>1.1174999999999999</v>
      </c>
      <c r="F373" s="1548">
        <v>1.1174999999999999</v>
      </c>
      <c r="G373" s="1548">
        <v>1.1174999999999999</v>
      </c>
      <c r="H373" s="1548">
        <v>1.1174999999999999</v>
      </c>
      <c r="I373" s="1548">
        <v>1.0678000000000001</v>
      </c>
      <c r="J373" s="1548">
        <v>1.0678000000000001</v>
      </c>
      <c r="K373" s="1548">
        <v>1.0678000000000001</v>
      </c>
      <c r="L373" s="1548">
        <v>1.0678000000000001</v>
      </c>
      <c r="M373" s="1548">
        <v>1.0678000000000001</v>
      </c>
    </row>
    <row r="374" spans="1:14">
      <c r="A374" s="1545">
        <v>1.3</v>
      </c>
      <c r="B374" s="1548">
        <v>1.1328</v>
      </c>
      <c r="C374" s="1548">
        <v>1.1328</v>
      </c>
      <c r="D374" s="1548">
        <v>1.0995999999999999</v>
      </c>
      <c r="E374" s="1548">
        <v>1.0995999999999999</v>
      </c>
      <c r="F374" s="1548">
        <v>1.0995999999999999</v>
      </c>
      <c r="G374" s="1548">
        <v>1.0995999999999999</v>
      </c>
      <c r="H374" s="1548">
        <v>1.0995999999999999</v>
      </c>
      <c r="I374" s="1548">
        <v>1.044</v>
      </c>
      <c r="J374" s="1548">
        <v>1.044</v>
      </c>
      <c r="K374" s="1548">
        <v>1.044</v>
      </c>
      <c r="L374" s="1548">
        <v>1.044</v>
      </c>
      <c r="M374" s="1548">
        <v>1.044</v>
      </c>
    </row>
    <row r="375" spans="1:14">
      <c r="A375" s="1545">
        <v>1.4</v>
      </c>
      <c r="B375" s="1548">
        <v>1.1175999999999999</v>
      </c>
      <c r="C375" s="1548">
        <v>1.1175999999999999</v>
      </c>
      <c r="D375" s="1548">
        <v>1.0827</v>
      </c>
      <c r="E375" s="1548">
        <v>1.0827</v>
      </c>
      <c r="F375" s="1548">
        <v>1.0827</v>
      </c>
      <c r="G375" s="1548">
        <v>1.0827</v>
      </c>
      <c r="H375" s="1548">
        <v>1.0827</v>
      </c>
      <c r="I375" s="1548">
        <v>1.0214000000000001</v>
      </c>
      <c r="J375" s="1548">
        <v>1.0214000000000001</v>
      </c>
      <c r="K375" s="1548">
        <v>1.0214000000000001</v>
      </c>
      <c r="L375" s="1548">
        <v>1.0214000000000001</v>
      </c>
      <c r="M375" s="1548">
        <v>1.0214000000000001</v>
      </c>
    </row>
    <row r="376" spans="1:14">
      <c r="A376" s="1545">
        <v>1.5</v>
      </c>
      <c r="B376" s="1548">
        <v>1.1032999999999999</v>
      </c>
      <c r="C376" s="1548">
        <v>1.1032999999999999</v>
      </c>
      <c r="D376" s="1548">
        <v>1.0668</v>
      </c>
      <c r="E376" s="1548">
        <v>1.0668</v>
      </c>
      <c r="F376" s="1548">
        <v>1.0668</v>
      </c>
      <c r="G376" s="1548">
        <v>1.0668</v>
      </c>
      <c r="H376" s="1548">
        <v>1.0668</v>
      </c>
      <c r="I376" s="1548">
        <v>1</v>
      </c>
      <c r="J376" s="1548">
        <v>1</v>
      </c>
      <c r="K376" s="1548">
        <v>1</v>
      </c>
      <c r="L376" s="1548">
        <v>1</v>
      </c>
      <c r="M376" s="1548">
        <v>1</v>
      </c>
    </row>
    <row r="377" spans="1:14">
      <c r="A377" s="1545">
        <v>1.6</v>
      </c>
      <c r="B377" s="1548">
        <v>1.0899000000000001</v>
      </c>
      <c r="C377" s="1548">
        <v>1.0899000000000001</v>
      </c>
      <c r="D377" s="1548">
        <v>1.0517000000000001</v>
      </c>
      <c r="E377" s="1548">
        <v>1.0517000000000001</v>
      </c>
      <c r="F377" s="1548">
        <v>1.0517000000000001</v>
      </c>
      <c r="G377" s="1548">
        <v>1.0517000000000001</v>
      </c>
      <c r="H377" s="1548">
        <v>1.0517000000000001</v>
      </c>
      <c r="I377" s="1548">
        <v>0.97989999999999999</v>
      </c>
      <c r="J377" s="1548">
        <v>0.97989999999999999</v>
      </c>
      <c r="K377" s="1548">
        <v>0.97989999999999999</v>
      </c>
      <c r="L377" s="1548">
        <v>0.97989999999999999</v>
      </c>
      <c r="M377" s="1548">
        <v>0.97989999999999999</v>
      </c>
    </row>
    <row r="378" spans="1:14">
      <c r="A378" s="1545">
        <v>1.7</v>
      </c>
      <c r="B378" s="1548">
        <v>1.0771999999999999</v>
      </c>
      <c r="C378" s="1548">
        <v>1.0771999999999999</v>
      </c>
      <c r="D378" s="1548">
        <v>1.0376000000000001</v>
      </c>
      <c r="E378" s="1548">
        <v>1.0376000000000001</v>
      </c>
      <c r="F378" s="1548">
        <v>1.0376000000000001</v>
      </c>
      <c r="G378" s="1548">
        <v>1.0376000000000001</v>
      </c>
      <c r="H378" s="1548">
        <v>1.0376000000000001</v>
      </c>
      <c r="I378" s="1548">
        <v>0.96089999999999998</v>
      </c>
      <c r="J378" s="1548">
        <v>0.96089999999999998</v>
      </c>
      <c r="K378" s="1548">
        <v>0.96089999999999998</v>
      </c>
      <c r="L378" s="1548">
        <v>0.96089999999999998</v>
      </c>
      <c r="M378" s="1548">
        <v>0.96089999999999998</v>
      </c>
    </row>
    <row r="379" spans="1:14">
      <c r="A379" s="1545">
        <v>1.8</v>
      </c>
      <c r="B379" s="1548">
        <v>1.0652999999999999</v>
      </c>
      <c r="C379" s="1548">
        <v>1.0652999999999999</v>
      </c>
      <c r="D379" s="1548">
        <v>1.0243</v>
      </c>
      <c r="E379" s="1548">
        <v>1.0243</v>
      </c>
      <c r="F379" s="1548">
        <v>1.0243</v>
      </c>
      <c r="G379" s="1548">
        <v>1.0243</v>
      </c>
      <c r="H379" s="1548">
        <v>1.0243</v>
      </c>
      <c r="I379" s="1548">
        <v>0.94299999999999995</v>
      </c>
      <c r="J379" s="1548">
        <v>0.94299999999999995</v>
      </c>
      <c r="K379" s="1548">
        <v>0.94299999999999995</v>
      </c>
      <c r="L379" s="1548">
        <v>0.94299999999999995</v>
      </c>
      <c r="M379" s="1548">
        <v>0.94299999999999995</v>
      </c>
    </row>
    <row r="380" spans="1:14">
      <c r="A380" s="1545">
        <v>1.9</v>
      </c>
      <c r="B380" s="1548">
        <v>1.054</v>
      </c>
      <c r="C380" s="1548">
        <v>1.054</v>
      </c>
      <c r="D380" s="1548">
        <v>1.0118</v>
      </c>
      <c r="E380" s="1548">
        <v>1.0118</v>
      </c>
      <c r="F380" s="1548">
        <v>1.0118</v>
      </c>
      <c r="G380" s="1548">
        <v>1.0118</v>
      </c>
      <c r="H380" s="1548">
        <v>1.0118</v>
      </c>
      <c r="I380" s="1548">
        <v>0.92620000000000002</v>
      </c>
      <c r="J380" s="1548">
        <v>0.92620000000000002</v>
      </c>
      <c r="K380" s="1548">
        <v>0.92620000000000002</v>
      </c>
      <c r="L380" s="1548">
        <v>0.92620000000000002</v>
      </c>
      <c r="M380" s="1548">
        <v>0.92620000000000002</v>
      </c>
    </row>
    <row r="381" spans="1:14">
      <c r="A381" s="1545">
        <v>2</v>
      </c>
      <c r="B381" s="1548">
        <v>1.0435000000000001</v>
      </c>
      <c r="C381" s="1548">
        <v>1.0435000000000001</v>
      </c>
      <c r="D381" s="1548">
        <v>1</v>
      </c>
      <c r="E381" s="1548">
        <v>1</v>
      </c>
      <c r="F381" s="1548">
        <v>1</v>
      </c>
      <c r="G381" s="1548">
        <v>1</v>
      </c>
      <c r="H381" s="1548">
        <v>1</v>
      </c>
      <c r="I381" s="1548">
        <v>0.9103</v>
      </c>
      <c r="J381" s="1548">
        <v>0.9103</v>
      </c>
      <c r="K381" s="1548">
        <v>0.9103</v>
      </c>
      <c r="L381" s="1548">
        <v>0.9103</v>
      </c>
      <c r="M381" s="1548">
        <v>0.9103</v>
      </c>
    </row>
    <row r="382" spans="1:14">
      <c r="A382" s="1545">
        <v>2.1</v>
      </c>
      <c r="B382" s="1548">
        <v>1.0336000000000001</v>
      </c>
      <c r="C382" s="1548">
        <v>1.0336000000000001</v>
      </c>
      <c r="D382" s="1548">
        <v>0.98899999999999999</v>
      </c>
      <c r="E382" s="1548">
        <v>0.98899999999999999</v>
      </c>
      <c r="F382" s="1548">
        <v>0.98899999999999999</v>
      </c>
      <c r="G382" s="1548">
        <v>0.98899999999999999</v>
      </c>
      <c r="H382" s="1548">
        <v>0.98899999999999999</v>
      </c>
      <c r="I382" s="1548">
        <v>0.89539999999999997</v>
      </c>
      <c r="J382" s="1548">
        <v>0.89539999999999997</v>
      </c>
      <c r="K382" s="1548">
        <v>0.89539999999999997</v>
      </c>
      <c r="L382" s="1548">
        <v>0.89539999999999997</v>
      </c>
      <c r="M382" s="1548">
        <v>0.89539999999999997</v>
      </c>
    </row>
    <row r="383" spans="1:14">
      <c r="A383" s="1545">
        <v>2.2000000000000002</v>
      </c>
      <c r="B383" s="1548">
        <v>1.0243</v>
      </c>
      <c r="C383" s="1548">
        <v>1.0243</v>
      </c>
      <c r="D383" s="1548">
        <v>0.97860000000000003</v>
      </c>
      <c r="E383" s="1548">
        <v>0.97860000000000003</v>
      </c>
      <c r="F383" s="1548">
        <v>0.97860000000000003</v>
      </c>
      <c r="G383" s="1548">
        <v>0.97860000000000003</v>
      </c>
      <c r="H383" s="1548">
        <v>0.97860000000000003</v>
      </c>
      <c r="I383" s="1548">
        <v>0.88139999999999996</v>
      </c>
      <c r="J383" s="1548">
        <v>0.88139999999999996</v>
      </c>
      <c r="K383" s="1548">
        <v>0.88139999999999996</v>
      </c>
      <c r="L383" s="1548">
        <v>0.88139999999999996</v>
      </c>
      <c r="M383" s="1548">
        <v>0.88139999999999996</v>
      </c>
    </row>
    <row r="384" spans="1:14">
      <c r="A384" s="1545">
        <v>2.2999999999999998</v>
      </c>
      <c r="B384" s="1548">
        <v>1.0157</v>
      </c>
      <c r="C384" s="1548">
        <v>1.0157</v>
      </c>
      <c r="D384" s="1548">
        <v>0.96889999999999998</v>
      </c>
      <c r="E384" s="1548">
        <v>0.96889999999999998</v>
      </c>
      <c r="F384" s="1548">
        <v>0.96889999999999998</v>
      </c>
      <c r="G384" s="1548">
        <v>0.96889999999999998</v>
      </c>
      <c r="H384" s="1548">
        <v>0.96889999999999998</v>
      </c>
      <c r="I384" s="1548">
        <v>0.86819999999999997</v>
      </c>
      <c r="J384" s="1548">
        <v>0.86819999999999997</v>
      </c>
      <c r="K384" s="1548">
        <v>0.86819999999999997</v>
      </c>
      <c r="L384" s="1548">
        <v>0.86819999999999997</v>
      </c>
      <c r="M384" s="1548">
        <v>0.86819999999999997</v>
      </c>
    </row>
    <row r="385" spans="1:13">
      <c r="A385" s="1545">
        <v>2.4</v>
      </c>
      <c r="B385" s="1548">
        <v>1.0076000000000001</v>
      </c>
      <c r="C385" s="1548">
        <v>1.0076000000000001</v>
      </c>
      <c r="D385" s="1548">
        <v>0.95979999999999999</v>
      </c>
      <c r="E385" s="1548">
        <v>0.95979999999999999</v>
      </c>
      <c r="F385" s="1548">
        <v>0.95979999999999999</v>
      </c>
      <c r="G385" s="1548">
        <v>0.95979999999999999</v>
      </c>
      <c r="H385" s="1548">
        <v>0.95979999999999999</v>
      </c>
      <c r="I385" s="1548">
        <v>0.85580000000000001</v>
      </c>
      <c r="J385" s="1548">
        <v>0.85580000000000001</v>
      </c>
      <c r="K385" s="1548">
        <v>0.85580000000000001</v>
      </c>
      <c r="L385" s="1548">
        <v>0.85580000000000001</v>
      </c>
      <c r="M385" s="1548">
        <v>0.85580000000000001</v>
      </c>
    </row>
    <row r="386" spans="1:13">
      <c r="A386" s="1545">
        <v>2.5</v>
      </c>
      <c r="B386" s="1548">
        <v>1</v>
      </c>
      <c r="C386" s="1548">
        <v>1</v>
      </c>
      <c r="D386" s="1548">
        <v>0.95120000000000005</v>
      </c>
      <c r="E386" s="1548">
        <v>0.95120000000000005</v>
      </c>
      <c r="F386" s="1548">
        <v>0.95120000000000005</v>
      </c>
      <c r="G386" s="1548">
        <v>0.95120000000000005</v>
      </c>
      <c r="H386" s="1548">
        <v>0.95120000000000005</v>
      </c>
      <c r="I386" s="1548">
        <v>0.84419999999999995</v>
      </c>
      <c r="J386" s="1548">
        <v>0.84419999999999995</v>
      </c>
      <c r="K386" s="1548">
        <v>0.84419999999999995</v>
      </c>
      <c r="L386" s="1548">
        <v>0.84419999999999995</v>
      </c>
      <c r="M386" s="1548">
        <v>0.84419999999999995</v>
      </c>
    </row>
    <row r="387" spans="1:13">
      <c r="A387" s="1545">
        <v>2.6</v>
      </c>
      <c r="B387" s="1548">
        <v>0.9929</v>
      </c>
      <c r="C387" s="1548">
        <v>0.9929</v>
      </c>
      <c r="D387" s="1548">
        <v>0.94320000000000004</v>
      </c>
      <c r="E387" s="1548">
        <v>0.94320000000000004</v>
      </c>
      <c r="F387" s="1548">
        <v>0.94320000000000004</v>
      </c>
      <c r="G387" s="1548">
        <v>0.94320000000000004</v>
      </c>
      <c r="H387" s="1548">
        <v>0.94320000000000004</v>
      </c>
      <c r="I387" s="1548">
        <v>0.83330000000000004</v>
      </c>
      <c r="J387" s="1548">
        <v>0.83330000000000004</v>
      </c>
      <c r="K387" s="1548">
        <v>0.83330000000000004</v>
      </c>
      <c r="L387" s="1548">
        <v>0.83330000000000004</v>
      </c>
      <c r="M387" s="1548">
        <v>0.83330000000000004</v>
      </c>
    </row>
    <row r="388" spans="1:13">
      <c r="A388" s="1545">
        <v>2.7</v>
      </c>
      <c r="B388" s="1548">
        <v>0.98629999999999995</v>
      </c>
      <c r="C388" s="1548">
        <v>0.98629999999999995</v>
      </c>
      <c r="D388" s="1548">
        <v>0.93569999999999998</v>
      </c>
      <c r="E388" s="1548">
        <v>0.93569999999999998</v>
      </c>
      <c r="F388" s="1548">
        <v>0.93569999999999998</v>
      </c>
      <c r="G388" s="1548">
        <v>0.93569999999999998</v>
      </c>
      <c r="H388" s="1548">
        <v>0.93569999999999998</v>
      </c>
      <c r="I388" s="1548">
        <v>0.82320000000000004</v>
      </c>
      <c r="J388" s="1548">
        <v>0.82320000000000004</v>
      </c>
      <c r="K388" s="1548">
        <v>0.82320000000000004</v>
      </c>
      <c r="L388" s="1548">
        <v>0.82320000000000004</v>
      </c>
      <c r="M388" s="1548">
        <v>0.82320000000000004</v>
      </c>
    </row>
    <row r="389" spans="1:13">
      <c r="A389" s="1545">
        <v>2.8</v>
      </c>
      <c r="B389" s="1548">
        <v>0.98009999999999997</v>
      </c>
      <c r="C389" s="1548">
        <v>0.98009999999999997</v>
      </c>
      <c r="D389" s="1548">
        <v>0.92879999999999996</v>
      </c>
      <c r="E389" s="1548">
        <v>0.92879999999999996</v>
      </c>
      <c r="F389" s="1548">
        <v>0.92879999999999996</v>
      </c>
      <c r="G389" s="1548">
        <v>0.92879999999999996</v>
      </c>
      <c r="H389" s="1548">
        <v>0.92879999999999996</v>
      </c>
      <c r="I389" s="1548">
        <v>0.81359999999999999</v>
      </c>
      <c r="J389" s="1548">
        <v>0.81359999999999999</v>
      </c>
      <c r="K389" s="1548">
        <v>0.81359999999999999</v>
      </c>
      <c r="L389" s="1548">
        <v>0.81359999999999999</v>
      </c>
      <c r="M389" s="1548">
        <v>0.81359999999999999</v>
      </c>
    </row>
    <row r="390" spans="1:13">
      <c r="A390" s="1545">
        <v>2.9</v>
      </c>
      <c r="B390" s="1548">
        <v>0.97430000000000005</v>
      </c>
      <c r="C390" s="1548">
        <v>0.97430000000000005</v>
      </c>
      <c r="D390" s="1548">
        <v>0.92220000000000002</v>
      </c>
      <c r="E390" s="1548">
        <v>0.92220000000000002</v>
      </c>
      <c r="F390" s="1548">
        <v>0.92220000000000002</v>
      </c>
      <c r="G390" s="1548">
        <v>0.92220000000000002</v>
      </c>
      <c r="H390" s="1548">
        <v>0.92220000000000002</v>
      </c>
      <c r="I390" s="1548">
        <v>0.80459999999999998</v>
      </c>
      <c r="J390" s="1548">
        <v>0.80459999999999998</v>
      </c>
      <c r="K390" s="1548">
        <v>0.80459999999999998</v>
      </c>
      <c r="L390" s="1548">
        <v>0.80459999999999998</v>
      </c>
      <c r="M390" s="1548">
        <v>0.80459999999999998</v>
      </c>
    </row>
    <row r="391" spans="1:13">
      <c r="A391" s="1545">
        <v>3</v>
      </c>
      <c r="B391" s="1548">
        <v>0.96889999999999998</v>
      </c>
      <c r="C391" s="1548">
        <v>0.96889999999999998</v>
      </c>
      <c r="D391" s="1548">
        <v>0.91610000000000003</v>
      </c>
      <c r="E391" s="1548">
        <v>0.91610000000000003</v>
      </c>
      <c r="F391" s="1548">
        <v>0.91610000000000003</v>
      </c>
      <c r="G391" s="1548">
        <v>0.91610000000000003</v>
      </c>
      <c r="H391" s="1548">
        <v>0.91610000000000003</v>
      </c>
      <c r="I391" s="1548">
        <v>0.79620000000000002</v>
      </c>
      <c r="J391" s="1548">
        <v>0.79620000000000002</v>
      </c>
      <c r="K391" s="1548">
        <v>0.79620000000000002</v>
      </c>
      <c r="L391" s="1548">
        <v>0.79620000000000002</v>
      </c>
      <c r="M391" s="1548">
        <v>0.79620000000000002</v>
      </c>
    </row>
    <row r="392" spans="1:13">
      <c r="A392" s="1545">
        <v>3.1</v>
      </c>
      <c r="B392" s="1548">
        <v>0.96389999999999998</v>
      </c>
      <c r="C392" s="1548">
        <v>0.96389999999999998</v>
      </c>
      <c r="D392" s="1548">
        <v>0.91039999999999999</v>
      </c>
      <c r="E392" s="1548">
        <v>0.91039999999999999</v>
      </c>
      <c r="F392" s="1548">
        <v>0.91039999999999999</v>
      </c>
      <c r="G392" s="1548">
        <v>0.91039999999999999</v>
      </c>
      <c r="H392" s="1548">
        <v>0.91039999999999999</v>
      </c>
      <c r="I392" s="1548">
        <v>0.7883</v>
      </c>
      <c r="J392" s="1548">
        <v>0.7883</v>
      </c>
      <c r="K392" s="1548">
        <v>0.7883</v>
      </c>
      <c r="L392" s="1548">
        <v>0.7883</v>
      </c>
      <c r="M392" s="1548">
        <v>0.7883</v>
      </c>
    </row>
    <row r="393" spans="1:13">
      <c r="A393" s="1545">
        <v>3.2</v>
      </c>
      <c r="B393" s="1548">
        <v>0.95930000000000004</v>
      </c>
      <c r="C393" s="1548">
        <v>0.95930000000000004</v>
      </c>
      <c r="D393" s="1548">
        <v>0.9052</v>
      </c>
      <c r="E393" s="1548">
        <v>0.9052</v>
      </c>
      <c r="F393" s="1548">
        <v>0.9052</v>
      </c>
      <c r="G393" s="1548">
        <v>0.9052</v>
      </c>
      <c r="H393" s="1548">
        <v>0.9052</v>
      </c>
      <c r="I393" s="1548">
        <v>0.78090000000000004</v>
      </c>
      <c r="J393" s="1548">
        <v>0.78090000000000004</v>
      </c>
      <c r="K393" s="1548">
        <v>0.78090000000000004</v>
      </c>
      <c r="L393" s="1548">
        <v>0.78090000000000004</v>
      </c>
      <c r="M393" s="1548">
        <v>0.78090000000000004</v>
      </c>
    </row>
    <row r="394" spans="1:13">
      <c r="A394" s="1545">
        <v>3.3</v>
      </c>
      <c r="B394" s="1548">
        <v>0.95489999999999997</v>
      </c>
      <c r="C394" s="1548">
        <v>0.95489999999999997</v>
      </c>
      <c r="D394" s="1548">
        <v>0.9002</v>
      </c>
      <c r="E394" s="1548">
        <v>0.9002</v>
      </c>
      <c r="F394" s="1548">
        <v>0.9002</v>
      </c>
      <c r="G394" s="1548">
        <v>0.9002</v>
      </c>
      <c r="H394" s="1548">
        <v>0.9002</v>
      </c>
      <c r="I394" s="1548">
        <v>0.77410000000000001</v>
      </c>
      <c r="J394" s="1548">
        <v>0.77410000000000001</v>
      </c>
      <c r="K394" s="1548">
        <v>0.77410000000000001</v>
      </c>
      <c r="L394" s="1548">
        <v>0.77410000000000001</v>
      </c>
      <c r="M394" s="1548">
        <v>0.77410000000000001</v>
      </c>
    </row>
    <row r="395" spans="1:13">
      <c r="A395" s="1545">
        <v>3.4</v>
      </c>
      <c r="B395" s="1548">
        <v>0.95089999999999997</v>
      </c>
      <c r="C395" s="1548">
        <v>0.95089999999999997</v>
      </c>
      <c r="D395" s="1548">
        <v>0.89559999999999995</v>
      </c>
      <c r="E395" s="1548">
        <v>0.89559999999999995</v>
      </c>
      <c r="F395" s="1548">
        <v>0.89559999999999995</v>
      </c>
      <c r="G395" s="1548">
        <v>0.89559999999999995</v>
      </c>
      <c r="H395" s="1548">
        <v>0.89559999999999995</v>
      </c>
      <c r="I395" s="1548">
        <v>0.76759999999999995</v>
      </c>
      <c r="J395" s="1548">
        <v>0.76759999999999995</v>
      </c>
      <c r="K395" s="1548">
        <v>0.76759999999999995</v>
      </c>
      <c r="L395" s="1548">
        <v>0.76759999999999995</v>
      </c>
      <c r="M395" s="1548">
        <v>0.76759999999999995</v>
      </c>
    </row>
    <row r="396" spans="1:13">
      <c r="A396" s="1545">
        <v>3.5</v>
      </c>
      <c r="B396" s="1548">
        <v>0.94710000000000005</v>
      </c>
      <c r="C396" s="1548">
        <v>0.94710000000000005</v>
      </c>
      <c r="D396" s="1548">
        <v>0.89129999999999998</v>
      </c>
      <c r="E396" s="1548">
        <v>0.89129999999999998</v>
      </c>
      <c r="F396" s="1548">
        <v>0.89129999999999998</v>
      </c>
      <c r="G396" s="1548">
        <v>0.89129999999999998</v>
      </c>
      <c r="H396" s="1548">
        <v>0.89129999999999998</v>
      </c>
      <c r="I396" s="1548">
        <v>0.76160000000000005</v>
      </c>
      <c r="J396" s="1548">
        <v>0.76160000000000005</v>
      </c>
      <c r="K396" s="1548">
        <v>0.76160000000000005</v>
      </c>
      <c r="L396" s="1548">
        <v>0.76160000000000005</v>
      </c>
      <c r="M396" s="1548">
        <v>0.76160000000000005</v>
      </c>
    </row>
    <row r="397" spans="1:13">
      <c r="A397" s="1545">
        <v>3.6</v>
      </c>
      <c r="B397" s="1548">
        <v>0.94359999999999999</v>
      </c>
      <c r="C397" s="1548">
        <v>0.94359999999999999</v>
      </c>
      <c r="D397" s="1548">
        <v>0.88729999999999998</v>
      </c>
      <c r="E397" s="1548">
        <v>0.88729999999999998</v>
      </c>
      <c r="F397" s="1548">
        <v>0.88729999999999998</v>
      </c>
      <c r="G397" s="1548">
        <v>0.88729999999999998</v>
      </c>
      <c r="H397" s="1548">
        <v>0.88729999999999998</v>
      </c>
      <c r="I397" s="1548">
        <v>0.75590000000000002</v>
      </c>
      <c r="J397" s="1548">
        <v>0.75590000000000002</v>
      </c>
      <c r="K397" s="1548">
        <v>0.75590000000000002</v>
      </c>
      <c r="L397" s="1548">
        <v>0.75590000000000002</v>
      </c>
      <c r="M397" s="1548">
        <v>0.75590000000000002</v>
      </c>
    </row>
    <row r="398" spans="1:13">
      <c r="A398" s="1549">
        <v>3.7</v>
      </c>
      <c r="B398" s="1548">
        <v>0.94040000000000001</v>
      </c>
      <c r="C398" s="1548">
        <v>0.94040000000000001</v>
      </c>
      <c r="D398" s="1548">
        <v>0.88349999999999995</v>
      </c>
      <c r="E398" s="1548">
        <v>0.88349999999999995</v>
      </c>
      <c r="F398" s="1548">
        <v>0.88349999999999995</v>
      </c>
      <c r="G398" s="1548">
        <v>0.88349999999999995</v>
      </c>
      <c r="H398" s="1548">
        <v>0.88349999999999995</v>
      </c>
      <c r="I398" s="1548">
        <v>0.75070000000000003</v>
      </c>
      <c r="J398" s="1548">
        <v>0.75070000000000003</v>
      </c>
      <c r="K398" s="1548">
        <v>0.75070000000000003</v>
      </c>
      <c r="L398" s="1548">
        <v>0.75070000000000003</v>
      </c>
      <c r="M398" s="1548">
        <v>0.75070000000000003</v>
      </c>
    </row>
    <row r="399" spans="1:13">
      <c r="A399" s="1549">
        <v>3.8</v>
      </c>
      <c r="B399" s="1548">
        <v>0.93740000000000001</v>
      </c>
      <c r="C399" s="1548">
        <v>0.93740000000000001</v>
      </c>
      <c r="D399" s="1548">
        <v>0.88009999999999999</v>
      </c>
      <c r="E399" s="1548">
        <v>0.88009999999999999</v>
      </c>
      <c r="F399" s="1548">
        <v>0.88009999999999999</v>
      </c>
      <c r="G399" s="1548">
        <v>0.88009999999999999</v>
      </c>
      <c r="H399" s="1548">
        <v>0.88009999999999999</v>
      </c>
      <c r="I399" s="1548">
        <v>0.74570000000000003</v>
      </c>
      <c r="J399" s="1548">
        <v>0.74570000000000003</v>
      </c>
      <c r="K399" s="1548">
        <v>0.74570000000000003</v>
      </c>
      <c r="L399" s="1548">
        <v>0.74570000000000003</v>
      </c>
      <c r="M399" s="1548">
        <v>0.74570000000000003</v>
      </c>
    </row>
    <row r="400" spans="1:13">
      <c r="A400" s="1549">
        <v>3.9</v>
      </c>
      <c r="B400" s="1548">
        <v>0.93459999999999999</v>
      </c>
      <c r="C400" s="1548">
        <v>0.93459999999999999</v>
      </c>
      <c r="D400" s="1548">
        <v>0.87680000000000002</v>
      </c>
      <c r="E400" s="1548">
        <v>0.87680000000000002</v>
      </c>
      <c r="F400" s="1548">
        <v>0.87680000000000002</v>
      </c>
      <c r="G400" s="1548">
        <v>0.87680000000000002</v>
      </c>
      <c r="H400" s="1548">
        <v>0.87680000000000002</v>
      </c>
      <c r="I400" s="1548">
        <v>0.74109999999999998</v>
      </c>
      <c r="J400" s="1548">
        <v>0.74109999999999998</v>
      </c>
      <c r="K400" s="1548">
        <v>0.74109999999999998</v>
      </c>
      <c r="L400" s="1548">
        <v>0.74109999999999998</v>
      </c>
      <c r="M400" s="1548">
        <v>0.74109999999999998</v>
      </c>
    </row>
    <row r="401" spans="1:13">
      <c r="A401" s="1549">
        <v>4</v>
      </c>
      <c r="B401" s="1548">
        <v>0.93179999999999996</v>
      </c>
      <c r="C401" s="1548">
        <v>0.93179999999999996</v>
      </c>
      <c r="D401" s="1548">
        <v>0.87380000000000002</v>
      </c>
      <c r="E401" s="1548">
        <v>0.87380000000000002</v>
      </c>
      <c r="F401" s="1548">
        <v>0.87380000000000002</v>
      </c>
      <c r="G401" s="1548">
        <v>0.87380000000000002</v>
      </c>
      <c r="H401" s="1548">
        <v>0.87380000000000002</v>
      </c>
      <c r="I401" s="1548">
        <v>0.73680000000000001</v>
      </c>
      <c r="J401" s="1548">
        <v>0.73680000000000001</v>
      </c>
      <c r="K401" s="1548">
        <v>0.73680000000000001</v>
      </c>
      <c r="L401" s="1548">
        <v>0.73680000000000001</v>
      </c>
      <c r="M401" s="1548">
        <v>0.73680000000000001</v>
      </c>
    </row>
    <row r="402" spans="1:13">
      <c r="A402" s="1549">
        <v>4.0999999999999996</v>
      </c>
      <c r="B402" s="1548">
        <v>0.92920000000000003</v>
      </c>
      <c r="C402" s="1548">
        <v>0.92920000000000003</v>
      </c>
      <c r="D402" s="1548">
        <v>0.87090000000000001</v>
      </c>
      <c r="E402" s="1548">
        <v>0.87090000000000001</v>
      </c>
      <c r="F402" s="1548">
        <v>0.87090000000000001</v>
      </c>
      <c r="G402" s="1548">
        <v>0.87090000000000001</v>
      </c>
      <c r="H402" s="1548">
        <v>0.87090000000000001</v>
      </c>
      <c r="I402" s="1548">
        <v>0.73270000000000002</v>
      </c>
      <c r="J402" s="1548">
        <v>0.73270000000000002</v>
      </c>
      <c r="K402" s="1548">
        <v>0.73270000000000002</v>
      </c>
      <c r="L402" s="1548">
        <v>0.73270000000000002</v>
      </c>
      <c r="M402" s="1548">
        <v>0.73270000000000002</v>
      </c>
    </row>
    <row r="403" spans="1:13">
      <c r="A403" s="1549">
        <v>4.2</v>
      </c>
      <c r="B403" s="1548">
        <v>0.92659999999999998</v>
      </c>
      <c r="C403" s="1548">
        <v>0.92659999999999998</v>
      </c>
      <c r="D403" s="1548">
        <v>0.86819999999999997</v>
      </c>
      <c r="E403" s="1548">
        <v>0.86819999999999997</v>
      </c>
      <c r="F403" s="1548">
        <v>0.86819999999999997</v>
      </c>
      <c r="G403" s="1548">
        <v>0.86819999999999997</v>
      </c>
      <c r="H403" s="1548">
        <v>0.86819999999999997</v>
      </c>
      <c r="I403" s="1548">
        <v>0.7288</v>
      </c>
      <c r="J403" s="1548">
        <v>0.7288</v>
      </c>
      <c r="K403" s="1548">
        <v>0.7288</v>
      </c>
      <c r="L403" s="1548">
        <v>0.7288</v>
      </c>
      <c r="M403" s="1548">
        <v>0.7288</v>
      </c>
    </row>
    <row r="404" spans="1:13">
      <c r="A404" s="1549">
        <v>4.3</v>
      </c>
      <c r="B404" s="1548">
        <v>0.92410000000000003</v>
      </c>
      <c r="C404" s="1548">
        <v>0.92410000000000003</v>
      </c>
      <c r="D404" s="1548">
        <v>0.86550000000000005</v>
      </c>
      <c r="E404" s="1548">
        <v>0.86550000000000005</v>
      </c>
      <c r="F404" s="1548">
        <v>0.86550000000000005</v>
      </c>
      <c r="G404" s="1548">
        <v>0.86550000000000005</v>
      </c>
      <c r="H404" s="1548">
        <v>0.86550000000000005</v>
      </c>
      <c r="I404" s="1548">
        <v>0.72509999999999997</v>
      </c>
      <c r="J404" s="1548">
        <v>0.72509999999999997</v>
      </c>
      <c r="K404" s="1548">
        <v>0.72509999999999997</v>
      </c>
      <c r="L404" s="1548">
        <v>0.72509999999999997</v>
      </c>
      <c r="M404" s="1548">
        <v>0.72509999999999997</v>
      </c>
    </row>
    <row r="405" spans="1:13">
      <c r="A405" s="1549">
        <v>4.4000000000000004</v>
      </c>
      <c r="B405" s="1548">
        <v>0.92179999999999995</v>
      </c>
      <c r="C405" s="1548">
        <v>0.92179999999999995</v>
      </c>
      <c r="D405" s="1548">
        <v>0.8629</v>
      </c>
      <c r="E405" s="1548">
        <v>0.8629</v>
      </c>
      <c r="F405" s="1548">
        <v>0.8629</v>
      </c>
      <c r="G405" s="1548">
        <v>0.8629</v>
      </c>
      <c r="H405" s="1548">
        <v>0.8629</v>
      </c>
      <c r="I405" s="1548">
        <v>0.72150000000000003</v>
      </c>
      <c r="J405" s="1548">
        <v>0.72150000000000003</v>
      </c>
      <c r="K405" s="1548">
        <v>0.72150000000000003</v>
      </c>
      <c r="L405" s="1548">
        <v>0.72150000000000003</v>
      </c>
      <c r="M405" s="1548">
        <v>0.72150000000000003</v>
      </c>
    </row>
    <row r="406" spans="1:13">
      <c r="A406" s="1549">
        <v>4.5</v>
      </c>
      <c r="B406" s="1548">
        <v>0.91949999999999998</v>
      </c>
      <c r="C406" s="1548">
        <v>0.91949999999999998</v>
      </c>
      <c r="D406" s="1548">
        <v>0.86050000000000004</v>
      </c>
      <c r="E406" s="1548">
        <v>0.86050000000000004</v>
      </c>
      <c r="F406" s="1548">
        <v>0.86050000000000004</v>
      </c>
      <c r="G406" s="1548">
        <v>0.86050000000000004</v>
      </c>
      <c r="H406" s="1548">
        <v>0.86050000000000004</v>
      </c>
      <c r="I406" s="1548">
        <v>0.71819999999999995</v>
      </c>
      <c r="J406" s="1548">
        <v>0.71819999999999995</v>
      </c>
      <c r="K406" s="1548">
        <v>0.71819999999999995</v>
      </c>
      <c r="L406" s="1548">
        <v>0.71819999999999995</v>
      </c>
      <c r="M406" s="1548">
        <v>0.71819999999999995</v>
      </c>
    </row>
    <row r="407" spans="1:13">
      <c r="A407" s="1549">
        <v>4.5999999999999996</v>
      </c>
      <c r="B407" s="1548">
        <v>0.9173</v>
      </c>
      <c r="C407" s="1548">
        <v>0.9173</v>
      </c>
      <c r="D407" s="1548">
        <v>0.85809999999999997</v>
      </c>
      <c r="E407" s="1548">
        <v>0.85809999999999997</v>
      </c>
      <c r="F407" s="1548">
        <v>0.85809999999999997</v>
      </c>
      <c r="G407" s="1548">
        <v>0.85809999999999997</v>
      </c>
      <c r="H407" s="1548">
        <v>0.85809999999999997</v>
      </c>
      <c r="I407" s="1548">
        <v>0.71499999999999997</v>
      </c>
      <c r="J407" s="1548">
        <v>0.71499999999999997</v>
      </c>
      <c r="K407" s="1548">
        <v>0.71499999999999997</v>
      </c>
      <c r="L407" s="1548">
        <v>0.71499999999999997</v>
      </c>
      <c r="M407" s="1548">
        <v>0.71499999999999997</v>
      </c>
    </row>
    <row r="408" spans="1:13">
      <c r="A408" s="1549">
        <v>4.7</v>
      </c>
      <c r="B408" s="1548">
        <v>0.91520000000000001</v>
      </c>
      <c r="C408" s="1548">
        <v>0.91520000000000001</v>
      </c>
      <c r="D408" s="1548">
        <v>0.85570000000000002</v>
      </c>
      <c r="E408" s="1548">
        <v>0.85570000000000002</v>
      </c>
      <c r="F408" s="1548">
        <v>0.85570000000000002</v>
      </c>
      <c r="G408" s="1548">
        <v>0.85570000000000002</v>
      </c>
      <c r="H408" s="1548">
        <v>0.85570000000000002</v>
      </c>
      <c r="I408" s="1548">
        <v>0.71199999999999997</v>
      </c>
      <c r="J408" s="1548">
        <v>0.71199999999999997</v>
      </c>
      <c r="K408" s="1548">
        <v>0.71199999999999997</v>
      </c>
      <c r="L408" s="1548">
        <v>0.71199999999999997</v>
      </c>
      <c r="M408" s="1548">
        <v>0.71199999999999997</v>
      </c>
    </row>
    <row r="409" spans="1:13">
      <c r="A409" s="1549">
        <v>4.8</v>
      </c>
      <c r="B409" s="1548">
        <v>0.91310000000000002</v>
      </c>
      <c r="C409" s="1548">
        <v>0.91310000000000002</v>
      </c>
      <c r="D409" s="1548">
        <v>0.85340000000000005</v>
      </c>
      <c r="E409" s="1548">
        <v>0.85340000000000005</v>
      </c>
      <c r="F409" s="1548">
        <v>0.85340000000000005</v>
      </c>
      <c r="G409" s="1548">
        <v>0.85340000000000005</v>
      </c>
      <c r="H409" s="1548">
        <v>0.85340000000000005</v>
      </c>
      <c r="I409" s="1548">
        <v>0.70909999999999995</v>
      </c>
      <c r="J409" s="1548">
        <v>0.70909999999999995</v>
      </c>
      <c r="K409" s="1548">
        <v>0.70909999999999995</v>
      </c>
      <c r="L409" s="1548">
        <v>0.70909999999999995</v>
      </c>
      <c r="M409" s="1548">
        <v>0.70909999999999995</v>
      </c>
    </row>
    <row r="410" spans="1:13">
      <c r="A410" s="1549">
        <v>4.9000000000000004</v>
      </c>
      <c r="B410" s="1548">
        <v>0.91120000000000001</v>
      </c>
      <c r="C410" s="1548">
        <v>0.91120000000000001</v>
      </c>
      <c r="D410" s="1548">
        <v>0.85109999999999997</v>
      </c>
      <c r="E410" s="1548">
        <v>0.85109999999999997</v>
      </c>
      <c r="F410" s="1548">
        <v>0.85109999999999997</v>
      </c>
      <c r="G410" s="1548">
        <v>0.85109999999999997</v>
      </c>
      <c r="H410" s="1548">
        <v>0.85109999999999997</v>
      </c>
      <c r="I410" s="1548">
        <v>0.70620000000000005</v>
      </c>
      <c r="J410" s="1548">
        <v>0.70620000000000005</v>
      </c>
      <c r="K410" s="1548">
        <v>0.70620000000000005</v>
      </c>
      <c r="L410" s="1548">
        <v>0.70620000000000005</v>
      </c>
      <c r="M410" s="1548">
        <v>0.70620000000000005</v>
      </c>
    </row>
    <row r="411" spans="1:13">
      <c r="A411" s="1549">
        <v>5</v>
      </c>
      <c r="B411" s="1548">
        <v>0.90920000000000001</v>
      </c>
      <c r="C411" s="1548">
        <v>0.90920000000000001</v>
      </c>
      <c r="D411" s="1548">
        <v>0.84889999999999999</v>
      </c>
      <c r="E411" s="1548">
        <v>0.84889999999999999</v>
      </c>
      <c r="F411" s="1548">
        <v>0.84889999999999999</v>
      </c>
      <c r="G411" s="1548">
        <v>0.84889999999999999</v>
      </c>
      <c r="H411" s="1548">
        <v>0.84889999999999999</v>
      </c>
      <c r="I411" s="1548">
        <v>0.70350000000000001</v>
      </c>
      <c r="J411" s="1548">
        <v>0.70350000000000001</v>
      </c>
      <c r="K411" s="1548">
        <v>0.70350000000000001</v>
      </c>
      <c r="L411" s="1548">
        <v>0.70350000000000001</v>
      </c>
      <c r="M411" s="1548">
        <v>0.70350000000000001</v>
      </c>
    </row>
    <row r="412" spans="1:13">
      <c r="A412" s="1549">
        <v>5.0999999999999996</v>
      </c>
      <c r="B412" s="1548">
        <v>0.90720000000000001</v>
      </c>
      <c r="C412" s="1548">
        <v>0.90720000000000001</v>
      </c>
      <c r="D412" s="1548">
        <v>0.84670000000000001</v>
      </c>
      <c r="E412" s="1548">
        <v>0.84670000000000001</v>
      </c>
      <c r="F412" s="1548">
        <v>0.84670000000000001</v>
      </c>
      <c r="G412" s="1548">
        <v>0.84670000000000001</v>
      </c>
      <c r="H412" s="1548">
        <v>0.84670000000000001</v>
      </c>
      <c r="I412" s="1548">
        <v>0.70089999999999997</v>
      </c>
      <c r="J412" s="1548">
        <v>0.70089999999999997</v>
      </c>
      <c r="K412" s="1548">
        <v>0.70089999999999997</v>
      </c>
      <c r="L412" s="1548">
        <v>0.70089999999999997</v>
      </c>
      <c r="M412" s="1548">
        <v>0.70089999999999997</v>
      </c>
    </row>
    <row r="413" spans="1:13">
      <c r="A413" s="1549">
        <v>5.2</v>
      </c>
      <c r="B413" s="1548">
        <v>0.90529999999999999</v>
      </c>
      <c r="C413" s="1548">
        <v>0.90529999999999999</v>
      </c>
      <c r="D413" s="1548">
        <v>0.84450000000000003</v>
      </c>
      <c r="E413" s="1548">
        <v>0.84450000000000003</v>
      </c>
      <c r="F413" s="1548">
        <v>0.84450000000000003</v>
      </c>
      <c r="G413" s="1548">
        <v>0.84450000000000003</v>
      </c>
      <c r="H413" s="1548">
        <v>0.84450000000000003</v>
      </c>
      <c r="I413" s="1548">
        <v>0.69820000000000004</v>
      </c>
      <c r="J413" s="1548">
        <v>0.69820000000000004</v>
      </c>
      <c r="K413" s="1548">
        <v>0.69820000000000004</v>
      </c>
      <c r="L413" s="1548">
        <v>0.69820000000000004</v>
      </c>
      <c r="M413" s="1548">
        <v>0.69820000000000004</v>
      </c>
    </row>
    <row r="414" spans="1:13">
      <c r="A414" s="1549">
        <v>5.3</v>
      </c>
      <c r="B414" s="1548">
        <v>0.90339999999999998</v>
      </c>
      <c r="C414" s="1548">
        <v>0.90339999999999998</v>
      </c>
      <c r="D414" s="1548">
        <v>0.84230000000000005</v>
      </c>
      <c r="E414" s="1548">
        <v>0.84230000000000005</v>
      </c>
      <c r="F414" s="1548">
        <v>0.84230000000000005</v>
      </c>
      <c r="G414" s="1548">
        <v>0.84230000000000005</v>
      </c>
      <c r="H414" s="1548">
        <v>0.84230000000000005</v>
      </c>
      <c r="I414" s="1548">
        <v>0.69569999999999999</v>
      </c>
      <c r="J414" s="1548">
        <v>0.69569999999999999</v>
      </c>
      <c r="K414" s="1548">
        <v>0.69569999999999999</v>
      </c>
      <c r="L414" s="1548">
        <v>0.69569999999999999</v>
      </c>
      <c r="M414" s="1548">
        <v>0.69569999999999999</v>
      </c>
    </row>
    <row r="415" spans="1:13">
      <c r="A415" s="1549">
        <v>5.4</v>
      </c>
      <c r="B415" s="1548">
        <v>0.90149999999999997</v>
      </c>
      <c r="C415" s="1548">
        <v>0.90149999999999997</v>
      </c>
      <c r="D415" s="1548">
        <v>0.84019999999999995</v>
      </c>
      <c r="E415" s="1548">
        <v>0.84019999999999995</v>
      </c>
      <c r="F415" s="1548">
        <v>0.84019999999999995</v>
      </c>
      <c r="G415" s="1548">
        <v>0.84019999999999995</v>
      </c>
      <c r="H415" s="1548">
        <v>0.84019999999999995</v>
      </c>
      <c r="I415" s="1548">
        <v>0.69310000000000005</v>
      </c>
      <c r="J415" s="1548">
        <v>0.69310000000000005</v>
      </c>
      <c r="K415" s="1548">
        <v>0.69310000000000005</v>
      </c>
      <c r="L415" s="1548">
        <v>0.69310000000000005</v>
      </c>
      <c r="M415" s="1548">
        <v>0.69310000000000005</v>
      </c>
    </row>
    <row r="416" spans="1:13">
      <c r="A416" s="1549">
        <v>5.5</v>
      </c>
      <c r="B416" s="1548">
        <v>0.89959999999999996</v>
      </c>
      <c r="C416" s="1548">
        <v>0.89959999999999996</v>
      </c>
      <c r="D416" s="1548">
        <v>0.83809999999999996</v>
      </c>
      <c r="E416" s="1548">
        <v>0.83809999999999996</v>
      </c>
      <c r="F416" s="1548">
        <v>0.83809999999999996</v>
      </c>
      <c r="G416" s="1548">
        <v>0.83809999999999996</v>
      </c>
      <c r="H416" s="1548">
        <v>0.83809999999999996</v>
      </c>
      <c r="I416" s="1548">
        <v>0.69059999999999999</v>
      </c>
      <c r="J416" s="1548">
        <v>0.69059999999999999</v>
      </c>
      <c r="K416" s="1548">
        <v>0.69059999999999999</v>
      </c>
      <c r="L416" s="1548">
        <v>0.69059999999999999</v>
      </c>
      <c r="M416" s="1548">
        <v>0.69059999999999999</v>
      </c>
    </row>
    <row r="417" spans="1:13">
      <c r="A417" s="1549">
        <v>5.6</v>
      </c>
      <c r="B417" s="1548">
        <v>0.89780000000000004</v>
      </c>
      <c r="C417" s="1548">
        <v>0.89780000000000004</v>
      </c>
      <c r="D417" s="1548">
        <v>0.83599999999999997</v>
      </c>
      <c r="E417" s="1548">
        <v>0.83599999999999997</v>
      </c>
      <c r="F417" s="1548">
        <v>0.83599999999999997</v>
      </c>
      <c r="G417" s="1548">
        <v>0.83599999999999997</v>
      </c>
      <c r="H417" s="1548">
        <v>0.83599999999999997</v>
      </c>
      <c r="I417" s="1548">
        <v>0.68810000000000004</v>
      </c>
      <c r="J417" s="1548">
        <v>0.68810000000000004</v>
      </c>
      <c r="K417" s="1548">
        <v>0.68810000000000004</v>
      </c>
      <c r="L417" s="1548">
        <v>0.68810000000000004</v>
      </c>
      <c r="M417" s="1548">
        <v>0.68810000000000004</v>
      </c>
    </row>
    <row r="418" spans="1:13">
      <c r="A418" s="1549">
        <v>5.7</v>
      </c>
      <c r="B418" s="1548">
        <v>0.89600000000000002</v>
      </c>
      <c r="C418" s="1548">
        <v>0.89600000000000002</v>
      </c>
      <c r="D418" s="1548">
        <v>0.83389999999999997</v>
      </c>
      <c r="E418" s="1548">
        <v>0.83389999999999997</v>
      </c>
      <c r="F418" s="1548">
        <v>0.83389999999999997</v>
      </c>
      <c r="G418" s="1548">
        <v>0.83389999999999997</v>
      </c>
      <c r="H418" s="1548">
        <v>0.83389999999999997</v>
      </c>
      <c r="I418" s="1548">
        <v>0.68569999999999998</v>
      </c>
      <c r="J418" s="1548">
        <v>0.68569999999999998</v>
      </c>
      <c r="K418" s="1548">
        <v>0.68569999999999998</v>
      </c>
      <c r="L418" s="1548">
        <v>0.68569999999999998</v>
      </c>
      <c r="M418" s="1548">
        <v>0.68569999999999998</v>
      </c>
    </row>
    <row r="419" spans="1:13">
      <c r="A419" s="1549">
        <v>5.8</v>
      </c>
      <c r="B419" s="1548">
        <v>0.89419999999999999</v>
      </c>
      <c r="C419" s="1548">
        <v>0.89419999999999999</v>
      </c>
      <c r="D419" s="1548">
        <v>0.83189999999999997</v>
      </c>
      <c r="E419" s="1548">
        <v>0.83189999999999997</v>
      </c>
      <c r="F419" s="1548">
        <v>0.83189999999999997</v>
      </c>
      <c r="G419" s="1548">
        <v>0.83189999999999997</v>
      </c>
      <c r="H419" s="1548">
        <v>0.83189999999999997</v>
      </c>
      <c r="I419" s="1548">
        <v>0.68320000000000003</v>
      </c>
      <c r="J419" s="1548">
        <v>0.68320000000000003</v>
      </c>
      <c r="K419" s="1548">
        <v>0.68320000000000003</v>
      </c>
      <c r="L419" s="1548">
        <v>0.68320000000000003</v>
      </c>
      <c r="M419" s="1548">
        <v>0.68320000000000003</v>
      </c>
    </row>
    <row r="420" spans="1:13">
      <c r="A420" s="1549">
        <v>5.9</v>
      </c>
      <c r="B420" s="1548">
        <v>0.89239999999999997</v>
      </c>
      <c r="C420" s="1548">
        <v>0.89239999999999997</v>
      </c>
      <c r="D420" s="1548">
        <v>0.82989999999999997</v>
      </c>
      <c r="E420" s="1548">
        <v>0.82989999999999997</v>
      </c>
      <c r="F420" s="1548">
        <v>0.82989999999999997</v>
      </c>
      <c r="G420" s="1548">
        <v>0.82989999999999997</v>
      </c>
      <c r="H420" s="1548">
        <v>0.82989999999999997</v>
      </c>
      <c r="I420" s="1548">
        <v>0.68069999999999997</v>
      </c>
      <c r="J420" s="1548">
        <v>0.68069999999999997</v>
      </c>
      <c r="K420" s="1548">
        <v>0.68069999999999997</v>
      </c>
      <c r="L420" s="1548">
        <v>0.68069999999999997</v>
      </c>
      <c r="M420" s="1548">
        <v>0.68069999999999997</v>
      </c>
    </row>
    <row r="421" spans="1:13">
      <c r="A421" s="1549">
        <v>6</v>
      </c>
      <c r="B421" s="1548">
        <v>0.89070000000000005</v>
      </c>
      <c r="C421" s="1548">
        <v>0.89070000000000005</v>
      </c>
      <c r="D421" s="1548">
        <v>0.82789999999999997</v>
      </c>
      <c r="E421" s="1548">
        <v>0.82789999999999997</v>
      </c>
      <c r="F421" s="1548">
        <v>0.82789999999999997</v>
      </c>
      <c r="G421" s="1548">
        <v>0.82789999999999997</v>
      </c>
      <c r="H421" s="1548">
        <v>0.82789999999999997</v>
      </c>
      <c r="I421" s="1548">
        <v>0.6784</v>
      </c>
      <c r="J421" s="1548">
        <v>0.6784</v>
      </c>
      <c r="K421" s="1548">
        <v>0.6784</v>
      </c>
      <c r="L421" s="1548">
        <v>0.6784</v>
      </c>
      <c r="M421" s="1548">
        <v>0.6784</v>
      </c>
    </row>
    <row r="422" spans="1:13">
      <c r="A422" s="1549">
        <v>6.1</v>
      </c>
      <c r="B422" s="1548">
        <v>0.88900000000000001</v>
      </c>
      <c r="C422" s="1548">
        <v>0.88900000000000001</v>
      </c>
      <c r="D422" s="1548">
        <v>0.82589999999999997</v>
      </c>
      <c r="E422" s="1548">
        <v>0.82589999999999997</v>
      </c>
      <c r="F422" s="1548">
        <v>0.82589999999999997</v>
      </c>
      <c r="G422" s="1548">
        <v>0.82589999999999997</v>
      </c>
      <c r="H422" s="1548">
        <v>0.82589999999999997</v>
      </c>
      <c r="I422" s="1548">
        <v>0.67600000000000005</v>
      </c>
      <c r="J422" s="1548">
        <v>0.67600000000000005</v>
      </c>
      <c r="K422" s="1548">
        <v>0.67600000000000005</v>
      </c>
      <c r="L422" s="1548">
        <v>0.67600000000000005</v>
      </c>
      <c r="M422" s="1548">
        <v>0.67600000000000005</v>
      </c>
    </row>
    <row r="423" spans="1:13">
      <c r="A423" s="1549">
        <v>6.2</v>
      </c>
      <c r="B423" s="1548">
        <v>0.88729999999999998</v>
      </c>
      <c r="C423" s="1548">
        <v>0.88729999999999998</v>
      </c>
      <c r="D423" s="1548">
        <v>0.82389999999999997</v>
      </c>
      <c r="E423" s="1548">
        <v>0.82389999999999997</v>
      </c>
      <c r="F423" s="1548">
        <v>0.82389999999999997</v>
      </c>
      <c r="G423" s="1548">
        <v>0.82389999999999997</v>
      </c>
      <c r="H423" s="1548">
        <v>0.82389999999999997</v>
      </c>
      <c r="I423" s="1548">
        <v>0.67359999999999998</v>
      </c>
      <c r="J423" s="1548">
        <v>0.67359999999999998</v>
      </c>
      <c r="K423" s="1548">
        <v>0.67359999999999998</v>
      </c>
      <c r="L423" s="1548">
        <v>0.67359999999999998</v>
      </c>
      <c r="M423" s="1548">
        <v>0.67359999999999998</v>
      </c>
    </row>
    <row r="424" spans="1:13">
      <c r="A424" s="1549">
        <v>6.3</v>
      </c>
      <c r="B424" s="1548">
        <v>0.88560000000000005</v>
      </c>
      <c r="C424" s="1548">
        <v>0.88560000000000005</v>
      </c>
      <c r="D424" s="1548">
        <v>0.82189999999999996</v>
      </c>
      <c r="E424" s="1548">
        <v>0.82189999999999996</v>
      </c>
      <c r="F424" s="1548">
        <v>0.82189999999999996</v>
      </c>
      <c r="G424" s="1548">
        <v>0.82189999999999996</v>
      </c>
      <c r="H424" s="1548">
        <v>0.82189999999999996</v>
      </c>
      <c r="I424" s="1548">
        <v>0.67130000000000001</v>
      </c>
      <c r="J424" s="1548">
        <v>0.67130000000000001</v>
      </c>
      <c r="K424" s="1548">
        <v>0.67130000000000001</v>
      </c>
      <c r="L424" s="1548">
        <v>0.67130000000000001</v>
      </c>
      <c r="M424" s="1548">
        <v>0.67130000000000001</v>
      </c>
    </row>
    <row r="425" spans="1:13">
      <c r="A425" s="1549">
        <v>6.4</v>
      </c>
      <c r="B425" s="1548">
        <v>0.88390000000000002</v>
      </c>
      <c r="C425" s="1548">
        <v>0.88390000000000002</v>
      </c>
      <c r="D425" s="1548">
        <v>0.82</v>
      </c>
      <c r="E425" s="1548">
        <v>0.82</v>
      </c>
      <c r="F425" s="1548">
        <v>0.82</v>
      </c>
      <c r="G425" s="1548">
        <v>0.82</v>
      </c>
      <c r="H425" s="1548">
        <v>0.82</v>
      </c>
      <c r="I425" s="1548">
        <v>0.66890000000000005</v>
      </c>
      <c r="J425" s="1548">
        <v>0.66890000000000005</v>
      </c>
      <c r="K425" s="1548">
        <v>0.66890000000000005</v>
      </c>
      <c r="L425" s="1548">
        <v>0.66890000000000005</v>
      </c>
      <c r="M425" s="1548">
        <v>0.66890000000000005</v>
      </c>
    </row>
    <row r="426" spans="1:13">
      <c r="A426" s="1549">
        <v>6.5</v>
      </c>
      <c r="B426" s="1548">
        <v>0.88229999999999997</v>
      </c>
      <c r="C426" s="1548">
        <v>0.88229999999999997</v>
      </c>
      <c r="D426" s="1548">
        <v>0.81810000000000005</v>
      </c>
      <c r="E426" s="1548">
        <v>0.81810000000000005</v>
      </c>
      <c r="F426" s="1548">
        <v>0.81810000000000005</v>
      </c>
      <c r="G426" s="1548">
        <v>0.81810000000000005</v>
      </c>
      <c r="H426" s="1548">
        <v>0.81810000000000005</v>
      </c>
      <c r="I426" s="1548">
        <v>0.66659999999999997</v>
      </c>
      <c r="J426" s="1548">
        <v>0.66659999999999997</v>
      </c>
      <c r="K426" s="1548">
        <v>0.66659999999999997</v>
      </c>
      <c r="L426" s="1548">
        <v>0.66659999999999997</v>
      </c>
      <c r="M426" s="1548">
        <v>0.66659999999999997</v>
      </c>
    </row>
    <row r="427" spans="1:13">
      <c r="A427" s="1549">
        <v>6.6</v>
      </c>
      <c r="B427" s="1548">
        <v>0.88070000000000004</v>
      </c>
      <c r="C427" s="1548">
        <v>0.88070000000000004</v>
      </c>
      <c r="D427" s="1548">
        <v>0.81620000000000004</v>
      </c>
      <c r="E427" s="1548">
        <v>0.81620000000000004</v>
      </c>
      <c r="F427" s="1548">
        <v>0.81620000000000004</v>
      </c>
      <c r="G427" s="1548">
        <v>0.81620000000000004</v>
      </c>
      <c r="H427" s="1548">
        <v>0.81620000000000004</v>
      </c>
      <c r="I427" s="1548">
        <v>0.66439999999999999</v>
      </c>
      <c r="J427" s="1548">
        <v>0.66439999999999999</v>
      </c>
      <c r="K427" s="1548">
        <v>0.66439999999999999</v>
      </c>
      <c r="L427" s="1548">
        <v>0.66439999999999999</v>
      </c>
      <c r="M427" s="1548">
        <v>0.66439999999999999</v>
      </c>
    </row>
    <row r="428" spans="1:13">
      <c r="A428" s="1549">
        <v>6.7</v>
      </c>
      <c r="B428" s="1548">
        <v>0.879</v>
      </c>
      <c r="C428" s="1548">
        <v>0.879</v>
      </c>
      <c r="D428" s="1548">
        <v>0.81430000000000002</v>
      </c>
      <c r="E428" s="1548">
        <v>0.81430000000000002</v>
      </c>
      <c r="F428" s="1548">
        <v>0.81430000000000002</v>
      </c>
      <c r="G428" s="1548">
        <v>0.81430000000000002</v>
      </c>
      <c r="H428" s="1548">
        <v>0.81430000000000002</v>
      </c>
      <c r="I428" s="1548">
        <v>0.66210000000000002</v>
      </c>
      <c r="J428" s="1548">
        <v>0.66210000000000002</v>
      </c>
      <c r="K428" s="1548">
        <v>0.66210000000000002</v>
      </c>
      <c r="L428" s="1548">
        <v>0.66210000000000002</v>
      </c>
      <c r="M428" s="1548">
        <v>0.66210000000000002</v>
      </c>
    </row>
    <row r="429" spans="1:13">
      <c r="A429" s="1549">
        <v>6.8</v>
      </c>
      <c r="B429" s="1548">
        <v>0.87739999999999996</v>
      </c>
      <c r="C429" s="1548">
        <v>0.87739999999999996</v>
      </c>
      <c r="D429" s="1548">
        <v>0.81240000000000001</v>
      </c>
      <c r="E429" s="1548">
        <v>0.81240000000000001</v>
      </c>
      <c r="F429" s="1548">
        <v>0.81240000000000001</v>
      </c>
      <c r="G429" s="1548">
        <v>0.81240000000000001</v>
      </c>
      <c r="H429" s="1548">
        <v>0.81240000000000001</v>
      </c>
      <c r="I429" s="1548">
        <v>0.65980000000000005</v>
      </c>
      <c r="J429" s="1548">
        <v>0.65980000000000005</v>
      </c>
      <c r="K429" s="1548">
        <v>0.65980000000000005</v>
      </c>
      <c r="L429" s="1548">
        <v>0.65980000000000005</v>
      </c>
      <c r="M429" s="1548">
        <v>0.65980000000000005</v>
      </c>
    </row>
    <row r="430" spans="1:13">
      <c r="A430" s="1549">
        <v>6.9</v>
      </c>
      <c r="B430" s="1548">
        <v>0.87580000000000002</v>
      </c>
      <c r="C430" s="1548">
        <v>0.87580000000000002</v>
      </c>
      <c r="D430" s="1548">
        <v>0.8105</v>
      </c>
      <c r="E430" s="1548">
        <v>0.8105</v>
      </c>
      <c r="F430" s="1548">
        <v>0.8105</v>
      </c>
      <c r="G430" s="1548">
        <v>0.8105</v>
      </c>
      <c r="H430" s="1548">
        <v>0.8105</v>
      </c>
      <c r="I430" s="1548">
        <v>0.65749999999999997</v>
      </c>
      <c r="J430" s="1548">
        <v>0.65749999999999997</v>
      </c>
      <c r="K430" s="1548">
        <v>0.65749999999999997</v>
      </c>
      <c r="L430" s="1548">
        <v>0.65749999999999997</v>
      </c>
      <c r="M430" s="1548">
        <v>0.65749999999999997</v>
      </c>
    </row>
    <row r="431" spans="1:13">
      <c r="A431" s="1549">
        <v>7</v>
      </c>
      <c r="B431" s="1548">
        <v>0.87419999999999998</v>
      </c>
      <c r="C431" s="1548">
        <v>0.87419999999999998</v>
      </c>
      <c r="D431" s="1548">
        <v>0.80869999999999997</v>
      </c>
      <c r="E431" s="1548">
        <v>0.80869999999999997</v>
      </c>
      <c r="F431" s="1548">
        <v>0.80869999999999997</v>
      </c>
      <c r="G431" s="1548">
        <v>0.80869999999999997</v>
      </c>
      <c r="H431" s="1548">
        <v>0.80869999999999997</v>
      </c>
      <c r="I431" s="1548">
        <v>0.65529999999999999</v>
      </c>
      <c r="J431" s="1548">
        <v>0.65529999999999999</v>
      </c>
      <c r="K431" s="1548">
        <v>0.65529999999999999</v>
      </c>
      <c r="L431" s="1548">
        <v>0.65529999999999999</v>
      </c>
      <c r="M431" s="1548">
        <v>0.65529999999999999</v>
      </c>
    </row>
    <row r="432" spans="1:13">
      <c r="A432" s="1549">
        <v>7.1</v>
      </c>
      <c r="B432" s="1548">
        <v>0.87270000000000003</v>
      </c>
      <c r="C432" s="1548">
        <v>0.87270000000000003</v>
      </c>
      <c r="D432" s="1548">
        <v>0.80689999999999995</v>
      </c>
      <c r="E432" s="1548">
        <v>0.80689999999999995</v>
      </c>
      <c r="F432" s="1548">
        <v>0.80689999999999995</v>
      </c>
      <c r="G432" s="1548">
        <v>0.80689999999999995</v>
      </c>
      <c r="H432" s="1548">
        <v>0.80689999999999995</v>
      </c>
      <c r="I432" s="1548">
        <v>0.6532</v>
      </c>
      <c r="J432" s="1548">
        <v>0.6532</v>
      </c>
      <c r="K432" s="1548">
        <v>0.6532</v>
      </c>
      <c r="L432" s="1548">
        <v>0.6532</v>
      </c>
      <c r="M432" s="1548">
        <v>0.6532</v>
      </c>
    </row>
    <row r="433" spans="1:13">
      <c r="A433" s="1549">
        <v>7.2</v>
      </c>
      <c r="B433" s="1548">
        <v>0.87119999999999997</v>
      </c>
      <c r="C433" s="1548">
        <v>0.87119999999999997</v>
      </c>
      <c r="D433" s="1548">
        <v>0.80510000000000004</v>
      </c>
      <c r="E433" s="1548">
        <v>0.80510000000000004</v>
      </c>
      <c r="F433" s="1548">
        <v>0.80510000000000004</v>
      </c>
      <c r="G433" s="1548">
        <v>0.80510000000000004</v>
      </c>
      <c r="H433" s="1548">
        <v>0.80510000000000004</v>
      </c>
      <c r="I433" s="1548">
        <v>0.65100000000000002</v>
      </c>
      <c r="J433" s="1548">
        <v>0.65100000000000002</v>
      </c>
      <c r="K433" s="1548">
        <v>0.65100000000000002</v>
      </c>
      <c r="L433" s="1548">
        <v>0.65100000000000002</v>
      </c>
      <c r="M433" s="1548">
        <v>0.65100000000000002</v>
      </c>
    </row>
    <row r="434" spans="1:13">
      <c r="A434" s="1549">
        <v>7.3</v>
      </c>
      <c r="B434" s="1548">
        <v>0.86970000000000003</v>
      </c>
      <c r="C434" s="1548">
        <v>0.86970000000000003</v>
      </c>
      <c r="D434" s="1548">
        <v>0.80330000000000001</v>
      </c>
      <c r="E434" s="1548">
        <v>0.80330000000000001</v>
      </c>
      <c r="F434" s="1548">
        <v>0.80330000000000001</v>
      </c>
      <c r="G434" s="1548">
        <v>0.80330000000000001</v>
      </c>
      <c r="H434" s="1548">
        <v>0.80330000000000001</v>
      </c>
      <c r="I434" s="1548">
        <v>0.64880000000000004</v>
      </c>
      <c r="J434" s="1548">
        <v>0.64880000000000004</v>
      </c>
      <c r="K434" s="1548">
        <v>0.64880000000000004</v>
      </c>
      <c r="L434" s="1548">
        <v>0.64880000000000004</v>
      </c>
      <c r="M434" s="1548">
        <v>0.64880000000000004</v>
      </c>
    </row>
    <row r="435" spans="1:13">
      <c r="A435" s="1549">
        <v>7.4</v>
      </c>
      <c r="B435" s="1548">
        <v>0.86819999999999997</v>
      </c>
      <c r="C435" s="1548">
        <v>0.86819999999999997</v>
      </c>
      <c r="D435" s="1548">
        <v>0.80149999999999999</v>
      </c>
      <c r="E435" s="1548">
        <v>0.80149999999999999</v>
      </c>
      <c r="F435" s="1548">
        <v>0.80149999999999999</v>
      </c>
      <c r="G435" s="1548">
        <v>0.80149999999999999</v>
      </c>
      <c r="H435" s="1548">
        <v>0.80149999999999999</v>
      </c>
      <c r="I435" s="1548">
        <v>0.64659999999999995</v>
      </c>
      <c r="J435" s="1548">
        <v>0.64659999999999995</v>
      </c>
      <c r="K435" s="1548">
        <v>0.64659999999999995</v>
      </c>
      <c r="L435" s="1548">
        <v>0.64659999999999995</v>
      </c>
      <c r="M435" s="1548">
        <v>0.64659999999999995</v>
      </c>
    </row>
    <row r="436" spans="1:13">
      <c r="A436" s="1549">
        <v>7.5</v>
      </c>
      <c r="B436" s="1548">
        <v>0.86660000000000004</v>
      </c>
      <c r="C436" s="1548">
        <v>0.86660000000000004</v>
      </c>
      <c r="D436" s="1548">
        <v>0.79969999999999997</v>
      </c>
      <c r="E436" s="1548">
        <v>0.79969999999999997</v>
      </c>
      <c r="F436" s="1548">
        <v>0.79969999999999997</v>
      </c>
      <c r="G436" s="1548">
        <v>0.79969999999999997</v>
      </c>
      <c r="H436" s="1548">
        <v>0.79969999999999997</v>
      </c>
      <c r="I436" s="1548">
        <v>0.64449999999999996</v>
      </c>
      <c r="J436" s="1548">
        <v>0.64449999999999996</v>
      </c>
      <c r="K436" s="1548">
        <v>0.64449999999999996</v>
      </c>
      <c r="L436" s="1548">
        <v>0.64449999999999996</v>
      </c>
      <c r="M436" s="1548">
        <v>0.64449999999999996</v>
      </c>
    </row>
    <row r="437" spans="1:13">
      <c r="A437" s="1549">
        <v>7.6</v>
      </c>
      <c r="B437" s="1548">
        <v>0.86509999999999998</v>
      </c>
      <c r="C437" s="1548">
        <v>0.86509999999999998</v>
      </c>
      <c r="D437" s="1548">
        <v>0.79800000000000004</v>
      </c>
      <c r="E437" s="1548">
        <v>0.79800000000000004</v>
      </c>
      <c r="F437" s="1548">
        <v>0.79800000000000004</v>
      </c>
      <c r="G437" s="1548">
        <v>0.79800000000000004</v>
      </c>
      <c r="H437" s="1548">
        <v>0.79800000000000004</v>
      </c>
      <c r="I437" s="1548">
        <v>0.64239999999999997</v>
      </c>
      <c r="J437" s="1548">
        <v>0.64239999999999997</v>
      </c>
      <c r="K437" s="1548">
        <v>0.64239999999999997</v>
      </c>
      <c r="L437" s="1548">
        <v>0.64239999999999997</v>
      </c>
      <c r="M437" s="1548">
        <v>0.64239999999999997</v>
      </c>
    </row>
    <row r="438" spans="1:13">
      <c r="A438" s="1549">
        <v>7.7</v>
      </c>
      <c r="B438" s="1548">
        <v>0.86370000000000002</v>
      </c>
      <c r="C438" s="1548">
        <v>0.86370000000000002</v>
      </c>
      <c r="D438" s="1548">
        <v>0.79630000000000001</v>
      </c>
      <c r="E438" s="1548">
        <v>0.79630000000000001</v>
      </c>
      <c r="F438" s="1548">
        <v>0.79630000000000001</v>
      </c>
      <c r="G438" s="1548">
        <v>0.79630000000000001</v>
      </c>
      <c r="H438" s="1548">
        <v>0.79630000000000001</v>
      </c>
      <c r="I438" s="1548">
        <v>0.64029999999999998</v>
      </c>
      <c r="J438" s="1548">
        <v>0.64029999999999998</v>
      </c>
      <c r="K438" s="1548">
        <v>0.64029999999999998</v>
      </c>
      <c r="L438" s="1548">
        <v>0.64029999999999998</v>
      </c>
      <c r="M438" s="1548">
        <v>0.64029999999999998</v>
      </c>
    </row>
    <row r="439" spans="1:13">
      <c r="A439" s="1549">
        <v>7.8</v>
      </c>
      <c r="B439" s="1548">
        <v>0.86229999999999996</v>
      </c>
      <c r="C439" s="1548">
        <v>0.86229999999999996</v>
      </c>
      <c r="D439" s="1548">
        <v>0.79449999999999998</v>
      </c>
      <c r="E439" s="1548">
        <v>0.79449999999999998</v>
      </c>
      <c r="F439" s="1548">
        <v>0.79449999999999998</v>
      </c>
      <c r="G439" s="1548">
        <v>0.79449999999999998</v>
      </c>
      <c r="H439" s="1548">
        <v>0.79449999999999998</v>
      </c>
      <c r="I439" s="1548">
        <v>0.63819999999999999</v>
      </c>
      <c r="J439" s="1548">
        <v>0.63819999999999999</v>
      </c>
      <c r="K439" s="1548">
        <v>0.63819999999999999</v>
      </c>
      <c r="L439" s="1548">
        <v>0.63819999999999999</v>
      </c>
      <c r="M439" s="1548">
        <v>0.63819999999999999</v>
      </c>
    </row>
    <row r="440" spans="1:13">
      <c r="A440" s="1549">
        <v>7.9</v>
      </c>
      <c r="B440" s="1548">
        <v>0.8609</v>
      </c>
      <c r="C440" s="1548">
        <v>0.8609</v>
      </c>
      <c r="D440" s="1548">
        <v>0.79279999999999995</v>
      </c>
      <c r="E440" s="1548">
        <v>0.79279999999999995</v>
      </c>
      <c r="F440" s="1548">
        <v>0.79279999999999995</v>
      </c>
      <c r="G440" s="1548">
        <v>0.79279999999999995</v>
      </c>
      <c r="H440" s="1548">
        <v>0.79279999999999995</v>
      </c>
      <c r="I440" s="1548">
        <v>0.6361</v>
      </c>
      <c r="J440" s="1548">
        <v>0.6361</v>
      </c>
      <c r="K440" s="1548">
        <v>0.6361</v>
      </c>
      <c r="L440" s="1548">
        <v>0.6361</v>
      </c>
      <c r="M440" s="1548">
        <v>0.6361</v>
      </c>
    </row>
    <row r="441" spans="1:13">
      <c r="A441" s="1549">
        <v>8</v>
      </c>
      <c r="B441" s="1548">
        <v>0.85940000000000005</v>
      </c>
      <c r="C441" s="1548">
        <v>0.85940000000000005</v>
      </c>
      <c r="D441" s="1548">
        <v>0.79110000000000003</v>
      </c>
      <c r="E441" s="1548">
        <v>0.79110000000000003</v>
      </c>
      <c r="F441" s="1548">
        <v>0.79110000000000003</v>
      </c>
      <c r="G441" s="1548">
        <v>0.79110000000000003</v>
      </c>
      <c r="H441" s="1548">
        <v>0.79110000000000003</v>
      </c>
      <c r="I441" s="1548">
        <v>0.6341</v>
      </c>
      <c r="J441" s="1548">
        <v>0.6341</v>
      </c>
      <c r="K441" s="1548">
        <v>0.6341</v>
      </c>
      <c r="L441" s="1548">
        <v>0.6341</v>
      </c>
      <c r="M441" s="1548">
        <v>0.6341</v>
      </c>
    </row>
    <row r="442" spans="1:13">
      <c r="A442" s="1549">
        <v>8.1</v>
      </c>
      <c r="B442" s="1548">
        <v>0.85799999999999998</v>
      </c>
      <c r="C442" s="1548">
        <v>0.85799999999999998</v>
      </c>
      <c r="D442" s="1548">
        <v>0.78939999999999999</v>
      </c>
      <c r="E442" s="1548">
        <v>0.78939999999999999</v>
      </c>
      <c r="F442" s="1548">
        <v>0.78939999999999999</v>
      </c>
      <c r="G442" s="1548">
        <v>0.78939999999999999</v>
      </c>
      <c r="H442" s="1548">
        <v>0.78939999999999999</v>
      </c>
      <c r="I442" s="1548">
        <v>0.6321</v>
      </c>
      <c r="J442" s="1548">
        <v>0.6321</v>
      </c>
      <c r="K442" s="1548">
        <v>0.6321</v>
      </c>
      <c r="L442" s="1548">
        <v>0.6321</v>
      </c>
      <c r="M442" s="1548">
        <v>0.6321</v>
      </c>
    </row>
    <row r="443" spans="1:13">
      <c r="A443" s="1549">
        <v>8.1999999999999993</v>
      </c>
      <c r="B443" s="1548">
        <v>0.85660000000000003</v>
      </c>
      <c r="C443" s="1548">
        <v>0.85660000000000003</v>
      </c>
      <c r="D443" s="1548">
        <v>0.78779999999999994</v>
      </c>
      <c r="E443" s="1548">
        <v>0.78779999999999994</v>
      </c>
      <c r="F443" s="1548">
        <v>0.78779999999999994</v>
      </c>
      <c r="G443" s="1548">
        <v>0.78779999999999994</v>
      </c>
      <c r="H443" s="1548">
        <v>0.78779999999999994</v>
      </c>
      <c r="I443" s="1548">
        <v>0.63009999999999999</v>
      </c>
      <c r="J443" s="1548">
        <v>0.63009999999999999</v>
      </c>
      <c r="K443" s="1548">
        <v>0.63009999999999999</v>
      </c>
      <c r="L443" s="1548">
        <v>0.63009999999999999</v>
      </c>
      <c r="M443" s="1548">
        <v>0.63009999999999999</v>
      </c>
    </row>
    <row r="444" spans="1:13">
      <c r="A444" s="1549">
        <v>8.3000000000000007</v>
      </c>
      <c r="B444" s="1548">
        <v>0.85529999999999995</v>
      </c>
      <c r="C444" s="1548">
        <v>0.85529999999999995</v>
      </c>
      <c r="D444" s="1548">
        <v>0.78620000000000001</v>
      </c>
      <c r="E444" s="1548">
        <v>0.78620000000000001</v>
      </c>
      <c r="F444" s="1548">
        <v>0.78620000000000001</v>
      </c>
      <c r="G444" s="1548">
        <v>0.78620000000000001</v>
      </c>
      <c r="H444" s="1548">
        <v>0.78620000000000001</v>
      </c>
      <c r="I444" s="1548">
        <v>0.62809999999999999</v>
      </c>
      <c r="J444" s="1548">
        <v>0.62809999999999999</v>
      </c>
      <c r="K444" s="1548">
        <v>0.62809999999999999</v>
      </c>
      <c r="L444" s="1548">
        <v>0.62809999999999999</v>
      </c>
      <c r="M444" s="1548">
        <v>0.62809999999999999</v>
      </c>
    </row>
    <row r="445" spans="1:13">
      <c r="A445" s="1549">
        <v>8.4</v>
      </c>
      <c r="B445" s="1548">
        <v>0.85389999999999999</v>
      </c>
      <c r="C445" s="1548">
        <v>0.85389999999999999</v>
      </c>
      <c r="D445" s="1548">
        <v>0.78459999999999996</v>
      </c>
      <c r="E445" s="1548">
        <v>0.78459999999999996</v>
      </c>
      <c r="F445" s="1548">
        <v>0.78459999999999996</v>
      </c>
      <c r="G445" s="1548">
        <v>0.78459999999999996</v>
      </c>
      <c r="H445" s="1548">
        <v>0.78459999999999996</v>
      </c>
      <c r="I445" s="1548">
        <v>0.62609999999999999</v>
      </c>
      <c r="J445" s="1548">
        <v>0.62609999999999999</v>
      </c>
      <c r="K445" s="1548">
        <v>0.62609999999999999</v>
      </c>
      <c r="L445" s="1548">
        <v>0.62609999999999999</v>
      </c>
      <c r="M445" s="1548">
        <v>0.62609999999999999</v>
      </c>
    </row>
    <row r="446" spans="1:13">
      <c r="A446" s="1549">
        <v>8.5</v>
      </c>
      <c r="B446" s="1548">
        <v>0.85260000000000002</v>
      </c>
      <c r="C446" s="1548">
        <v>0.85260000000000002</v>
      </c>
      <c r="D446" s="1548">
        <v>0.78290000000000004</v>
      </c>
      <c r="E446" s="1548">
        <v>0.78290000000000004</v>
      </c>
      <c r="F446" s="1548">
        <v>0.78290000000000004</v>
      </c>
      <c r="G446" s="1548">
        <v>0.78290000000000004</v>
      </c>
      <c r="H446" s="1548">
        <v>0.78290000000000004</v>
      </c>
      <c r="I446" s="1548">
        <v>0.62419999999999998</v>
      </c>
      <c r="J446" s="1548">
        <v>0.62419999999999998</v>
      </c>
      <c r="K446" s="1548">
        <v>0.62419999999999998</v>
      </c>
      <c r="L446" s="1548">
        <v>0.62419999999999998</v>
      </c>
      <c r="M446" s="1548">
        <v>0.62419999999999998</v>
      </c>
    </row>
    <row r="447" spans="1:13">
      <c r="A447" s="1549">
        <v>8.6</v>
      </c>
      <c r="B447" s="1548">
        <v>0.85129999999999995</v>
      </c>
      <c r="C447" s="1548">
        <v>0.85129999999999995</v>
      </c>
      <c r="D447" s="1548">
        <v>0.78129999999999999</v>
      </c>
      <c r="E447" s="1548">
        <v>0.78129999999999999</v>
      </c>
      <c r="F447" s="1548">
        <v>0.78129999999999999</v>
      </c>
      <c r="G447" s="1548">
        <v>0.78129999999999999</v>
      </c>
      <c r="H447" s="1548">
        <v>0.78129999999999999</v>
      </c>
      <c r="I447" s="1548">
        <v>0.62229999999999996</v>
      </c>
      <c r="J447" s="1548">
        <v>0.62229999999999996</v>
      </c>
      <c r="K447" s="1548">
        <v>0.62229999999999996</v>
      </c>
      <c r="L447" s="1548">
        <v>0.62229999999999996</v>
      </c>
      <c r="M447" s="1548">
        <v>0.62229999999999996</v>
      </c>
    </row>
    <row r="448" spans="1:13">
      <c r="A448" s="1549">
        <v>8.6999999999999993</v>
      </c>
      <c r="B448" s="1548">
        <v>0.85</v>
      </c>
      <c r="C448" s="1548">
        <v>0.85</v>
      </c>
      <c r="D448" s="1548">
        <v>0.77969999999999995</v>
      </c>
      <c r="E448" s="1548">
        <v>0.77969999999999995</v>
      </c>
      <c r="F448" s="1548">
        <v>0.77969999999999995</v>
      </c>
      <c r="G448" s="1548">
        <v>0.77969999999999995</v>
      </c>
      <c r="H448" s="1548">
        <v>0.77969999999999995</v>
      </c>
      <c r="I448" s="1548">
        <v>0.62039999999999995</v>
      </c>
      <c r="J448" s="1548">
        <v>0.62039999999999995</v>
      </c>
      <c r="K448" s="1548">
        <v>0.62039999999999995</v>
      </c>
      <c r="L448" s="1548">
        <v>0.62039999999999995</v>
      </c>
      <c r="M448" s="1548">
        <v>0.62039999999999995</v>
      </c>
    </row>
    <row r="449" spans="1:13">
      <c r="A449" s="1549">
        <v>8.8000000000000007</v>
      </c>
      <c r="B449" s="1548">
        <v>0.84860000000000002</v>
      </c>
      <c r="C449" s="1548">
        <v>0.84860000000000002</v>
      </c>
      <c r="D449" s="1548">
        <v>0.7782</v>
      </c>
      <c r="E449" s="1548">
        <v>0.7782</v>
      </c>
      <c r="F449" s="1548">
        <v>0.7782</v>
      </c>
      <c r="G449" s="1548">
        <v>0.7782</v>
      </c>
      <c r="H449" s="1548">
        <v>0.7782</v>
      </c>
      <c r="I449" s="1548">
        <v>0.61850000000000005</v>
      </c>
      <c r="J449" s="1548">
        <v>0.61850000000000005</v>
      </c>
      <c r="K449" s="1548">
        <v>0.61850000000000005</v>
      </c>
      <c r="L449" s="1548">
        <v>0.61850000000000005</v>
      </c>
      <c r="M449" s="1548">
        <v>0.61850000000000005</v>
      </c>
    </row>
    <row r="450" spans="1:13">
      <c r="A450" s="1549">
        <v>8.9</v>
      </c>
      <c r="B450" s="1548">
        <v>0.84740000000000004</v>
      </c>
      <c r="C450" s="1548">
        <v>0.84740000000000004</v>
      </c>
      <c r="D450" s="1548">
        <v>0.77669999999999995</v>
      </c>
      <c r="E450" s="1548">
        <v>0.77669999999999995</v>
      </c>
      <c r="F450" s="1548">
        <v>0.77669999999999995</v>
      </c>
      <c r="G450" s="1548">
        <v>0.77669999999999995</v>
      </c>
      <c r="H450" s="1548">
        <v>0.77669999999999995</v>
      </c>
      <c r="I450" s="1548">
        <v>0.61670000000000003</v>
      </c>
      <c r="J450" s="1548">
        <v>0.61670000000000003</v>
      </c>
      <c r="K450" s="1548">
        <v>0.61670000000000003</v>
      </c>
      <c r="L450" s="1548">
        <v>0.61670000000000003</v>
      </c>
      <c r="M450" s="1548">
        <v>0.61670000000000003</v>
      </c>
    </row>
    <row r="451" spans="1:13">
      <c r="A451" s="1549">
        <v>9</v>
      </c>
      <c r="B451" s="1548">
        <v>0.84619999999999995</v>
      </c>
      <c r="C451" s="1548">
        <v>0.84619999999999995</v>
      </c>
      <c r="D451" s="1548">
        <v>0.77510000000000001</v>
      </c>
      <c r="E451" s="1548">
        <v>0.77510000000000001</v>
      </c>
      <c r="F451" s="1548">
        <v>0.77510000000000001</v>
      </c>
      <c r="G451" s="1548">
        <v>0.77510000000000001</v>
      </c>
      <c r="H451" s="1548">
        <v>0.77510000000000001</v>
      </c>
      <c r="I451" s="1548">
        <v>0.61480000000000001</v>
      </c>
      <c r="J451" s="1548">
        <v>0.61480000000000001</v>
      </c>
      <c r="K451" s="1548">
        <v>0.61480000000000001</v>
      </c>
      <c r="L451" s="1548">
        <v>0.61480000000000001</v>
      </c>
      <c r="M451" s="1548">
        <v>0.61480000000000001</v>
      </c>
    </row>
    <row r="452" spans="1:13">
      <c r="A452" s="1549">
        <v>9.1</v>
      </c>
      <c r="B452" s="1548">
        <v>0.84499999999999997</v>
      </c>
      <c r="C452" s="1548">
        <v>0.84499999999999997</v>
      </c>
      <c r="D452" s="1548">
        <v>0.77359999999999995</v>
      </c>
      <c r="E452" s="1548">
        <v>0.77359999999999995</v>
      </c>
      <c r="F452" s="1548">
        <v>0.77359999999999995</v>
      </c>
      <c r="G452" s="1548">
        <v>0.77359999999999995</v>
      </c>
      <c r="H452" s="1548">
        <v>0.77359999999999995</v>
      </c>
      <c r="I452" s="1548">
        <v>0.61299999999999999</v>
      </c>
      <c r="J452" s="1548">
        <v>0.61299999999999999</v>
      </c>
      <c r="K452" s="1548">
        <v>0.61299999999999999</v>
      </c>
      <c r="L452" s="1548">
        <v>0.61299999999999999</v>
      </c>
      <c r="M452" s="1548">
        <v>0.61299999999999999</v>
      </c>
    </row>
    <row r="453" spans="1:13">
      <c r="A453" s="1549">
        <v>9.1999999999999993</v>
      </c>
      <c r="B453" s="1548">
        <v>0.84370000000000001</v>
      </c>
      <c r="C453" s="1548">
        <v>0.84370000000000001</v>
      </c>
      <c r="D453" s="1548">
        <v>0.77210000000000001</v>
      </c>
      <c r="E453" s="1548">
        <v>0.77210000000000001</v>
      </c>
      <c r="F453" s="1548">
        <v>0.77210000000000001</v>
      </c>
      <c r="G453" s="1548">
        <v>0.77210000000000001</v>
      </c>
      <c r="H453" s="1548">
        <v>0.77210000000000001</v>
      </c>
      <c r="I453" s="1548">
        <v>0.61119999999999997</v>
      </c>
      <c r="J453" s="1548">
        <v>0.61119999999999997</v>
      </c>
      <c r="K453" s="1548">
        <v>0.61119999999999997</v>
      </c>
      <c r="L453" s="1548">
        <v>0.61119999999999997</v>
      </c>
      <c r="M453" s="1548">
        <v>0.61119999999999997</v>
      </c>
    </row>
    <row r="454" spans="1:13">
      <c r="A454" s="1549">
        <v>9.3000000000000007</v>
      </c>
      <c r="B454" s="1548">
        <v>0.84250000000000003</v>
      </c>
      <c r="C454" s="1548">
        <v>0.84250000000000003</v>
      </c>
      <c r="D454" s="1548">
        <v>0.77059999999999995</v>
      </c>
      <c r="E454" s="1548">
        <v>0.77059999999999995</v>
      </c>
      <c r="F454" s="1548">
        <v>0.77059999999999995</v>
      </c>
      <c r="G454" s="1548">
        <v>0.77059999999999995</v>
      </c>
      <c r="H454" s="1548">
        <v>0.77059999999999995</v>
      </c>
      <c r="I454" s="1548">
        <v>0.60940000000000005</v>
      </c>
      <c r="J454" s="1548">
        <v>0.60940000000000005</v>
      </c>
      <c r="K454" s="1548">
        <v>0.60940000000000005</v>
      </c>
      <c r="L454" s="1548">
        <v>0.60940000000000005</v>
      </c>
      <c r="M454" s="1548">
        <v>0.60940000000000005</v>
      </c>
    </row>
    <row r="455" spans="1:13">
      <c r="A455" s="1549">
        <v>9.4</v>
      </c>
      <c r="B455" s="1548">
        <v>0.84130000000000005</v>
      </c>
      <c r="C455" s="1548">
        <v>0.84130000000000005</v>
      </c>
      <c r="D455" s="1548">
        <v>0.76900000000000002</v>
      </c>
      <c r="E455" s="1548">
        <v>0.76900000000000002</v>
      </c>
      <c r="F455" s="1548">
        <v>0.76900000000000002</v>
      </c>
      <c r="G455" s="1548">
        <v>0.76900000000000002</v>
      </c>
      <c r="H455" s="1548">
        <v>0.76900000000000002</v>
      </c>
      <c r="I455" s="1548">
        <v>0.60760000000000003</v>
      </c>
      <c r="J455" s="1548">
        <v>0.60760000000000003</v>
      </c>
      <c r="K455" s="1548">
        <v>0.60760000000000003</v>
      </c>
      <c r="L455" s="1548">
        <v>0.60760000000000003</v>
      </c>
      <c r="M455" s="1548">
        <v>0.60760000000000003</v>
      </c>
    </row>
    <row r="456" spans="1:13">
      <c r="A456" s="1549">
        <v>9.5</v>
      </c>
      <c r="B456" s="1548">
        <v>0.84009999999999996</v>
      </c>
      <c r="C456" s="1548">
        <v>0.84009999999999996</v>
      </c>
      <c r="D456" s="1548">
        <v>0.76759999999999995</v>
      </c>
      <c r="E456" s="1548">
        <v>0.76759999999999995</v>
      </c>
      <c r="F456" s="1548">
        <v>0.76759999999999995</v>
      </c>
      <c r="G456" s="1548">
        <v>0.76759999999999995</v>
      </c>
      <c r="H456" s="1548">
        <v>0.76759999999999995</v>
      </c>
      <c r="I456" s="1548">
        <v>0.60580000000000001</v>
      </c>
      <c r="J456" s="1548">
        <v>0.60580000000000001</v>
      </c>
      <c r="K456" s="1548">
        <v>0.60580000000000001</v>
      </c>
      <c r="L456" s="1548">
        <v>0.60580000000000001</v>
      </c>
      <c r="M456" s="1548">
        <v>0.60580000000000001</v>
      </c>
    </row>
    <row r="457" spans="1:13">
      <c r="A457" s="1549">
        <v>9.6</v>
      </c>
      <c r="B457" s="1548">
        <v>0.83899999999999997</v>
      </c>
      <c r="C457" s="1548">
        <v>0.83899999999999997</v>
      </c>
      <c r="D457" s="1548">
        <v>0.76619999999999999</v>
      </c>
      <c r="E457" s="1548">
        <v>0.76619999999999999</v>
      </c>
      <c r="F457" s="1548">
        <v>0.76619999999999999</v>
      </c>
      <c r="G457" s="1548">
        <v>0.76619999999999999</v>
      </c>
      <c r="H457" s="1548">
        <v>0.76619999999999999</v>
      </c>
      <c r="I457" s="1548">
        <v>0.60409999999999997</v>
      </c>
      <c r="J457" s="1548">
        <v>0.60409999999999997</v>
      </c>
      <c r="K457" s="1548">
        <v>0.60409999999999997</v>
      </c>
      <c r="L457" s="1548">
        <v>0.60409999999999997</v>
      </c>
      <c r="M457" s="1548">
        <v>0.60409999999999997</v>
      </c>
    </row>
    <row r="458" spans="1:13">
      <c r="A458" s="1549">
        <v>9.6999999999999993</v>
      </c>
      <c r="B458" s="1548">
        <v>0.83779999999999999</v>
      </c>
      <c r="C458" s="1548">
        <v>0.83779999999999999</v>
      </c>
      <c r="D458" s="1548">
        <v>0.76480000000000004</v>
      </c>
      <c r="E458" s="1548">
        <v>0.76480000000000004</v>
      </c>
      <c r="F458" s="1548">
        <v>0.76480000000000004</v>
      </c>
      <c r="G458" s="1548">
        <v>0.76480000000000004</v>
      </c>
      <c r="H458" s="1548">
        <v>0.76480000000000004</v>
      </c>
      <c r="I458" s="1548">
        <v>0.60240000000000005</v>
      </c>
      <c r="J458" s="1548">
        <v>0.60240000000000005</v>
      </c>
      <c r="K458" s="1548">
        <v>0.60240000000000005</v>
      </c>
      <c r="L458" s="1548">
        <v>0.60240000000000005</v>
      </c>
      <c r="M458" s="1548">
        <v>0.60240000000000005</v>
      </c>
    </row>
    <row r="459" spans="1:13">
      <c r="A459" s="1549">
        <v>9.8000000000000007</v>
      </c>
      <c r="B459" s="1548">
        <v>0.8367</v>
      </c>
      <c r="C459" s="1548">
        <v>0.8367</v>
      </c>
      <c r="D459" s="1548">
        <v>0.76329999999999998</v>
      </c>
      <c r="E459" s="1548">
        <v>0.76329999999999998</v>
      </c>
      <c r="F459" s="1548">
        <v>0.76329999999999998</v>
      </c>
      <c r="G459" s="1548">
        <v>0.76329999999999998</v>
      </c>
      <c r="H459" s="1548">
        <v>0.76329999999999998</v>
      </c>
      <c r="I459" s="1548">
        <v>0.60060000000000002</v>
      </c>
      <c r="J459" s="1548">
        <v>0.60060000000000002</v>
      </c>
      <c r="K459" s="1548">
        <v>0.60060000000000002</v>
      </c>
      <c r="L459" s="1548">
        <v>0.60060000000000002</v>
      </c>
      <c r="M459" s="1548">
        <v>0.60060000000000002</v>
      </c>
    </row>
    <row r="460" spans="1:13">
      <c r="A460" s="1549">
        <v>9.9</v>
      </c>
      <c r="B460" s="1548">
        <v>0.83560000000000001</v>
      </c>
      <c r="C460" s="1548">
        <v>0.83560000000000001</v>
      </c>
      <c r="D460" s="1548">
        <v>0.76190000000000002</v>
      </c>
      <c r="E460" s="1548">
        <v>0.76190000000000002</v>
      </c>
      <c r="F460" s="1548">
        <v>0.76190000000000002</v>
      </c>
      <c r="G460" s="1548">
        <v>0.76190000000000002</v>
      </c>
      <c r="H460" s="1548">
        <v>0.76190000000000002</v>
      </c>
      <c r="I460" s="1548">
        <v>0.59889999999999999</v>
      </c>
      <c r="J460" s="1548">
        <v>0.59889999999999999</v>
      </c>
      <c r="K460" s="1548">
        <v>0.59889999999999999</v>
      </c>
      <c r="L460" s="1548">
        <v>0.59889999999999999</v>
      </c>
      <c r="M460" s="1548">
        <v>0.59889999999999999</v>
      </c>
    </row>
  </sheetData>
  <sheetProtection password="CEE9" sheet="1" objects="1" scenarios="1" formatCells="0" formatColumns="0" formatRows="0"/>
  <phoneticPr fontId="25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7.5" style="1504" customWidth="1"/>
    <col min="2" max="2" width="13.875" style="1504" customWidth="1"/>
    <col min="3" max="7" width="8.875" style="1505"/>
    <col min="8" max="16384" width="8.875" style="1506"/>
  </cols>
  <sheetData>
    <row r="1" spans="1:7">
      <c r="A1" s="3907" t="s">
        <v>1922</v>
      </c>
      <c r="B1" s="3907"/>
    </row>
    <row r="2" spans="1:7">
      <c r="A2" s="1507"/>
      <c r="B2" s="1507"/>
    </row>
    <row r="3" spans="1:7">
      <c r="A3" s="1507"/>
      <c r="B3" s="1507"/>
      <c r="C3" s="1508" t="s">
        <v>437</v>
      </c>
      <c r="D3" s="1508" t="s">
        <v>438</v>
      </c>
      <c r="E3" s="1508" t="s">
        <v>402</v>
      </c>
      <c r="F3" s="1508" t="s">
        <v>164</v>
      </c>
      <c r="G3" s="1508" t="s">
        <v>297</v>
      </c>
    </row>
    <row r="4" spans="1:7">
      <c r="A4" s="1509" t="s">
        <v>1542</v>
      </c>
      <c r="B4" s="1510" t="s">
        <v>481</v>
      </c>
      <c r="C4" s="1508"/>
      <c r="D4" s="1508"/>
      <c r="E4" s="1508"/>
      <c r="F4" s="1508"/>
      <c r="G4" s="1508"/>
    </row>
    <row r="5" spans="1:7">
      <c r="A5" s="1511" t="s">
        <v>238</v>
      </c>
      <c r="B5" s="1512" t="s">
        <v>1530</v>
      </c>
      <c r="C5" s="1513">
        <v>9.8000000000000004E-2</v>
      </c>
      <c r="D5" s="1513">
        <v>8.6999999999999994E-2</v>
      </c>
      <c r="E5" s="1513">
        <v>8.6999999999999994E-2</v>
      </c>
      <c r="F5" s="1513">
        <v>9.8000000000000004E-2</v>
      </c>
      <c r="G5" s="1514">
        <v>9.5000000000000001E-2</v>
      </c>
    </row>
    <row r="6" spans="1:7">
      <c r="A6" s="1515" t="s">
        <v>238</v>
      </c>
      <c r="B6" s="1516" t="s">
        <v>1543</v>
      </c>
      <c r="C6" s="1517">
        <v>9.8000000000000004E-2</v>
      </c>
      <c r="D6" s="1517">
        <v>9.8000000000000004E-2</v>
      </c>
      <c r="E6" s="1517">
        <v>9.8000000000000004E-2</v>
      </c>
      <c r="F6" s="1517">
        <v>0.1</v>
      </c>
      <c r="G6" s="1518">
        <v>9.9000000000000005E-2</v>
      </c>
    </row>
    <row r="7" spans="1:7">
      <c r="A7" s="1515" t="s">
        <v>238</v>
      </c>
      <c r="B7" s="1516" t="s">
        <v>1556</v>
      </c>
      <c r="C7" s="1517">
        <v>9.7000000000000003E-2</v>
      </c>
      <c r="D7" s="1517">
        <v>9.7000000000000003E-2</v>
      </c>
      <c r="E7" s="1517">
        <v>9.6000000000000002E-2</v>
      </c>
      <c r="F7" s="1517">
        <v>0.1</v>
      </c>
      <c r="G7" s="1518">
        <v>9.8000000000000004E-2</v>
      </c>
    </row>
    <row r="8" spans="1:7">
      <c r="A8" s="1515" t="s">
        <v>238</v>
      </c>
      <c r="B8" s="1516" t="s">
        <v>1568</v>
      </c>
      <c r="C8" s="1517">
        <v>8.1000000000000003E-2</v>
      </c>
      <c r="D8" s="1517">
        <v>8.2000000000000003E-2</v>
      </c>
      <c r="E8" s="1517">
        <v>7.0000000000000007E-2</v>
      </c>
      <c r="F8" s="1517">
        <v>9.6000000000000002E-2</v>
      </c>
      <c r="G8" s="1518">
        <v>8.8999999999999996E-2</v>
      </c>
    </row>
    <row r="9" spans="1:7">
      <c r="A9" s="1519" t="s">
        <v>238</v>
      </c>
      <c r="B9" s="1520" t="s">
        <v>1580</v>
      </c>
      <c r="C9" s="1521">
        <v>0.1</v>
      </c>
      <c r="D9" s="1521">
        <v>0.1</v>
      </c>
      <c r="E9" s="1521">
        <v>0.1</v>
      </c>
      <c r="F9" s="1522"/>
      <c r="G9" s="1523">
        <v>0.1</v>
      </c>
    </row>
    <row r="10" spans="1:7">
      <c r="A10" s="1511" t="s">
        <v>251</v>
      </c>
      <c r="B10" s="1512" t="s">
        <v>1531</v>
      </c>
      <c r="C10" s="1513">
        <v>6.7000000000000004E-2</v>
      </c>
      <c r="D10" s="1513">
        <v>7.9000000000000001E-2</v>
      </c>
      <c r="E10" s="1513">
        <v>7.9000000000000001E-2</v>
      </c>
      <c r="F10" s="1513">
        <v>0.1</v>
      </c>
      <c r="G10" s="1514">
        <v>9.0999999999999998E-2</v>
      </c>
    </row>
    <row r="11" spans="1:7">
      <c r="A11" s="1515" t="s">
        <v>251</v>
      </c>
      <c r="B11" s="1516" t="s">
        <v>1544</v>
      </c>
      <c r="C11" s="1517">
        <v>0.05</v>
      </c>
      <c r="D11" s="1517">
        <v>5.2999999999999999E-2</v>
      </c>
      <c r="E11" s="1517">
        <v>6.3E-2</v>
      </c>
      <c r="F11" s="1517">
        <v>0.1</v>
      </c>
      <c r="G11" s="1518">
        <v>7.1999999999999995E-2</v>
      </c>
    </row>
    <row r="12" spans="1:7">
      <c r="A12" s="1515" t="s">
        <v>251</v>
      </c>
      <c r="B12" s="1516" t="s">
        <v>1557</v>
      </c>
      <c r="C12" s="1517">
        <v>5.2999999999999999E-2</v>
      </c>
      <c r="D12" s="1517">
        <v>0.09</v>
      </c>
      <c r="E12" s="1517">
        <v>7.1999999999999995E-2</v>
      </c>
      <c r="F12" s="1517">
        <v>0.1</v>
      </c>
      <c r="G12" s="1518">
        <v>9.7000000000000003E-2</v>
      </c>
    </row>
    <row r="13" spans="1:7">
      <c r="A13" s="1515" t="s">
        <v>251</v>
      </c>
      <c r="B13" s="1516" t="s">
        <v>1569</v>
      </c>
      <c r="C13" s="1517">
        <v>9.7000000000000003E-2</v>
      </c>
      <c r="D13" s="1517">
        <v>9.1999999999999998E-2</v>
      </c>
      <c r="E13" s="1517">
        <v>9.5000000000000001E-2</v>
      </c>
      <c r="F13" s="1517">
        <v>0.1</v>
      </c>
      <c r="G13" s="1518">
        <v>9.7000000000000003E-2</v>
      </c>
    </row>
    <row r="14" spans="1:7">
      <c r="A14" s="1515" t="s">
        <v>251</v>
      </c>
      <c r="B14" s="1516" t="s">
        <v>1581</v>
      </c>
      <c r="C14" s="1517">
        <v>9.7000000000000003E-2</v>
      </c>
      <c r="D14" s="1517">
        <v>9.7000000000000003E-2</v>
      </c>
      <c r="E14" s="1517">
        <v>9.7000000000000003E-2</v>
      </c>
      <c r="F14" s="1517">
        <v>0.1</v>
      </c>
      <c r="G14" s="1518">
        <v>9.8000000000000004E-2</v>
      </c>
    </row>
    <row r="15" spans="1:7">
      <c r="A15" s="1515" t="s">
        <v>251</v>
      </c>
      <c r="B15" s="1516" t="s">
        <v>1592</v>
      </c>
      <c r="C15" s="1517">
        <v>9.8000000000000004E-2</v>
      </c>
      <c r="D15" s="1517">
        <v>9.0999999999999998E-2</v>
      </c>
      <c r="E15" s="1517">
        <v>0.06</v>
      </c>
      <c r="F15" s="1517">
        <v>0.1</v>
      </c>
      <c r="G15" s="1518">
        <v>9.7000000000000003E-2</v>
      </c>
    </row>
    <row r="16" spans="1:7">
      <c r="A16" s="1515" t="s">
        <v>251</v>
      </c>
      <c r="B16" s="1516" t="s">
        <v>1603</v>
      </c>
      <c r="C16" s="1517">
        <v>9.8000000000000004E-2</v>
      </c>
      <c r="D16" s="1517">
        <v>9.7000000000000003E-2</v>
      </c>
      <c r="E16" s="1517">
        <v>9.5000000000000001E-2</v>
      </c>
      <c r="F16" s="1517">
        <v>0.1</v>
      </c>
      <c r="G16" s="1518">
        <v>9.9000000000000005E-2</v>
      </c>
    </row>
    <row r="17" spans="1:7">
      <c r="A17" s="1515" t="s">
        <v>251</v>
      </c>
      <c r="B17" s="1516" t="s">
        <v>1614</v>
      </c>
      <c r="C17" s="1517">
        <v>8.8999999999999996E-2</v>
      </c>
      <c r="D17" s="1517">
        <v>9.1999999999999998E-2</v>
      </c>
      <c r="E17" s="1517">
        <v>6.0999999999999999E-2</v>
      </c>
      <c r="F17" s="1517">
        <v>0.1</v>
      </c>
      <c r="G17" s="1518">
        <v>9.7000000000000003E-2</v>
      </c>
    </row>
    <row r="18" spans="1:7">
      <c r="A18" s="1515" t="s">
        <v>251</v>
      </c>
      <c r="B18" s="1516" t="s">
        <v>1624</v>
      </c>
      <c r="C18" s="1517">
        <v>9.8000000000000004E-2</v>
      </c>
      <c r="D18" s="1517">
        <v>9.8000000000000004E-2</v>
      </c>
      <c r="E18" s="1517">
        <v>9.8000000000000004E-2</v>
      </c>
      <c r="F18" s="1524"/>
      <c r="G18" s="1518">
        <v>9.9000000000000005E-2</v>
      </c>
    </row>
    <row r="19" spans="1:7">
      <c r="A19" s="1515" t="s">
        <v>251</v>
      </c>
      <c r="B19" s="1516" t="s">
        <v>1634</v>
      </c>
      <c r="C19" s="1517">
        <v>9.9000000000000005E-2</v>
      </c>
      <c r="D19" s="1517">
        <v>7.3999999999999996E-2</v>
      </c>
      <c r="E19" s="1517">
        <v>8.1000000000000003E-2</v>
      </c>
      <c r="F19" s="1524"/>
      <c r="G19" s="1518">
        <v>9.2999999999999999E-2</v>
      </c>
    </row>
    <row r="20" spans="1:7">
      <c r="A20" s="1515" t="s">
        <v>251</v>
      </c>
      <c r="B20" s="1516" t="s">
        <v>1644</v>
      </c>
      <c r="C20" s="1517">
        <v>0.1</v>
      </c>
      <c r="D20" s="1517">
        <v>8.8999999999999996E-2</v>
      </c>
      <c r="E20" s="1517">
        <v>8.8999999999999996E-2</v>
      </c>
      <c r="F20" s="1524"/>
      <c r="G20" s="1518">
        <v>9.5000000000000001E-2</v>
      </c>
    </row>
    <row r="21" spans="1:7">
      <c r="A21" s="1515" t="s">
        <v>251</v>
      </c>
      <c r="B21" s="1516" t="s">
        <v>1654</v>
      </c>
      <c r="C21" s="1517">
        <v>0.1</v>
      </c>
      <c r="D21" s="1517">
        <v>9.0999999999999998E-2</v>
      </c>
      <c r="E21" s="1517">
        <v>8.2000000000000003E-2</v>
      </c>
      <c r="F21" s="1524"/>
      <c r="G21" s="1518">
        <v>9.7000000000000003E-2</v>
      </c>
    </row>
    <row r="22" spans="1:7">
      <c r="A22" s="1515" t="s">
        <v>251</v>
      </c>
      <c r="B22" s="1516" t="s">
        <v>1664</v>
      </c>
      <c r="C22" s="1517">
        <v>9.5000000000000001E-2</v>
      </c>
      <c r="D22" s="1517">
        <v>9.9000000000000005E-2</v>
      </c>
      <c r="E22" s="1517">
        <v>9.8000000000000004E-2</v>
      </c>
      <c r="F22" s="1524"/>
      <c r="G22" s="1518">
        <v>0.1</v>
      </c>
    </row>
    <row r="23" spans="1:7">
      <c r="A23" s="1515" t="s">
        <v>251</v>
      </c>
      <c r="B23" s="1516" t="s">
        <v>1674</v>
      </c>
      <c r="C23" s="1517">
        <v>9.9000000000000005E-2</v>
      </c>
      <c r="D23" s="1517">
        <v>0.1</v>
      </c>
      <c r="E23" s="1517">
        <v>0.1</v>
      </c>
      <c r="F23" s="1524"/>
      <c r="G23" s="1518">
        <v>0.1</v>
      </c>
    </row>
    <row r="24" spans="1:7">
      <c r="A24" s="1515" t="s">
        <v>251</v>
      </c>
      <c r="B24" s="1516" t="s">
        <v>1684</v>
      </c>
      <c r="C24" s="1517">
        <v>9.5000000000000001E-2</v>
      </c>
      <c r="D24" s="1517">
        <v>0.1</v>
      </c>
      <c r="E24" s="1517">
        <v>9.8000000000000004E-2</v>
      </c>
      <c r="F24" s="1524"/>
      <c r="G24" s="1518">
        <v>0.1</v>
      </c>
    </row>
    <row r="25" spans="1:7">
      <c r="A25" s="1515" t="s">
        <v>251</v>
      </c>
      <c r="B25" s="1516" t="s">
        <v>1694</v>
      </c>
      <c r="C25" s="1517">
        <v>0.05</v>
      </c>
      <c r="D25" s="1517">
        <v>9.6000000000000002E-2</v>
      </c>
      <c r="E25" s="1517">
        <v>9.6000000000000002E-2</v>
      </c>
      <c r="F25" s="1524"/>
      <c r="G25" s="1518">
        <v>9.6000000000000002E-2</v>
      </c>
    </row>
    <row r="26" spans="1:7">
      <c r="A26" s="1515" t="s">
        <v>251</v>
      </c>
      <c r="B26" s="1516" t="s">
        <v>1704</v>
      </c>
      <c r="C26" s="1517">
        <v>6.3E-2</v>
      </c>
      <c r="D26" s="1517">
        <v>9.9000000000000005E-2</v>
      </c>
      <c r="E26" s="1517">
        <v>9.8000000000000004E-2</v>
      </c>
      <c r="F26" s="1524"/>
      <c r="G26" s="1518">
        <v>0.1</v>
      </c>
    </row>
    <row r="27" spans="1:7">
      <c r="A27" s="1515" t="s">
        <v>251</v>
      </c>
      <c r="B27" s="1516" t="s">
        <v>1714</v>
      </c>
      <c r="C27" s="1517">
        <v>5.1999999999999998E-2</v>
      </c>
      <c r="D27" s="1517">
        <v>9.5000000000000001E-2</v>
      </c>
      <c r="E27" s="1517">
        <v>6.4000000000000001E-2</v>
      </c>
      <c r="F27" s="1524"/>
      <c r="G27" s="1518">
        <v>9.7000000000000003E-2</v>
      </c>
    </row>
    <row r="28" spans="1:7">
      <c r="A28" s="1515" t="s">
        <v>251</v>
      </c>
      <c r="B28" s="1516" t="s">
        <v>1724</v>
      </c>
      <c r="C28" s="1524"/>
      <c r="D28" s="1517">
        <v>6.3E-2</v>
      </c>
      <c r="E28" s="1517">
        <v>5.1999999999999998E-2</v>
      </c>
      <c r="F28" s="1524"/>
      <c r="G28" s="1518">
        <v>6.3E-2</v>
      </c>
    </row>
    <row r="29" spans="1:7">
      <c r="A29" s="1519" t="s">
        <v>251</v>
      </c>
      <c r="B29" s="1520" t="s">
        <v>1734</v>
      </c>
      <c r="C29" s="1525"/>
      <c r="D29" s="1521">
        <v>5.1999999999999998E-2</v>
      </c>
      <c r="E29" s="1521">
        <v>7.0000000000000007E-2</v>
      </c>
      <c r="F29" s="1525"/>
      <c r="G29" s="1523">
        <v>7.0999999999999994E-2</v>
      </c>
    </row>
    <row r="30" spans="1:7">
      <c r="A30" s="1526" t="s">
        <v>263</v>
      </c>
      <c r="B30" s="1512" t="s">
        <v>1532</v>
      </c>
      <c r="C30" s="1513">
        <v>6.6000000000000003E-2</v>
      </c>
      <c r="D30" s="1513">
        <v>6.6000000000000003E-2</v>
      </c>
      <c r="E30" s="1513">
        <v>5.7000000000000002E-2</v>
      </c>
      <c r="F30" s="1513">
        <v>0.1</v>
      </c>
      <c r="G30" s="1514">
        <v>6.8000000000000005E-2</v>
      </c>
    </row>
    <row r="31" spans="1:7">
      <c r="A31" s="1527" t="s">
        <v>263</v>
      </c>
      <c r="B31" s="1516" t="s">
        <v>1545</v>
      </c>
      <c r="C31" s="1517">
        <v>5.5E-2</v>
      </c>
      <c r="D31" s="1517">
        <v>8.2000000000000003E-2</v>
      </c>
      <c r="E31" s="1517">
        <v>6.4000000000000001E-2</v>
      </c>
      <c r="F31" s="1517">
        <v>0.1</v>
      </c>
      <c r="G31" s="1518">
        <v>9.5000000000000001E-2</v>
      </c>
    </row>
    <row r="32" spans="1:7">
      <c r="A32" s="1527" t="s">
        <v>263</v>
      </c>
      <c r="B32" s="1516" t="s">
        <v>1558</v>
      </c>
      <c r="C32" s="1517">
        <v>8.2000000000000003E-2</v>
      </c>
      <c r="D32" s="1517">
        <v>8.6999999999999994E-2</v>
      </c>
      <c r="E32" s="1517">
        <v>9.5000000000000001E-2</v>
      </c>
      <c r="F32" s="1517">
        <v>0.1</v>
      </c>
      <c r="G32" s="1518">
        <v>9.6000000000000002E-2</v>
      </c>
    </row>
    <row r="33" spans="1:7">
      <c r="A33" s="1527" t="s">
        <v>263</v>
      </c>
      <c r="B33" s="1516" t="s">
        <v>1570</v>
      </c>
      <c r="C33" s="1517">
        <v>9.9000000000000005E-2</v>
      </c>
      <c r="D33" s="1517">
        <v>9.1999999999999998E-2</v>
      </c>
      <c r="E33" s="1517">
        <v>8.6999999999999994E-2</v>
      </c>
      <c r="F33" s="1517">
        <v>0.1</v>
      </c>
      <c r="G33" s="1518">
        <v>9.7000000000000003E-2</v>
      </c>
    </row>
    <row r="34" spans="1:7">
      <c r="A34" s="1527" t="s">
        <v>263</v>
      </c>
      <c r="B34" s="1516" t="s">
        <v>1582</v>
      </c>
      <c r="C34" s="1517">
        <v>8.4000000000000005E-2</v>
      </c>
      <c r="D34" s="1517">
        <v>9.7000000000000003E-2</v>
      </c>
      <c r="E34" s="1517">
        <v>7.0999999999999994E-2</v>
      </c>
      <c r="F34" s="1517">
        <v>0.1</v>
      </c>
      <c r="G34" s="1518">
        <v>9.8000000000000004E-2</v>
      </c>
    </row>
    <row r="35" spans="1:7">
      <c r="A35" s="1527" t="s">
        <v>263</v>
      </c>
      <c r="B35" s="1516" t="s">
        <v>1593</v>
      </c>
      <c r="C35" s="1517">
        <v>8.3000000000000004E-2</v>
      </c>
      <c r="D35" s="1517">
        <v>9.7000000000000003E-2</v>
      </c>
      <c r="E35" s="1517">
        <v>6.0999999999999999E-2</v>
      </c>
      <c r="F35" s="1517">
        <v>0.1</v>
      </c>
      <c r="G35" s="1518">
        <v>9.9000000000000005E-2</v>
      </c>
    </row>
    <row r="36" spans="1:7">
      <c r="A36" s="1527" t="s">
        <v>263</v>
      </c>
      <c r="B36" s="1516" t="s">
        <v>1604</v>
      </c>
      <c r="C36" s="1517">
        <v>9.7000000000000003E-2</v>
      </c>
      <c r="D36" s="1517">
        <v>9.7000000000000003E-2</v>
      </c>
      <c r="E36" s="1517">
        <v>7.8E-2</v>
      </c>
      <c r="F36" s="1517">
        <v>0.1</v>
      </c>
      <c r="G36" s="1518">
        <v>9.9000000000000005E-2</v>
      </c>
    </row>
    <row r="37" spans="1:7">
      <c r="A37" s="1527" t="s">
        <v>263</v>
      </c>
      <c r="B37" s="1516" t="s">
        <v>1615</v>
      </c>
      <c r="C37" s="1517">
        <v>9.7000000000000003E-2</v>
      </c>
      <c r="D37" s="1517">
        <v>9.5000000000000001E-2</v>
      </c>
      <c r="E37" s="1517">
        <v>7.8E-2</v>
      </c>
      <c r="F37" s="1517">
        <v>0.1</v>
      </c>
      <c r="G37" s="1518">
        <v>9.7000000000000003E-2</v>
      </c>
    </row>
    <row r="38" spans="1:7">
      <c r="A38" s="1527" t="s">
        <v>263</v>
      </c>
      <c r="B38" s="1516" t="s">
        <v>1625</v>
      </c>
      <c r="C38" s="1517">
        <v>9.7000000000000003E-2</v>
      </c>
      <c r="D38" s="1517">
        <v>7.6999999999999999E-2</v>
      </c>
      <c r="E38" s="1517">
        <v>7.0000000000000007E-2</v>
      </c>
      <c r="F38" s="1517">
        <v>0.1</v>
      </c>
      <c r="G38" s="1518">
        <v>7.6999999999999999E-2</v>
      </c>
    </row>
    <row r="39" spans="1:7">
      <c r="A39" s="1527" t="s">
        <v>263</v>
      </c>
      <c r="B39" s="1516" t="s">
        <v>1635</v>
      </c>
      <c r="C39" s="1517">
        <v>9.5000000000000001E-2</v>
      </c>
      <c r="D39" s="1517">
        <v>7.6999999999999999E-2</v>
      </c>
      <c r="E39" s="1517">
        <v>6.6000000000000003E-2</v>
      </c>
      <c r="F39" s="1517">
        <v>0.1</v>
      </c>
      <c r="G39" s="1518">
        <v>8.5999999999999993E-2</v>
      </c>
    </row>
    <row r="40" spans="1:7">
      <c r="A40" s="1527" t="s">
        <v>263</v>
      </c>
      <c r="B40" s="1516" t="s">
        <v>1645</v>
      </c>
      <c r="C40" s="1517">
        <v>7.6999999999999999E-2</v>
      </c>
      <c r="D40" s="1517">
        <v>7.8E-2</v>
      </c>
      <c r="E40" s="1517">
        <v>8.2000000000000003E-2</v>
      </c>
      <c r="F40" s="1528"/>
      <c r="G40" s="1518">
        <v>7.8E-2</v>
      </c>
    </row>
    <row r="41" spans="1:7">
      <c r="A41" s="1527" t="s">
        <v>263</v>
      </c>
      <c r="B41" s="1516" t="s">
        <v>1655</v>
      </c>
      <c r="C41" s="1517">
        <v>7.8E-2</v>
      </c>
      <c r="D41" s="1517">
        <v>7.8E-2</v>
      </c>
      <c r="E41" s="1517">
        <v>8.2000000000000003E-2</v>
      </c>
      <c r="F41" s="1528"/>
      <c r="G41" s="1518">
        <v>8.5999999999999993E-2</v>
      </c>
    </row>
    <row r="42" spans="1:7">
      <c r="A42" s="1527" t="s">
        <v>263</v>
      </c>
      <c r="B42" s="1516" t="s">
        <v>1665</v>
      </c>
      <c r="C42" s="1517">
        <v>7.8E-2</v>
      </c>
      <c r="D42" s="1517">
        <v>9.6000000000000002E-2</v>
      </c>
      <c r="E42" s="1517">
        <v>7.1999999999999995E-2</v>
      </c>
      <c r="F42" s="1528"/>
      <c r="G42" s="1518">
        <v>9.8000000000000004E-2</v>
      </c>
    </row>
    <row r="43" spans="1:7">
      <c r="A43" s="1527" t="s">
        <v>263</v>
      </c>
      <c r="B43" s="1516" t="s">
        <v>1675</v>
      </c>
      <c r="C43" s="1517">
        <v>7.8E-2</v>
      </c>
      <c r="D43" s="1517">
        <v>9.9000000000000005E-2</v>
      </c>
      <c r="E43" s="1517">
        <v>9.6000000000000002E-2</v>
      </c>
      <c r="F43" s="1528"/>
      <c r="G43" s="1518">
        <v>0.1</v>
      </c>
    </row>
    <row r="44" spans="1:7">
      <c r="A44" s="1527" t="s">
        <v>263</v>
      </c>
      <c r="B44" s="1516" t="s">
        <v>1685</v>
      </c>
      <c r="C44" s="1517">
        <v>9.6000000000000002E-2</v>
      </c>
      <c r="D44" s="1517">
        <v>0.1</v>
      </c>
      <c r="E44" s="1517">
        <v>9.8000000000000004E-2</v>
      </c>
      <c r="F44" s="1528"/>
      <c r="G44" s="1518">
        <v>0.1</v>
      </c>
    </row>
    <row r="45" spans="1:7">
      <c r="A45" s="1527" t="s">
        <v>263</v>
      </c>
      <c r="B45" s="1516" t="s">
        <v>1695</v>
      </c>
      <c r="C45" s="1517">
        <v>9.9000000000000005E-2</v>
      </c>
      <c r="D45" s="1517">
        <v>9.8000000000000004E-2</v>
      </c>
      <c r="E45" s="1517">
        <v>9.5000000000000001E-2</v>
      </c>
      <c r="F45" s="1528"/>
      <c r="G45" s="1518">
        <v>9.8000000000000004E-2</v>
      </c>
    </row>
    <row r="46" spans="1:7">
      <c r="A46" s="1527" t="s">
        <v>263</v>
      </c>
      <c r="B46" s="1516" t="s">
        <v>1705</v>
      </c>
      <c r="C46" s="1517">
        <v>0.1</v>
      </c>
      <c r="D46" s="1517">
        <v>9.9000000000000005E-2</v>
      </c>
      <c r="E46" s="1517">
        <v>9.6000000000000002E-2</v>
      </c>
      <c r="F46" s="1528"/>
      <c r="G46" s="1518">
        <v>0.1</v>
      </c>
    </row>
    <row r="47" spans="1:7">
      <c r="A47" s="1527" t="s">
        <v>263</v>
      </c>
      <c r="B47" s="1516" t="s">
        <v>1715</v>
      </c>
      <c r="C47" s="1517">
        <v>9.8000000000000004E-2</v>
      </c>
      <c r="D47" s="1517">
        <v>8.6999999999999994E-2</v>
      </c>
      <c r="E47" s="1517">
        <v>5.8999999999999997E-2</v>
      </c>
      <c r="F47" s="1528"/>
      <c r="G47" s="1518">
        <v>9.6000000000000002E-2</v>
      </c>
    </row>
    <row r="48" spans="1:7">
      <c r="A48" s="1527" t="s">
        <v>263</v>
      </c>
      <c r="B48" s="1516" t="s">
        <v>1725</v>
      </c>
      <c r="C48" s="1517">
        <v>9.9000000000000005E-2</v>
      </c>
      <c r="D48" s="1517">
        <v>9.8000000000000004E-2</v>
      </c>
      <c r="E48" s="1517">
        <v>9.5000000000000001E-2</v>
      </c>
      <c r="F48" s="1528"/>
      <c r="G48" s="1518">
        <v>9.8000000000000004E-2</v>
      </c>
    </row>
    <row r="49" spans="1:7">
      <c r="A49" s="1527" t="s">
        <v>263</v>
      </c>
      <c r="B49" s="1516" t="s">
        <v>1735</v>
      </c>
      <c r="C49" s="1517">
        <v>8.7999999999999995E-2</v>
      </c>
      <c r="D49" s="1517">
        <v>9.9000000000000005E-2</v>
      </c>
      <c r="E49" s="1517">
        <v>7.0000000000000007E-2</v>
      </c>
      <c r="F49" s="1528"/>
      <c r="G49" s="1518">
        <v>0.1</v>
      </c>
    </row>
    <row r="50" spans="1:7">
      <c r="A50" s="1527" t="s">
        <v>263</v>
      </c>
      <c r="B50" s="1516" t="s">
        <v>1744</v>
      </c>
      <c r="C50" s="1517">
        <v>9.8000000000000004E-2</v>
      </c>
      <c r="D50" s="1517">
        <v>7.2999999999999995E-2</v>
      </c>
      <c r="E50" s="1517">
        <v>7.0999999999999994E-2</v>
      </c>
      <c r="F50" s="1528"/>
      <c r="G50" s="1518">
        <v>7.2999999999999995E-2</v>
      </c>
    </row>
    <row r="51" spans="1:7">
      <c r="A51" s="1527" t="s">
        <v>263</v>
      </c>
      <c r="B51" s="1516" t="s">
        <v>1752</v>
      </c>
      <c r="C51" s="1517">
        <v>9.9000000000000005E-2</v>
      </c>
      <c r="D51" s="1517">
        <v>8.5000000000000006E-2</v>
      </c>
      <c r="E51" s="1517">
        <v>6.3E-2</v>
      </c>
      <c r="F51" s="1528"/>
      <c r="G51" s="1518">
        <v>9.6000000000000002E-2</v>
      </c>
    </row>
    <row r="52" spans="1:7">
      <c r="A52" s="1527" t="s">
        <v>263</v>
      </c>
      <c r="B52" s="1516" t="s">
        <v>1760</v>
      </c>
      <c r="C52" s="1517">
        <v>7.3999999999999996E-2</v>
      </c>
      <c r="D52" s="1517">
        <v>9.6000000000000002E-2</v>
      </c>
      <c r="E52" s="1517">
        <v>0.05</v>
      </c>
      <c r="F52" s="1528"/>
      <c r="G52" s="1518">
        <v>9.8000000000000004E-2</v>
      </c>
    </row>
    <row r="53" spans="1:7">
      <c r="A53" s="1527" t="s">
        <v>263</v>
      </c>
      <c r="B53" s="1516" t="s">
        <v>1768</v>
      </c>
      <c r="C53" s="1517">
        <v>8.5999999999999993E-2</v>
      </c>
      <c r="D53" s="1528"/>
      <c r="E53" s="1517">
        <v>9.1999999999999998E-2</v>
      </c>
      <c r="F53" s="1528"/>
      <c r="G53" s="1529"/>
    </row>
    <row r="54" spans="1:7">
      <c r="A54" s="1530" t="s">
        <v>263</v>
      </c>
      <c r="B54" s="1520" t="s">
        <v>1776</v>
      </c>
      <c r="C54" s="1521">
        <v>9.6000000000000002E-2</v>
      </c>
      <c r="D54" s="1522"/>
      <c r="E54" s="1531"/>
      <c r="F54" s="1522"/>
      <c r="G54" s="1532"/>
    </row>
    <row r="55" spans="1:7">
      <c r="A55" s="1526" t="s">
        <v>273</v>
      </c>
      <c r="B55" s="1512" t="s">
        <v>1533</v>
      </c>
      <c r="C55" s="1513">
        <v>9.6000000000000002E-2</v>
      </c>
      <c r="D55" s="1513">
        <v>8.4000000000000005E-2</v>
      </c>
      <c r="E55" s="1513">
        <v>9.1999999999999998E-2</v>
      </c>
      <c r="F55" s="1513">
        <v>0.1</v>
      </c>
      <c r="G55" s="1514">
        <v>9.5000000000000001E-2</v>
      </c>
    </row>
    <row r="56" spans="1:7">
      <c r="A56" s="1527" t="s">
        <v>273</v>
      </c>
      <c r="B56" s="1516" t="s">
        <v>1546</v>
      </c>
      <c r="C56" s="1517">
        <v>8.4000000000000005E-2</v>
      </c>
      <c r="D56" s="1517">
        <v>9.1999999999999998E-2</v>
      </c>
      <c r="E56" s="1517">
        <v>9.5000000000000001E-2</v>
      </c>
      <c r="F56" s="1517">
        <v>9.1999999999999998E-2</v>
      </c>
      <c r="G56" s="1518">
        <v>9.6000000000000002E-2</v>
      </c>
    </row>
    <row r="57" spans="1:7">
      <c r="A57" s="1527" t="s">
        <v>273</v>
      </c>
      <c r="B57" s="1516" t="s">
        <v>1559</v>
      </c>
      <c r="C57" s="1517">
        <v>9.9000000000000005E-2</v>
      </c>
      <c r="D57" s="1517">
        <v>9.6000000000000002E-2</v>
      </c>
      <c r="E57" s="1517">
        <v>9.1999999999999998E-2</v>
      </c>
      <c r="F57" s="1517">
        <v>0.1</v>
      </c>
      <c r="G57" s="1518">
        <v>9.8000000000000004E-2</v>
      </c>
    </row>
    <row r="58" spans="1:7">
      <c r="A58" s="1527" t="s">
        <v>273</v>
      </c>
      <c r="B58" s="1516" t="s">
        <v>1571</v>
      </c>
      <c r="C58" s="1517">
        <v>9.8000000000000004E-2</v>
      </c>
      <c r="D58" s="1517">
        <v>9.5000000000000001E-2</v>
      </c>
      <c r="E58" s="1517">
        <v>5.7000000000000002E-2</v>
      </c>
      <c r="F58" s="1517">
        <v>0.1</v>
      </c>
      <c r="G58" s="1518">
        <v>9.6000000000000002E-2</v>
      </c>
    </row>
    <row r="59" spans="1:7">
      <c r="A59" s="1527" t="s">
        <v>273</v>
      </c>
      <c r="B59" s="1516" t="s">
        <v>1583</v>
      </c>
      <c r="C59" s="1517">
        <v>9.5000000000000001E-2</v>
      </c>
      <c r="D59" s="1517">
        <v>0.1</v>
      </c>
      <c r="E59" s="1517">
        <v>7.4999999999999997E-2</v>
      </c>
      <c r="F59" s="1517">
        <v>0.1</v>
      </c>
      <c r="G59" s="1518">
        <v>0.1</v>
      </c>
    </row>
    <row r="60" spans="1:7">
      <c r="A60" s="1527" t="s">
        <v>273</v>
      </c>
      <c r="B60" s="1516" t="s">
        <v>1594</v>
      </c>
      <c r="C60" s="1517">
        <v>0.1</v>
      </c>
      <c r="D60" s="1517">
        <v>9.7000000000000003E-2</v>
      </c>
      <c r="E60" s="1517">
        <v>0.1</v>
      </c>
      <c r="F60" s="1517">
        <v>0.1</v>
      </c>
      <c r="G60" s="1518">
        <v>9.7000000000000003E-2</v>
      </c>
    </row>
    <row r="61" spans="1:7">
      <c r="A61" s="1527" t="s">
        <v>273</v>
      </c>
      <c r="B61" s="1516" t="s">
        <v>1605</v>
      </c>
      <c r="C61" s="1517">
        <v>9.7000000000000003E-2</v>
      </c>
      <c r="D61" s="1517">
        <v>0.1</v>
      </c>
      <c r="E61" s="1517">
        <v>9.2999999999999999E-2</v>
      </c>
      <c r="F61" s="1517">
        <v>0.1</v>
      </c>
      <c r="G61" s="1518">
        <v>0.1</v>
      </c>
    </row>
    <row r="62" spans="1:7">
      <c r="A62" s="1527" t="s">
        <v>273</v>
      </c>
      <c r="B62" s="1516" t="s">
        <v>1616</v>
      </c>
      <c r="C62" s="1517">
        <v>0.1</v>
      </c>
      <c r="D62" s="1517">
        <v>9.7000000000000003E-2</v>
      </c>
      <c r="E62" s="1517">
        <v>8.8999999999999996E-2</v>
      </c>
      <c r="F62" s="1517">
        <v>0.1</v>
      </c>
      <c r="G62" s="1518">
        <v>9.8000000000000004E-2</v>
      </c>
    </row>
    <row r="63" spans="1:7">
      <c r="A63" s="1527" t="s">
        <v>273</v>
      </c>
      <c r="B63" s="1516" t="s">
        <v>1626</v>
      </c>
      <c r="C63" s="1517">
        <v>9.7000000000000003E-2</v>
      </c>
      <c r="D63" s="1517">
        <v>9.7000000000000003E-2</v>
      </c>
      <c r="E63" s="1517">
        <v>9.9000000000000005E-2</v>
      </c>
      <c r="F63" s="1517">
        <v>0.1</v>
      </c>
      <c r="G63" s="1518">
        <v>9.7000000000000003E-2</v>
      </c>
    </row>
    <row r="64" spans="1:7">
      <c r="A64" s="1527" t="s">
        <v>273</v>
      </c>
      <c r="B64" s="1516" t="s">
        <v>1636</v>
      </c>
      <c r="C64" s="1517">
        <v>9.7000000000000003E-2</v>
      </c>
      <c r="D64" s="1517">
        <v>7.3999999999999996E-2</v>
      </c>
      <c r="E64" s="1517">
        <v>7.8E-2</v>
      </c>
      <c r="F64" s="1517">
        <v>0.1</v>
      </c>
      <c r="G64" s="1518">
        <v>8.8999999999999996E-2</v>
      </c>
    </row>
    <row r="65" spans="1:7">
      <c r="A65" s="1527" t="s">
        <v>273</v>
      </c>
      <c r="B65" s="1516" t="s">
        <v>1646</v>
      </c>
      <c r="C65" s="1517">
        <v>7.2999999999999995E-2</v>
      </c>
      <c r="D65" s="1517">
        <v>9.8000000000000004E-2</v>
      </c>
      <c r="E65" s="1517">
        <v>9.5000000000000001E-2</v>
      </c>
      <c r="F65" s="1517">
        <v>0.1</v>
      </c>
      <c r="G65" s="1518">
        <v>9.9000000000000005E-2</v>
      </c>
    </row>
    <row r="66" spans="1:7">
      <c r="A66" s="1527" t="s">
        <v>273</v>
      </c>
      <c r="B66" s="1516" t="s">
        <v>1656</v>
      </c>
      <c r="C66" s="1517">
        <v>9.8000000000000004E-2</v>
      </c>
      <c r="D66" s="1517">
        <v>9.5000000000000001E-2</v>
      </c>
      <c r="E66" s="1517">
        <v>0.05</v>
      </c>
      <c r="F66" s="1517">
        <v>0.1</v>
      </c>
      <c r="G66" s="1518">
        <v>9.7000000000000003E-2</v>
      </c>
    </row>
    <row r="67" spans="1:7">
      <c r="A67" s="1527" t="s">
        <v>273</v>
      </c>
      <c r="B67" s="1516" t="s">
        <v>1666</v>
      </c>
      <c r="C67" s="1517">
        <v>9.5000000000000001E-2</v>
      </c>
      <c r="D67" s="1517">
        <v>9.7000000000000003E-2</v>
      </c>
      <c r="E67" s="1517">
        <v>9.7000000000000003E-2</v>
      </c>
      <c r="F67" s="1517">
        <v>0.1</v>
      </c>
      <c r="G67" s="1518">
        <v>9.9000000000000005E-2</v>
      </c>
    </row>
    <row r="68" spans="1:7">
      <c r="A68" s="1527" t="s">
        <v>273</v>
      </c>
      <c r="B68" s="1516" t="s">
        <v>1676</v>
      </c>
      <c r="C68" s="1517">
        <v>9.7000000000000003E-2</v>
      </c>
      <c r="D68" s="1517">
        <v>6.8000000000000005E-2</v>
      </c>
      <c r="E68" s="1517">
        <v>6.6000000000000003E-2</v>
      </c>
      <c r="F68" s="1517">
        <v>0.1</v>
      </c>
      <c r="G68" s="1518">
        <v>8.4000000000000005E-2</v>
      </c>
    </row>
    <row r="69" spans="1:7">
      <c r="A69" s="1527" t="s">
        <v>273</v>
      </c>
      <c r="B69" s="1516" t="s">
        <v>1686</v>
      </c>
      <c r="C69" s="1517">
        <v>6.8000000000000005E-2</v>
      </c>
      <c r="D69" s="1517">
        <v>9.8000000000000004E-2</v>
      </c>
      <c r="E69" s="1517">
        <v>9.5000000000000001E-2</v>
      </c>
      <c r="F69" s="1517">
        <v>0.1</v>
      </c>
      <c r="G69" s="1518">
        <v>0.1</v>
      </c>
    </row>
    <row r="70" spans="1:7">
      <c r="A70" s="1527" t="s">
        <v>273</v>
      </c>
      <c r="B70" s="1516" t="s">
        <v>1696</v>
      </c>
      <c r="C70" s="1517">
        <v>9.8000000000000004E-2</v>
      </c>
      <c r="D70" s="1517">
        <v>8.8999999999999996E-2</v>
      </c>
      <c r="E70" s="1517">
        <v>5.8999999999999997E-2</v>
      </c>
      <c r="F70" s="1517">
        <v>0.1</v>
      </c>
      <c r="G70" s="1518">
        <v>9.6000000000000002E-2</v>
      </c>
    </row>
    <row r="71" spans="1:7">
      <c r="A71" s="1527" t="s">
        <v>273</v>
      </c>
      <c r="B71" s="1516" t="s">
        <v>1706</v>
      </c>
      <c r="C71" s="1517">
        <v>8.8999999999999996E-2</v>
      </c>
      <c r="D71" s="1517">
        <v>9.9000000000000005E-2</v>
      </c>
      <c r="E71" s="1517">
        <v>9.6000000000000002E-2</v>
      </c>
      <c r="F71" s="1517">
        <v>0.1</v>
      </c>
      <c r="G71" s="1518">
        <v>0.1</v>
      </c>
    </row>
    <row r="72" spans="1:7">
      <c r="A72" s="1527" t="s">
        <v>273</v>
      </c>
      <c r="B72" s="1516" t="s">
        <v>1716</v>
      </c>
      <c r="C72" s="1517">
        <v>9.9000000000000005E-2</v>
      </c>
      <c r="D72" s="1517">
        <v>0.1</v>
      </c>
      <c r="E72" s="1517">
        <v>7.0000000000000007E-2</v>
      </c>
      <c r="F72" s="1528"/>
      <c r="G72" s="1518">
        <v>0.1</v>
      </c>
    </row>
    <row r="73" spans="1:7">
      <c r="A73" s="1527" t="s">
        <v>273</v>
      </c>
      <c r="B73" s="1516" t="s">
        <v>1726</v>
      </c>
      <c r="C73" s="1517">
        <v>0.1</v>
      </c>
      <c r="D73" s="1517">
        <v>0.1</v>
      </c>
      <c r="E73" s="1517">
        <v>9.6000000000000002E-2</v>
      </c>
      <c r="F73" s="1528"/>
      <c r="G73" s="1518">
        <v>0.1</v>
      </c>
    </row>
    <row r="74" spans="1:7">
      <c r="A74" s="1527" t="s">
        <v>273</v>
      </c>
      <c r="B74" s="1516" t="s">
        <v>1736</v>
      </c>
      <c r="C74" s="1517">
        <v>0.1</v>
      </c>
      <c r="D74" s="1517">
        <v>0.1</v>
      </c>
      <c r="E74" s="1517">
        <v>9.8000000000000004E-2</v>
      </c>
      <c r="F74" s="1528"/>
      <c r="G74" s="1518">
        <v>0.1</v>
      </c>
    </row>
    <row r="75" spans="1:7">
      <c r="A75" s="1527" t="s">
        <v>273</v>
      </c>
      <c r="B75" s="1516" t="s">
        <v>1745</v>
      </c>
      <c r="C75" s="1517">
        <v>0.1</v>
      </c>
      <c r="D75" s="1517">
        <v>9.9000000000000005E-2</v>
      </c>
      <c r="E75" s="1517">
        <v>9.8000000000000004E-2</v>
      </c>
      <c r="F75" s="1528"/>
      <c r="G75" s="1518">
        <v>0.1</v>
      </c>
    </row>
    <row r="76" spans="1:7">
      <c r="A76" s="1527" t="s">
        <v>273</v>
      </c>
      <c r="B76" s="1516" t="s">
        <v>1753</v>
      </c>
      <c r="C76" s="1517">
        <v>9.9000000000000005E-2</v>
      </c>
      <c r="D76" s="1517">
        <v>0.1</v>
      </c>
      <c r="E76" s="1517">
        <v>9.7000000000000003E-2</v>
      </c>
      <c r="F76" s="1528"/>
      <c r="G76" s="1518">
        <v>0.1</v>
      </c>
    </row>
    <row r="77" spans="1:7">
      <c r="A77" s="1527" t="s">
        <v>273</v>
      </c>
      <c r="B77" s="1516" t="s">
        <v>1761</v>
      </c>
      <c r="C77" s="1517">
        <v>0.1</v>
      </c>
      <c r="D77" s="1517">
        <v>0.1</v>
      </c>
      <c r="E77" s="1517">
        <v>9.6000000000000002E-2</v>
      </c>
      <c r="F77" s="1528"/>
      <c r="G77" s="1518">
        <v>0.1</v>
      </c>
    </row>
    <row r="78" spans="1:7">
      <c r="A78" s="1527" t="s">
        <v>273</v>
      </c>
      <c r="B78" s="1516" t="s">
        <v>1769</v>
      </c>
      <c r="C78" s="1517">
        <v>0.1</v>
      </c>
      <c r="D78" s="1517">
        <v>8.5000000000000006E-2</v>
      </c>
      <c r="E78" s="1517">
        <v>9.6000000000000002E-2</v>
      </c>
      <c r="F78" s="1528"/>
      <c r="G78" s="1518">
        <v>9.6000000000000002E-2</v>
      </c>
    </row>
    <row r="79" spans="1:7">
      <c r="A79" s="1527" t="s">
        <v>273</v>
      </c>
      <c r="B79" s="1516" t="s">
        <v>1777</v>
      </c>
      <c r="C79" s="1517">
        <v>0.05</v>
      </c>
      <c r="D79" s="1517">
        <v>9.6000000000000002E-2</v>
      </c>
      <c r="E79" s="1517">
        <v>9.5000000000000001E-2</v>
      </c>
      <c r="F79" s="1528"/>
      <c r="G79" s="1518">
        <v>9.8000000000000004E-2</v>
      </c>
    </row>
    <row r="80" spans="1:7">
      <c r="A80" s="1527" t="s">
        <v>273</v>
      </c>
      <c r="B80" s="1516" t="s">
        <v>1784</v>
      </c>
      <c r="C80" s="1517">
        <v>8.5999999999999993E-2</v>
      </c>
      <c r="D80" s="1533"/>
      <c r="E80" s="1517">
        <v>0.1</v>
      </c>
      <c r="F80" s="1528"/>
      <c r="G80" s="1529"/>
    </row>
    <row r="81" spans="1:7">
      <c r="A81" s="1527" t="s">
        <v>273</v>
      </c>
      <c r="B81" s="1516" t="s">
        <v>1791</v>
      </c>
      <c r="C81" s="1517">
        <v>9.6000000000000002E-2</v>
      </c>
      <c r="D81" s="1528"/>
      <c r="E81" s="1517">
        <v>9.8000000000000004E-2</v>
      </c>
      <c r="F81" s="1528"/>
      <c r="G81" s="1529"/>
    </row>
    <row r="82" spans="1:7">
      <c r="A82" s="1527" t="s">
        <v>273</v>
      </c>
      <c r="B82" s="1516" t="s">
        <v>1798</v>
      </c>
      <c r="C82" s="1533"/>
      <c r="D82" s="1528"/>
      <c r="E82" s="1517">
        <v>7.6999999999999999E-2</v>
      </c>
      <c r="F82" s="1528"/>
      <c r="G82" s="1529"/>
    </row>
    <row r="83" spans="1:7">
      <c r="A83" s="1527" t="s">
        <v>273</v>
      </c>
      <c r="B83" s="1516" t="s">
        <v>1805</v>
      </c>
      <c r="C83" s="1528"/>
      <c r="D83" s="1528"/>
      <c r="E83" s="1528"/>
      <c r="F83" s="1517">
        <v>0.1</v>
      </c>
      <c r="G83" s="1534"/>
    </row>
    <row r="84" spans="1:7">
      <c r="A84" s="1527" t="s">
        <v>273</v>
      </c>
      <c r="B84" s="1516" t="s">
        <v>1812</v>
      </c>
      <c r="C84" s="1528"/>
      <c r="D84" s="1528"/>
      <c r="E84" s="1528"/>
      <c r="F84" s="1517">
        <v>0.1</v>
      </c>
      <c r="G84" s="1534"/>
    </row>
    <row r="85" spans="1:7">
      <c r="A85" s="1527" t="s">
        <v>273</v>
      </c>
      <c r="B85" s="1516" t="s">
        <v>1819</v>
      </c>
      <c r="C85" s="1528"/>
      <c r="D85" s="1528"/>
      <c r="E85" s="1528"/>
      <c r="F85" s="1517">
        <v>0.1</v>
      </c>
      <c r="G85" s="1534"/>
    </row>
    <row r="86" spans="1:7">
      <c r="A86" s="1530" t="s">
        <v>273</v>
      </c>
      <c r="B86" s="1520" t="s">
        <v>1826</v>
      </c>
      <c r="C86" s="1521">
        <v>9.8000000000000004E-2</v>
      </c>
      <c r="D86" s="1521">
        <v>9.8000000000000004E-2</v>
      </c>
      <c r="E86" s="1521">
        <v>9.6000000000000002E-2</v>
      </c>
      <c r="F86" s="1531"/>
      <c r="G86" s="1523">
        <v>0.1</v>
      </c>
    </row>
    <row r="87" spans="1:7">
      <c r="A87" s="1526" t="s">
        <v>282</v>
      </c>
      <c r="B87" s="1512" t="s">
        <v>1534</v>
      </c>
      <c r="C87" s="1513">
        <v>0.1</v>
      </c>
      <c r="D87" s="1513">
        <v>0.1</v>
      </c>
      <c r="E87" s="1513">
        <v>9.8000000000000004E-2</v>
      </c>
      <c r="F87" s="1513">
        <v>0.1</v>
      </c>
      <c r="G87" s="1514">
        <v>0.1</v>
      </c>
    </row>
    <row r="88" spans="1:7">
      <c r="A88" s="1527" t="s">
        <v>282</v>
      </c>
      <c r="B88" s="1516" t="s">
        <v>1547</v>
      </c>
      <c r="C88" s="1517">
        <v>9.0999999999999998E-2</v>
      </c>
      <c r="D88" s="1517">
        <v>9.1999999999999998E-2</v>
      </c>
      <c r="E88" s="1517">
        <v>0.1</v>
      </c>
      <c r="F88" s="1517">
        <v>0.1</v>
      </c>
      <c r="G88" s="1518">
        <v>9.6000000000000002E-2</v>
      </c>
    </row>
    <row r="89" spans="1:7">
      <c r="A89" s="1527" t="s">
        <v>282</v>
      </c>
      <c r="B89" s="1516" t="s">
        <v>1560</v>
      </c>
      <c r="C89" s="1517">
        <v>0.1</v>
      </c>
      <c r="D89" s="1517">
        <v>0.1</v>
      </c>
      <c r="E89" s="1517">
        <v>6.7000000000000004E-2</v>
      </c>
      <c r="F89" s="1517">
        <v>9.2999999999999999E-2</v>
      </c>
      <c r="G89" s="1518">
        <v>0.1</v>
      </c>
    </row>
    <row r="90" spans="1:7">
      <c r="A90" s="1527" t="s">
        <v>282</v>
      </c>
      <c r="B90" s="1516" t="s">
        <v>1572</v>
      </c>
      <c r="C90" s="1517">
        <v>9.6000000000000002E-2</v>
      </c>
      <c r="D90" s="1517">
        <v>9.6000000000000002E-2</v>
      </c>
      <c r="E90" s="1517">
        <v>0.1</v>
      </c>
      <c r="F90" s="1517">
        <v>0.1</v>
      </c>
      <c r="G90" s="1518">
        <v>9.8000000000000004E-2</v>
      </c>
    </row>
    <row r="91" spans="1:7">
      <c r="A91" s="1527" t="s">
        <v>282</v>
      </c>
      <c r="B91" s="1516" t="s">
        <v>1584</v>
      </c>
      <c r="C91" s="1517">
        <v>7.6999999999999999E-2</v>
      </c>
      <c r="D91" s="1517">
        <v>7.6999999999999999E-2</v>
      </c>
      <c r="E91" s="1517">
        <v>9.6000000000000002E-2</v>
      </c>
      <c r="F91" s="1517">
        <v>0.1</v>
      </c>
      <c r="G91" s="1518">
        <v>7.6999999999999999E-2</v>
      </c>
    </row>
    <row r="92" spans="1:7">
      <c r="A92" s="1527" t="s">
        <v>282</v>
      </c>
      <c r="B92" s="1516" t="s">
        <v>1595</v>
      </c>
      <c r="C92" s="1517">
        <v>0.1</v>
      </c>
      <c r="D92" s="1517">
        <v>0.1</v>
      </c>
      <c r="E92" s="1517">
        <v>9.1999999999999998E-2</v>
      </c>
      <c r="F92" s="1517">
        <v>0.1</v>
      </c>
      <c r="G92" s="1518">
        <v>0.1</v>
      </c>
    </row>
    <row r="93" spans="1:7">
      <c r="A93" s="1527" t="s">
        <v>282</v>
      </c>
      <c r="B93" s="1516" t="s">
        <v>1606</v>
      </c>
      <c r="C93" s="1517">
        <v>9.8000000000000004E-2</v>
      </c>
      <c r="D93" s="1517">
        <v>9.8000000000000004E-2</v>
      </c>
      <c r="E93" s="1517">
        <v>9.6000000000000002E-2</v>
      </c>
      <c r="F93" s="1517">
        <v>0.1</v>
      </c>
      <c r="G93" s="1518">
        <v>9.9000000000000005E-2</v>
      </c>
    </row>
    <row r="94" spans="1:7">
      <c r="A94" s="1527" t="s">
        <v>282</v>
      </c>
      <c r="B94" s="1516" t="s">
        <v>1617</v>
      </c>
      <c r="C94" s="1517">
        <v>8.7999999999999995E-2</v>
      </c>
      <c r="D94" s="1517">
        <v>8.7999999999999995E-2</v>
      </c>
      <c r="E94" s="1517">
        <v>9.6000000000000002E-2</v>
      </c>
      <c r="F94" s="1517">
        <v>0.1</v>
      </c>
      <c r="G94" s="1518">
        <v>8.7999999999999995E-2</v>
      </c>
    </row>
    <row r="95" spans="1:7">
      <c r="A95" s="1527" t="s">
        <v>282</v>
      </c>
      <c r="B95" s="1516" t="s">
        <v>1627</v>
      </c>
      <c r="C95" s="1517">
        <v>9.6000000000000002E-2</v>
      </c>
      <c r="D95" s="1517">
        <v>9.6000000000000002E-2</v>
      </c>
      <c r="E95" s="1517">
        <v>0.1</v>
      </c>
      <c r="F95" s="1517">
        <v>0.1</v>
      </c>
      <c r="G95" s="1518">
        <v>9.8000000000000004E-2</v>
      </c>
    </row>
    <row r="96" spans="1:7">
      <c r="A96" s="1527" t="s">
        <v>282</v>
      </c>
      <c r="B96" s="1516" t="s">
        <v>1637</v>
      </c>
      <c r="C96" s="1517">
        <v>9.7000000000000003E-2</v>
      </c>
      <c r="D96" s="1517">
        <v>9.7000000000000003E-2</v>
      </c>
      <c r="E96" s="1517">
        <v>0.1</v>
      </c>
      <c r="F96" s="1517">
        <v>0.1</v>
      </c>
      <c r="G96" s="1518">
        <v>9.8000000000000004E-2</v>
      </c>
    </row>
    <row r="97" spans="1:7">
      <c r="A97" s="1527" t="s">
        <v>282</v>
      </c>
      <c r="B97" s="1516" t="s">
        <v>1647</v>
      </c>
      <c r="C97" s="1517">
        <v>9.6000000000000002E-2</v>
      </c>
      <c r="D97" s="1517">
        <v>9.6000000000000002E-2</v>
      </c>
      <c r="E97" s="1517">
        <v>9.9000000000000005E-2</v>
      </c>
      <c r="F97" s="1517">
        <v>0.1</v>
      </c>
      <c r="G97" s="1518">
        <v>9.8000000000000004E-2</v>
      </c>
    </row>
    <row r="98" spans="1:7">
      <c r="A98" s="1527" t="s">
        <v>282</v>
      </c>
      <c r="B98" s="1516" t="s">
        <v>1657</v>
      </c>
      <c r="C98" s="1517">
        <v>9.8000000000000004E-2</v>
      </c>
      <c r="D98" s="1517">
        <v>9.8000000000000004E-2</v>
      </c>
      <c r="E98" s="1517">
        <v>0.1</v>
      </c>
      <c r="F98" s="1517">
        <v>0.1</v>
      </c>
      <c r="G98" s="1518">
        <v>9.9000000000000005E-2</v>
      </c>
    </row>
    <row r="99" spans="1:7">
      <c r="A99" s="1527" t="s">
        <v>282</v>
      </c>
      <c r="B99" s="1516" t="s">
        <v>1667</v>
      </c>
      <c r="C99" s="1517">
        <v>9.6000000000000002E-2</v>
      </c>
      <c r="D99" s="1517">
        <v>9.6000000000000002E-2</v>
      </c>
      <c r="E99" s="1517">
        <v>0.1</v>
      </c>
      <c r="F99" s="1517">
        <v>0.1</v>
      </c>
      <c r="G99" s="1518">
        <v>9.7000000000000003E-2</v>
      </c>
    </row>
    <row r="100" spans="1:7">
      <c r="A100" s="1527" t="s">
        <v>282</v>
      </c>
      <c r="B100" s="1516" t="s">
        <v>1677</v>
      </c>
      <c r="C100" s="1517">
        <v>0.1</v>
      </c>
      <c r="D100" s="1517">
        <v>0.1</v>
      </c>
      <c r="E100" s="1517">
        <v>9.7000000000000003E-2</v>
      </c>
      <c r="F100" s="1517">
        <v>9.8000000000000004E-2</v>
      </c>
      <c r="G100" s="1518">
        <v>0.1</v>
      </c>
    </row>
    <row r="101" spans="1:7">
      <c r="A101" s="1527" t="s">
        <v>282</v>
      </c>
      <c r="B101" s="1516" t="s">
        <v>1687</v>
      </c>
      <c r="C101" s="1517">
        <v>0.1</v>
      </c>
      <c r="D101" s="1517">
        <v>0.1</v>
      </c>
      <c r="E101" s="1517">
        <v>9.5000000000000001E-2</v>
      </c>
      <c r="F101" s="1517">
        <v>0.1</v>
      </c>
      <c r="G101" s="1518">
        <v>0.1</v>
      </c>
    </row>
    <row r="102" spans="1:7">
      <c r="A102" s="1527" t="s">
        <v>282</v>
      </c>
      <c r="B102" s="1516" t="s">
        <v>1697</v>
      </c>
      <c r="C102" s="1517">
        <v>0.1</v>
      </c>
      <c r="D102" s="1517">
        <v>0.1</v>
      </c>
      <c r="E102" s="1517">
        <v>9.9000000000000005E-2</v>
      </c>
      <c r="F102" s="1517">
        <v>9.7000000000000003E-2</v>
      </c>
      <c r="G102" s="1518">
        <v>0.1</v>
      </c>
    </row>
    <row r="103" spans="1:7">
      <c r="A103" s="1527" t="s">
        <v>282</v>
      </c>
      <c r="B103" s="1516" t="s">
        <v>1707</v>
      </c>
      <c r="C103" s="1517">
        <v>0.1</v>
      </c>
      <c r="D103" s="1517">
        <v>0.1</v>
      </c>
      <c r="E103" s="1517">
        <v>9.8000000000000004E-2</v>
      </c>
      <c r="F103" s="1517">
        <v>0.1</v>
      </c>
      <c r="G103" s="1518">
        <v>0.1</v>
      </c>
    </row>
    <row r="104" spans="1:7">
      <c r="A104" s="1527" t="s">
        <v>282</v>
      </c>
      <c r="B104" s="1516" t="s">
        <v>1717</v>
      </c>
      <c r="C104" s="1517">
        <v>0.1</v>
      </c>
      <c r="D104" s="1517">
        <v>0.1</v>
      </c>
      <c r="E104" s="1517">
        <v>9.8000000000000004E-2</v>
      </c>
      <c r="F104" s="1517">
        <v>0.1</v>
      </c>
      <c r="G104" s="1518">
        <v>0.1</v>
      </c>
    </row>
    <row r="105" spans="1:7">
      <c r="A105" s="1527" t="s">
        <v>282</v>
      </c>
      <c r="B105" s="1516" t="s">
        <v>1727</v>
      </c>
      <c r="C105" s="1517">
        <v>9.8000000000000004E-2</v>
      </c>
      <c r="D105" s="1517">
        <v>9.8000000000000004E-2</v>
      </c>
      <c r="E105" s="1517">
        <v>9.8000000000000004E-2</v>
      </c>
      <c r="F105" s="1517">
        <v>0.1</v>
      </c>
      <c r="G105" s="1518">
        <v>9.9000000000000005E-2</v>
      </c>
    </row>
    <row r="106" spans="1:7">
      <c r="A106" s="1527" t="s">
        <v>282</v>
      </c>
      <c r="B106" s="1516" t="s">
        <v>1737</v>
      </c>
      <c r="C106" s="1517">
        <v>9.7000000000000003E-2</v>
      </c>
      <c r="D106" s="1517">
        <v>9.7000000000000003E-2</v>
      </c>
      <c r="E106" s="1517">
        <v>9.7000000000000003E-2</v>
      </c>
      <c r="F106" s="1517">
        <v>0.1</v>
      </c>
      <c r="G106" s="1518">
        <v>9.9000000000000005E-2</v>
      </c>
    </row>
    <row r="107" spans="1:7">
      <c r="A107" s="1527" t="s">
        <v>282</v>
      </c>
      <c r="B107" s="1516" t="s">
        <v>1746</v>
      </c>
      <c r="C107" s="1517">
        <v>0.1</v>
      </c>
      <c r="D107" s="1517">
        <v>0.1</v>
      </c>
      <c r="E107" s="1517">
        <v>8.5999999999999993E-2</v>
      </c>
      <c r="F107" s="1517">
        <v>0.09</v>
      </c>
      <c r="G107" s="1518">
        <v>0.1</v>
      </c>
    </row>
    <row r="108" spans="1:7">
      <c r="A108" s="1527" t="s">
        <v>282</v>
      </c>
      <c r="B108" s="1516" t="s">
        <v>1754</v>
      </c>
      <c r="C108" s="1517">
        <v>0.1</v>
      </c>
      <c r="D108" s="1517">
        <v>0.1</v>
      </c>
      <c r="E108" s="1517">
        <v>9.6000000000000002E-2</v>
      </c>
      <c r="F108" s="1528"/>
      <c r="G108" s="1518">
        <v>0.1</v>
      </c>
    </row>
    <row r="109" spans="1:7">
      <c r="A109" s="1527" t="s">
        <v>282</v>
      </c>
      <c r="B109" s="1516" t="s">
        <v>1762</v>
      </c>
      <c r="C109" s="1517">
        <v>0.1</v>
      </c>
      <c r="D109" s="1517">
        <v>0.1</v>
      </c>
      <c r="E109" s="1517">
        <v>0.1</v>
      </c>
      <c r="F109" s="1528"/>
      <c r="G109" s="1518">
        <v>0.1</v>
      </c>
    </row>
    <row r="110" spans="1:7">
      <c r="A110" s="1527" t="s">
        <v>282</v>
      </c>
      <c r="B110" s="1516" t="s">
        <v>1770</v>
      </c>
      <c r="C110" s="1517">
        <v>0.1</v>
      </c>
      <c r="D110" s="1517">
        <v>0.1</v>
      </c>
      <c r="E110" s="1517">
        <v>0.1</v>
      </c>
      <c r="F110" s="1528"/>
      <c r="G110" s="1518">
        <v>0.1</v>
      </c>
    </row>
    <row r="111" spans="1:7">
      <c r="A111" s="1527" t="s">
        <v>282</v>
      </c>
      <c r="B111" s="1516" t="s">
        <v>1778</v>
      </c>
      <c r="C111" s="1517">
        <v>0.1</v>
      </c>
      <c r="D111" s="1517">
        <v>0.1</v>
      </c>
      <c r="E111" s="1517">
        <v>9.5000000000000001E-2</v>
      </c>
      <c r="F111" s="1528"/>
      <c r="G111" s="1518">
        <v>0.1</v>
      </c>
    </row>
    <row r="112" spans="1:7">
      <c r="A112" s="1527" t="s">
        <v>282</v>
      </c>
      <c r="B112" s="1516" t="s">
        <v>1785</v>
      </c>
      <c r="C112" s="1517">
        <v>9.7000000000000003E-2</v>
      </c>
      <c r="D112" s="1517">
        <v>9.7000000000000003E-2</v>
      </c>
      <c r="E112" s="1517">
        <v>0.05</v>
      </c>
      <c r="F112" s="1528"/>
      <c r="G112" s="1518">
        <v>9.8000000000000004E-2</v>
      </c>
    </row>
    <row r="113" spans="1:7">
      <c r="A113" s="1527" t="s">
        <v>282</v>
      </c>
      <c r="B113" s="1516" t="s">
        <v>1792</v>
      </c>
      <c r="C113" s="1517">
        <v>0.1</v>
      </c>
      <c r="D113" s="1517">
        <v>0.1</v>
      </c>
      <c r="E113" s="1528"/>
      <c r="F113" s="1528"/>
      <c r="G113" s="1518">
        <v>0.1</v>
      </c>
    </row>
    <row r="114" spans="1:7">
      <c r="A114" s="1527" t="s">
        <v>282</v>
      </c>
      <c r="B114" s="1516" t="s">
        <v>1799</v>
      </c>
      <c r="C114" s="1517">
        <v>9.7000000000000003E-2</v>
      </c>
      <c r="D114" s="1517">
        <v>9.7000000000000003E-2</v>
      </c>
      <c r="E114" s="1528"/>
      <c r="F114" s="1528"/>
      <c r="G114" s="1518">
        <v>9.9000000000000005E-2</v>
      </c>
    </row>
    <row r="115" spans="1:7">
      <c r="A115" s="1527" t="s">
        <v>282</v>
      </c>
      <c r="B115" s="1516" t="s">
        <v>1806</v>
      </c>
      <c r="C115" s="1517">
        <v>0.1</v>
      </c>
      <c r="D115" s="1517">
        <v>0.1</v>
      </c>
      <c r="E115" s="1528"/>
      <c r="F115" s="1528"/>
      <c r="G115" s="1518">
        <v>0.1</v>
      </c>
    </row>
    <row r="116" spans="1:7">
      <c r="A116" s="1527" t="s">
        <v>282</v>
      </c>
      <c r="B116" s="1516" t="s">
        <v>1813</v>
      </c>
      <c r="C116" s="1517">
        <v>0.1</v>
      </c>
      <c r="D116" s="1517">
        <v>0.1</v>
      </c>
      <c r="E116" s="1528"/>
      <c r="F116" s="1528"/>
      <c r="G116" s="1518">
        <v>0.1</v>
      </c>
    </row>
    <row r="117" spans="1:7">
      <c r="A117" s="1527" t="s">
        <v>282</v>
      </c>
      <c r="B117" s="1516" t="s">
        <v>1820</v>
      </c>
      <c r="C117" s="1517">
        <v>9.7000000000000003E-2</v>
      </c>
      <c r="D117" s="1517">
        <v>9.7000000000000003E-2</v>
      </c>
      <c r="E117" s="1528"/>
      <c r="F117" s="1528"/>
      <c r="G117" s="1518">
        <v>9.7000000000000003E-2</v>
      </c>
    </row>
    <row r="118" spans="1:7">
      <c r="A118" s="1527" t="s">
        <v>282</v>
      </c>
      <c r="B118" s="1516" t="s">
        <v>1827</v>
      </c>
      <c r="C118" s="1517">
        <v>0.1</v>
      </c>
      <c r="D118" s="1517">
        <v>0.1</v>
      </c>
      <c r="E118" s="1528"/>
      <c r="F118" s="1528"/>
      <c r="G118" s="1518">
        <v>0.1</v>
      </c>
    </row>
    <row r="119" spans="1:7">
      <c r="A119" s="1527" t="s">
        <v>282</v>
      </c>
      <c r="B119" s="1516" t="s">
        <v>1832</v>
      </c>
      <c r="C119" s="1517">
        <v>5.0999999999999997E-2</v>
      </c>
      <c r="D119" s="1517">
        <v>5.1999999999999998E-2</v>
      </c>
      <c r="E119" s="1528"/>
      <c r="F119" s="1533"/>
      <c r="G119" s="1518">
        <v>0.06</v>
      </c>
    </row>
    <row r="120" spans="1:7">
      <c r="A120" s="1527" t="s">
        <v>282</v>
      </c>
      <c r="B120" s="1516" t="s">
        <v>1837</v>
      </c>
      <c r="C120" s="1528"/>
      <c r="D120" s="1528"/>
      <c r="E120" s="1528"/>
      <c r="F120" s="1517">
        <v>0.1</v>
      </c>
      <c r="G120" s="1534"/>
    </row>
    <row r="121" spans="1:7">
      <c r="A121" s="1527" t="s">
        <v>282</v>
      </c>
      <c r="B121" s="1516" t="s">
        <v>1842</v>
      </c>
      <c r="C121" s="1528"/>
      <c r="D121" s="1528"/>
      <c r="E121" s="1528"/>
      <c r="F121" s="1517">
        <v>0.1</v>
      </c>
      <c r="G121" s="1534"/>
    </row>
    <row r="122" spans="1:7">
      <c r="A122" s="1527" t="s">
        <v>282</v>
      </c>
      <c r="B122" s="1516" t="s">
        <v>1847</v>
      </c>
      <c r="C122" s="1517">
        <v>0.1</v>
      </c>
      <c r="D122" s="1517">
        <v>0.1</v>
      </c>
      <c r="E122" s="1517">
        <v>9.8000000000000004E-2</v>
      </c>
      <c r="F122" s="1517">
        <v>0.1</v>
      </c>
      <c r="G122" s="1518">
        <v>0.1</v>
      </c>
    </row>
    <row r="123" spans="1:7">
      <c r="A123" s="1527" t="s">
        <v>282</v>
      </c>
      <c r="B123" s="1516" t="s">
        <v>1852</v>
      </c>
      <c r="C123" s="1517">
        <v>0.1</v>
      </c>
      <c r="D123" s="1517">
        <v>0.1</v>
      </c>
      <c r="E123" s="1517">
        <v>9.8000000000000004E-2</v>
      </c>
      <c r="F123" s="1517">
        <v>0.1</v>
      </c>
      <c r="G123" s="1518">
        <v>0.1</v>
      </c>
    </row>
    <row r="124" spans="1:7">
      <c r="A124" s="1527" t="s">
        <v>282</v>
      </c>
      <c r="B124" s="1516" t="s">
        <v>1857</v>
      </c>
      <c r="C124" s="1517">
        <v>0.1</v>
      </c>
      <c r="D124" s="1517">
        <v>0.1</v>
      </c>
      <c r="E124" s="1517">
        <v>9.8000000000000004E-2</v>
      </c>
      <c r="F124" s="1533"/>
      <c r="G124" s="1518">
        <v>0.1</v>
      </c>
    </row>
    <row r="125" spans="1:7">
      <c r="A125" s="1527" t="s">
        <v>282</v>
      </c>
      <c r="B125" s="1516" t="s">
        <v>1862</v>
      </c>
      <c r="C125" s="1517">
        <v>9.8000000000000004E-2</v>
      </c>
      <c r="D125" s="1517">
        <v>9.8000000000000004E-2</v>
      </c>
      <c r="E125" s="1517">
        <v>9.6000000000000002E-2</v>
      </c>
      <c r="F125" s="1533"/>
      <c r="G125" s="1518">
        <v>0.1</v>
      </c>
    </row>
    <row r="126" spans="1:7">
      <c r="A126" s="1530" t="s">
        <v>282</v>
      </c>
      <c r="B126" s="1520" t="s">
        <v>1867</v>
      </c>
      <c r="C126" s="1521">
        <v>0.1</v>
      </c>
      <c r="D126" s="1521">
        <v>0.1</v>
      </c>
      <c r="E126" s="1521">
        <v>9.8000000000000004E-2</v>
      </c>
      <c r="F126" s="1521">
        <v>0.1</v>
      </c>
      <c r="G126" s="1523">
        <v>0.1</v>
      </c>
    </row>
    <row r="127" spans="1:7">
      <c r="A127" s="1526" t="s">
        <v>290</v>
      </c>
      <c r="B127" s="1512" t="s">
        <v>1535</v>
      </c>
      <c r="C127" s="1513">
        <v>0.121</v>
      </c>
      <c r="D127" s="1513">
        <v>0.121</v>
      </c>
      <c r="E127" s="1513">
        <v>0.107</v>
      </c>
      <c r="F127" s="1513">
        <v>0.13</v>
      </c>
      <c r="G127" s="1514">
        <v>0.122</v>
      </c>
    </row>
    <row r="128" spans="1:7">
      <c r="A128" s="1527" t="s">
        <v>290</v>
      </c>
      <c r="B128" s="1516" t="s">
        <v>1548</v>
      </c>
      <c r="C128" s="1517">
        <v>0.11600000000000001</v>
      </c>
      <c r="D128" s="1517">
        <v>0.11700000000000001</v>
      </c>
      <c r="E128" s="1517">
        <v>0.104</v>
      </c>
      <c r="F128" s="1517">
        <v>0.13</v>
      </c>
      <c r="G128" s="1518">
        <v>0.11700000000000001</v>
      </c>
    </row>
    <row r="129" spans="1:7">
      <c r="A129" s="1527" t="s">
        <v>290</v>
      </c>
      <c r="B129" s="1516" t="s">
        <v>1561</v>
      </c>
      <c r="C129" s="1517">
        <v>0.107</v>
      </c>
      <c r="D129" s="1517">
        <v>0.108</v>
      </c>
      <c r="E129" s="1517">
        <v>0.1</v>
      </c>
      <c r="F129" s="1517">
        <v>0.13</v>
      </c>
      <c r="G129" s="1518">
        <v>0.11700000000000001</v>
      </c>
    </row>
    <row r="130" spans="1:7">
      <c r="A130" s="1527" t="s">
        <v>290</v>
      </c>
      <c r="B130" s="1516" t="s">
        <v>1573</v>
      </c>
      <c r="C130" s="1517">
        <v>0.13</v>
      </c>
      <c r="D130" s="1517">
        <v>0.13</v>
      </c>
      <c r="E130" s="1517">
        <v>0.126</v>
      </c>
      <c r="F130" s="1517">
        <v>0.13</v>
      </c>
      <c r="G130" s="1518">
        <v>0.13</v>
      </c>
    </row>
    <row r="131" spans="1:7">
      <c r="A131" s="1527" t="s">
        <v>290</v>
      </c>
      <c r="B131" s="1516" t="s">
        <v>1585</v>
      </c>
      <c r="C131" s="1517">
        <v>0.13</v>
      </c>
      <c r="D131" s="1517">
        <v>0.13</v>
      </c>
      <c r="E131" s="1517">
        <v>0.13</v>
      </c>
      <c r="F131" s="1517">
        <v>0.13</v>
      </c>
      <c r="G131" s="1518">
        <v>0.13</v>
      </c>
    </row>
    <row r="132" spans="1:7">
      <c r="A132" s="1527" t="s">
        <v>290</v>
      </c>
      <c r="B132" s="1516" t="s">
        <v>1596</v>
      </c>
      <c r="C132" s="1517">
        <v>0.13</v>
      </c>
      <c r="D132" s="1517">
        <v>0.13</v>
      </c>
      <c r="E132" s="1517">
        <v>0.126</v>
      </c>
      <c r="F132" s="1517">
        <v>0.13</v>
      </c>
      <c r="G132" s="1518">
        <v>0.13</v>
      </c>
    </row>
    <row r="133" spans="1:7">
      <c r="A133" s="1527" t="s">
        <v>290</v>
      </c>
      <c r="B133" s="1516" t="s">
        <v>1607</v>
      </c>
      <c r="C133" s="1517">
        <v>0.111</v>
      </c>
      <c r="D133" s="1517">
        <v>0.111</v>
      </c>
      <c r="E133" s="1517">
        <v>0.10199999999999999</v>
      </c>
      <c r="F133" s="1517">
        <v>0.13</v>
      </c>
      <c r="G133" s="1518">
        <v>0.121</v>
      </c>
    </row>
    <row r="134" spans="1:7">
      <c r="A134" s="1527" t="s">
        <v>290</v>
      </c>
      <c r="B134" s="1516" t="s">
        <v>1618</v>
      </c>
      <c r="C134" s="1517">
        <v>0.121</v>
      </c>
      <c r="D134" s="1517">
        <v>0.121</v>
      </c>
      <c r="E134" s="1517">
        <v>0.1</v>
      </c>
      <c r="F134" s="1517">
        <v>0.13</v>
      </c>
      <c r="G134" s="1518">
        <v>0.123</v>
      </c>
    </row>
    <row r="135" spans="1:7">
      <c r="A135" s="1527" t="s">
        <v>290</v>
      </c>
      <c r="B135" s="1516" t="s">
        <v>1628</v>
      </c>
      <c r="C135" s="1517">
        <v>0.105</v>
      </c>
      <c r="D135" s="1517">
        <v>0.106</v>
      </c>
      <c r="E135" s="1517">
        <v>0.1</v>
      </c>
      <c r="F135" s="1517">
        <v>0.13</v>
      </c>
      <c r="G135" s="1518">
        <v>0.115</v>
      </c>
    </row>
    <row r="136" spans="1:7">
      <c r="A136" s="1527" t="s">
        <v>290</v>
      </c>
      <c r="B136" s="1516" t="s">
        <v>1638</v>
      </c>
      <c r="C136" s="1517">
        <v>0.127</v>
      </c>
      <c r="D136" s="1517">
        <v>0.127</v>
      </c>
      <c r="E136" s="1517">
        <v>0.121</v>
      </c>
      <c r="F136" s="1517">
        <v>0.123</v>
      </c>
      <c r="G136" s="1518">
        <v>0.129</v>
      </c>
    </row>
    <row r="137" spans="1:7">
      <c r="A137" s="1527" t="s">
        <v>290</v>
      </c>
      <c r="B137" s="1516" t="s">
        <v>1648</v>
      </c>
      <c r="C137" s="1517">
        <v>0.13</v>
      </c>
      <c r="D137" s="1517">
        <v>0.13</v>
      </c>
      <c r="E137" s="1517">
        <v>0.129</v>
      </c>
      <c r="F137" s="1517">
        <v>0.13</v>
      </c>
      <c r="G137" s="1518">
        <v>0.13</v>
      </c>
    </row>
    <row r="138" spans="1:7">
      <c r="A138" s="1527" t="s">
        <v>290</v>
      </c>
      <c r="B138" s="1516" t="s">
        <v>1658</v>
      </c>
      <c r="C138" s="1517">
        <v>0.13</v>
      </c>
      <c r="D138" s="1517">
        <v>0.13</v>
      </c>
      <c r="E138" s="1517">
        <v>0.125</v>
      </c>
      <c r="F138" s="1517">
        <v>0.13</v>
      </c>
      <c r="G138" s="1518">
        <v>0.13</v>
      </c>
    </row>
    <row r="139" spans="1:7">
      <c r="A139" s="1527" t="s">
        <v>290</v>
      </c>
      <c r="B139" s="1516" t="s">
        <v>1668</v>
      </c>
      <c r="C139" s="1517">
        <v>0.13</v>
      </c>
      <c r="D139" s="1517">
        <v>0.13</v>
      </c>
      <c r="E139" s="1517">
        <v>0.126</v>
      </c>
      <c r="F139" s="1517">
        <v>0.13</v>
      </c>
      <c r="G139" s="1518">
        <v>0.13</v>
      </c>
    </row>
    <row r="140" spans="1:7">
      <c r="A140" s="1527" t="s">
        <v>290</v>
      </c>
      <c r="B140" s="1516" t="s">
        <v>1678</v>
      </c>
      <c r="C140" s="1517">
        <v>0.1</v>
      </c>
      <c r="D140" s="1517">
        <v>0.1</v>
      </c>
      <c r="E140" s="1517">
        <v>0.1</v>
      </c>
      <c r="F140" s="1517">
        <v>0.123</v>
      </c>
      <c r="G140" s="1518">
        <v>0.107</v>
      </c>
    </row>
    <row r="141" spans="1:7">
      <c r="A141" s="1527" t="s">
        <v>290</v>
      </c>
      <c r="B141" s="1516" t="s">
        <v>1688</v>
      </c>
      <c r="C141" s="1517">
        <v>0.127</v>
      </c>
      <c r="D141" s="1517">
        <v>0.127</v>
      </c>
      <c r="E141" s="1517">
        <v>0.122</v>
      </c>
      <c r="F141" s="1517">
        <v>0.1</v>
      </c>
      <c r="G141" s="1518">
        <v>0.129</v>
      </c>
    </row>
    <row r="142" spans="1:7">
      <c r="A142" s="1527" t="s">
        <v>290</v>
      </c>
      <c r="B142" s="1516" t="s">
        <v>1698</v>
      </c>
      <c r="C142" s="1517">
        <v>0.121</v>
      </c>
      <c r="D142" s="1517">
        <v>0.122</v>
      </c>
      <c r="E142" s="1517">
        <v>0.1</v>
      </c>
      <c r="F142" s="1517">
        <v>0.123</v>
      </c>
      <c r="G142" s="1518">
        <v>0.123</v>
      </c>
    </row>
    <row r="143" spans="1:7">
      <c r="A143" s="1527" t="s">
        <v>290</v>
      </c>
      <c r="B143" s="1516" t="s">
        <v>1708</v>
      </c>
      <c r="C143" s="1517">
        <v>0.1</v>
      </c>
      <c r="D143" s="1517">
        <v>0.1</v>
      </c>
      <c r="E143" s="1517">
        <v>0.1</v>
      </c>
      <c r="F143" s="1517">
        <v>0.13</v>
      </c>
      <c r="G143" s="1518">
        <v>0.1</v>
      </c>
    </row>
    <row r="144" spans="1:7">
      <c r="A144" s="1527" t="s">
        <v>290</v>
      </c>
      <c r="B144" s="1516" t="s">
        <v>1718</v>
      </c>
      <c r="C144" s="1517">
        <v>0.106</v>
      </c>
      <c r="D144" s="1517">
        <v>0.105</v>
      </c>
      <c r="E144" s="1517">
        <v>0.1</v>
      </c>
      <c r="F144" s="1517">
        <v>0.13</v>
      </c>
      <c r="G144" s="1518">
        <v>0.11799999999999999</v>
      </c>
    </row>
    <row r="145" spans="1:7">
      <c r="A145" s="1527" t="s">
        <v>290</v>
      </c>
      <c r="B145" s="1516" t="s">
        <v>1728</v>
      </c>
      <c r="C145" s="1517">
        <v>0.123</v>
      </c>
      <c r="D145" s="1517">
        <v>0.123</v>
      </c>
      <c r="E145" s="1517">
        <v>0.11700000000000001</v>
      </c>
      <c r="F145" s="1517">
        <v>0.13</v>
      </c>
      <c r="G145" s="1518">
        <v>0.126</v>
      </c>
    </row>
    <row r="146" spans="1:7">
      <c r="A146" s="1527" t="s">
        <v>290</v>
      </c>
      <c r="B146" s="1516" t="s">
        <v>1738</v>
      </c>
      <c r="C146" s="1517">
        <v>0.127</v>
      </c>
      <c r="D146" s="1517">
        <v>0.127</v>
      </c>
      <c r="E146" s="1517">
        <v>0.12</v>
      </c>
      <c r="F146" s="1528"/>
      <c r="G146" s="1518">
        <v>0.129</v>
      </c>
    </row>
    <row r="147" spans="1:7">
      <c r="A147" s="1527" t="s">
        <v>290</v>
      </c>
      <c r="B147" s="1516" t="s">
        <v>1747</v>
      </c>
      <c r="C147" s="1517">
        <v>0.13</v>
      </c>
      <c r="D147" s="1517">
        <v>0.13</v>
      </c>
      <c r="E147" s="1517">
        <v>0.126</v>
      </c>
      <c r="F147" s="1528"/>
      <c r="G147" s="1518">
        <v>0.13</v>
      </c>
    </row>
    <row r="148" spans="1:7">
      <c r="A148" s="1527" t="s">
        <v>290</v>
      </c>
      <c r="B148" s="1516" t="s">
        <v>1755</v>
      </c>
      <c r="C148" s="1517">
        <v>0.13</v>
      </c>
      <c r="D148" s="1517">
        <v>0.13</v>
      </c>
      <c r="E148" s="1517">
        <v>0.13</v>
      </c>
      <c r="F148" s="1528"/>
      <c r="G148" s="1518">
        <v>0.13</v>
      </c>
    </row>
    <row r="149" spans="1:7">
      <c r="A149" s="1527" t="s">
        <v>290</v>
      </c>
      <c r="B149" s="1516" t="s">
        <v>1763</v>
      </c>
      <c r="C149" s="1517">
        <v>0.13</v>
      </c>
      <c r="D149" s="1517">
        <v>0.13</v>
      </c>
      <c r="E149" s="1517">
        <v>0.13</v>
      </c>
      <c r="F149" s="1517">
        <v>0.13</v>
      </c>
      <c r="G149" s="1518">
        <v>0.13</v>
      </c>
    </row>
    <row r="150" spans="1:7">
      <c r="A150" s="1527" t="s">
        <v>290</v>
      </c>
      <c r="B150" s="1516" t="s">
        <v>1771</v>
      </c>
      <c r="C150" s="1517">
        <v>0.13</v>
      </c>
      <c r="D150" s="1517">
        <v>0.13</v>
      </c>
      <c r="E150" s="1517">
        <v>0.127</v>
      </c>
      <c r="F150" s="1517">
        <v>0.13</v>
      </c>
      <c r="G150" s="1518">
        <v>0.13</v>
      </c>
    </row>
    <row r="151" spans="1:7">
      <c r="A151" s="1527" t="s">
        <v>290</v>
      </c>
      <c r="B151" s="1516" t="s">
        <v>1779</v>
      </c>
      <c r="C151" s="1517">
        <v>0.13</v>
      </c>
      <c r="D151" s="1517">
        <v>0.13</v>
      </c>
      <c r="E151" s="1517">
        <v>0.13</v>
      </c>
      <c r="F151" s="1517">
        <v>0.13</v>
      </c>
      <c r="G151" s="1518">
        <v>0.13</v>
      </c>
    </row>
    <row r="152" spans="1:7">
      <c r="A152" s="1527" t="s">
        <v>290</v>
      </c>
      <c r="B152" s="1516" t="s">
        <v>1786</v>
      </c>
      <c r="C152" s="1517">
        <v>0.13</v>
      </c>
      <c r="D152" s="1517">
        <v>0.13</v>
      </c>
      <c r="E152" s="1517">
        <v>0.13</v>
      </c>
      <c r="F152" s="1517">
        <v>0.13</v>
      </c>
      <c r="G152" s="1518">
        <v>0.13</v>
      </c>
    </row>
    <row r="153" spans="1:7">
      <c r="A153" s="1527" t="s">
        <v>290</v>
      </c>
      <c r="B153" s="1516" t="s">
        <v>1793</v>
      </c>
      <c r="C153" s="1517">
        <v>0.13</v>
      </c>
      <c r="D153" s="1517">
        <v>0.13</v>
      </c>
      <c r="E153" s="1517">
        <v>0.13</v>
      </c>
      <c r="F153" s="1517">
        <v>0.13</v>
      </c>
      <c r="G153" s="1518">
        <v>0.13</v>
      </c>
    </row>
    <row r="154" spans="1:7">
      <c r="A154" s="1527" t="s">
        <v>290</v>
      </c>
      <c r="B154" s="1516" t="s">
        <v>1800</v>
      </c>
      <c r="C154" s="1517">
        <v>0.121</v>
      </c>
      <c r="D154" s="1517">
        <v>0.121</v>
      </c>
      <c r="E154" s="1517">
        <v>0.105</v>
      </c>
      <c r="F154" s="1517">
        <v>0.121</v>
      </c>
      <c r="G154" s="1518">
        <v>0.123</v>
      </c>
    </row>
    <row r="155" spans="1:7">
      <c r="A155" s="1527" t="s">
        <v>290</v>
      </c>
      <c r="B155" s="1516" t="s">
        <v>1807</v>
      </c>
      <c r="C155" s="1517">
        <v>0.1</v>
      </c>
      <c r="D155" s="1517">
        <v>0.1</v>
      </c>
      <c r="E155" s="1517">
        <v>0.1</v>
      </c>
      <c r="F155" s="1517">
        <v>0.1</v>
      </c>
      <c r="G155" s="1518">
        <v>0.1</v>
      </c>
    </row>
    <row r="156" spans="1:7">
      <c r="A156" s="1527" t="s">
        <v>290</v>
      </c>
      <c r="B156" s="1516" t="s">
        <v>1814</v>
      </c>
      <c r="C156" s="1517">
        <v>0.13</v>
      </c>
      <c r="D156" s="1517">
        <v>0.13</v>
      </c>
      <c r="E156" s="1517">
        <v>0.13</v>
      </c>
      <c r="F156" s="1517">
        <v>0.13</v>
      </c>
      <c r="G156" s="1518">
        <v>0.13</v>
      </c>
    </row>
    <row r="157" spans="1:7">
      <c r="A157" s="1527" t="s">
        <v>290</v>
      </c>
      <c r="B157" s="1516" t="s">
        <v>1821</v>
      </c>
      <c r="C157" s="1517">
        <v>0.13</v>
      </c>
      <c r="D157" s="1517">
        <v>0.13</v>
      </c>
      <c r="E157" s="1517">
        <v>0.125</v>
      </c>
      <c r="F157" s="1517">
        <v>0.13</v>
      </c>
      <c r="G157" s="1518">
        <v>0.13</v>
      </c>
    </row>
    <row r="158" spans="1:7">
      <c r="A158" s="1527" t="s">
        <v>290</v>
      </c>
      <c r="B158" s="1516" t="s">
        <v>1828</v>
      </c>
      <c r="C158" s="1517">
        <v>0.124</v>
      </c>
      <c r="D158" s="1517">
        <v>0.124</v>
      </c>
      <c r="E158" s="1517">
        <v>0.11700000000000001</v>
      </c>
      <c r="F158" s="1517">
        <v>0.121</v>
      </c>
      <c r="G158" s="1518">
        <v>0.124</v>
      </c>
    </row>
    <row r="159" spans="1:7">
      <c r="A159" s="1527" t="s">
        <v>290</v>
      </c>
      <c r="B159" s="1516" t="s">
        <v>1833</v>
      </c>
      <c r="C159" s="1517">
        <v>0.127</v>
      </c>
      <c r="D159" s="1517">
        <v>0.127</v>
      </c>
      <c r="E159" s="1517">
        <v>0.122</v>
      </c>
      <c r="F159" s="1517">
        <v>0.13</v>
      </c>
      <c r="G159" s="1518">
        <v>0.129</v>
      </c>
    </row>
    <row r="160" spans="1:7">
      <c r="A160" s="1527" t="s">
        <v>290</v>
      </c>
      <c r="B160" s="1516" t="s">
        <v>1838</v>
      </c>
      <c r="C160" s="1517">
        <v>0.13</v>
      </c>
      <c r="D160" s="1517">
        <v>0.13</v>
      </c>
      <c r="E160" s="1517">
        <v>0.124</v>
      </c>
      <c r="F160" s="1517">
        <v>0.126</v>
      </c>
      <c r="G160" s="1518">
        <v>0.13</v>
      </c>
    </row>
    <row r="161" spans="1:7">
      <c r="A161" s="1527" t="s">
        <v>290</v>
      </c>
      <c r="B161" s="1516" t="s">
        <v>1843</v>
      </c>
      <c r="C161" s="1517">
        <v>0.13</v>
      </c>
      <c r="D161" s="1517">
        <v>0.13</v>
      </c>
      <c r="E161" s="1517">
        <v>0.124</v>
      </c>
      <c r="F161" s="1517">
        <v>0.127</v>
      </c>
      <c r="G161" s="1518">
        <v>0.13</v>
      </c>
    </row>
    <row r="162" spans="1:7">
      <c r="A162" s="1527" t="s">
        <v>290</v>
      </c>
      <c r="B162" s="1516" t="s">
        <v>1848</v>
      </c>
      <c r="C162" s="1517">
        <v>0.1</v>
      </c>
      <c r="D162" s="1517">
        <v>0.1</v>
      </c>
      <c r="E162" s="1517">
        <v>0.1</v>
      </c>
      <c r="F162" s="1517">
        <v>0.121</v>
      </c>
      <c r="G162" s="1518">
        <v>0.105</v>
      </c>
    </row>
    <row r="163" spans="1:7">
      <c r="A163" s="1527" t="s">
        <v>290</v>
      </c>
      <c r="B163" s="1516" t="s">
        <v>1853</v>
      </c>
      <c r="C163" s="1517">
        <v>0.1</v>
      </c>
      <c r="D163" s="1517">
        <v>0.1</v>
      </c>
      <c r="E163" s="1517">
        <v>0.1</v>
      </c>
      <c r="F163" s="1517">
        <v>0.1</v>
      </c>
      <c r="G163" s="1518">
        <v>0.1</v>
      </c>
    </row>
    <row r="164" spans="1:7">
      <c r="A164" s="1527" t="s">
        <v>290</v>
      </c>
      <c r="B164" s="1516" t="s">
        <v>1858</v>
      </c>
      <c r="C164" s="1533"/>
      <c r="D164" s="1533"/>
      <c r="E164" s="1533"/>
      <c r="F164" s="1517">
        <v>0.1</v>
      </c>
      <c r="G164" s="1529"/>
    </row>
    <row r="165" spans="1:7">
      <c r="A165" s="1527" t="s">
        <v>290</v>
      </c>
      <c r="B165" s="1516" t="s">
        <v>1863</v>
      </c>
      <c r="C165" s="1517">
        <v>0.126</v>
      </c>
      <c r="D165" s="1517">
        <v>0.126</v>
      </c>
      <c r="E165" s="1517">
        <v>0.11899999999999999</v>
      </c>
      <c r="F165" s="1517">
        <v>0.13</v>
      </c>
      <c r="G165" s="1518">
        <v>0.128</v>
      </c>
    </row>
    <row r="166" spans="1:7">
      <c r="A166" s="1527" t="s">
        <v>290</v>
      </c>
      <c r="B166" s="1516" t="s">
        <v>1868</v>
      </c>
      <c r="C166" s="1517">
        <v>0.129</v>
      </c>
      <c r="D166" s="1517">
        <v>0.129</v>
      </c>
      <c r="E166" s="1517">
        <v>0.123</v>
      </c>
      <c r="F166" s="1517">
        <v>0.128</v>
      </c>
      <c r="G166" s="1518">
        <v>0.13</v>
      </c>
    </row>
    <row r="167" spans="1:7">
      <c r="A167" s="1527" t="s">
        <v>290</v>
      </c>
      <c r="B167" s="1516" t="s">
        <v>1872</v>
      </c>
      <c r="C167" s="1517">
        <v>0.125</v>
      </c>
      <c r="D167" s="1517">
        <v>0.125</v>
      </c>
      <c r="E167" s="1517">
        <v>0.11700000000000001</v>
      </c>
      <c r="F167" s="1517">
        <v>0.13</v>
      </c>
      <c r="G167" s="1518">
        <v>0.126</v>
      </c>
    </row>
    <row r="168" spans="1:7">
      <c r="A168" s="1527" t="s">
        <v>290</v>
      </c>
      <c r="B168" s="1516" t="s">
        <v>1876</v>
      </c>
      <c r="C168" s="1517">
        <v>0.128</v>
      </c>
      <c r="D168" s="1517">
        <v>0.128</v>
      </c>
      <c r="E168" s="1517">
        <v>0.123</v>
      </c>
      <c r="F168" s="1528"/>
      <c r="G168" s="1518">
        <v>0.13</v>
      </c>
    </row>
    <row r="169" spans="1:7">
      <c r="A169" s="1527" t="s">
        <v>290</v>
      </c>
      <c r="B169" s="1516" t="s">
        <v>1880</v>
      </c>
      <c r="C169" s="1533"/>
      <c r="D169" s="1533"/>
      <c r="E169" s="1533"/>
      <c r="F169" s="1517">
        <v>0.05</v>
      </c>
      <c r="G169" s="1529"/>
    </row>
    <row r="170" spans="1:7">
      <c r="A170" s="1527" t="s">
        <v>290</v>
      </c>
      <c r="B170" s="1516" t="s">
        <v>1884</v>
      </c>
      <c r="C170" s="1533"/>
      <c r="D170" s="1533"/>
      <c r="E170" s="1533"/>
      <c r="F170" s="1517">
        <v>0.05</v>
      </c>
      <c r="G170" s="1529"/>
    </row>
    <row r="171" spans="1:7">
      <c r="A171" s="1527" t="s">
        <v>290</v>
      </c>
      <c r="B171" s="1516" t="s">
        <v>1887</v>
      </c>
      <c r="C171" s="1533"/>
      <c r="D171" s="1533"/>
      <c r="E171" s="1533"/>
      <c r="F171" s="1517">
        <v>0.05</v>
      </c>
      <c r="G171" s="1534"/>
    </row>
    <row r="172" spans="1:7">
      <c r="A172" s="1527" t="s">
        <v>290</v>
      </c>
      <c r="B172" s="1516" t="s">
        <v>1889</v>
      </c>
      <c r="C172" s="1533"/>
      <c r="D172" s="1533"/>
      <c r="E172" s="1533"/>
      <c r="F172" s="1517">
        <v>0.05</v>
      </c>
      <c r="G172" s="1534"/>
    </row>
    <row r="173" spans="1:7">
      <c r="A173" s="1527" t="s">
        <v>290</v>
      </c>
      <c r="B173" s="1516" t="s">
        <v>1891</v>
      </c>
      <c r="C173" s="1533"/>
      <c r="D173" s="1533"/>
      <c r="E173" s="1533"/>
      <c r="F173" s="1517">
        <v>0.05</v>
      </c>
      <c r="G173" s="1529"/>
    </row>
    <row r="174" spans="1:7">
      <c r="A174" s="1527" t="s">
        <v>290</v>
      </c>
      <c r="B174" s="1516" t="s">
        <v>1893</v>
      </c>
      <c r="C174" s="1533"/>
      <c r="D174" s="1533"/>
      <c r="E174" s="1533"/>
      <c r="F174" s="1517">
        <v>0.05</v>
      </c>
      <c r="G174" s="1529"/>
    </row>
    <row r="175" spans="1:7">
      <c r="A175" s="1527" t="s">
        <v>290</v>
      </c>
      <c r="B175" s="1516" t="s">
        <v>1895</v>
      </c>
      <c r="C175" s="1533"/>
      <c r="D175" s="1533"/>
      <c r="E175" s="1533"/>
      <c r="F175" s="1517">
        <v>0.05</v>
      </c>
      <c r="G175" s="1529"/>
    </row>
    <row r="176" spans="1:7">
      <c r="A176" s="1527" t="s">
        <v>290</v>
      </c>
      <c r="B176" s="1516" t="s">
        <v>1897</v>
      </c>
      <c r="C176" s="1533"/>
      <c r="D176" s="1533"/>
      <c r="E176" s="1533"/>
      <c r="F176" s="1517">
        <v>0.05</v>
      </c>
      <c r="G176" s="1529"/>
    </row>
    <row r="177" spans="1:7">
      <c r="A177" s="1527" t="s">
        <v>290</v>
      </c>
      <c r="B177" s="1516" t="s">
        <v>1899</v>
      </c>
      <c r="C177" s="1528"/>
      <c r="D177" s="1528"/>
      <c r="E177" s="1528"/>
      <c r="F177" s="1517">
        <v>0.05</v>
      </c>
      <c r="G177" s="1534"/>
    </row>
    <row r="178" spans="1:7">
      <c r="A178" s="1527" t="s">
        <v>290</v>
      </c>
      <c r="B178" s="1516" t="s">
        <v>1900</v>
      </c>
      <c r="C178" s="1528"/>
      <c r="D178" s="1528"/>
      <c r="E178" s="1528"/>
      <c r="F178" s="1517">
        <v>0.05</v>
      </c>
      <c r="G178" s="1534"/>
    </row>
    <row r="179" spans="1:7">
      <c r="A179" s="1527" t="s">
        <v>290</v>
      </c>
      <c r="B179" s="1516" t="s">
        <v>1901</v>
      </c>
      <c r="C179" s="1528"/>
      <c r="D179" s="1528"/>
      <c r="E179" s="1528"/>
      <c r="F179" s="1517">
        <v>0.05</v>
      </c>
      <c r="G179" s="1534"/>
    </row>
    <row r="180" spans="1:7">
      <c r="A180" s="1527" t="s">
        <v>290</v>
      </c>
      <c r="B180" s="1516" t="s">
        <v>1902</v>
      </c>
      <c r="C180" s="1528"/>
      <c r="D180" s="1528"/>
      <c r="E180" s="1528"/>
      <c r="F180" s="1517">
        <v>0.05</v>
      </c>
      <c r="G180" s="1534"/>
    </row>
    <row r="181" spans="1:7">
      <c r="A181" s="1527" t="s">
        <v>290</v>
      </c>
      <c r="B181" s="1516" t="s">
        <v>1903</v>
      </c>
      <c r="C181" s="1528"/>
      <c r="D181" s="1528"/>
      <c r="E181" s="1528"/>
      <c r="F181" s="1517">
        <v>0.05</v>
      </c>
      <c r="G181" s="1534"/>
    </row>
    <row r="182" spans="1:7">
      <c r="A182" s="1527" t="s">
        <v>290</v>
      </c>
      <c r="B182" s="1516" t="s">
        <v>1904</v>
      </c>
      <c r="C182" s="1528"/>
      <c r="D182" s="1528"/>
      <c r="E182" s="1528"/>
      <c r="F182" s="1517">
        <v>0.05</v>
      </c>
      <c r="G182" s="1534"/>
    </row>
    <row r="183" spans="1:7">
      <c r="A183" s="1527" t="s">
        <v>290</v>
      </c>
      <c r="B183" s="1516" t="s">
        <v>1905</v>
      </c>
      <c r="C183" s="1528"/>
      <c r="D183" s="1528"/>
      <c r="E183" s="1528"/>
      <c r="F183" s="1517">
        <v>0.05</v>
      </c>
      <c r="G183" s="1534"/>
    </row>
    <row r="184" spans="1:7">
      <c r="A184" s="1527" t="s">
        <v>290</v>
      </c>
      <c r="B184" s="1516" t="s">
        <v>1906</v>
      </c>
      <c r="C184" s="1528"/>
      <c r="D184" s="1528"/>
      <c r="E184" s="1528"/>
      <c r="F184" s="1517">
        <v>0.05</v>
      </c>
      <c r="G184" s="1534"/>
    </row>
    <row r="185" spans="1:7">
      <c r="A185" s="1527" t="s">
        <v>290</v>
      </c>
      <c r="B185" s="1516" t="s">
        <v>1907</v>
      </c>
      <c r="C185" s="1528"/>
      <c r="D185" s="1528"/>
      <c r="E185" s="1528"/>
      <c r="F185" s="1517">
        <v>0.05</v>
      </c>
      <c r="G185" s="1534"/>
    </row>
    <row r="186" spans="1:7">
      <c r="A186" s="1527" t="s">
        <v>290</v>
      </c>
      <c r="B186" s="1516" t="s">
        <v>1908</v>
      </c>
      <c r="C186" s="1528"/>
      <c r="D186" s="1528"/>
      <c r="E186" s="1528"/>
      <c r="F186" s="1517">
        <v>0.05</v>
      </c>
      <c r="G186" s="1534"/>
    </row>
    <row r="187" spans="1:7">
      <c r="A187" s="1527" t="s">
        <v>290</v>
      </c>
      <c r="B187" s="1516" t="s">
        <v>1909</v>
      </c>
      <c r="C187" s="1528"/>
      <c r="D187" s="1528"/>
      <c r="E187" s="1528"/>
      <c r="F187" s="1517">
        <v>0.05</v>
      </c>
      <c r="G187" s="1534"/>
    </row>
    <row r="188" spans="1:7">
      <c r="A188" s="1527" t="s">
        <v>290</v>
      </c>
      <c r="B188" s="1516" t="s">
        <v>1910</v>
      </c>
      <c r="C188" s="1528"/>
      <c r="D188" s="1528"/>
      <c r="E188" s="1528"/>
      <c r="F188" s="1517">
        <v>0.05</v>
      </c>
      <c r="G188" s="1534"/>
    </row>
    <row r="189" spans="1:7">
      <c r="A189" s="1530" t="s">
        <v>290</v>
      </c>
      <c r="B189" s="1520" t="s">
        <v>1911</v>
      </c>
      <c r="C189" s="1522"/>
      <c r="D189" s="1522"/>
      <c r="E189" s="1522"/>
      <c r="F189" s="1521">
        <v>0.05</v>
      </c>
      <c r="G189" s="1535"/>
    </row>
    <row r="190" spans="1:7">
      <c r="A190" s="1526" t="s">
        <v>295</v>
      </c>
      <c r="B190" s="1512" t="s">
        <v>1536</v>
      </c>
      <c r="C190" s="1513">
        <v>0.124</v>
      </c>
      <c r="D190" s="1513">
        <v>0.124</v>
      </c>
      <c r="E190" s="1513">
        <v>0.129</v>
      </c>
      <c r="F190" s="1513">
        <v>0.13</v>
      </c>
      <c r="G190" s="1514">
        <v>0.127</v>
      </c>
    </row>
    <row r="191" spans="1:7">
      <c r="A191" s="1527" t="s">
        <v>295</v>
      </c>
      <c r="B191" s="1516" t="s">
        <v>1549</v>
      </c>
      <c r="C191" s="1517">
        <v>0.13</v>
      </c>
      <c r="D191" s="1517">
        <v>0.13</v>
      </c>
      <c r="E191" s="1517">
        <v>0.13</v>
      </c>
      <c r="F191" s="1517">
        <v>0.13</v>
      </c>
      <c r="G191" s="1518">
        <v>0.13</v>
      </c>
    </row>
    <row r="192" spans="1:7">
      <c r="A192" s="1527" t="s">
        <v>295</v>
      </c>
      <c r="B192" s="1516" t="s">
        <v>1562</v>
      </c>
      <c r="C192" s="1517">
        <v>0.13</v>
      </c>
      <c r="D192" s="1517">
        <v>0.13</v>
      </c>
      <c r="E192" s="1517">
        <v>0.13</v>
      </c>
      <c r="F192" s="1517">
        <v>0.13</v>
      </c>
      <c r="G192" s="1518">
        <v>0.13</v>
      </c>
    </row>
    <row r="193" spans="1:7">
      <c r="A193" s="1527" t="s">
        <v>295</v>
      </c>
      <c r="B193" s="1516" t="s">
        <v>1574</v>
      </c>
      <c r="C193" s="1517">
        <v>0.13</v>
      </c>
      <c r="D193" s="1517">
        <v>0.13</v>
      </c>
      <c r="E193" s="1517">
        <v>0.13</v>
      </c>
      <c r="F193" s="1517">
        <v>0.13</v>
      </c>
      <c r="G193" s="1518">
        <v>0.13</v>
      </c>
    </row>
    <row r="194" spans="1:7">
      <c r="A194" s="1527" t="s">
        <v>295</v>
      </c>
      <c r="B194" s="1516" t="s">
        <v>1586</v>
      </c>
      <c r="C194" s="1517">
        <v>0.123</v>
      </c>
      <c r="D194" s="1517">
        <v>0.123</v>
      </c>
      <c r="E194" s="1517">
        <v>0.128</v>
      </c>
      <c r="F194" s="1517">
        <v>0.13</v>
      </c>
      <c r="G194" s="1518">
        <v>0.126</v>
      </c>
    </row>
    <row r="195" spans="1:7">
      <c r="A195" s="1527" t="s">
        <v>295</v>
      </c>
      <c r="B195" s="1516" t="s">
        <v>1597</v>
      </c>
      <c r="C195" s="1517">
        <v>0.127</v>
      </c>
      <c r="D195" s="1517">
        <v>0.127</v>
      </c>
      <c r="E195" s="1517">
        <v>0.121</v>
      </c>
      <c r="F195" s="1517">
        <v>0.129</v>
      </c>
      <c r="G195" s="1518">
        <v>0.129</v>
      </c>
    </row>
    <row r="196" spans="1:7">
      <c r="A196" s="1527" t="s">
        <v>295</v>
      </c>
      <c r="B196" s="1516" t="s">
        <v>1608</v>
      </c>
      <c r="C196" s="1517">
        <v>0.127</v>
      </c>
      <c r="D196" s="1517">
        <v>0.128</v>
      </c>
      <c r="E196" s="1517">
        <v>0.122</v>
      </c>
      <c r="F196" s="1517">
        <v>0.13</v>
      </c>
      <c r="G196" s="1518">
        <v>0.129</v>
      </c>
    </row>
    <row r="197" spans="1:7">
      <c r="A197" s="1527" t="s">
        <v>295</v>
      </c>
      <c r="B197" s="1516" t="s">
        <v>1619</v>
      </c>
      <c r="C197" s="1517">
        <v>0.126</v>
      </c>
      <c r="D197" s="1517">
        <v>0.126</v>
      </c>
      <c r="E197" s="1517">
        <v>0.11899999999999999</v>
      </c>
      <c r="F197" s="1517">
        <v>0.13</v>
      </c>
      <c r="G197" s="1518">
        <v>0.128</v>
      </c>
    </row>
    <row r="198" spans="1:7">
      <c r="A198" s="1527" t="s">
        <v>295</v>
      </c>
      <c r="B198" s="1516" t="s">
        <v>1629</v>
      </c>
      <c r="C198" s="1517">
        <v>0.13</v>
      </c>
      <c r="D198" s="1517">
        <v>0.13</v>
      </c>
      <c r="E198" s="1517">
        <v>0.126</v>
      </c>
      <c r="F198" s="1533"/>
      <c r="G198" s="1518">
        <v>0.13</v>
      </c>
    </row>
    <row r="199" spans="1:7">
      <c r="A199" s="1527" t="s">
        <v>295</v>
      </c>
      <c r="B199" s="1516" t="s">
        <v>1639</v>
      </c>
      <c r="C199" s="1517">
        <v>0.13</v>
      </c>
      <c r="D199" s="1517">
        <v>0.13</v>
      </c>
      <c r="E199" s="1517">
        <v>0.13</v>
      </c>
      <c r="F199" s="1517">
        <v>0.13</v>
      </c>
      <c r="G199" s="1518">
        <v>0.13</v>
      </c>
    </row>
    <row r="200" spans="1:7">
      <c r="A200" s="1527" t="s">
        <v>295</v>
      </c>
      <c r="B200" s="1516" t="s">
        <v>1649</v>
      </c>
      <c r="C200" s="1533"/>
      <c r="D200" s="1533"/>
      <c r="E200" s="1533"/>
      <c r="F200" s="1517">
        <v>0.13</v>
      </c>
      <c r="G200" s="1529"/>
    </row>
    <row r="201" spans="1:7">
      <c r="A201" s="1527" t="s">
        <v>295</v>
      </c>
      <c r="B201" s="1516" t="s">
        <v>1659</v>
      </c>
      <c r="C201" s="1517">
        <v>0.13</v>
      </c>
      <c r="D201" s="1517">
        <v>0.13</v>
      </c>
      <c r="E201" s="1517">
        <v>0.13</v>
      </c>
      <c r="F201" s="1517">
        <v>0.129</v>
      </c>
      <c r="G201" s="1518">
        <v>0.13</v>
      </c>
    </row>
    <row r="202" spans="1:7">
      <c r="A202" s="1527" t="s">
        <v>295</v>
      </c>
      <c r="B202" s="1516" t="s">
        <v>1669</v>
      </c>
      <c r="C202" s="1517">
        <v>0.13</v>
      </c>
      <c r="D202" s="1517">
        <v>0.13</v>
      </c>
      <c r="E202" s="1517">
        <v>0.13</v>
      </c>
      <c r="F202" s="1517">
        <v>0.13</v>
      </c>
      <c r="G202" s="1518">
        <v>0.13</v>
      </c>
    </row>
    <row r="203" spans="1:7">
      <c r="A203" s="1527" t="s">
        <v>295</v>
      </c>
      <c r="B203" s="1516" t="s">
        <v>1679</v>
      </c>
      <c r="C203" s="1517">
        <v>0.129</v>
      </c>
      <c r="D203" s="1517">
        <v>0.129</v>
      </c>
      <c r="E203" s="1517">
        <v>0.13</v>
      </c>
      <c r="F203" s="1517">
        <v>0.13</v>
      </c>
      <c r="G203" s="1518">
        <v>0.13</v>
      </c>
    </row>
    <row r="204" spans="1:7">
      <c r="A204" s="1527" t="s">
        <v>295</v>
      </c>
      <c r="B204" s="1516" t="s">
        <v>1689</v>
      </c>
      <c r="C204" s="1517">
        <v>0.129</v>
      </c>
      <c r="D204" s="1517">
        <v>0.129</v>
      </c>
      <c r="E204" s="1517">
        <v>0.123</v>
      </c>
      <c r="F204" s="1517">
        <v>0.13</v>
      </c>
      <c r="G204" s="1518">
        <v>0.13</v>
      </c>
    </row>
    <row r="205" spans="1:7">
      <c r="A205" s="1527" t="s">
        <v>295</v>
      </c>
      <c r="B205" s="1516" t="s">
        <v>1699</v>
      </c>
      <c r="C205" s="1517">
        <v>0.13</v>
      </c>
      <c r="D205" s="1517">
        <v>0.13</v>
      </c>
      <c r="E205" s="1517">
        <v>0.13</v>
      </c>
      <c r="F205" s="1517">
        <v>0.13</v>
      </c>
      <c r="G205" s="1518">
        <v>0.13</v>
      </c>
    </row>
    <row r="206" spans="1:7">
      <c r="A206" s="1527" t="s">
        <v>295</v>
      </c>
      <c r="B206" s="1516" t="s">
        <v>1709</v>
      </c>
      <c r="C206" s="1517">
        <v>0.13</v>
      </c>
      <c r="D206" s="1517">
        <v>0.13</v>
      </c>
      <c r="E206" s="1517">
        <v>0.13</v>
      </c>
      <c r="F206" s="1517">
        <v>0.128</v>
      </c>
      <c r="G206" s="1518">
        <v>0.13</v>
      </c>
    </row>
    <row r="207" spans="1:7">
      <c r="A207" s="1527" t="s">
        <v>295</v>
      </c>
      <c r="B207" s="1516" t="s">
        <v>1719</v>
      </c>
      <c r="C207" s="1517">
        <v>0.13</v>
      </c>
      <c r="D207" s="1517">
        <v>0.13</v>
      </c>
      <c r="E207" s="1517">
        <v>0.13</v>
      </c>
      <c r="F207" s="1517">
        <v>0.13</v>
      </c>
      <c r="G207" s="1518">
        <v>0.13</v>
      </c>
    </row>
    <row r="208" spans="1:7">
      <c r="A208" s="1527" t="s">
        <v>295</v>
      </c>
      <c r="B208" s="1516" t="s">
        <v>1729</v>
      </c>
      <c r="C208" s="1517">
        <v>0.13</v>
      </c>
      <c r="D208" s="1517">
        <v>0.13</v>
      </c>
      <c r="E208" s="1517">
        <v>0.13</v>
      </c>
      <c r="F208" s="1517">
        <v>0.13</v>
      </c>
      <c r="G208" s="1518">
        <v>0.13</v>
      </c>
    </row>
    <row r="209" spans="1:7">
      <c r="A209" s="1527" t="s">
        <v>295</v>
      </c>
      <c r="B209" s="1516" t="s">
        <v>1739</v>
      </c>
      <c r="C209" s="1517">
        <v>0.13</v>
      </c>
      <c r="D209" s="1517">
        <v>0.13</v>
      </c>
      <c r="E209" s="1517">
        <v>0.13</v>
      </c>
      <c r="F209" s="1517">
        <v>0.13</v>
      </c>
      <c r="G209" s="1518">
        <v>0.13</v>
      </c>
    </row>
    <row r="210" spans="1:7">
      <c r="A210" s="1527" t="s">
        <v>295</v>
      </c>
      <c r="B210" s="1516" t="s">
        <v>1748</v>
      </c>
      <c r="C210" s="1517">
        <v>0.121</v>
      </c>
      <c r="D210" s="1517">
        <v>0.121</v>
      </c>
      <c r="E210" s="1517">
        <v>0.125</v>
      </c>
      <c r="F210" s="1517">
        <v>0.13</v>
      </c>
      <c r="G210" s="1518">
        <v>0.123</v>
      </c>
    </row>
    <row r="211" spans="1:7">
      <c r="A211" s="1527" t="s">
        <v>295</v>
      </c>
      <c r="B211" s="1516" t="s">
        <v>1756</v>
      </c>
      <c r="C211" s="1517">
        <v>0.123</v>
      </c>
      <c r="D211" s="1517">
        <v>0.123</v>
      </c>
      <c r="E211" s="1517">
        <v>0.127</v>
      </c>
      <c r="F211" s="1517">
        <v>0.115</v>
      </c>
      <c r="G211" s="1518">
        <v>0.126</v>
      </c>
    </row>
    <row r="212" spans="1:7">
      <c r="A212" s="1527" t="s">
        <v>295</v>
      </c>
      <c r="B212" s="1516" t="s">
        <v>1764</v>
      </c>
      <c r="C212" s="1517">
        <v>0.126</v>
      </c>
      <c r="D212" s="1517">
        <v>0.126</v>
      </c>
      <c r="E212" s="1517">
        <v>0.13</v>
      </c>
      <c r="F212" s="1517">
        <v>0.13</v>
      </c>
      <c r="G212" s="1518">
        <v>0.129</v>
      </c>
    </row>
    <row r="213" spans="1:7">
      <c r="A213" s="1527" t="s">
        <v>295</v>
      </c>
      <c r="B213" s="1516" t="s">
        <v>1772</v>
      </c>
      <c r="C213" s="1517">
        <v>0.129</v>
      </c>
      <c r="D213" s="1517">
        <v>0.13</v>
      </c>
      <c r="E213" s="1517">
        <v>0.127</v>
      </c>
      <c r="F213" s="1517">
        <v>0.13</v>
      </c>
      <c r="G213" s="1518">
        <v>0.13</v>
      </c>
    </row>
    <row r="214" spans="1:7">
      <c r="A214" s="1527" t="s">
        <v>295</v>
      </c>
      <c r="B214" s="1516" t="s">
        <v>1780</v>
      </c>
      <c r="C214" s="1517">
        <v>0.128</v>
      </c>
      <c r="D214" s="1517">
        <v>0.128</v>
      </c>
      <c r="E214" s="1517">
        <v>0.13</v>
      </c>
      <c r="F214" s="1517">
        <v>0.13</v>
      </c>
      <c r="G214" s="1518">
        <v>0.13</v>
      </c>
    </row>
    <row r="215" spans="1:7">
      <c r="A215" s="1527" t="s">
        <v>295</v>
      </c>
      <c r="B215" s="1516" t="s">
        <v>1787</v>
      </c>
      <c r="C215" s="1517">
        <v>0.13</v>
      </c>
      <c r="D215" s="1517">
        <v>0.13</v>
      </c>
      <c r="E215" s="1517">
        <v>0.13</v>
      </c>
      <c r="F215" s="1517">
        <v>0.129</v>
      </c>
      <c r="G215" s="1518">
        <v>0.13</v>
      </c>
    </row>
    <row r="216" spans="1:7">
      <c r="A216" s="1527" t="s">
        <v>295</v>
      </c>
      <c r="B216" s="1516" t="s">
        <v>1794</v>
      </c>
      <c r="C216" s="1517">
        <v>0.13</v>
      </c>
      <c r="D216" s="1517">
        <v>0.13</v>
      </c>
      <c r="E216" s="1517">
        <v>0.13</v>
      </c>
      <c r="F216" s="1517">
        <v>0.13</v>
      </c>
      <c r="G216" s="1518">
        <v>0.13</v>
      </c>
    </row>
    <row r="217" spans="1:7">
      <c r="A217" s="1527" t="s">
        <v>295</v>
      </c>
      <c r="B217" s="1516" t="s">
        <v>1801</v>
      </c>
      <c r="C217" s="1517">
        <v>0.129</v>
      </c>
      <c r="D217" s="1517">
        <v>0.129</v>
      </c>
      <c r="E217" s="1517">
        <v>0.13</v>
      </c>
      <c r="F217" s="1517">
        <v>0.13</v>
      </c>
      <c r="G217" s="1518">
        <v>0.13</v>
      </c>
    </row>
    <row r="218" spans="1:7">
      <c r="A218" s="1527" t="s">
        <v>295</v>
      </c>
      <c r="B218" s="1516" t="s">
        <v>1808</v>
      </c>
      <c r="C218" s="1528"/>
      <c r="D218" s="1528"/>
      <c r="E218" s="1528"/>
      <c r="F218" s="1517">
        <v>0.05</v>
      </c>
      <c r="G218" s="1534"/>
    </row>
    <row r="219" spans="1:7">
      <c r="A219" s="1527" t="s">
        <v>295</v>
      </c>
      <c r="B219" s="1516" t="s">
        <v>1815</v>
      </c>
      <c r="C219" s="1528"/>
      <c r="D219" s="1528"/>
      <c r="E219" s="1528"/>
      <c r="F219" s="1517">
        <v>0.05</v>
      </c>
      <c r="G219" s="1534"/>
    </row>
    <row r="220" spans="1:7">
      <c r="A220" s="1527" t="s">
        <v>295</v>
      </c>
      <c r="B220" s="1516" t="s">
        <v>1822</v>
      </c>
      <c r="C220" s="1528"/>
      <c r="D220" s="1528"/>
      <c r="E220" s="1528"/>
      <c r="F220" s="1517">
        <v>0.05</v>
      </c>
      <c r="G220" s="1534"/>
    </row>
    <row r="221" spans="1:7">
      <c r="A221" s="1527" t="s">
        <v>295</v>
      </c>
      <c r="B221" s="1516" t="s">
        <v>1829</v>
      </c>
      <c r="C221" s="1528"/>
      <c r="D221" s="1528"/>
      <c r="E221" s="1528"/>
      <c r="F221" s="1517">
        <v>0.05</v>
      </c>
      <c r="G221" s="1534"/>
    </row>
    <row r="222" spans="1:7">
      <c r="A222" s="1527" t="s">
        <v>295</v>
      </c>
      <c r="B222" s="1516" t="s">
        <v>1834</v>
      </c>
      <c r="C222" s="1528"/>
      <c r="D222" s="1528"/>
      <c r="E222" s="1528"/>
      <c r="F222" s="1517">
        <v>0.05</v>
      </c>
      <c r="G222" s="1534"/>
    </row>
    <row r="223" spans="1:7">
      <c r="A223" s="1527" t="s">
        <v>295</v>
      </c>
      <c r="B223" s="1516" t="s">
        <v>1839</v>
      </c>
      <c r="C223" s="1528"/>
      <c r="D223" s="1528"/>
      <c r="E223" s="1528"/>
      <c r="F223" s="1517">
        <v>0.05</v>
      </c>
      <c r="G223" s="1534"/>
    </row>
    <row r="224" spans="1:7">
      <c r="A224" s="1527" t="s">
        <v>295</v>
      </c>
      <c r="B224" s="1516" t="s">
        <v>1844</v>
      </c>
      <c r="C224" s="1528"/>
      <c r="D224" s="1528"/>
      <c r="E224" s="1528"/>
      <c r="F224" s="1517">
        <v>0.05</v>
      </c>
      <c r="G224" s="1534"/>
    </row>
    <row r="225" spans="1:7">
      <c r="A225" s="1527" t="s">
        <v>295</v>
      </c>
      <c r="B225" s="1516" t="s">
        <v>1849</v>
      </c>
      <c r="C225" s="1528"/>
      <c r="D225" s="1528"/>
      <c r="E225" s="1528"/>
      <c r="F225" s="1517">
        <v>0.05</v>
      </c>
      <c r="G225" s="1534"/>
    </row>
    <row r="226" spans="1:7">
      <c r="A226" s="1527" t="s">
        <v>295</v>
      </c>
      <c r="B226" s="1516" t="s">
        <v>1854</v>
      </c>
      <c r="C226" s="1528"/>
      <c r="D226" s="1528"/>
      <c r="E226" s="1528"/>
      <c r="F226" s="1517">
        <v>0.05</v>
      </c>
      <c r="G226" s="1534"/>
    </row>
    <row r="227" spans="1:7">
      <c r="A227" s="1527" t="s">
        <v>295</v>
      </c>
      <c r="B227" s="1516" t="s">
        <v>1859</v>
      </c>
      <c r="C227" s="1528"/>
      <c r="D227" s="1528"/>
      <c r="E227" s="1528"/>
      <c r="F227" s="1517">
        <v>0.05</v>
      </c>
      <c r="G227" s="1534"/>
    </row>
    <row r="228" spans="1:7">
      <c r="A228" s="1527" t="s">
        <v>295</v>
      </c>
      <c r="B228" s="1516" t="s">
        <v>1864</v>
      </c>
      <c r="C228" s="1528"/>
      <c r="D228" s="1528"/>
      <c r="E228" s="1528"/>
      <c r="F228" s="1517">
        <v>0.05</v>
      </c>
      <c r="G228" s="1534"/>
    </row>
    <row r="229" spans="1:7">
      <c r="A229" s="1527" t="s">
        <v>295</v>
      </c>
      <c r="B229" s="1516" t="s">
        <v>1869</v>
      </c>
      <c r="C229" s="1528"/>
      <c r="D229" s="1528"/>
      <c r="E229" s="1528"/>
      <c r="F229" s="1517">
        <v>0.05</v>
      </c>
      <c r="G229" s="1534"/>
    </row>
    <row r="230" spans="1:7">
      <c r="A230" s="1527" t="s">
        <v>295</v>
      </c>
      <c r="B230" s="1516" t="s">
        <v>1873</v>
      </c>
      <c r="C230" s="1528"/>
      <c r="D230" s="1528"/>
      <c r="E230" s="1528"/>
      <c r="F230" s="1517">
        <v>0.05</v>
      </c>
      <c r="G230" s="1534"/>
    </row>
    <row r="231" spans="1:7">
      <c r="A231" s="1527" t="s">
        <v>295</v>
      </c>
      <c r="B231" s="1516" t="s">
        <v>1877</v>
      </c>
      <c r="C231" s="1528"/>
      <c r="D231" s="1528"/>
      <c r="E231" s="1528"/>
      <c r="F231" s="1517">
        <v>0.05</v>
      </c>
      <c r="G231" s="1534"/>
    </row>
    <row r="232" spans="1:7">
      <c r="A232" s="1527" t="s">
        <v>295</v>
      </c>
      <c r="B232" s="1516" t="s">
        <v>1881</v>
      </c>
      <c r="C232" s="1528"/>
      <c r="D232" s="1528"/>
      <c r="E232" s="1528"/>
      <c r="F232" s="1517">
        <v>0.05</v>
      </c>
      <c r="G232" s="1534"/>
    </row>
    <row r="233" spans="1:7">
      <c r="A233" s="1530" t="s">
        <v>295</v>
      </c>
      <c r="B233" s="1520" t="s">
        <v>1885</v>
      </c>
      <c r="C233" s="1522"/>
      <c r="D233" s="1522"/>
      <c r="E233" s="1522"/>
      <c r="F233" s="1521">
        <v>0.05</v>
      </c>
      <c r="G233" s="1535"/>
    </row>
    <row r="234" spans="1:7">
      <c r="A234" s="1526" t="s">
        <v>301</v>
      </c>
      <c r="B234" s="1512" t="s">
        <v>1537</v>
      </c>
      <c r="C234" s="1513">
        <v>0.13</v>
      </c>
      <c r="D234" s="1513">
        <v>0.128</v>
      </c>
      <c r="E234" s="1513">
        <v>0.14199999999999999</v>
      </c>
      <c r="F234" s="1513">
        <v>0.14699999999999999</v>
      </c>
      <c r="G234" s="1514">
        <v>0.14000000000000001</v>
      </c>
    </row>
    <row r="235" spans="1:7">
      <c r="A235" s="1527" t="s">
        <v>301</v>
      </c>
      <c r="B235" s="1516" t="s">
        <v>1550</v>
      </c>
      <c r="C235" s="1517">
        <v>0.13600000000000001</v>
      </c>
      <c r="D235" s="1517">
        <v>0.13800000000000001</v>
      </c>
      <c r="E235" s="1517">
        <v>0.14499999999999999</v>
      </c>
      <c r="F235" s="1517">
        <v>0.14299999999999999</v>
      </c>
      <c r="G235" s="1518">
        <v>0.14099999999999999</v>
      </c>
    </row>
    <row r="236" spans="1:7">
      <c r="A236" s="1527" t="s">
        <v>301</v>
      </c>
      <c r="B236" s="1516" t="s">
        <v>1563</v>
      </c>
      <c r="C236" s="1517">
        <v>0.15</v>
      </c>
      <c r="D236" s="1517">
        <v>0.15</v>
      </c>
      <c r="E236" s="1517">
        <v>0.15</v>
      </c>
      <c r="F236" s="1517">
        <v>0.15</v>
      </c>
      <c r="G236" s="1518">
        <v>0.15</v>
      </c>
    </row>
    <row r="237" spans="1:7">
      <c r="A237" s="1527" t="s">
        <v>301</v>
      </c>
      <c r="B237" s="1516" t="s">
        <v>1575</v>
      </c>
      <c r="C237" s="1517">
        <v>0.15</v>
      </c>
      <c r="D237" s="1517">
        <v>0.15</v>
      </c>
      <c r="E237" s="1517">
        <v>0.15</v>
      </c>
      <c r="F237" s="1517">
        <v>0.15</v>
      </c>
      <c r="G237" s="1518">
        <v>0.15</v>
      </c>
    </row>
    <row r="238" spans="1:7">
      <c r="A238" s="1527" t="s">
        <v>301</v>
      </c>
      <c r="B238" s="1516" t="s">
        <v>1587</v>
      </c>
      <c r="C238" s="1517">
        <v>0.14899999999999999</v>
      </c>
      <c r="D238" s="1517">
        <v>0.14899999999999999</v>
      </c>
      <c r="E238" s="1517">
        <v>0.15</v>
      </c>
      <c r="F238" s="1517">
        <v>0.15</v>
      </c>
      <c r="G238" s="1518">
        <v>0.15</v>
      </c>
    </row>
    <row r="239" spans="1:7">
      <c r="A239" s="1527" t="s">
        <v>301</v>
      </c>
      <c r="B239" s="1516" t="s">
        <v>1598</v>
      </c>
      <c r="C239" s="1517">
        <v>0.15</v>
      </c>
      <c r="D239" s="1517">
        <v>0.15</v>
      </c>
      <c r="E239" s="1517">
        <v>0.15</v>
      </c>
      <c r="F239" s="1517">
        <v>0.15</v>
      </c>
      <c r="G239" s="1518">
        <v>0.15</v>
      </c>
    </row>
    <row r="240" spans="1:7">
      <c r="A240" s="1527" t="s">
        <v>301</v>
      </c>
      <c r="B240" s="1516" t="s">
        <v>1609</v>
      </c>
      <c r="C240" s="1517">
        <v>0.15</v>
      </c>
      <c r="D240" s="1517">
        <v>0.15</v>
      </c>
      <c r="E240" s="1517">
        <v>0.15</v>
      </c>
      <c r="F240" s="1517">
        <v>0.15</v>
      </c>
      <c r="G240" s="1518">
        <v>0.15</v>
      </c>
    </row>
    <row r="241" spans="1:7">
      <c r="A241" s="1527" t="s">
        <v>301</v>
      </c>
      <c r="B241" s="1516" t="s">
        <v>1620</v>
      </c>
      <c r="C241" s="1517">
        <v>0.14099999999999999</v>
      </c>
      <c r="D241" s="1517">
        <v>0.14199999999999999</v>
      </c>
      <c r="E241" s="1517">
        <v>0.14899999999999999</v>
      </c>
      <c r="F241" s="1517">
        <v>0.15</v>
      </c>
      <c r="G241" s="1518">
        <v>0.14399999999999999</v>
      </c>
    </row>
    <row r="242" spans="1:7">
      <c r="A242" s="1527" t="s">
        <v>301</v>
      </c>
      <c r="B242" s="1516" t="s">
        <v>1630</v>
      </c>
      <c r="C242" s="1517">
        <v>0.14099999999999999</v>
      </c>
      <c r="D242" s="1517">
        <v>0.14199999999999999</v>
      </c>
      <c r="E242" s="1517">
        <v>0.14799999999999999</v>
      </c>
      <c r="F242" s="1517">
        <v>0.127</v>
      </c>
      <c r="G242" s="1518">
        <v>0.14399999999999999</v>
      </c>
    </row>
    <row r="243" spans="1:7">
      <c r="A243" s="1527" t="s">
        <v>301</v>
      </c>
      <c r="B243" s="1516" t="s">
        <v>1640</v>
      </c>
      <c r="C243" s="1517">
        <v>0.14699999999999999</v>
      </c>
      <c r="D243" s="1517">
        <v>0.14699999999999999</v>
      </c>
      <c r="E243" s="1517">
        <v>0.15</v>
      </c>
      <c r="F243" s="1517">
        <v>0.15</v>
      </c>
      <c r="G243" s="1518">
        <v>0.14899999999999999</v>
      </c>
    </row>
    <row r="244" spans="1:7">
      <c r="A244" s="1527" t="s">
        <v>301</v>
      </c>
      <c r="B244" s="1516" t="s">
        <v>1650</v>
      </c>
      <c r="C244" s="1517">
        <v>0.15</v>
      </c>
      <c r="D244" s="1517">
        <v>0.15</v>
      </c>
      <c r="E244" s="1517">
        <v>0.15</v>
      </c>
      <c r="F244" s="1517">
        <v>0.15</v>
      </c>
      <c r="G244" s="1518">
        <v>0.15</v>
      </c>
    </row>
    <row r="245" spans="1:7">
      <c r="A245" s="1527" t="s">
        <v>301</v>
      </c>
      <c r="B245" s="1516" t="s">
        <v>1660</v>
      </c>
      <c r="C245" s="1517">
        <v>0.14199999999999999</v>
      </c>
      <c r="D245" s="1517">
        <v>0.14199999999999999</v>
      </c>
      <c r="E245" s="1517">
        <v>0.15</v>
      </c>
      <c r="F245" s="1517">
        <v>0.15</v>
      </c>
      <c r="G245" s="1518">
        <v>0.14499999999999999</v>
      </c>
    </row>
    <row r="246" spans="1:7">
      <c r="A246" s="1527" t="s">
        <v>301</v>
      </c>
      <c r="B246" s="1516" t="s">
        <v>1670</v>
      </c>
      <c r="C246" s="1517">
        <v>0.14199999999999999</v>
      </c>
      <c r="D246" s="1517">
        <v>0.14299999999999999</v>
      </c>
      <c r="E246" s="1517">
        <v>0.15</v>
      </c>
      <c r="F246" s="1517">
        <v>0.14199999999999999</v>
      </c>
      <c r="G246" s="1518">
        <v>0.14399999999999999</v>
      </c>
    </row>
    <row r="247" spans="1:7">
      <c r="A247" s="1527" t="s">
        <v>301</v>
      </c>
      <c r="B247" s="1516" t="s">
        <v>1680</v>
      </c>
      <c r="C247" s="1517">
        <v>0.14899999999999999</v>
      </c>
      <c r="D247" s="1517">
        <v>0.14899999999999999</v>
      </c>
      <c r="E247" s="1517">
        <v>0.15</v>
      </c>
      <c r="F247" s="1517">
        <v>0.15</v>
      </c>
      <c r="G247" s="1518">
        <v>0.15</v>
      </c>
    </row>
    <row r="248" spans="1:7">
      <c r="A248" s="1527" t="s">
        <v>301</v>
      </c>
      <c r="B248" s="1516" t="s">
        <v>1690</v>
      </c>
      <c r="C248" s="1517">
        <v>0.14399999999999999</v>
      </c>
      <c r="D248" s="1517">
        <v>0.14399999999999999</v>
      </c>
      <c r="E248" s="1517">
        <v>0.14899999999999999</v>
      </c>
      <c r="F248" s="1517">
        <v>0.14799999999999999</v>
      </c>
      <c r="G248" s="1518">
        <v>0.14599999999999999</v>
      </c>
    </row>
    <row r="249" spans="1:7">
      <c r="A249" s="1527" t="s">
        <v>301</v>
      </c>
      <c r="B249" s="1516" t="s">
        <v>1700</v>
      </c>
      <c r="C249" s="1517">
        <v>0.14000000000000001</v>
      </c>
      <c r="D249" s="1517">
        <v>0.14000000000000001</v>
      </c>
      <c r="E249" s="1517">
        <v>0.14699999999999999</v>
      </c>
      <c r="F249" s="1517">
        <v>0.14899999999999999</v>
      </c>
      <c r="G249" s="1518">
        <v>0.14199999999999999</v>
      </c>
    </row>
    <row r="250" spans="1:7">
      <c r="A250" s="1527" t="s">
        <v>301</v>
      </c>
      <c r="B250" s="1516" t="s">
        <v>1710</v>
      </c>
      <c r="C250" s="1517">
        <v>0.14399999999999999</v>
      </c>
      <c r="D250" s="1517">
        <v>0.14299999999999999</v>
      </c>
      <c r="E250" s="1517">
        <v>0.14899999999999999</v>
      </c>
      <c r="F250" s="1517">
        <v>0.15</v>
      </c>
      <c r="G250" s="1518">
        <v>0.14599999999999999</v>
      </c>
    </row>
    <row r="251" spans="1:7">
      <c r="A251" s="1527" t="s">
        <v>301</v>
      </c>
      <c r="B251" s="1516" t="s">
        <v>1720</v>
      </c>
      <c r="C251" s="1533"/>
      <c r="D251" s="1528"/>
      <c r="E251" s="1528"/>
      <c r="F251" s="1517">
        <v>0.1</v>
      </c>
      <c r="G251" s="1534"/>
    </row>
    <row r="252" spans="1:7">
      <c r="A252" s="1527" t="s">
        <v>301</v>
      </c>
      <c r="B252" s="1516" t="s">
        <v>1730</v>
      </c>
      <c r="C252" s="1517">
        <v>0.14399999999999999</v>
      </c>
      <c r="D252" s="1517">
        <v>0.14399999999999999</v>
      </c>
      <c r="E252" s="1517">
        <v>0.15</v>
      </c>
      <c r="F252" s="1517">
        <v>0.14899999999999999</v>
      </c>
      <c r="G252" s="1518">
        <v>0.14599999999999999</v>
      </c>
    </row>
    <row r="253" spans="1:7">
      <c r="A253" s="1527" t="s">
        <v>301</v>
      </c>
      <c r="B253" s="1516" t="s">
        <v>1740</v>
      </c>
      <c r="C253" s="1517">
        <v>0.14199999999999999</v>
      </c>
      <c r="D253" s="1517">
        <v>0.14199999999999999</v>
      </c>
      <c r="E253" s="1517">
        <v>0.14599999999999999</v>
      </c>
      <c r="F253" s="1517">
        <v>0.14799999999999999</v>
      </c>
      <c r="G253" s="1518">
        <v>0.14499999999999999</v>
      </c>
    </row>
    <row r="254" spans="1:7">
      <c r="A254" s="1527" t="s">
        <v>301</v>
      </c>
      <c r="B254" s="1516" t="s">
        <v>1749</v>
      </c>
      <c r="C254" s="1517">
        <v>0.15</v>
      </c>
      <c r="D254" s="1517">
        <v>0.15</v>
      </c>
      <c r="E254" s="1517">
        <v>0.15</v>
      </c>
      <c r="F254" s="1517">
        <v>0.15</v>
      </c>
      <c r="G254" s="1518">
        <v>0.15</v>
      </c>
    </row>
    <row r="255" spans="1:7">
      <c r="A255" s="1527" t="s">
        <v>301</v>
      </c>
      <c r="B255" s="1516" t="s">
        <v>1757</v>
      </c>
      <c r="C255" s="1517">
        <v>0.14299999999999999</v>
      </c>
      <c r="D255" s="1517">
        <v>0.14299999999999999</v>
      </c>
      <c r="E255" s="1517">
        <v>0.15</v>
      </c>
      <c r="F255" s="1517">
        <v>0.15</v>
      </c>
      <c r="G255" s="1518">
        <v>0.14499999999999999</v>
      </c>
    </row>
    <row r="256" spans="1:7">
      <c r="A256" s="1527" t="s">
        <v>301</v>
      </c>
      <c r="B256" s="1516" t="s">
        <v>1765</v>
      </c>
      <c r="C256" s="1517">
        <v>0.15</v>
      </c>
      <c r="D256" s="1517">
        <v>0.15</v>
      </c>
      <c r="E256" s="1517">
        <v>0.15</v>
      </c>
      <c r="F256" s="1517">
        <v>0.14599999999999999</v>
      </c>
      <c r="G256" s="1518">
        <v>0.15</v>
      </c>
    </row>
    <row r="257" spans="1:7">
      <c r="A257" s="1527" t="s">
        <v>301</v>
      </c>
      <c r="B257" s="1516" t="s">
        <v>1773</v>
      </c>
      <c r="C257" s="1517">
        <v>0.14199999999999999</v>
      </c>
      <c r="D257" s="1517">
        <v>0.14299999999999999</v>
      </c>
      <c r="E257" s="1517">
        <v>0.14799999999999999</v>
      </c>
      <c r="F257" s="1517">
        <v>0.15</v>
      </c>
      <c r="G257" s="1518">
        <v>0.14499999999999999</v>
      </c>
    </row>
    <row r="258" spans="1:7">
      <c r="A258" s="1527" t="s">
        <v>301</v>
      </c>
      <c r="B258" s="1516" t="s">
        <v>1781</v>
      </c>
      <c r="C258" s="1517">
        <v>0.14299999999999999</v>
      </c>
      <c r="D258" s="1517">
        <v>0.14299999999999999</v>
      </c>
      <c r="E258" s="1517">
        <v>0.15</v>
      </c>
      <c r="F258" s="1517">
        <v>0.14799999999999999</v>
      </c>
      <c r="G258" s="1518">
        <v>0.14599999999999999</v>
      </c>
    </row>
    <row r="259" spans="1:7">
      <c r="A259" s="1527" t="s">
        <v>301</v>
      </c>
      <c r="B259" s="1516" t="s">
        <v>1788</v>
      </c>
      <c r="C259" s="1517">
        <v>0.14399999999999999</v>
      </c>
      <c r="D259" s="1517">
        <v>0.14399999999999999</v>
      </c>
      <c r="E259" s="1517">
        <v>0.14899999999999999</v>
      </c>
      <c r="F259" s="1517">
        <v>0.14699999999999999</v>
      </c>
      <c r="G259" s="1518">
        <v>0.14599999999999999</v>
      </c>
    </row>
    <row r="260" spans="1:7">
      <c r="A260" s="1527" t="s">
        <v>301</v>
      </c>
      <c r="B260" s="1516" t="s">
        <v>1795</v>
      </c>
      <c r="C260" s="1517">
        <v>0.109</v>
      </c>
      <c r="D260" s="1517">
        <v>0.111</v>
      </c>
      <c r="E260" s="1517">
        <v>0.13100000000000001</v>
      </c>
      <c r="F260" s="1517">
        <v>0.126</v>
      </c>
      <c r="G260" s="1518">
        <v>0.11899999999999999</v>
      </c>
    </row>
    <row r="261" spans="1:7">
      <c r="A261" s="1527" t="s">
        <v>301</v>
      </c>
      <c r="B261" s="1516" t="s">
        <v>1802</v>
      </c>
      <c r="C261" s="1517">
        <v>0.1</v>
      </c>
      <c r="D261" s="1517">
        <v>0.1</v>
      </c>
      <c r="E261" s="1517">
        <v>0.11799999999999999</v>
      </c>
      <c r="F261" s="1517">
        <v>0.108</v>
      </c>
      <c r="G261" s="1518">
        <v>0.107</v>
      </c>
    </row>
    <row r="262" spans="1:7">
      <c r="A262" s="1527" t="s">
        <v>301</v>
      </c>
      <c r="B262" s="1516" t="s">
        <v>1809</v>
      </c>
      <c r="C262" s="1517">
        <v>0.1</v>
      </c>
      <c r="D262" s="1517">
        <v>0.1</v>
      </c>
      <c r="E262" s="1517">
        <v>0.1</v>
      </c>
      <c r="F262" s="1517">
        <v>0.14099999999999999</v>
      </c>
      <c r="G262" s="1518">
        <v>0.1</v>
      </c>
    </row>
    <row r="263" spans="1:7">
      <c r="A263" s="1527" t="s">
        <v>301</v>
      </c>
      <c r="B263" s="1516" t="s">
        <v>1816</v>
      </c>
      <c r="C263" s="1517">
        <v>0.14799999999999999</v>
      </c>
      <c r="D263" s="1517">
        <v>0.14799999999999999</v>
      </c>
      <c r="E263" s="1517">
        <v>0.15</v>
      </c>
      <c r="F263" s="1517">
        <v>0.14699999999999999</v>
      </c>
      <c r="G263" s="1518">
        <v>0.15</v>
      </c>
    </row>
    <row r="264" spans="1:7">
      <c r="A264" s="1527" t="s">
        <v>301</v>
      </c>
      <c r="B264" s="1516" t="s">
        <v>1823</v>
      </c>
      <c r="C264" s="1517">
        <v>0.14299999999999999</v>
      </c>
      <c r="D264" s="1517">
        <v>0.14299999999999999</v>
      </c>
      <c r="E264" s="1517">
        <v>0.15</v>
      </c>
      <c r="F264" s="1517">
        <v>0.14899999999999999</v>
      </c>
      <c r="G264" s="1518">
        <v>0.14599999999999999</v>
      </c>
    </row>
    <row r="265" spans="1:7">
      <c r="A265" s="1527" t="s">
        <v>301</v>
      </c>
      <c r="B265" s="1516" t="s">
        <v>1830</v>
      </c>
      <c r="C265" s="1528"/>
      <c r="D265" s="1528"/>
      <c r="E265" s="1528"/>
      <c r="F265" s="1517">
        <v>0.05</v>
      </c>
      <c r="G265" s="1534"/>
    </row>
    <row r="266" spans="1:7">
      <c r="A266" s="1527" t="s">
        <v>301</v>
      </c>
      <c r="B266" s="1516" t="s">
        <v>1835</v>
      </c>
      <c r="C266" s="1528"/>
      <c r="D266" s="1528"/>
      <c r="E266" s="1528"/>
      <c r="F266" s="1517">
        <v>0.05</v>
      </c>
      <c r="G266" s="1534"/>
    </row>
    <row r="267" spans="1:7">
      <c r="A267" s="1527" t="s">
        <v>301</v>
      </c>
      <c r="B267" s="1516" t="s">
        <v>1840</v>
      </c>
      <c r="C267" s="1528"/>
      <c r="D267" s="1528"/>
      <c r="E267" s="1528"/>
      <c r="F267" s="1517">
        <v>0.05</v>
      </c>
      <c r="G267" s="1534"/>
    </row>
    <row r="268" spans="1:7">
      <c r="A268" s="1527" t="s">
        <v>301</v>
      </c>
      <c r="B268" s="1516" t="s">
        <v>1845</v>
      </c>
      <c r="C268" s="1528"/>
      <c r="D268" s="1528"/>
      <c r="E268" s="1528"/>
      <c r="F268" s="1517">
        <v>0.05</v>
      </c>
      <c r="G268" s="1534"/>
    </row>
    <row r="269" spans="1:7">
      <c r="A269" s="1527" t="s">
        <v>301</v>
      </c>
      <c r="B269" s="1516" t="s">
        <v>1850</v>
      </c>
      <c r="C269" s="1528"/>
      <c r="D269" s="1528"/>
      <c r="E269" s="1528"/>
      <c r="F269" s="1517">
        <v>0.05</v>
      </c>
      <c r="G269" s="1534"/>
    </row>
    <row r="270" spans="1:7">
      <c r="A270" s="1527" t="s">
        <v>301</v>
      </c>
      <c r="B270" s="1516" t="s">
        <v>1855</v>
      </c>
      <c r="C270" s="1528"/>
      <c r="D270" s="1528"/>
      <c r="E270" s="1528"/>
      <c r="F270" s="1517">
        <v>0.05</v>
      </c>
      <c r="G270" s="1534"/>
    </row>
    <row r="271" spans="1:7">
      <c r="A271" s="1527" t="s">
        <v>301</v>
      </c>
      <c r="B271" s="1516" t="s">
        <v>1860</v>
      </c>
      <c r="C271" s="1528"/>
      <c r="D271" s="1528"/>
      <c r="E271" s="1528"/>
      <c r="F271" s="1517">
        <v>0.05</v>
      </c>
      <c r="G271" s="1534"/>
    </row>
    <row r="272" spans="1:7">
      <c r="A272" s="1527" t="s">
        <v>301</v>
      </c>
      <c r="B272" s="1516" t="s">
        <v>1865</v>
      </c>
      <c r="C272" s="1528"/>
      <c r="D272" s="1528"/>
      <c r="E272" s="1528"/>
      <c r="F272" s="1517">
        <v>0.05</v>
      </c>
      <c r="G272" s="1534"/>
    </row>
    <row r="273" spans="1:7">
      <c r="A273" s="1527" t="s">
        <v>301</v>
      </c>
      <c r="B273" s="1516" t="s">
        <v>1870</v>
      </c>
      <c r="C273" s="1528"/>
      <c r="D273" s="1528"/>
      <c r="E273" s="1528"/>
      <c r="F273" s="1517">
        <v>0.05</v>
      </c>
      <c r="G273" s="1534"/>
    </row>
    <row r="274" spans="1:7">
      <c r="A274" s="1527" t="s">
        <v>301</v>
      </c>
      <c r="B274" s="1516" t="s">
        <v>1874</v>
      </c>
      <c r="C274" s="1528"/>
      <c r="D274" s="1528"/>
      <c r="E274" s="1528"/>
      <c r="F274" s="1517">
        <v>0.05</v>
      </c>
      <c r="G274" s="1534"/>
    </row>
    <row r="275" spans="1:7">
      <c r="A275" s="1527" t="s">
        <v>301</v>
      </c>
      <c r="B275" s="1516" t="s">
        <v>1878</v>
      </c>
      <c r="C275" s="1528"/>
      <c r="D275" s="1528"/>
      <c r="E275" s="1528"/>
      <c r="F275" s="1517">
        <v>0.05</v>
      </c>
      <c r="G275" s="1534"/>
    </row>
    <row r="276" spans="1:7">
      <c r="A276" s="1530" t="s">
        <v>301</v>
      </c>
      <c r="B276" s="1520" t="s">
        <v>1882</v>
      </c>
      <c r="C276" s="1522"/>
      <c r="D276" s="1522"/>
      <c r="E276" s="1522"/>
      <c r="F276" s="1521">
        <v>0.05</v>
      </c>
      <c r="G276" s="1535"/>
    </row>
    <row r="277" spans="1:7">
      <c r="A277" s="1526" t="s">
        <v>305</v>
      </c>
      <c r="B277" s="1512" t="s">
        <v>1538</v>
      </c>
      <c r="C277" s="1513">
        <v>0.15</v>
      </c>
      <c r="D277" s="1513">
        <v>0.15</v>
      </c>
      <c r="E277" s="1513">
        <v>0.15</v>
      </c>
      <c r="F277" s="1513">
        <v>0.15</v>
      </c>
      <c r="G277" s="1514">
        <v>0.15</v>
      </c>
    </row>
    <row r="278" spans="1:7">
      <c r="A278" s="1527" t="s">
        <v>305</v>
      </c>
      <c r="B278" s="1516" t="s">
        <v>1551</v>
      </c>
      <c r="C278" s="1517">
        <v>0.15</v>
      </c>
      <c r="D278" s="1517">
        <v>0.15</v>
      </c>
      <c r="E278" s="1517">
        <v>0.15</v>
      </c>
      <c r="F278" s="1517">
        <v>0.15</v>
      </c>
      <c r="G278" s="1518">
        <v>0.15</v>
      </c>
    </row>
    <row r="279" spans="1:7">
      <c r="A279" s="1527" t="s">
        <v>305</v>
      </c>
      <c r="B279" s="1516" t="s">
        <v>1564</v>
      </c>
      <c r="C279" s="1517">
        <v>0.15</v>
      </c>
      <c r="D279" s="1517">
        <v>0.15</v>
      </c>
      <c r="E279" s="1517">
        <v>0.15</v>
      </c>
      <c r="F279" s="1517">
        <v>0.15</v>
      </c>
      <c r="G279" s="1518">
        <v>0.15</v>
      </c>
    </row>
    <row r="280" spans="1:7">
      <c r="A280" s="1527" t="s">
        <v>305</v>
      </c>
      <c r="B280" s="1516" t="s">
        <v>1576</v>
      </c>
      <c r="C280" s="1517">
        <v>0.15</v>
      </c>
      <c r="D280" s="1517">
        <v>0.15</v>
      </c>
      <c r="E280" s="1517">
        <v>0.15</v>
      </c>
      <c r="F280" s="1517">
        <v>0.15</v>
      </c>
      <c r="G280" s="1518">
        <v>0.15</v>
      </c>
    </row>
    <row r="281" spans="1:7">
      <c r="A281" s="1527" t="s">
        <v>305</v>
      </c>
      <c r="B281" s="1516" t="s">
        <v>1588</v>
      </c>
      <c r="C281" s="1517">
        <v>0.15</v>
      </c>
      <c r="D281" s="1517">
        <v>0.15</v>
      </c>
      <c r="E281" s="1517">
        <v>0.15</v>
      </c>
      <c r="F281" s="1517">
        <v>0.15</v>
      </c>
      <c r="G281" s="1518">
        <v>0.15</v>
      </c>
    </row>
    <row r="282" spans="1:7">
      <c r="A282" s="1527" t="s">
        <v>305</v>
      </c>
      <c r="B282" s="1516" t="s">
        <v>1599</v>
      </c>
      <c r="C282" s="1517">
        <v>0.15</v>
      </c>
      <c r="D282" s="1517">
        <v>0.15</v>
      </c>
      <c r="E282" s="1517">
        <v>0.15</v>
      </c>
      <c r="F282" s="1517">
        <v>0.14499999999999999</v>
      </c>
      <c r="G282" s="1518">
        <v>0.15</v>
      </c>
    </row>
    <row r="283" spans="1:7">
      <c r="A283" s="1527" t="s">
        <v>305</v>
      </c>
      <c r="B283" s="1516" t="s">
        <v>1610</v>
      </c>
      <c r="C283" s="1517">
        <v>0.15</v>
      </c>
      <c r="D283" s="1517">
        <v>0.15</v>
      </c>
      <c r="E283" s="1517">
        <v>0.15</v>
      </c>
      <c r="F283" s="1517">
        <v>0.14199999999999999</v>
      </c>
      <c r="G283" s="1518">
        <v>0.15</v>
      </c>
    </row>
    <row r="284" spans="1:7">
      <c r="A284" s="1527" t="s">
        <v>305</v>
      </c>
      <c r="B284" s="1516" t="s">
        <v>1621</v>
      </c>
      <c r="C284" s="1517">
        <v>0.15</v>
      </c>
      <c r="D284" s="1517">
        <v>0.15</v>
      </c>
      <c r="E284" s="1517">
        <v>0.15</v>
      </c>
      <c r="F284" s="1517">
        <v>0.15</v>
      </c>
      <c r="G284" s="1518">
        <v>0.15</v>
      </c>
    </row>
    <row r="285" spans="1:7">
      <c r="A285" s="1527" t="s">
        <v>305</v>
      </c>
      <c r="B285" s="1516" t="s">
        <v>1631</v>
      </c>
      <c r="C285" s="1517">
        <v>0.15</v>
      </c>
      <c r="D285" s="1517">
        <v>0.15</v>
      </c>
      <c r="E285" s="1517">
        <v>0.15</v>
      </c>
      <c r="F285" s="1517">
        <v>0.15</v>
      </c>
      <c r="G285" s="1518">
        <v>0.15</v>
      </c>
    </row>
    <row r="286" spans="1:7">
      <c r="A286" s="1527" t="s">
        <v>305</v>
      </c>
      <c r="B286" s="1516" t="s">
        <v>1641</v>
      </c>
      <c r="C286" s="1517">
        <v>0.14499999999999999</v>
      </c>
      <c r="D286" s="1517">
        <v>0.14499999999999999</v>
      </c>
      <c r="E286" s="1517">
        <v>0.15</v>
      </c>
      <c r="F286" s="1517">
        <v>0.14099999999999999</v>
      </c>
      <c r="G286" s="1518">
        <v>0.14499999999999999</v>
      </c>
    </row>
    <row r="287" spans="1:7">
      <c r="A287" s="1527" t="s">
        <v>305</v>
      </c>
      <c r="B287" s="1516" t="s">
        <v>1651</v>
      </c>
      <c r="C287" s="1517">
        <v>0.11</v>
      </c>
      <c r="D287" s="1517">
        <v>0.111</v>
      </c>
      <c r="E287" s="1517">
        <v>0.14099999999999999</v>
      </c>
      <c r="F287" s="1517">
        <v>0.11</v>
      </c>
      <c r="G287" s="1518">
        <v>0.12</v>
      </c>
    </row>
    <row r="288" spans="1:7">
      <c r="A288" s="1527" t="s">
        <v>305</v>
      </c>
      <c r="B288" s="1516" t="s">
        <v>1661</v>
      </c>
      <c r="C288" s="1517">
        <v>0.14199999999999999</v>
      </c>
      <c r="D288" s="1517">
        <v>0.14299999999999999</v>
      </c>
      <c r="E288" s="1517">
        <v>0.15</v>
      </c>
      <c r="F288" s="1517">
        <v>0.14199999999999999</v>
      </c>
      <c r="G288" s="1518">
        <v>0.14399999999999999</v>
      </c>
    </row>
    <row r="289" spans="1:7">
      <c r="A289" s="1527" t="s">
        <v>305</v>
      </c>
      <c r="B289" s="1516" t="s">
        <v>1671</v>
      </c>
      <c r="C289" s="1517">
        <v>0.14299999999999999</v>
      </c>
      <c r="D289" s="1517">
        <v>0.14299999999999999</v>
      </c>
      <c r="E289" s="1517">
        <v>0.14799999999999999</v>
      </c>
      <c r="F289" s="1517">
        <v>0.14399999999999999</v>
      </c>
      <c r="G289" s="1518">
        <v>0.14399999999999999</v>
      </c>
    </row>
    <row r="290" spans="1:7">
      <c r="A290" s="1527" t="s">
        <v>305</v>
      </c>
      <c r="B290" s="1516" t="s">
        <v>1681</v>
      </c>
      <c r="C290" s="1517">
        <v>0.14799999999999999</v>
      </c>
      <c r="D290" s="1517">
        <v>0.14899999999999999</v>
      </c>
      <c r="E290" s="1517">
        <v>0.15</v>
      </c>
      <c r="F290" s="1517">
        <v>0.127</v>
      </c>
      <c r="G290" s="1518">
        <v>0.15</v>
      </c>
    </row>
    <row r="291" spans="1:7">
      <c r="A291" s="1527" t="s">
        <v>305</v>
      </c>
      <c r="B291" s="1516" t="s">
        <v>1691</v>
      </c>
      <c r="C291" s="1517">
        <v>0.15</v>
      </c>
      <c r="D291" s="1517">
        <v>0.15</v>
      </c>
      <c r="E291" s="1517">
        <v>0.15</v>
      </c>
      <c r="F291" s="1517">
        <v>0.14899999999999999</v>
      </c>
      <c r="G291" s="1518">
        <v>0.15</v>
      </c>
    </row>
    <row r="292" spans="1:7">
      <c r="A292" s="1527" t="s">
        <v>305</v>
      </c>
      <c r="B292" s="1516" t="s">
        <v>1701</v>
      </c>
      <c r="C292" s="1517">
        <v>0.15</v>
      </c>
      <c r="D292" s="1517">
        <v>0.15</v>
      </c>
      <c r="E292" s="1517">
        <v>0.15</v>
      </c>
      <c r="F292" s="1517">
        <v>0.14399999999999999</v>
      </c>
      <c r="G292" s="1518">
        <v>0.15</v>
      </c>
    </row>
    <row r="293" spans="1:7">
      <c r="A293" s="1527" t="s">
        <v>305</v>
      </c>
      <c r="B293" s="1516" t="s">
        <v>1711</v>
      </c>
      <c r="C293" s="1517">
        <v>0.15</v>
      </c>
      <c r="D293" s="1517">
        <v>0.15</v>
      </c>
      <c r="E293" s="1517">
        <v>0.15</v>
      </c>
      <c r="F293" s="1517">
        <v>0.14499999999999999</v>
      </c>
      <c r="G293" s="1518">
        <v>0.15</v>
      </c>
    </row>
    <row r="294" spans="1:7">
      <c r="A294" s="1527" t="s">
        <v>305</v>
      </c>
      <c r="B294" s="1516" t="s">
        <v>1721</v>
      </c>
      <c r="C294" s="1517">
        <v>0.15</v>
      </c>
      <c r="D294" s="1517">
        <v>0.15</v>
      </c>
      <c r="E294" s="1517">
        <v>0.15</v>
      </c>
      <c r="F294" s="1517">
        <v>0.14899999999999999</v>
      </c>
      <c r="G294" s="1518">
        <v>0.15</v>
      </c>
    </row>
    <row r="295" spans="1:7">
      <c r="A295" s="1527" t="s">
        <v>305</v>
      </c>
      <c r="B295" s="1516" t="s">
        <v>1731</v>
      </c>
      <c r="C295" s="1517">
        <v>0.15</v>
      </c>
      <c r="D295" s="1517">
        <v>0.15</v>
      </c>
      <c r="E295" s="1517">
        <v>0.15</v>
      </c>
      <c r="F295" s="1517">
        <v>0.14799999999999999</v>
      </c>
      <c r="G295" s="1518">
        <v>0.15</v>
      </c>
    </row>
    <row r="296" spans="1:7">
      <c r="A296" s="1527" t="s">
        <v>305</v>
      </c>
      <c r="B296" s="1516" t="s">
        <v>1741</v>
      </c>
      <c r="C296" s="1517">
        <v>0.15</v>
      </c>
      <c r="D296" s="1517">
        <v>0.15</v>
      </c>
      <c r="E296" s="1517">
        <v>0.15</v>
      </c>
      <c r="F296" s="1517">
        <v>0.14399999999999999</v>
      </c>
      <c r="G296" s="1518">
        <v>0.15</v>
      </c>
    </row>
    <row r="297" spans="1:7">
      <c r="A297" s="1527" t="s">
        <v>305</v>
      </c>
      <c r="B297" s="1516" t="s">
        <v>1750</v>
      </c>
      <c r="C297" s="1517">
        <v>0.15</v>
      </c>
      <c r="D297" s="1517">
        <v>0.15</v>
      </c>
      <c r="E297" s="1517">
        <v>0.15</v>
      </c>
      <c r="F297" s="1517">
        <v>0.14499999999999999</v>
      </c>
      <c r="G297" s="1518">
        <v>0.15</v>
      </c>
    </row>
    <row r="298" spans="1:7">
      <c r="A298" s="1527" t="s">
        <v>305</v>
      </c>
      <c r="B298" s="1516" t="s">
        <v>1758</v>
      </c>
      <c r="C298" s="1517">
        <v>0.15</v>
      </c>
      <c r="D298" s="1517">
        <v>0.15</v>
      </c>
      <c r="E298" s="1517">
        <v>0.15</v>
      </c>
      <c r="F298" s="1517">
        <v>0.15</v>
      </c>
      <c r="G298" s="1518">
        <v>0.15</v>
      </c>
    </row>
    <row r="299" spans="1:7">
      <c r="A299" s="1527" t="s">
        <v>305</v>
      </c>
      <c r="B299" s="1536" t="s">
        <v>1766</v>
      </c>
      <c r="C299" s="1517">
        <v>0.15</v>
      </c>
      <c r="D299" s="1517">
        <v>0.15</v>
      </c>
      <c r="E299" s="1517">
        <v>0.15</v>
      </c>
      <c r="F299" s="1517">
        <v>0.14499999999999999</v>
      </c>
      <c r="G299" s="1518">
        <v>0.15</v>
      </c>
    </row>
    <row r="300" spans="1:7">
      <c r="A300" s="1527" t="s">
        <v>305</v>
      </c>
      <c r="B300" s="1536" t="s">
        <v>1774</v>
      </c>
      <c r="C300" s="1517">
        <v>0.15</v>
      </c>
      <c r="D300" s="1517">
        <v>0.15</v>
      </c>
      <c r="E300" s="1517">
        <v>0.15</v>
      </c>
      <c r="F300" s="1517">
        <v>0.14599999999999999</v>
      </c>
      <c r="G300" s="1518">
        <v>0.15</v>
      </c>
    </row>
    <row r="301" spans="1:7">
      <c r="A301" s="1527" t="s">
        <v>305</v>
      </c>
      <c r="B301" s="1536" t="s">
        <v>1782</v>
      </c>
      <c r="C301" s="1517">
        <v>0.126</v>
      </c>
      <c r="D301" s="1517">
        <v>0.124</v>
      </c>
      <c r="E301" s="1517">
        <v>0.14099999999999999</v>
      </c>
      <c r="F301" s="1517">
        <v>0.14399999999999999</v>
      </c>
      <c r="G301" s="1518">
        <v>0.13</v>
      </c>
    </row>
    <row r="302" spans="1:7">
      <c r="A302" s="1527" t="s">
        <v>305</v>
      </c>
      <c r="B302" s="1516" t="s">
        <v>1789</v>
      </c>
      <c r="C302" s="1517">
        <v>0.15</v>
      </c>
      <c r="D302" s="1517">
        <v>0.15</v>
      </c>
      <c r="E302" s="1517">
        <v>0.15</v>
      </c>
      <c r="F302" s="1517">
        <v>0.14699999999999999</v>
      </c>
      <c r="G302" s="1518">
        <v>0.15</v>
      </c>
    </row>
    <row r="303" spans="1:7">
      <c r="A303" s="1527" t="s">
        <v>305</v>
      </c>
      <c r="B303" s="1516" t="s">
        <v>1796</v>
      </c>
      <c r="C303" s="1517">
        <v>0.15</v>
      </c>
      <c r="D303" s="1517">
        <v>0.15</v>
      </c>
      <c r="E303" s="1517">
        <v>0.15</v>
      </c>
      <c r="F303" s="1517">
        <v>0.14199999999999999</v>
      </c>
      <c r="G303" s="1518">
        <v>0.15</v>
      </c>
    </row>
    <row r="304" spans="1:7">
      <c r="A304" s="1527" t="s">
        <v>305</v>
      </c>
      <c r="B304" s="1516" t="s">
        <v>1803</v>
      </c>
      <c r="C304" s="1517">
        <v>0.15</v>
      </c>
      <c r="D304" s="1517">
        <v>0.15</v>
      </c>
      <c r="E304" s="1517">
        <v>0.15</v>
      </c>
      <c r="F304" s="1517">
        <v>0.14499999999999999</v>
      </c>
      <c r="G304" s="1518">
        <v>0.15</v>
      </c>
    </row>
    <row r="305" spans="1:7">
      <c r="A305" s="1527" t="s">
        <v>305</v>
      </c>
      <c r="B305" s="1516" t="s">
        <v>1810</v>
      </c>
      <c r="C305" s="1517">
        <v>0.15</v>
      </c>
      <c r="D305" s="1517">
        <v>0.15</v>
      </c>
      <c r="E305" s="1517">
        <v>0.15</v>
      </c>
      <c r="F305" s="1517">
        <v>0.111</v>
      </c>
      <c r="G305" s="1518">
        <v>0.15</v>
      </c>
    </row>
    <row r="306" spans="1:7">
      <c r="A306" s="1527" t="s">
        <v>305</v>
      </c>
      <c r="B306" s="1516" t="s">
        <v>1817</v>
      </c>
      <c r="C306" s="1517">
        <v>0.15</v>
      </c>
      <c r="D306" s="1517">
        <v>0.15</v>
      </c>
      <c r="E306" s="1517">
        <v>0.15</v>
      </c>
      <c r="F306" s="1517">
        <v>0.126</v>
      </c>
      <c r="G306" s="1518">
        <v>0.15</v>
      </c>
    </row>
    <row r="307" spans="1:7">
      <c r="A307" s="1527" t="s">
        <v>305</v>
      </c>
      <c r="B307" s="1516" t="s">
        <v>1824</v>
      </c>
      <c r="C307" s="1517">
        <v>0.15</v>
      </c>
      <c r="D307" s="1517">
        <v>0.15</v>
      </c>
      <c r="E307" s="1517">
        <v>0.15</v>
      </c>
      <c r="F307" s="1517">
        <v>0.12</v>
      </c>
      <c r="G307" s="1518">
        <v>0.15</v>
      </c>
    </row>
    <row r="308" spans="1:7">
      <c r="A308" s="1527" t="s">
        <v>305</v>
      </c>
      <c r="B308" s="1516" t="s">
        <v>1831</v>
      </c>
      <c r="C308" s="1517">
        <v>0.15</v>
      </c>
      <c r="D308" s="1517">
        <v>0.15</v>
      </c>
      <c r="E308" s="1517">
        <v>0.15</v>
      </c>
      <c r="F308" s="1517">
        <v>0.13</v>
      </c>
      <c r="G308" s="1518">
        <v>0.15</v>
      </c>
    </row>
    <row r="309" spans="1:7">
      <c r="A309" s="1527" t="s">
        <v>305</v>
      </c>
      <c r="B309" s="1516" t="s">
        <v>1836</v>
      </c>
      <c r="C309" s="1517">
        <v>0.15</v>
      </c>
      <c r="D309" s="1517">
        <v>0.15</v>
      </c>
      <c r="E309" s="1517">
        <v>0.15</v>
      </c>
      <c r="F309" s="1517">
        <v>0.14099999999999999</v>
      </c>
      <c r="G309" s="1518">
        <v>0.15</v>
      </c>
    </row>
    <row r="310" spans="1:7">
      <c r="A310" s="1527" t="s">
        <v>305</v>
      </c>
      <c r="B310" s="1516" t="s">
        <v>1841</v>
      </c>
      <c r="C310" s="1517">
        <v>0.15</v>
      </c>
      <c r="D310" s="1517">
        <v>0.15</v>
      </c>
      <c r="E310" s="1517">
        <v>0.15</v>
      </c>
      <c r="F310" s="1517">
        <v>0.15</v>
      </c>
      <c r="G310" s="1518">
        <v>0.15</v>
      </c>
    </row>
    <row r="311" spans="1:7">
      <c r="A311" s="1527" t="s">
        <v>305</v>
      </c>
      <c r="B311" s="1516" t="s">
        <v>1846</v>
      </c>
      <c r="C311" s="1517">
        <v>0.13200000000000001</v>
      </c>
      <c r="D311" s="1517">
        <v>0.13300000000000001</v>
      </c>
      <c r="E311" s="1517">
        <v>0.14499999999999999</v>
      </c>
      <c r="F311" s="1517">
        <v>0.14199999999999999</v>
      </c>
      <c r="G311" s="1518">
        <v>0.14000000000000001</v>
      </c>
    </row>
    <row r="312" spans="1:7">
      <c r="A312" s="1527" t="s">
        <v>305</v>
      </c>
      <c r="B312" s="1516" t="s">
        <v>1851</v>
      </c>
      <c r="C312" s="1517">
        <v>0.13800000000000001</v>
      </c>
      <c r="D312" s="1517">
        <v>0.14000000000000001</v>
      </c>
      <c r="E312" s="1517">
        <v>0.14599999999999999</v>
      </c>
      <c r="F312" s="1517">
        <v>0.14899999999999999</v>
      </c>
      <c r="G312" s="1518">
        <v>0.14199999999999999</v>
      </c>
    </row>
    <row r="313" spans="1:7">
      <c r="A313" s="1527" t="s">
        <v>305</v>
      </c>
      <c r="B313" s="1516" t="s">
        <v>1856</v>
      </c>
      <c r="C313" s="1517">
        <v>0.125</v>
      </c>
      <c r="D313" s="1517">
        <v>0.127</v>
      </c>
      <c r="E313" s="1517">
        <v>0.14399999999999999</v>
      </c>
      <c r="F313" s="1517">
        <v>0.115</v>
      </c>
      <c r="G313" s="1518">
        <v>0.13600000000000001</v>
      </c>
    </row>
    <row r="314" spans="1:7">
      <c r="A314" s="1527" t="s">
        <v>305</v>
      </c>
      <c r="B314" s="1516" t="s">
        <v>1861</v>
      </c>
      <c r="C314" s="1533"/>
      <c r="D314" s="1533"/>
      <c r="E314" s="1533"/>
      <c r="F314" s="1517">
        <v>0.05</v>
      </c>
      <c r="G314" s="1534"/>
    </row>
    <row r="315" spans="1:7">
      <c r="A315" s="1527" t="s">
        <v>305</v>
      </c>
      <c r="B315" s="1516" t="s">
        <v>1866</v>
      </c>
      <c r="C315" s="1533"/>
      <c r="D315" s="1533"/>
      <c r="E315" s="1533"/>
      <c r="F315" s="1517">
        <v>0.05</v>
      </c>
      <c r="G315" s="1534"/>
    </row>
    <row r="316" spans="1:7">
      <c r="A316" s="1527" t="s">
        <v>305</v>
      </c>
      <c r="B316" s="1516" t="s">
        <v>1871</v>
      </c>
      <c r="C316" s="1528"/>
      <c r="D316" s="1528"/>
      <c r="E316" s="1528"/>
      <c r="F316" s="1517">
        <v>0.05</v>
      </c>
      <c r="G316" s="1534"/>
    </row>
    <row r="317" spans="1:7">
      <c r="A317" s="1527" t="s">
        <v>305</v>
      </c>
      <c r="B317" s="1516" t="s">
        <v>1875</v>
      </c>
      <c r="C317" s="1528"/>
      <c r="D317" s="1528"/>
      <c r="E317" s="1528"/>
      <c r="F317" s="1517">
        <v>0.05</v>
      </c>
      <c r="G317" s="1534"/>
    </row>
    <row r="318" spans="1:7">
      <c r="A318" s="1527" t="s">
        <v>305</v>
      </c>
      <c r="B318" s="1516" t="s">
        <v>1879</v>
      </c>
      <c r="C318" s="1528"/>
      <c r="D318" s="1528"/>
      <c r="E318" s="1528"/>
      <c r="F318" s="1517">
        <v>0.05</v>
      </c>
      <c r="G318" s="1534"/>
    </row>
    <row r="319" spans="1:7">
      <c r="A319" s="1527" t="s">
        <v>305</v>
      </c>
      <c r="B319" s="1516" t="s">
        <v>1883</v>
      </c>
      <c r="C319" s="1528"/>
      <c r="D319" s="1528"/>
      <c r="E319" s="1528"/>
      <c r="F319" s="1517">
        <v>0.05</v>
      </c>
      <c r="G319" s="1534"/>
    </row>
    <row r="320" spans="1:7">
      <c r="A320" s="1527" t="s">
        <v>305</v>
      </c>
      <c r="B320" s="1516" t="s">
        <v>1886</v>
      </c>
      <c r="C320" s="1528"/>
      <c r="D320" s="1528"/>
      <c r="E320" s="1528"/>
      <c r="F320" s="1517">
        <v>0.05</v>
      </c>
      <c r="G320" s="1534"/>
    </row>
    <row r="321" spans="1:7">
      <c r="A321" s="1527" t="s">
        <v>305</v>
      </c>
      <c r="B321" s="1516" t="s">
        <v>1888</v>
      </c>
      <c r="C321" s="1528"/>
      <c r="D321" s="1528"/>
      <c r="E321" s="1528"/>
      <c r="F321" s="1517">
        <v>0.05</v>
      </c>
      <c r="G321" s="1534"/>
    </row>
    <row r="322" spans="1:7">
      <c r="A322" s="1527" t="s">
        <v>305</v>
      </c>
      <c r="B322" s="1516" t="s">
        <v>1890</v>
      </c>
      <c r="C322" s="1528"/>
      <c r="D322" s="1528"/>
      <c r="E322" s="1528"/>
      <c r="F322" s="1517">
        <v>0.05</v>
      </c>
      <c r="G322" s="1534"/>
    </row>
    <row r="323" spans="1:7">
      <c r="A323" s="1527" t="s">
        <v>305</v>
      </c>
      <c r="B323" s="1516" t="s">
        <v>1892</v>
      </c>
      <c r="C323" s="1528"/>
      <c r="D323" s="1528"/>
      <c r="E323" s="1528"/>
      <c r="F323" s="1517">
        <v>0.05</v>
      </c>
      <c r="G323" s="1534"/>
    </row>
    <row r="324" spans="1:7">
      <c r="A324" s="1527" t="s">
        <v>305</v>
      </c>
      <c r="B324" s="1516" t="s">
        <v>1894</v>
      </c>
      <c r="C324" s="1528"/>
      <c r="D324" s="1528"/>
      <c r="E324" s="1528"/>
      <c r="F324" s="1517">
        <v>0.05</v>
      </c>
      <c r="G324" s="1534"/>
    </row>
    <row r="325" spans="1:7">
      <c r="A325" s="1527" t="s">
        <v>305</v>
      </c>
      <c r="B325" s="1516" t="s">
        <v>1896</v>
      </c>
      <c r="C325" s="1528"/>
      <c r="D325" s="1528"/>
      <c r="E325" s="1528"/>
      <c r="F325" s="1517">
        <v>0.05</v>
      </c>
      <c r="G325" s="1534"/>
    </row>
    <row r="326" spans="1:7">
      <c r="A326" s="1530" t="s">
        <v>305</v>
      </c>
      <c r="B326" s="1520" t="s">
        <v>1898</v>
      </c>
      <c r="C326" s="1522"/>
      <c r="D326" s="1522"/>
      <c r="E326" s="1522"/>
      <c r="F326" s="1521">
        <v>0.05</v>
      </c>
      <c r="G326" s="1535"/>
    </row>
    <row r="327" spans="1:7">
      <c r="A327" s="1526" t="s">
        <v>309</v>
      </c>
      <c r="B327" s="1512" t="s">
        <v>1539</v>
      </c>
      <c r="C327" s="1513">
        <v>0.15</v>
      </c>
      <c r="D327" s="1513">
        <v>0.15</v>
      </c>
      <c r="E327" s="1513">
        <v>0.15</v>
      </c>
      <c r="F327" s="1513">
        <v>0.15</v>
      </c>
      <c r="G327" s="1514">
        <v>0.15</v>
      </c>
    </row>
    <row r="328" spans="1:7">
      <c r="A328" s="1527" t="s">
        <v>309</v>
      </c>
      <c r="B328" s="1516" t="s">
        <v>1552</v>
      </c>
      <c r="C328" s="1517">
        <v>0.15</v>
      </c>
      <c r="D328" s="1517">
        <v>0.15</v>
      </c>
      <c r="E328" s="1517">
        <v>0.15</v>
      </c>
      <c r="F328" s="1517">
        <v>0.126</v>
      </c>
      <c r="G328" s="1518">
        <v>0.15</v>
      </c>
    </row>
    <row r="329" spans="1:7">
      <c r="A329" s="1527" t="s">
        <v>309</v>
      </c>
      <c r="B329" s="1516" t="s">
        <v>1565</v>
      </c>
      <c r="C329" s="1517">
        <v>0.15</v>
      </c>
      <c r="D329" s="1517">
        <v>0.15</v>
      </c>
      <c r="E329" s="1517">
        <v>0.15</v>
      </c>
      <c r="F329" s="1517">
        <v>0.15</v>
      </c>
      <c r="G329" s="1518">
        <v>0.15</v>
      </c>
    </row>
    <row r="330" spans="1:7">
      <c r="A330" s="1527" t="s">
        <v>309</v>
      </c>
      <c r="B330" s="1516" t="s">
        <v>1577</v>
      </c>
      <c r="C330" s="1517">
        <v>0.15</v>
      </c>
      <c r="D330" s="1517">
        <v>0.15</v>
      </c>
      <c r="E330" s="1517">
        <v>0.15</v>
      </c>
      <c r="F330" s="1517">
        <v>0.15</v>
      </c>
      <c r="G330" s="1518">
        <v>0.15</v>
      </c>
    </row>
    <row r="331" spans="1:7">
      <c r="A331" s="1527" t="s">
        <v>309</v>
      </c>
      <c r="B331" s="1516" t="s">
        <v>1589</v>
      </c>
      <c r="C331" s="1517">
        <v>0.15</v>
      </c>
      <c r="D331" s="1517">
        <v>0.15</v>
      </c>
      <c r="E331" s="1517">
        <v>0.15</v>
      </c>
      <c r="F331" s="1517">
        <v>0.15</v>
      </c>
      <c r="G331" s="1518">
        <v>0.15</v>
      </c>
    </row>
    <row r="332" spans="1:7">
      <c r="A332" s="1527" t="s">
        <v>309</v>
      </c>
      <c r="B332" s="1516" t="s">
        <v>1600</v>
      </c>
      <c r="C332" s="1517">
        <v>0.15</v>
      </c>
      <c r="D332" s="1517">
        <v>0.15</v>
      </c>
      <c r="E332" s="1517">
        <v>0.15</v>
      </c>
      <c r="F332" s="1517">
        <v>0.15</v>
      </c>
      <c r="G332" s="1518">
        <v>0.15</v>
      </c>
    </row>
    <row r="333" spans="1:7">
      <c r="A333" s="1527" t="s">
        <v>309</v>
      </c>
      <c r="B333" s="1516" t="s">
        <v>1611</v>
      </c>
      <c r="C333" s="1517">
        <v>0.14899999999999999</v>
      </c>
      <c r="D333" s="1517">
        <v>0.14899999999999999</v>
      </c>
      <c r="E333" s="1517">
        <v>0.15</v>
      </c>
      <c r="F333" s="1517">
        <v>0.11600000000000001</v>
      </c>
      <c r="G333" s="1518">
        <v>0.15</v>
      </c>
    </row>
    <row r="334" spans="1:7">
      <c r="A334" s="1527" t="s">
        <v>309</v>
      </c>
      <c r="B334" s="1516" t="s">
        <v>1622</v>
      </c>
      <c r="C334" s="1517">
        <v>0.15</v>
      </c>
      <c r="D334" s="1517">
        <v>0.15</v>
      </c>
      <c r="E334" s="1517">
        <v>0.15</v>
      </c>
      <c r="F334" s="1517">
        <v>0.13</v>
      </c>
      <c r="G334" s="1518">
        <v>0.15</v>
      </c>
    </row>
    <row r="335" spans="1:7">
      <c r="A335" s="1527" t="s">
        <v>309</v>
      </c>
      <c r="B335" s="1516" t="s">
        <v>1632</v>
      </c>
      <c r="C335" s="1517">
        <v>0.15</v>
      </c>
      <c r="D335" s="1517">
        <v>0.15</v>
      </c>
      <c r="E335" s="1517">
        <v>0.15</v>
      </c>
      <c r="F335" s="1517">
        <v>0.14399999999999999</v>
      </c>
      <c r="G335" s="1518">
        <v>0.15</v>
      </c>
    </row>
    <row r="336" spans="1:7">
      <c r="A336" s="1527" t="s">
        <v>309</v>
      </c>
      <c r="B336" s="1516" t="s">
        <v>1642</v>
      </c>
      <c r="C336" s="1517">
        <v>0.15</v>
      </c>
      <c r="D336" s="1517">
        <v>0.15</v>
      </c>
      <c r="E336" s="1517">
        <v>0.15</v>
      </c>
      <c r="F336" s="1517">
        <v>0.14199999999999999</v>
      </c>
      <c r="G336" s="1518">
        <v>0.15</v>
      </c>
    </row>
    <row r="337" spans="1:7">
      <c r="A337" s="1527" t="s">
        <v>309</v>
      </c>
      <c r="B337" s="1516" t="s">
        <v>1652</v>
      </c>
      <c r="C337" s="1517">
        <v>0.15</v>
      </c>
      <c r="D337" s="1517">
        <v>0.15</v>
      </c>
      <c r="E337" s="1517">
        <v>0.15</v>
      </c>
      <c r="F337" s="1517">
        <v>0.14499999999999999</v>
      </c>
      <c r="G337" s="1518">
        <v>0.15</v>
      </c>
    </row>
    <row r="338" spans="1:7">
      <c r="A338" s="1527" t="s">
        <v>309</v>
      </c>
      <c r="B338" s="1516" t="s">
        <v>1662</v>
      </c>
      <c r="C338" s="1517">
        <v>0.15</v>
      </c>
      <c r="D338" s="1517">
        <v>0.15</v>
      </c>
      <c r="E338" s="1517">
        <v>0.15</v>
      </c>
      <c r="F338" s="1517">
        <v>0.15</v>
      </c>
      <c r="G338" s="1518">
        <v>0.15</v>
      </c>
    </row>
    <row r="339" spans="1:7">
      <c r="A339" s="1527" t="s">
        <v>309</v>
      </c>
      <c r="B339" s="1516" t="s">
        <v>1672</v>
      </c>
      <c r="C339" s="1517">
        <v>0.15</v>
      </c>
      <c r="D339" s="1517">
        <v>0.15</v>
      </c>
      <c r="E339" s="1517">
        <v>0.15</v>
      </c>
      <c r="F339" s="1517">
        <v>0.14699999999999999</v>
      </c>
      <c r="G339" s="1518">
        <v>0.15</v>
      </c>
    </row>
    <row r="340" spans="1:7">
      <c r="A340" s="1527" t="s">
        <v>309</v>
      </c>
      <c r="B340" s="1516" t="s">
        <v>1682</v>
      </c>
      <c r="C340" s="1517">
        <v>0.14599999999999999</v>
      </c>
      <c r="D340" s="1517">
        <v>0.14599999999999999</v>
      </c>
      <c r="E340" s="1517">
        <v>0.15</v>
      </c>
      <c r="F340" s="1517">
        <v>0.14099999999999999</v>
      </c>
      <c r="G340" s="1518">
        <v>0.14699999999999999</v>
      </c>
    </row>
    <row r="341" spans="1:7">
      <c r="A341" s="1527" t="s">
        <v>309</v>
      </c>
      <c r="B341" s="1516" t="s">
        <v>1692</v>
      </c>
      <c r="C341" s="1517">
        <v>0.126</v>
      </c>
      <c r="D341" s="1517">
        <v>0.124</v>
      </c>
      <c r="E341" s="1517">
        <v>0.14099999999999999</v>
      </c>
      <c r="F341" s="1517">
        <v>0.14399999999999999</v>
      </c>
      <c r="G341" s="1518">
        <v>0.13</v>
      </c>
    </row>
    <row r="342" spans="1:7">
      <c r="A342" s="1527" t="s">
        <v>309</v>
      </c>
      <c r="B342" s="1516" t="s">
        <v>1702</v>
      </c>
      <c r="C342" s="1517">
        <v>0.15</v>
      </c>
      <c r="D342" s="1517">
        <v>0.15</v>
      </c>
      <c r="E342" s="1517">
        <v>0.15</v>
      </c>
      <c r="F342" s="1517">
        <v>0.14399999999999999</v>
      </c>
      <c r="G342" s="1518">
        <v>0.15</v>
      </c>
    </row>
    <row r="343" spans="1:7">
      <c r="A343" s="1527" t="s">
        <v>309</v>
      </c>
      <c r="B343" s="1516" t="s">
        <v>1712</v>
      </c>
      <c r="C343" s="1517">
        <v>0.15</v>
      </c>
      <c r="D343" s="1517">
        <v>0.15</v>
      </c>
      <c r="E343" s="1517">
        <v>0.15</v>
      </c>
      <c r="F343" s="1517">
        <v>0.128</v>
      </c>
      <c r="G343" s="1518">
        <v>0.15</v>
      </c>
    </row>
    <row r="344" spans="1:7">
      <c r="A344" s="1527" t="s">
        <v>309</v>
      </c>
      <c r="B344" s="1516" t="s">
        <v>1722</v>
      </c>
      <c r="C344" s="1517">
        <v>0.15</v>
      </c>
      <c r="D344" s="1517">
        <v>0.15</v>
      </c>
      <c r="E344" s="1517">
        <v>0.15</v>
      </c>
      <c r="F344" s="1517">
        <v>0.14799999999999999</v>
      </c>
      <c r="G344" s="1518">
        <v>0.15</v>
      </c>
    </row>
    <row r="345" spans="1:7">
      <c r="A345" s="1527" t="s">
        <v>309</v>
      </c>
      <c r="B345" s="1516" t="s">
        <v>1732</v>
      </c>
      <c r="C345" s="1517">
        <v>0.15</v>
      </c>
      <c r="D345" s="1517">
        <v>0.15</v>
      </c>
      <c r="E345" s="1517">
        <v>0.15</v>
      </c>
      <c r="F345" s="1517">
        <v>0.13800000000000001</v>
      </c>
      <c r="G345" s="1518">
        <v>0.15</v>
      </c>
    </row>
    <row r="346" spans="1:7">
      <c r="A346" s="1527" t="s">
        <v>309</v>
      </c>
      <c r="B346" s="1516" t="s">
        <v>1742</v>
      </c>
      <c r="C346" s="1517">
        <v>0.15</v>
      </c>
      <c r="D346" s="1517">
        <v>0.15</v>
      </c>
      <c r="E346" s="1517">
        <v>0.15</v>
      </c>
      <c r="F346" s="1517">
        <v>0.14399999999999999</v>
      </c>
      <c r="G346" s="1518">
        <v>0.15</v>
      </c>
    </row>
    <row r="347" spans="1:7">
      <c r="A347" s="1527" t="s">
        <v>309</v>
      </c>
      <c r="B347" s="1516" t="s">
        <v>1751</v>
      </c>
      <c r="C347" s="1517">
        <v>0.15</v>
      </c>
      <c r="D347" s="1517">
        <v>0.15</v>
      </c>
      <c r="E347" s="1517">
        <v>0.15</v>
      </c>
      <c r="F347" s="1517">
        <v>0.14599999999999999</v>
      </c>
      <c r="G347" s="1518">
        <v>0.15</v>
      </c>
    </row>
    <row r="348" spans="1:7">
      <c r="A348" s="1527" t="s">
        <v>309</v>
      </c>
      <c r="B348" s="1516" t="s">
        <v>1759</v>
      </c>
      <c r="C348" s="1517">
        <v>0.15</v>
      </c>
      <c r="D348" s="1517">
        <v>0.15</v>
      </c>
      <c r="E348" s="1517">
        <v>0.15</v>
      </c>
      <c r="F348" s="1517">
        <v>0.14399999999999999</v>
      </c>
      <c r="G348" s="1518">
        <v>0.15</v>
      </c>
    </row>
    <row r="349" spans="1:7">
      <c r="A349" s="1527" t="s">
        <v>309</v>
      </c>
      <c r="B349" s="1516" t="s">
        <v>1767</v>
      </c>
      <c r="C349" s="1517">
        <v>0.15</v>
      </c>
      <c r="D349" s="1517">
        <v>0.15</v>
      </c>
      <c r="E349" s="1517">
        <v>0.15</v>
      </c>
      <c r="F349" s="1517">
        <v>0.15</v>
      </c>
      <c r="G349" s="1518">
        <v>0.15</v>
      </c>
    </row>
    <row r="350" spans="1:7">
      <c r="A350" s="1527" t="s">
        <v>309</v>
      </c>
      <c r="B350" s="1516" t="s">
        <v>1775</v>
      </c>
      <c r="C350" s="1517">
        <v>0.15</v>
      </c>
      <c r="D350" s="1517">
        <v>0.15</v>
      </c>
      <c r="E350" s="1517">
        <v>0.15</v>
      </c>
      <c r="F350" s="1517">
        <v>0.14699999999999999</v>
      </c>
      <c r="G350" s="1518">
        <v>0.15</v>
      </c>
    </row>
    <row r="351" spans="1:7">
      <c r="A351" s="1527" t="s">
        <v>309</v>
      </c>
      <c r="B351" s="1516" t="s">
        <v>1783</v>
      </c>
      <c r="C351" s="1517">
        <v>0.15</v>
      </c>
      <c r="D351" s="1517">
        <v>0.15</v>
      </c>
      <c r="E351" s="1517">
        <v>0.15</v>
      </c>
      <c r="F351" s="1517">
        <v>0.13</v>
      </c>
      <c r="G351" s="1518">
        <v>0.15</v>
      </c>
    </row>
    <row r="352" spans="1:7">
      <c r="A352" s="1527" t="s">
        <v>309</v>
      </c>
      <c r="B352" s="1516" t="s">
        <v>1790</v>
      </c>
      <c r="C352" s="1517">
        <v>0.15</v>
      </c>
      <c r="D352" s="1517">
        <v>0.15</v>
      </c>
      <c r="E352" s="1517">
        <v>0.15</v>
      </c>
      <c r="F352" s="1517">
        <v>0.14599999999999999</v>
      </c>
      <c r="G352" s="1518">
        <v>0.15</v>
      </c>
    </row>
    <row r="353" spans="1:7">
      <c r="A353" s="1527" t="s">
        <v>309</v>
      </c>
      <c r="B353" s="1516" t="s">
        <v>1797</v>
      </c>
      <c r="C353" s="1517">
        <v>0.15</v>
      </c>
      <c r="D353" s="1517">
        <v>0.15</v>
      </c>
      <c r="E353" s="1517">
        <v>0.15</v>
      </c>
      <c r="F353" s="1517">
        <v>0.14499999999999999</v>
      </c>
      <c r="G353" s="1518">
        <v>0.15</v>
      </c>
    </row>
    <row r="354" spans="1:7">
      <c r="A354" s="1527" t="s">
        <v>309</v>
      </c>
      <c r="B354" s="1516" t="s">
        <v>1804</v>
      </c>
      <c r="C354" s="1517">
        <v>0.15</v>
      </c>
      <c r="D354" s="1517">
        <v>0.15</v>
      </c>
      <c r="E354" s="1517">
        <v>0.15</v>
      </c>
      <c r="F354" s="1517">
        <v>0.14099999999999999</v>
      </c>
      <c r="G354" s="1518">
        <v>0.15</v>
      </c>
    </row>
    <row r="355" spans="1:7">
      <c r="A355" s="1527" t="s">
        <v>309</v>
      </c>
      <c r="B355" s="1516" t="s">
        <v>1811</v>
      </c>
      <c r="C355" s="1517">
        <v>0.15</v>
      </c>
      <c r="D355" s="1517">
        <v>0.15</v>
      </c>
      <c r="E355" s="1517">
        <v>0.15</v>
      </c>
      <c r="F355" s="1517">
        <v>0.15</v>
      </c>
      <c r="G355" s="1518">
        <v>0.15</v>
      </c>
    </row>
    <row r="356" spans="1:7">
      <c r="A356" s="1527" t="s">
        <v>309</v>
      </c>
      <c r="B356" s="1516" t="s">
        <v>1818</v>
      </c>
      <c r="C356" s="1517">
        <v>0.15</v>
      </c>
      <c r="D356" s="1517">
        <v>0.15</v>
      </c>
      <c r="E356" s="1517">
        <v>0.15</v>
      </c>
      <c r="F356" s="1517">
        <v>0.15</v>
      </c>
      <c r="G356" s="1518">
        <v>0.15</v>
      </c>
    </row>
    <row r="357" spans="1:7">
      <c r="A357" s="1530" t="s">
        <v>309</v>
      </c>
      <c r="B357" s="1520" t="s">
        <v>1825</v>
      </c>
      <c r="C357" s="1521">
        <v>0.126</v>
      </c>
      <c r="D357" s="1521">
        <v>0.127</v>
      </c>
      <c r="E357" s="1521">
        <v>0.14299999999999999</v>
      </c>
      <c r="F357" s="1521">
        <v>0.125</v>
      </c>
      <c r="G357" s="1523">
        <v>0.129</v>
      </c>
    </row>
    <row r="358" spans="1:7">
      <c r="A358" s="1526" t="s">
        <v>313</v>
      </c>
      <c r="B358" s="1512" t="s">
        <v>1540</v>
      </c>
      <c r="C358" s="1513">
        <v>0.15</v>
      </c>
      <c r="D358" s="1513">
        <v>0.15</v>
      </c>
      <c r="E358" s="1513">
        <v>0.15</v>
      </c>
      <c r="F358" s="1513">
        <v>0.15</v>
      </c>
      <c r="G358" s="1514">
        <v>0.15</v>
      </c>
    </row>
    <row r="359" spans="1:7">
      <c r="A359" s="1527" t="s">
        <v>313</v>
      </c>
      <c r="B359" s="1516" t="s">
        <v>1553</v>
      </c>
      <c r="C359" s="1517">
        <v>0.1</v>
      </c>
      <c r="D359" s="1517">
        <v>0.1</v>
      </c>
      <c r="E359" s="1517">
        <v>0.1</v>
      </c>
      <c r="F359" s="1517">
        <v>0.1</v>
      </c>
      <c r="G359" s="1518">
        <v>0.1</v>
      </c>
    </row>
    <row r="360" spans="1:7">
      <c r="A360" s="1527" t="s">
        <v>313</v>
      </c>
      <c r="B360" s="1516" t="s">
        <v>1566</v>
      </c>
      <c r="C360" s="1517">
        <v>0.15</v>
      </c>
      <c r="D360" s="1517">
        <v>0.15</v>
      </c>
      <c r="E360" s="1517">
        <v>0.15</v>
      </c>
      <c r="F360" s="1517">
        <v>0.14899999999999999</v>
      </c>
      <c r="G360" s="1518">
        <v>0.15</v>
      </c>
    </row>
    <row r="361" spans="1:7">
      <c r="A361" s="1527" t="s">
        <v>313</v>
      </c>
      <c r="B361" s="1516" t="s">
        <v>1578</v>
      </c>
      <c r="C361" s="1517">
        <v>0.15</v>
      </c>
      <c r="D361" s="1517">
        <v>0.15</v>
      </c>
      <c r="E361" s="1517">
        <v>0.15</v>
      </c>
      <c r="F361" s="1517">
        <v>0.115</v>
      </c>
      <c r="G361" s="1518">
        <v>0.15</v>
      </c>
    </row>
    <row r="362" spans="1:7">
      <c r="A362" s="1527" t="s">
        <v>313</v>
      </c>
      <c r="B362" s="1516" t="s">
        <v>1590</v>
      </c>
      <c r="C362" s="1517">
        <v>0.15</v>
      </c>
      <c r="D362" s="1517">
        <v>0.15</v>
      </c>
      <c r="E362" s="1517">
        <v>0.15</v>
      </c>
      <c r="F362" s="1517">
        <v>0.106</v>
      </c>
      <c r="G362" s="1518">
        <v>0.15</v>
      </c>
    </row>
    <row r="363" spans="1:7">
      <c r="A363" s="1527" t="s">
        <v>313</v>
      </c>
      <c r="B363" s="1516" t="s">
        <v>1601</v>
      </c>
      <c r="C363" s="1517">
        <v>0.15</v>
      </c>
      <c r="D363" s="1517">
        <v>0.15</v>
      </c>
      <c r="E363" s="1517">
        <v>0.15</v>
      </c>
      <c r="F363" s="1517">
        <v>0.14699999999999999</v>
      </c>
      <c r="G363" s="1518">
        <v>0.15</v>
      </c>
    </row>
    <row r="364" spans="1:7">
      <c r="A364" s="1527" t="s">
        <v>313</v>
      </c>
      <c r="B364" s="1516" t="s">
        <v>1612</v>
      </c>
      <c r="C364" s="1517">
        <v>0.15</v>
      </c>
      <c r="D364" s="1517">
        <v>0.15</v>
      </c>
      <c r="E364" s="1517">
        <v>0.15</v>
      </c>
      <c r="F364" s="1517">
        <v>0.14799999999999999</v>
      </c>
      <c r="G364" s="1518">
        <v>0.15</v>
      </c>
    </row>
    <row r="365" spans="1:7">
      <c r="A365" s="1527" t="s">
        <v>313</v>
      </c>
      <c r="B365" s="1516" t="s">
        <v>1623</v>
      </c>
      <c r="C365" s="1517">
        <v>0.15</v>
      </c>
      <c r="D365" s="1517">
        <v>0.15</v>
      </c>
      <c r="E365" s="1517">
        <v>0.15</v>
      </c>
      <c r="F365" s="1517">
        <v>0.15</v>
      </c>
      <c r="G365" s="1518">
        <v>0.15</v>
      </c>
    </row>
    <row r="366" spans="1:7">
      <c r="A366" s="1527" t="s">
        <v>313</v>
      </c>
      <c r="B366" s="1516" t="s">
        <v>1633</v>
      </c>
      <c r="C366" s="1517">
        <v>0.15</v>
      </c>
      <c r="D366" s="1517">
        <v>0.15</v>
      </c>
      <c r="E366" s="1517">
        <v>0.15</v>
      </c>
      <c r="F366" s="1517">
        <v>0.15</v>
      </c>
      <c r="G366" s="1518">
        <v>0.15</v>
      </c>
    </row>
    <row r="367" spans="1:7">
      <c r="A367" s="1527" t="s">
        <v>313</v>
      </c>
      <c r="B367" s="1516" t="s">
        <v>1643</v>
      </c>
      <c r="C367" s="1517">
        <v>0.15</v>
      </c>
      <c r="D367" s="1517">
        <v>0.15</v>
      </c>
      <c r="E367" s="1517">
        <v>0.15</v>
      </c>
      <c r="F367" s="1517">
        <v>0.14699999999999999</v>
      </c>
      <c r="G367" s="1518">
        <v>0.15</v>
      </c>
    </row>
    <row r="368" spans="1:7">
      <c r="A368" s="1527" t="s">
        <v>313</v>
      </c>
      <c r="B368" s="1516" t="s">
        <v>1653</v>
      </c>
      <c r="C368" s="1517">
        <v>0.15</v>
      </c>
      <c r="D368" s="1517">
        <v>0.15</v>
      </c>
      <c r="E368" s="1517">
        <v>0.15</v>
      </c>
      <c r="F368" s="1517">
        <v>0.13600000000000001</v>
      </c>
      <c r="G368" s="1518">
        <v>0.15</v>
      </c>
    </row>
    <row r="369" spans="1:7">
      <c r="A369" s="1527" t="s">
        <v>313</v>
      </c>
      <c r="B369" s="1516" t="s">
        <v>1663</v>
      </c>
      <c r="C369" s="1517">
        <v>0.15</v>
      </c>
      <c r="D369" s="1517">
        <v>0.15</v>
      </c>
      <c r="E369" s="1517">
        <v>0.15</v>
      </c>
      <c r="F369" s="1517">
        <v>0.14399999999999999</v>
      </c>
      <c r="G369" s="1518">
        <v>0.15</v>
      </c>
    </row>
    <row r="370" spans="1:7">
      <c r="A370" s="1527" t="s">
        <v>313</v>
      </c>
      <c r="B370" s="1516" t="s">
        <v>1673</v>
      </c>
      <c r="C370" s="1517">
        <v>0.15</v>
      </c>
      <c r="D370" s="1517">
        <v>0.15</v>
      </c>
      <c r="E370" s="1517">
        <v>0.15</v>
      </c>
      <c r="F370" s="1517">
        <v>0.14599999999999999</v>
      </c>
      <c r="G370" s="1518">
        <v>0.15</v>
      </c>
    </row>
    <row r="371" spans="1:7">
      <c r="A371" s="1527" t="s">
        <v>313</v>
      </c>
      <c r="B371" s="1516" t="s">
        <v>1683</v>
      </c>
      <c r="C371" s="1517">
        <v>0.15</v>
      </c>
      <c r="D371" s="1517">
        <v>0.15</v>
      </c>
      <c r="E371" s="1517">
        <v>0.15</v>
      </c>
      <c r="F371" s="1517">
        <v>0.12</v>
      </c>
      <c r="G371" s="1518">
        <v>0.15</v>
      </c>
    </row>
    <row r="372" spans="1:7">
      <c r="A372" s="1527" t="s">
        <v>313</v>
      </c>
      <c r="B372" s="1516" t="s">
        <v>1693</v>
      </c>
      <c r="C372" s="1517">
        <v>0.15</v>
      </c>
      <c r="D372" s="1517">
        <v>0.15</v>
      </c>
      <c r="E372" s="1517">
        <v>0.15</v>
      </c>
      <c r="F372" s="1517">
        <v>0.14299999999999999</v>
      </c>
      <c r="G372" s="1518">
        <v>0.15</v>
      </c>
    </row>
    <row r="373" spans="1:7">
      <c r="A373" s="1527" t="s">
        <v>313</v>
      </c>
      <c r="B373" s="1516" t="s">
        <v>1703</v>
      </c>
      <c r="C373" s="1517">
        <v>0.15</v>
      </c>
      <c r="D373" s="1517">
        <v>0.15</v>
      </c>
      <c r="E373" s="1517">
        <v>0.15</v>
      </c>
      <c r="F373" s="1517">
        <v>0.14599999999999999</v>
      </c>
      <c r="G373" s="1518">
        <v>0.15</v>
      </c>
    </row>
    <row r="374" spans="1:7">
      <c r="A374" s="1527" t="s">
        <v>313</v>
      </c>
      <c r="B374" s="1516" t="s">
        <v>1713</v>
      </c>
      <c r="C374" s="1517">
        <v>0.15</v>
      </c>
      <c r="D374" s="1517">
        <v>0.15</v>
      </c>
      <c r="E374" s="1517">
        <v>0.15</v>
      </c>
      <c r="F374" s="1517">
        <v>0.14399999999999999</v>
      </c>
      <c r="G374" s="1518">
        <v>0.15</v>
      </c>
    </row>
    <row r="375" spans="1:7">
      <c r="A375" s="1527" t="s">
        <v>313</v>
      </c>
      <c r="B375" s="1516" t="s">
        <v>1723</v>
      </c>
      <c r="C375" s="1517">
        <v>0.15</v>
      </c>
      <c r="D375" s="1517">
        <v>0.15</v>
      </c>
      <c r="E375" s="1517">
        <v>0.15</v>
      </c>
      <c r="F375" s="1517">
        <v>0.13</v>
      </c>
      <c r="G375" s="1518">
        <v>0.15</v>
      </c>
    </row>
    <row r="376" spans="1:7">
      <c r="A376" s="1527" t="s">
        <v>313</v>
      </c>
      <c r="B376" s="1516" t="s">
        <v>1733</v>
      </c>
      <c r="C376" s="1517">
        <v>0.15</v>
      </c>
      <c r="D376" s="1517">
        <v>0.15</v>
      </c>
      <c r="E376" s="1517">
        <v>0.15</v>
      </c>
      <c r="F376" s="1517">
        <v>0.14199999999999999</v>
      </c>
      <c r="G376" s="1518">
        <v>0.15</v>
      </c>
    </row>
    <row r="377" spans="1:7">
      <c r="A377" s="1530" t="s">
        <v>313</v>
      </c>
      <c r="B377" s="1520" t="s">
        <v>1743</v>
      </c>
      <c r="C377" s="1521">
        <v>0.15</v>
      </c>
      <c r="D377" s="1521">
        <v>0.15</v>
      </c>
      <c r="E377" s="1521">
        <v>0.15</v>
      </c>
      <c r="F377" s="1521">
        <v>0.14000000000000001</v>
      </c>
      <c r="G377" s="1523">
        <v>0.15</v>
      </c>
    </row>
    <row r="378" spans="1:7">
      <c r="A378" s="1526" t="s">
        <v>317</v>
      </c>
      <c r="B378" s="1512" t="s">
        <v>1541</v>
      </c>
      <c r="C378" s="1513">
        <v>0.15</v>
      </c>
      <c r="D378" s="1513">
        <v>0.15</v>
      </c>
      <c r="E378" s="1513">
        <v>0.15</v>
      </c>
      <c r="F378" s="1513">
        <v>0.107</v>
      </c>
      <c r="G378" s="1514">
        <v>0.15</v>
      </c>
    </row>
    <row r="379" spans="1:7">
      <c r="A379" s="1527" t="s">
        <v>317</v>
      </c>
      <c r="B379" s="1516" t="s">
        <v>1554</v>
      </c>
      <c r="C379" s="1517">
        <v>0.15</v>
      </c>
      <c r="D379" s="1517">
        <v>0.15</v>
      </c>
      <c r="E379" s="1517">
        <v>0.15</v>
      </c>
      <c r="F379" s="1517">
        <v>0.115</v>
      </c>
      <c r="G379" s="1518">
        <v>0.14899999999999999</v>
      </c>
    </row>
    <row r="380" spans="1:7">
      <c r="A380" s="1527" t="s">
        <v>317</v>
      </c>
      <c r="B380" s="1516" t="s">
        <v>1567</v>
      </c>
      <c r="C380" s="1517">
        <v>0.15</v>
      </c>
      <c r="D380" s="1517">
        <v>0.15</v>
      </c>
      <c r="E380" s="1517">
        <v>0.15</v>
      </c>
      <c r="F380" s="1517">
        <v>0.1</v>
      </c>
      <c r="G380" s="1518">
        <v>0.14799999999999999</v>
      </c>
    </row>
    <row r="381" spans="1:7">
      <c r="A381" s="1527" t="s">
        <v>317</v>
      </c>
      <c r="B381" s="1516" t="s">
        <v>1579</v>
      </c>
      <c r="C381" s="1517">
        <v>0.15</v>
      </c>
      <c r="D381" s="1517">
        <v>0.15</v>
      </c>
      <c r="E381" s="1517">
        <v>0.15</v>
      </c>
      <c r="F381" s="1517">
        <v>0.126</v>
      </c>
      <c r="G381" s="1518">
        <v>0.15</v>
      </c>
    </row>
    <row r="382" spans="1:7">
      <c r="A382" s="1527" t="s">
        <v>317</v>
      </c>
      <c r="B382" s="1516" t="s">
        <v>1591</v>
      </c>
      <c r="C382" s="1517">
        <v>0.15</v>
      </c>
      <c r="D382" s="1517">
        <v>0.15</v>
      </c>
      <c r="E382" s="1517">
        <v>0.15</v>
      </c>
      <c r="F382" s="1517">
        <v>0.15</v>
      </c>
      <c r="G382" s="1518">
        <v>0.15</v>
      </c>
    </row>
    <row r="383" spans="1:7">
      <c r="A383" s="1527" t="s">
        <v>317</v>
      </c>
      <c r="B383" s="1516" t="s">
        <v>1602</v>
      </c>
      <c r="C383" s="1517">
        <v>0.15</v>
      </c>
      <c r="D383" s="1517">
        <v>0.15</v>
      </c>
      <c r="E383" s="1517">
        <v>0.15</v>
      </c>
      <c r="F383" s="1517">
        <v>0.14699999999999999</v>
      </c>
      <c r="G383" s="1518">
        <v>0.15</v>
      </c>
    </row>
    <row r="384" spans="1:7">
      <c r="A384" s="1537" t="s">
        <v>317</v>
      </c>
      <c r="B384" s="1538" t="s">
        <v>1613</v>
      </c>
      <c r="C384" s="1539">
        <v>0.15</v>
      </c>
      <c r="D384" s="1539">
        <v>0.15</v>
      </c>
      <c r="E384" s="1539">
        <v>0.15</v>
      </c>
      <c r="F384" s="1539">
        <v>0.15</v>
      </c>
      <c r="G384" s="1540">
        <v>0.15</v>
      </c>
    </row>
  </sheetData>
  <sheetProtection password="CEE9" sheet="1" objects="1" scenarios="1"/>
  <mergeCells count="1">
    <mergeCell ref="A1:B1"/>
  </mergeCells>
  <phoneticPr fontId="25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S10" sqref="S10:V10"/>
    </sheetView>
  </sheetViews>
  <sheetFormatPr defaultColWidth="9" defaultRowHeight="12.75"/>
  <cols>
    <col min="1" max="1" width="9" style="1388"/>
    <col min="2" max="6" width="9" style="1388" customWidth="1"/>
    <col min="7" max="7" width="9" style="1389" customWidth="1"/>
    <col min="8" max="12" width="9" style="1388" customWidth="1"/>
    <col min="13" max="13" width="2.25" style="1388" customWidth="1"/>
    <col min="14" max="14" width="9" style="1389" customWidth="1"/>
    <col min="15" max="17" width="9" style="1388" customWidth="1"/>
    <col min="18" max="18" width="2.375" style="1388" customWidth="1"/>
    <col min="19" max="19" width="7.125" style="1389" customWidth="1"/>
    <col min="20" max="22" width="7.125" style="1388" customWidth="1"/>
    <col min="23" max="23" width="24" style="1388" customWidth="1"/>
    <col min="24" max="25" width="9" style="1388"/>
    <col min="26" max="27" width="11.625" style="1388" customWidth="1"/>
    <col min="28" max="28" width="9" style="1388"/>
    <col min="29" max="29" width="2" style="1388" customWidth="1"/>
    <col min="30" max="16384" width="9" style="1388"/>
  </cols>
  <sheetData>
    <row r="1" spans="1:34" s="1380" customFormat="1">
      <c r="B1" s="3908" t="s">
        <v>1923</v>
      </c>
      <c r="C1" s="3908"/>
      <c r="D1" s="3908"/>
      <c r="E1" s="3908"/>
      <c r="F1" s="3908"/>
      <c r="G1" s="3909" t="s">
        <v>1924</v>
      </c>
      <c r="H1" s="3909"/>
      <c r="I1" s="3909"/>
      <c r="J1" s="3909"/>
      <c r="K1" s="3909"/>
      <c r="L1" s="3909"/>
      <c r="N1" s="3909" t="s">
        <v>1925</v>
      </c>
      <c r="O1" s="3909"/>
      <c r="P1" s="3909"/>
      <c r="Q1" s="3909"/>
      <c r="S1" s="3909" t="s">
        <v>1926</v>
      </c>
      <c r="T1" s="3909"/>
      <c r="U1" s="3909"/>
      <c r="V1" s="3909"/>
      <c r="X1" s="3910" t="s">
        <v>1927</v>
      </c>
      <c r="Y1" s="3909"/>
      <c r="Z1" s="3909"/>
      <c r="AA1" s="3909"/>
      <c r="AB1" s="3909"/>
      <c r="AD1" s="3910" t="s">
        <v>1928</v>
      </c>
      <c r="AE1" s="3909"/>
      <c r="AF1" s="3909"/>
      <c r="AG1" s="3909"/>
      <c r="AH1" s="3909"/>
    </row>
    <row r="2" spans="1:34" s="1381" customFormat="1" ht="13.5">
      <c r="B2" s="1390" t="s">
        <v>1097</v>
      </c>
      <c r="C2" s="1390" t="s">
        <v>1929</v>
      </c>
      <c r="D2" s="1391" t="s">
        <v>438</v>
      </c>
      <c r="E2" s="1391" t="s">
        <v>402</v>
      </c>
      <c r="F2" s="1390" t="s">
        <v>1930</v>
      </c>
      <c r="G2" s="1392"/>
      <c r="I2" s="1390" t="s">
        <v>1097</v>
      </c>
      <c r="J2" s="1391" t="s">
        <v>1305</v>
      </c>
      <c r="K2" s="1391" t="s">
        <v>402</v>
      </c>
      <c r="L2" s="1390" t="s">
        <v>1930</v>
      </c>
      <c r="N2" s="1390" t="s">
        <v>1097</v>
      </c>
      <c r="O2" s="1391" t="s">
        <v>1305</v>
      </c>
      <c r="P2" s="1391" t="s">
        <v>402</v>
      </c>
      <c r="Q2" s="1390" t="s">
        <v>1930</v>
      </c>
      <c r="S2" s="1390" t="s">
        <v>1097</v>
      </c>
      <c r="T2" s="1391" t="s">
        <v>1305</v>
      </c>
      <c r="U2" s="1391" t="s">
        <v>402</v>
      </c>
      <c r="V2" s="1390" t="s">
        <v>1930</v>
      </c>
      <c r="X2" s="1390" t="s">
        <v>1097</v>
      </c>
      <c r="Y2" s="1390" t="s">
        <v>1929</v>
      </c>
      <c r="Z2" s="1391" t="s">
        <v>438</v>
      </c>
      <c r="AA2" s="1391" t="s">
        <v>402</v>
      </c>
      <c r="AB2" s="1390" t="s">
        <v>1930</v>
      </c>
      <c r="AD2" s="1390" t="s">
        <v>1097</v>
      </c>
      <c r="AE2" s="1390" t="s">
        <v>1929</v>
      </c>
      <c r="AF2" s="1391" t="s">
        <v>438</v>
      </c>
      <c r="AG2" s="1391" t="s">
        <v>402</v>
      </c>
      <c r="AH2" s="1390" t="s">
        <v>1930</v>
      </c>
    </row>
    <row r="3" spans="1:34" s="1382" customFormat="1" ht="14.25">
      <c r="A3" s="1393" t="s">
        <v>1931</v>
      </c>
      <c r="B3" s="1394"/>
      <c r="C3" s="1394"/>
      <c r="D3" s="1395"/>
      <c r="E3" s="1395"/>
      <c r="F3" s="1394"/>
      <c r="G3" s="1396"/>
      <c r="H3" s="1397"/>
      <c r="I3" s="1425">
        <f>ROUND(AVERAGE($I4:$I41),2)</f>
        <v>1.47</v>
      </c>
      <c r="J3" s="1425">
        <f>ROUND(AVERAGE($J4:$J41),2)</f>
        <v>0.92</v>
      </c>
      <c r="K3" s="1425">
        <f>ROUND(AVERAGE($K4:$K41),2)</f>
        <v>1.61</v>
      </c>
      <c r="L3" s="1425">
        <f>ROUND(AVERAGE($L4:$L41),2)</f>
        <v>1.07</v>
      </c>
      <c r="N3" s="1396"/>
      <c r="S3" s="1396"/>
      <c r="W3" s="1446"/>
      <c r="X3" s="1447">
        <f>ROUND(SUMPRODUCT(PRODUCT(1+N3:N$40)),4)</f>
        <v>1.6585000000000001</v>
      </c>
      <c r="Y3" s="1447">
        <f>ROUND(SUMPRODUCT(PRODUCT(1+O3:O$40)),4)</f>
        <v>1.3676999999999999</v>
      </c>
      <c r="Z3" s="1447">
        <f>Y3</f>
        <v>1.3676999999999999</v>
      </c>
      <c r="AA3" s="1447">
        <f>ROUND(SUMPRODUCT(PRODUCT(1+P3:P$40)),4)</f>
        <v>1.7434000000000001</v>
      </c>
      <c r="AB3" s="1447">
        <f>ROUND(SUMPRODUCT(PRODUCT(1+Q3:Q$40)),4)</f>
        <v>1.4609000000000001</v>
      </c>
      <c r="AD3" s="1459">
        <f>ROUND(AVERAGE(I3:I$41)/100,4)</f>
        <v>1.47E-2</v>
      </c>
      <c r="AE3" s="1459">
        <f>ROUND(AVERAGE(J3:J$41)/100,4)</f>
        <v>9.1999999999999998E-3</v>
      </c>
      <c r="AF3" s="1459">
        <f>AE3</f>
        <v>9.1999999999999998E-3</v>
      </c>
      <c r="AG3" s="1459">
        <f>ROUND(AVERAGE(K3:K$41)/100,4)</f>
        <v>1.61E-2</v>
      </c>
      <c r="AH3" s="1459">
        <f>ROUND(AVERAGE(L3:L$41)/100,4)</f>
        <v>1.0699999999999999E-2</v>
      </c>
    </row>
    <row r="4" spans="1:34" s="1383" customFormat="1" ht="14.25">
      <c r="B4" s="1398"/>
      <c r="C4" s="1398"/>
      <c r="D4" s="1399"/>
      <c r="E4" s="1399"/>
      <c r="F4" s="1398"/>
      <c r="G4" s="1400"/>
      <c r="H4" s="1401"/>
      <c r="I4" s="1426"/>
      <c r="J4" s="1426"/>
      <c r="K4" s="1426"/>
      <c r="L4" s="1426"/>
      <c r="N4" s="1400"/>
      <c r="S4" s="1400"/>
      <c r="W4" s="1448"/>
      <c r="X4" s="1388"/>
      <c r="Y4" s="1388"/>
      <c r="Z4" s="1388"/>
      <c r="AA4" s="1388"/>
      <c r="AB4" s="1388"/>
      <c r="AD4" s="1430"/>
      <c r="AE4" s="1430"/>
      <c r="AF4" s="1430"/>
      <c r="AG4" s="1430"/>
      <c r="AH4" s="1430"/>
    </row>
    <row r="5" spans="1:34" s="1384" customFormat="1">
      <c r="A5" s="1402" t="s">
        <v>1932</v>
      </c>
      <c r="B5" s="1403">
        <f t="shared" ref="B5:B19" si="0">B6*(1+N5)</f>
        <v>510.070896595546</v>
      </c>
      <c r="C5" s="1403">
        <f t="shared" ref="C5:C19" si="1">C6*(1+O5)</f>
        <v>352.55593185737399</v>
      </c>
      <c r="D5" s="1403">
        <f t="shared" ref="D5:D24" si="2">C5</f>
        <v>352.55593185737399</v>
      </c>
      <c r="E5" s="1403">
        <f t="shared" ref="E5:E25" si="3">E6*(1+P5)</f>
        <v>737.279924634037</v>
      </c>
      <c r="F5" s="1403">
        <f t="shared" ref="F5:F25" si="4">F6*(1+Q5)</f>
        <v>335.88319198297899</v>
      </c>
      <c r="G5" s="1400">
        <v>2023</v>
      </c>
      <c r="H5" s="1404">
        <v>1</v>
      </c>
      <c r="I5" s="1427">
        <v>0</v>
      </c>
      <c r="J5" s="1427">
        <v>0</v>
      </c>
      <c r="K5" s="1427">
        <v>0</v>
      </c>
      <c r="L5" s="1428">
        <v>0</v>
      </c>
      <c r="M5" s="1388"/>
      <c r="N5" s="1429">
        <f t="shared" ref="N5:N24" si="5">I5/100</f>
        <v>0</v>
      </c>
      <c r="O5" s="1430">
        <f t="shared" ref="O5:O24" si="6">J5/100</f>
        <v>0</v>
      </c>
      <c r="P5" s="1430">
        <f t="shared" ref="P5:P24" si="7">K5/100</f>
        <v>0</v>
      </c>
      <c r="Q5" s="1430">
        <f t="shared" ref="Q5:Q24" si="8">L5/100</f>
        <v>0</v>
      </c>
      <c r="R5" s="1449"/>
      <c r="S5" s="1437">
        <f>B5/B6-1</f>
        <v>0</v>
      </c>
      <c r="T5" s="1438">
        <f>C5/C6-1</f>
        <v>0</v>
      </c>
      <c r="U5" s="1438">
        <f>E5/E6-1</f>
        <v>0</v>
      </c>
      <c r="V5" s="1438">
        <f>F5/F6-1</f>
        <v>0</v>
      </c>
      <c r="W5" s="1388"/>
      <c r="X5" s="1388">
        <f>ROUND(IF(项目基本情况!B8="出让",SUMPRODUCT(PRODUCT(1+N5:N$41)),SUMPRODUCT(PRODUCT(1+N5:N$40))),4)</f>
        <v>1.6585000000000001</v>
      </c>
      <c r="Y5" s="1388">
        <f>ROUND(IF(项目基本情况!B8="出让",SUMPRODUCT(PRODUCT(1+O5:O$41)),SUMPRODUCT(PRODUCT(1+O5:O$40))),4)</f>
        <v>1.3676999999999999</v>
      </c>
      <c r="Z5" s="1388">
        <f t="shared" ref="Z5:Z40" si="9">Y5</f>
        <v>1.3676999999999999</v>
      </c>
      <c r="AA5" s="1388">
        <f>ROUND(IF(项目基本情况!B8="出让",SUMPRODUCT(PRODUCT(1+P5:P$41)),SUMPRODUCT(PRODUCT(1+P5:P$40))),4)</f>
        <v>1.7434000000000001</v>
      </c>
      <c r="AB5" s="1388">
        <f>ROUND(IF(项目基本情况!B8="出让",SUMPRODUCT(PRODUCT(1+Q5:Q$41)),SUMPRODUCT(PRODUCT(1+Q5:Q$40))),4)</f>
        <v>1.4609000000000001</v>
      </c>
      <c r="AC5" s="1388"/>
      <c r="AD5" s="1430">
        <f>ROUND(AVERAGE(I5:I$41)/100,4)</f>
        <v>1.47E-2</v>
      </c>
      <c r="AE5" s="1430">
        <f>ROUND(AVERAGE(J5:J$41)/100,4)</f>
        <v>9.1999999999999998E-3</v>
      </c>
      <c r="AF5" s="1430">
        <f t="shared" ref="AF5:AF41" si="10">AE5</f>
        <v>9.1999999999999998E-3</v>
      </c>
      <c r="AG5" s="1430">
        <f>ROUND(AVERAGE(K5:K$41)/100,4)</f>
        <v>1.61E-2</v>
      </c>
      <c r="AH5" s="1430">
        <f>ROUND(AVERAGE(L5:L$41)/100,4)</f>
        <v>1.0699999999999999E-2</v>
      </c>
    </row>
    <row r="6" spans="1:34" s="1384" customFormat="1">
      <c r="A6" s="1402" t="s">
        <v>1933</v>
      </c>
      <c r="B6" s="1403">
        <f t="shared" si="0"/>
        <v>510.070896595546</v>
      </c>
      <c r="C6" s="1403">
        <f t="shared" si="1"/>
        <v>352.55593185737399</v>
      </c>
      <c r="D6" s="1403">
        <f t="shared" si="2"/>
        <v>352.55593185737399</v>
      </c>
      <c r="E6" s="1403">
        <f t="shared" si="3"/>
        <v>737.279924634037</v>
      </c>
      <c r="F6" s="1403">
        <f t="shared" si="4"/>
        <v>335.88319198297899</v>
      </c>
      <c r="G6" s="1400">
        <v>2022</v>
      </c>
      <c r="H6" s="1404">
        <v>4</v>
      </c>
      <c r="I6" s="1427">
        <v>0</v>
      </c>
      <c r="J6" s="1427">
        <v>0</v>
      </c>
      <c r="K6" s="1427">
        <v>0</v>
      </c>
      <c r="L6" s="1428">
        <v>0</v>
      </c>
      <c r="M6" s="1388"/>
      <c r="N6" s="1429">
        <f t="shared" si="5"/>
        <v>0</v>
      </c>
      <c r="O6" s="1430">
        <f t="shared" si="6"/>
        <v>0</v>
      </c>
      <c r="P6" s="1430">
        <f t="shared" si="7"/>
        <v>0</v>
      </c>
      <c r="Q6" s="1430">
        <f t="shared" si="8"/>
        <v>0</v>
      </c>
      <c r="R6" s="1449"/>
      <c r="S6" s="1437"/>
      <c r="T6" s="1438"/>
      <c r="U6" s="1438"/>
      <c r="V6" s="1438"/>
      <c r="W6" s="1388"/>
      <c r="X6" s="1388">
        <f>ROUND(IF(项目基本情况!B8="出让",SUMPRODUCT(PRODUCT(1+N6:N$41)),SUMPRODUCT(PRODUCT(1+N6:N$40))),4)</f>
        <v>1.6585000000000001</v>
      </c>
      <c r="Y6" s="1388">
        <f>ROUND(IF(项目基本情况!B8="出让",SUMPRODUCT(PRODUCT(1+O6:O$41)),SUMPRODUCT(PRODUCT(1+O6:O$40))),4)</f>
        <v>1.3676999999999999</v>
      </c>
      <c r="Z6" s="1388">
        <f t="shared" si="9"/>
        <v>1.3676999999999999</v>
      </c>
      <c r="AA6" s="1388">
        <f>ROUND(IF(项目基本情况!B8="出让",SUMPRODUCT(PRODUCT(1+P6:P$41)),SUMPRODUCT(PRODUCT(1+P6:P$40))),4)</f>
        <v>1.7434000000000001</v>
      </c>
      <c r="AB6" s="1388">
        <f>ROUND(IF(项目基本情况!B8="出让",SUMPRODUCT(PRODUCT(1+Q6:Q$41)),SUMPRODUCT(PRODUCT(1+Q6:Q$40))),4)</f>
        <v>1.4609000000000001</v>
      </c>
      <c r="AC6" s="1388"/>
      <c r="AD6" s="1430">
        <f>ROUND(AVERAGE(I6:I$41)/100,4)</f>
        <v>1.5100000000000001E-2</v>
      </c>
      <c r="AE6" s="1430">
        <f>ROUND(AVERAGE(J6:J$41)/100,4)</f>
        <v>9.4000000000000004E-3</v>
      </c>
      <c r="AF6" s="1430">
        <f t="shared" si="10"/>
        <v>9.4000000000000004E-3</v>
      </c>
      <c r="AG6" s="1430">
        <f>ROUND(AVERAGE(K6:K$41)/100,4)</f>
        <v>1.66E-2</v>
      </c>
      <c r="AH6" s="1430">
        <f>ROUND(AVERAGE(L6:L$41)/100,4)</f>
        <v>1.0999999999999999E-2</v>
      </c>
    </row>
    <row r="7" spans="1:34" s="1384" customFormat="1">
      <c r="A7" s="1402" t="s">
        <v>1934</v>
      </c>
      <c r="B7" s="1403">
        <f t="shared" si="0"/>
        <v>510.070896595546</v>
      </c>
      <c r="C7" s="1403">
        <f t="shared" si="1"/>
        <v>352.55593185737399</v>
      </c>
      <c r="D7" s="1403">
        <f t="shared" si="2"/>
        <v>352.55593185737399</v>
      </c>
      <c r="E7" s="1403">
        <f t="shared" si="3"/>
        <v>737.279924634037</v>
      </c>
      <c r="F7" s="1403">
        <f t="shared" si="4"/>
        <v>335.88319198297899</v>
      </c>
      <c r="G7" s="1400">
        <v>2022</v>
      </c>
      <c r="H7" s="1404">
        <v>3</v>
      </c>
      <c r="I7" s="1427">
        <v>0</v>
      </c>
      <c r="J7" s="1427">
        <v>0</v>
      </c>
      <c r="K7" s="1427">
        <v>0</v>
      </c>
      <c r="L7" s="1428">
        <v>0</v>
      </c>
      <c r="M7" s="1388"/>
      <c r="N7" s="1429">
        <f t="shared" si="5"/>
        <v>0</v>
      </c>
      <c r="O7" s="1430">
        <f t="shared" si="6"/>
        <v>0</v>
      </c>
      <c r="P7" s="1430">
        <f t="shared" si="7"/>
        <v>0</v>
      </c>
      <c r="Q7" s="1430">
        <f t="shared" si="8"/>
        <v>0</v>
      </c>
      <c r="R7" s="1449"/>
      <c r="S7" s="1437"/>
      <c r="T7" s="1438"/>
      <c r="U7" s="1438"/>
      <c r="V7" s="1438"/>
      <c r="W7" s="1388"/>
      <c r="X7" s="1388">
        <f>ROUND(IF(项目基本情况!B8="出让",SUMPRODUCT(PRODUCT(1+N7:N$41)),SUMPRODUCT(PRODUCT(1+N7:N$40))),4)</f>
        <v>1.6585000000000001</v>
      </c>
      <c r="Y7" s="1388">
        <f>ROUND(IF(项目基本情况!B8="出让",SUMPRODUCT(PRODUCT(1+O7:O$41)),SUMPRODUCT(PRODUCT(1+O7:O$40))),4)</f>
        <v>1.3676999999999999</v>
      </c>
      <c r="Z7" s="1388">
        <f t="shared" si="9"/>
        <v>1.3676999999999999</v>
      </c>
      <c r="AA7" s="1388">
        <f>ROUND(IF(项目基本情况!B8="出让",SUMPRODUCT(PRODUCT(1+P7:P$41)),SUMPRODUCT(PRODUCT(1+P7:P$40))),4)</f>
        <v>1.7434000000000001</v>
      </c>
      <c r="AB7" s="1388">
        <f>ROUND(IF(项目基本情况!B8="出让",SUMPRODUCT(PRODUCT(1+Q7:Q$41)),SUMPRODUCT(PRODUCT(1+Q7:Q$40))),4)</f>
        <v>1.4609000000000001</v>
      </c>
      <c r="AC7" s="1388"/>
      <c r="AD7" s="1430">
        <f>ROUND(AVERAGE(I7:I$41)/100,4)</f>
        <v>1.55E-2</v>
      </c>
      <c r="AE7" s="1430">
        <f>ROUND(AVERAGE(J7:J$41)/100,4)</f>
        <v>9.7000000000000003E-3</v>
      </c>
      <c r="AF7" s="1430">
        <f t="shared" si="10"/>
        <v>9.7000000000000003E-3</v>
      </c>
      <c r="AG7" s="1430">
        <f>ROUND(AVERAGE(K7:K$41)/100,4)</f>
        <v>1.7100000000000001E-2</v>
      </c>
      <c r="AH7" s="1430">
        <f>ROUND(AVERAGE(L7:L$41)/100,4)</f>
        <v>1.1299999999999999E-2</v>
      </c>
    </row>
    <row r="8" spans="1:34" s="1384" customFormat="1">
      <c r="A8" s="1402" t="s">
        <v>1935</v>
      </c>
      <c r="B8" s="1403">
        <f t="shared" si="0"/>
        <v>510.070896595546</v>
      </c>
      <c r="C8" s="1403">
        <f t="shared" si="1"/>
        <v>352.55593185737399</v>
      </c>
      <c r="D8" s="1403">
        <f t="shared" si="2"/>
        <v>352.55593185737399</v>
      </c>
      <c r="E8" s="1403">
        <f t="shared" si="3"/>
        <v>737.279924634037</v>
      </c>
      <c r="F8" s="1403">
        <f t="shared" si="4"/>
        <v>335.88319198297899</v>
      </c>
      <c r="G8" s="1400">
        <v>2022</v>
      </c>
      <c r="H8" s="1404">
        <v>2</v>
      </c>
      <c r="I8" s="1427">
        <v>0</v>
      </c>
      <c r="J8" s="1427">
        <v>0</v>
      </c>
      <c r="K8" s="1427">
        <v>0</v>
      </c>
      <c r="L8" s="1428">
        <v>0</v>
      </c>
      <c r="M8" s="1388"/>
      <c r="N8" s="1429">
        <f t="shared" si="5"/>
        <v>0</v>
      </c>
      <c r="O8" s="1430">
        <f t="shared" si="6"/>
        <v>0</v>
      </c>
      <c r="P8" s="1430">
        <f t="shared" si="7"/>
        <v>0</v>
      </c>
      <c r="Q8" s="1430">
        <f t="shared" si="8"/>
        <v>0</v>
      </c>
      <c r="R8" s="1449"/>
      <c r="S8" s="1437"/>
      <c r="T8" s="1438"/>
      <c r="U8" s="1438"/>
      <c r="V8" s="1438"/>
      <c r="W8" s="1388"/>
      <c r="X8" s="1388">
        <f>ROUND(IF(项目基本情况!B8="出让",SUMPRODUCT(PRODUCT(1+N8:N$41)),SUMPRODUCT(PRODUCT(1+N8:N$40))),4)</f>
        <v>1.6585000000000001</v>
      </c>
      <c r="Y8" s="1388">
        <f>ROUND(IF(项目基本情况!B8="出让",SUMPRODUCT(PRODUCT(1+O8:O$41)),SUMPRODUCT(PRODUCT(1+O8:O$40))),4)</f>
        <v>1.3676999999999999</v>
      </c>
      <c r="Z8" s="1388">
        <f t="shared" si="9"/>
        <v>1.3676999999999999</v>
      </c>
      <c r="AA8" s="1388">
        <f>ROUND(IF(项目基本情况!B8="出让",SUMPRODUCT(PRODUCT(1+P8:P$41)),SUMPRODUCT(PRODUCT(1+P8:P$40))),4)</f>
        <v>1.7434000000000001</v>
      </c>
      <c r="AB8" s="1388">
        <f>ROUND(IF(项目基本情况!B8="出让",SUMPRODUCT(PRODUCT(1+Q8:Q$41)),SUMPRODUCT(PRODUCT(1+Q8:Q$40))),4)</f>
        <v>1.4609000000000001</v>
      </c>
      <c r="AC8" s="1388"/>
      <c r="AD8" s="1430">
        <f>ROUND(AVERAGE(I8:I$41)/100,4)</f>
        <v>1.6E-2</v>
      </c>
      <c r="AE8" s="1430">
        <f>ROUND(AVERAGE(J8:J$41)/100,4)</f>
        <v>0.01</v>
      </c>
      <c r="AF8" s="1430">
        <f t="shared" si="10"/>
        <v>0.01</v>
      </c>
      <c r="AG8" s="1430">
        <f>ROUND(AVERAGE(K8:K$41)/100,4)</f>
        <v>1.7600000000000001E-2</v>
      </c>
      <c r="AH8" s="1430">
        <f>ROUND(AVERAGE(L8:L$41)/100,4)</f>
        <v>1.1599999999999999E-2</v>
      </c>
    </row>
    <row r="9" spans="1:34" s="1384" customFormat="1">
      <c r="A9" s="1402" t="s">
        <v>1936</v>
      </c>
      <c r="B9" s="1403">
        <f t="shared" si="0"/>
        <v>510.070896595546</v>
      </c>
      <c r="C9" s="1403">
        <f t="shared" si="1"/>
        <v>352.55593185737399</v>
      </c>
      <c r="D9" s="1403">
        <f t="shared" si="2"/>
        <v>352.55593185737399</v>
      </c>
      <c r="E9" s="1403">
        <f t="shared" si="3"/>
        <v>737.279924634037</v>
      </c>
      <c r="F9" s="1403">
        <f t="shared" si="4"/>
        <v>335.88319198297899</v>
      </c>
      <c r="G9" s="1400">
        <v>2022</v>
      </c>
      <c r="H9" s="1404">
        <v>1</v>
      </c>
      <c r="I9" s="1427">
        <v>0</v>
      </c>
      <c r="J9" s="1427">
        <v>0</v>
      </c>
      <c r="K9" s="1427">
        <v>0</v>
      </c>
      <c r="L9" s="1428">
        <v>0</v>
      </c>
      <c r="M9" s="1388"/>
      <c r="N9" s="1429">
        <f t="shared" si="5"/>
        <v>0</v>
      </c>
      <c r="O9" s="1430">
        <f t="shared" si="6"/>
        <v>0</v>
      </c>
      <c r="P9" s="1430">
        <f t="shared" si="7"/>
        <v>0</v>
      </c>
      <c r="Q9" s="1430">
        <f t="shared" si="8"/>
        <v>0</v>
      </c>
      <c r="R9" s="1449"/>
      <c r="S9" s="1437">
        <f>B9/B10-1</f>
        <v>0</v>
      </c>
      <c r="T9" s="1438">
        <f>C9/C10-1</f>
        <v>0</v>
      </c>
      <c r="U9" s="1438">
        <f>E9/E10-1</f>
        <v>0</v>
      </c>
      <c r="V9" s="1438">
        <f>F9/F10-1</f>
        <v>0</v>
      </c>
      <c r="W9" s="1388"/>
      <c r="X9" s="1388">
        <f>ROUND(IF(项目基本情况!B1="出让",SUMPRODUCT(PRODUCT(1+N9:N$41)),SUMPRODUCT(PRODUCT(1+N9:N$40))),4)</f>
        <v>1.6585000000000001</v>
      </c>
      <c r="Y9" s="1388">
        <f>ROUND(IF(项目基本情况!B1="出让",SUMPRODUCT(PRODUCT(1+O9:O$41)),SUMPRODUCT(PRODUCT(1+O9:O$40))),4)</f>
        <v>1.3676999999999999</v>
      </c>
      <c r="Z9" s="1388">
        <f t="shared" si="9"/>
        <v>1.3676999999999999</v>
      </c>
      <c r="AA9" s="1388">
        <f>ROUND(IF(项目基本情况!B1="出让",SUMPRODUCT(PRODUCT(1+P9:P$41)),SUMPRODUCT(PRODUCT(1+P9:P$40))),4)</f>
        <v>1.7434000000000001</v>
      </c>
      <c r="AB9" s="1388">
        <f>ROUND(IF(项目基本情况!B1="出让",SUMPRODUCT(PRODUCT(1+Q9:Q$41)),SUMPRODUCT(PRODUCT(1+Q9:Q$40))),4)</f>
        <v>1.4609000000000001</v>
      </c>
      <c r="AC9" s="1388"/>
      <c r="AD9" s="1430">
        <f>ROUND(AVERAGE(I9:I$41)/100,4)</f>
        <v>1.6400000000000001E-2</v>
      </c>
      <c r="AE9" s="1430">
        <f>ROUND(AVERAGE(J9:J$41)/100,4)</f>
        <v>1.03E-2</v>
      </c>
      <c r="AF9" s="1430">
        <f t="shared" si="10"/>
        <v>1.03E-2</v>
      </c>
      <c r="AG9" s="1430">
        <f>ROUND(AVERAGE(K9:K$41)/100,4)</f>
        <v>1.8100000000000002E-2</v>
      </c>
      <c r="AH9" s="1430">
        <f>ROUND(AVERAGE(L9:L$41)/100,4)</f>
        <v>1.2E-2</v>
      </c>
    </row>
    <row r="10" spans="1:34" s="1384" customFormat="1">
      <c r="A10" s="1402" t="s">
        <v>1937</v>
      </c>
      <c r="B10" s="1403">
        <f t="shared" si="0"/>
        <v>510.070896595546</v>
      </c>
      <c r="C10" s="1403">
        <f t="shared" si="1"/>
        <v>352.55593185737399</v>
      </c>
      <c r="D10" s="1403">
        <f t="shared" si="2"/>
        <v>352.55593185737399</v>
      </c>
      <c r="E10" s="1403">
        <f t="shared" si="3"/>
        <v>737.279924634037</v>
      </c>
      <c r="F10" s="1403">
        <f t="shared" si="4"/>
        <v>335.88319198297899</v>
      </c>
      <c r="G10" s="1400">
        <v>2021</v>
      </c>
      <c r="H10" s="1404">
        <v>4</v>
      </c>
      <c r="I10" s="1427">
        <v>1.03</v>
      </c>
      <c r="J10" s="1427">
        <v>0.24</v>
      </c>
      <c r="K10" s="1427">
        <v>1.17</v>
      </c>
      <c r="L10" s="1428">
        <v>0.55000000000000004</v>
      </c>
      <c r="M10" s="1388"/>
      <c r="N10" s="1429">
        <f t="shared" si="5"/>
        <v>1.03E-2</v>
      </c>
      <c r="O10" s="1430">
        <f t="shared" si="6"/>
        <v>2.3999999999999998E-3</v>
      </c>
      <c r="P10" s="1430">
        <f t="shared" si="7"/>
        <v>1.17E-2</v>
      </c>
      <c r="Q10" s="1430">
        <f t="shared" si="8"/>
        <v>5.4999999999999997E-3</v>
      </c>
      <c r="R10" s="1449"/>
      <c r="S10" s="1437"/>
      <c r="T10" s="1438"/>
      <c r="U10" s="1438"/>
      <c r="V10" s="1438"/>
      <c r="W10" s="1388"/>
      <c r="X10" s="1388">
        <f>ROUND(IF(项目基本情况!B2="出让",SUMPRODUCT(PRODUCT(1+N10:N$41)),SUMPRODUCT(PRODUCT(1+N10:N$40))),4)</f>
        <v>1.6585000000000001</v>
      </c>
      <c r="Y10" s="1388">
        <f>ROUND(IF(项目基本情况!B2="出让",SUMPRODUCT(PRODUCT(1+O10:O$41)),SUMPRODUCT(PRODUCT(1+O10:O$40))),4)</f>
        <v>1.3676999999999999</v>
      </c>
      <c r="Z10" s="1388">
        <f t="shared" si="9"/>
        <v>1.3676999999999999</v>
      </c>
      <c r="AA10" s="1388">
        <f>ROUND(IF(项目基本情况!B2="出让",SUMPRODUCT(PRODUCT(1+P10:P$41)),SUMPRODUCT(PRODUCT(1+P10:P$40))),4)</f>
        <v>1.7434000000000001</v>
      </c>
      <c r="AB10" s="1388">
        <f>ROUND(IF(项目基本情况!B2="出让",SUMPRODUCT(PRODUCT(1+Q10:Q$41)),SUMPRODUCT(PRODUCT(1+Q10:Q$40))),4)</f>
        <v>1.4609000000000001</v>
      </c>
      <c r="AC10" s="1388"/>
      <c r="AD10" s="1430">
        <f>ROUND(AVERAGE(I10:I$41)/100,4)</f>
        <v>1.6899999999999998E-2</v>
      </c>
      <c r="AE10" s="1430">
        <f>ROUND(AVERAGE(J10:J$41)/100,4)</f>
        <v>1.06E-2</v>
      </c>
      <c r="AF10" s="1430">
        <f t="shared" si="10"/>
        <v>1.06E-2</v>
      </c>
      <c r="AG10" s="1430">
        <f>ROUND(AVERAGE(K10:K$41)/100,4)</f>
        <v>1.8700000000000001E-2</v>
      </c>
      <c r="AH10" s="1430">
        <f>ROUND(AVERAGE(L10:L$41)/100,4)</f>
        <v>1.24E-2</v>
      </c>
    </row>
    <row r="11" spans="1:34" s="1384" customFormat="1">
      <c r="A11" s="1402" t="s">
        <v>1938</v>
      </c>
      <c r="B11" s="1403">
        <f t="shared" si="0"/>
        <v>504.87072809615597</v>
      </c>
      <c r="C11" s="1403">
        <f t="shared" si="1"/>
        <v>351.71182348102002</v>
      </c>
      <c r="D11" s="1403">
        <f t="shared" si="2"/>
        <v>351.71182348102002</v>
      </c>
      <c r="E11" s="1403">
        <f t="shared" si="3"/>
        <v>728.75350858360798</v>
      </c>
      <c r="F11" s="1403">
        <f t="shared" si="4"/>
        <v>334.04593931673702</v>
      </c>
      <c r="G11" s="1400">
        <v>2021</v>
      </c>
      <c r="H11" s="1404">
        <v>3</v>
      </c>
      <c r="I11" s="1427">
        <v>0.47</v>
      </c>
      <c r="J11" s="1427">
        <v>0.41</v>
      </c>
      <c r="K11" s="1427">
        <v>0.48</v>
      </c>
      <c r="L11" s="1428">
        <v>0.48</v>
      </c>
      <c r="M11" s="1388"/>
      <c r="N11" s="1429">
        <f t="shared" si="5"/>
        <v>4.7000000000000002E-3</v>
      </c>
      <c r="O11" s="1430">
        <f t="shared" si="6"/>
        <v>4.1000000000000003E-3</v>
      </c>
      <c r="P11" s="1430">
        <f t="shared" si="7"/>
        <v>4.7999999999999996E-3</v>
      </c>
      <c r="Q11" s="1430">
        <f t="shared" si="8"/>
        <v>4.7999999999999996E-3</v>
      </c>
      <c r="R11" s="1449"/>
      <c r="S11" s="1437"/>
      <c r="T11" s="1438"/>
      <c r="U11" s="1438"/>
      <c r="V11" s="1438"/>
      <c r="W11" s="1388"/>
      <c r="X11" s="1388">
        <f>ROUND(IF(项目基本情况!B3="出让",SUMPRODUCT(PRODUCT(1+N11:N$41)),SUMPRODUCT(PRODUCT(1+N11:N$40))),4)</f>
        <v>1.6415999999999999</v>
      </c>
      <c r="Y11" s="1388">
        <f>ROUND(IF(项目基本情况!B3="出让",SUMPRODUCT(PRODUCT(1+O11:O$41)),SUMPRODUCT(PRODUCT(1+O11:O$40))),4)</f>
        <v>1.3644000000000001</v>
      </c>
      <c r="Z11" s="1388">
        <f t="shared" si="9"/>
        <v>1.3644000000000001</v>
      </c>
      <c r="AA11" s="1388">
        <f>ROUND(IF(项目基本情况!B3="出让",SUMPRODUCT(PRODUCT(1+P11:P$41)),SUMPRODUCT(PRODUCT(1+P11:P$40))),4)</f>
        <v>1.7232000000000001</v>
      </c>
      <c r="AB11" s="1388">
        <f>ROUND(IF(项目基本情况!B3="出让",SUMPRODUCT(PRODUCT(1+Q11:Q$41)),SUMPRODUCT(PRODUCT(1+Q11:Q$40))),4)</f>
        <v>1.4529000000000001</v>
      </c>
      <c r="AC11" s="1388"/>
      <c r="AD11" s="1430">
        <f>ROUND(AVERAGE(I11:I$41)/100,4)</f>
        <v>1.72E-2</v>
      </c>
      <c r="AE11" s="1430">
        <f>ROUND(AVERAGE(J11:J$41)/100,4)</f>
        <v>1.09E-2</v>
      </c>
      <c r="AF11" s="1430">
        <f t="shared" si="10"/>
        <v>1.09E-2</v>
      </c>
      <c r="AG11" s="1430">
        <f>ROUND(AVERAGE(K11:K$41)/100,4)</f>
        <v>1.89E-2</v>
      </c>
      <c r="AH11" s="1430">
        <f>ROUND(AVERAGE(L11:L$41)/100,4)</f>
        <v>1.26E-2</v>
      </c>
    </row>
    <row r="12" spans="1:34" s="1384" customFormat="1">
      <c r="A12" s="1402" t="s">
        <v>1939</v>
      </c>
      <c r="B12" s="1403">
        <f t="shared" si="0"/>
        <v>502.508936096502</v>
      </c>
      <c r="C12" s="1403">
        <f t="shared" si="1"/>
        <v>350.27569313914898</v>
      </c>
      <c r="D12" s="1403">
        <f t="shared" si="2"/>
        <v>350.27569313914898</v>
      </c>
      <c r="E12" s="1403">
        <f t="shared" si="3"/>
        <v>725.27220201394096</v>
      </c>
      <c r="F12" s="1403">
        <f t="shared" si="4"/>
        <v>332.45017846012797</v>
      </c>
      <c r="G12" s="1400">
        <v>2021</v>
      </c>
      <c r="H12" s="1404">
        <v>2</v>
      </c>
      <c r="I12" s="1427">
        <v>0.92</v>
      </c>
      <c r="J12" s="1427">
        <v>0.72</v>
      </c>
      <c r="K12" s="1427">
        <v>0.95</v>
      </c>
      <c r="L12" s="1428">
        <v>1.01</v>
      </c>
      <c r="M12" s="1388"/>
      <c r="N12" s="1429">
        <f t="shared" si="5"/>
        <v>9.1999999999999998E-3</v>
      </c>
      <c r="O12" s="1430">
        <f t="shared" si="6"/>
        <v>7.1999999999999998E-3</v>
      </c>
      <c r="P12" s="1430">
        <f t="shared" si="7"/>
        <v>9.4999999999999998E-3</v>
      </c>
      <c r="Q12" s="1430">
        <f t="shared" si="8"/>
        <v>1.01E-2</v>
      </c>
      <c r="R12" s="1449"/>
      <c r="S12" s="1437"/>
      <c r="T12" s="1438"/>
      <c r="U12" s="1438"/>
      <c r="V12" s="1438"/>
      <c r="W12" s="1388"/>
      <c r="X12" s="1388">
        <f>ROUND(IF(项目基本情况!B4="出让",SUMPRODUCT(PRODUCT(1+N12:N$41)),SUMPRODUCT(PRODUCT(1+N12:N$40))),4)</f>
        <v>1.6338999999999999</v>
      </c>
      <c r="Y12" s="1388">
        <f>ROUND(IF(项目基本情况!B4="出让",SUMPRODUCT(PRODUCT(1+O12:O$41)),SUMPRODUCT(PRODUCT(1+O12:O$40))),4)</f>
        <v>1.3588</v>
      </c>
      <c r="Z12" s="1388">
        <f t="shared" si="9"/>
        <v>1.3588</v>
      </c>
      <c r="AA12" s="1388">
        <f>ROUND(IF(项目基本情况!B4="出让",SUMPRODUCT(PRODUCT(1+P12:P$41)),SUMPRODUCT(PRODUCT(1+P12:P$40))),4)</f>
        <v>1.7150000000000001</v>
      </c>
      <c r="AB12" s="1388">
        <f>ROUND(IF(项目基本情况!B4="出让",SUMPRODUCT(PRODUCT(1+Q12:Q$41)),SUMPRODUCT(PRODUCT(1+Q12:Q$40))),4)</f>
        <v>1.446</v>
      </c>
      <c r="AC12" s="1388"/>
      <c r="AD12" s="1430">
        <f>ROUND(AVERAGE(I12:I$41)/100,4)</f>
        <v>1.7600000000000001E-2</v>
      </c>
      <c r="AE12" s="1430">
        <f>ROUND(AVERAGE(J12:J$41)/100,4)</f>
        <v>1.11E-2</v>
      </c>
      <c r="AF12" s="1430">
        <f t="shared" si="10"/>
        <v>1.11E-2</v>
      </c>
      <c r="AG12" s="1430">
        <f>ROUND(AVERAGE(K12:K$41)/100,4)</f>
        <v>1.9400000000000001E-2</v>
      </c>
      <c r="AH12" s="1430">
        <f>ROUND(AVERAGE(L12:L$41)/100,4)</f>
        <v>1.2800000000000001E-2</v>
      </c>
    </row>
    <row r="13" spans="1:34" s="1384" customFormat="1">
      <c r="A13" s="1402" t="s">
        <v>1940</v>
      </c>
      <c r="B13" s="1403">
        <f t="shared" si="0"/>
        <v>497.927998510208</v>
      </c>
      <c r="C13" s="1403">
        <f t="shared" si="1"/>
        <v>347.771736635374</v>
      </c>
      <c r="D13" s="1403">
        <f t="shared" si="2"/>
        <v>347.771736635374</v>
      </c>
      <c r="E13" s="1403">
        <f t="shared" si="3"/>
        <v>718.446955932582</v>
      </c>
      <c r="F13" s="1403">
        <f t="shared" si="4"/>
        <v>329.12600580153202</v>
      </c>
      <c r="G13" s="1400">
        <v>2021</v>
      </c>
      <c r="H13" s="1404">
        <v>1</v>
      </c>
      <c r="I13" s="1427">
        <v>0.97</v>
      </c>
      <c r="J13" s="1427">
        <v>0.16</v>
      </c>
      <c r="K13" s="1427">
        <v>1.1100000000000001</v>
      </c>
      <c r="L13" s="1428">
        <v>0.36</v>
      </c>
      <c r="M13" s="1388"/>
      <c r="N13" s="1429">
        <f t="shared" si="5"/>
        <v>9.7000000000000003E-3</v>
      </c>
      <c r="O13" s="1430">
        <f t="shared" si="6"/>
        <v>1.6000000000000001E-3</v>
      </c>
      <c r="P13" s="1430">
        <f t="shared" si="7"/>
        <v>1.11E-2</v>
      </c>
      <c r="Q13" s="1430">
        <f t="shared" si="8"/>
        <v>3.5999999999999999E-3</v>
      </c>
      <c r="R13" s="1449"/>
      <c r="S13" s="1437">
        <f>B13/B14-1</f>
        <v>9.7000000000000402E-3</v>
      </c>
      <c r="T13" s="1438">
        <f>C13/C14-1</f>
        <v>1.6000000000000499E-3</v>
      </c>
      <c r="U13" s="1438">
        <f>E13/E14-1</f>
        <v>1.1100000000000099E-2</v>
      </c>
      <c r="V13" s="1438">
        <f>F13/F14-1</f>
        <v>3.6000000000000502E-3</v>
      </c>
      <c r="W13" s="1388"/>
      <c r="X13" s="1388">
        <f>ROUND(IF(项目基本情况!B5="出让",SUMPRODUCT(PRODUCT(1+N13:N$41)),SUMPRODUCT(PRODUCT(1+N13:N$40))),4)</f>
        <v>1.619</v>
      </c>
      <c r="Y13" s="1388">
        <f>ROUND(IF(项目基本情况!B5="出让",SUMPRODUCT(PRODUCT(1+O13:O$41)),SUMPRODUCT(PRODUCT(1+O13:O$40))),4)</f>
        <v>1.3491</v>
      </c>
      <c r="Z13" s="1388">
        <f t="shared" si="9"/>
        <v>1.3491</v>
      </c>
      <c r="AA13" s="1388">
        <f>ROUND(IF(项目基本情况!B5="出让",SUMPRODUCT(PRODUCT(1+P13:P$41)),SUMPRODUCT(PRODUCT(1+P13:P$40))),4)</f>
        <v>1.6988000000000001</v>
      </c>
      <c r="AB13" s="1388">
        <f>ROUND(IF(项目基本情况!B5="出让",SUMPRODUCT(PRODUCT(1+Q13:Q$41)),SUMPRODUCT(PRODUCT(1+Q13:Q$40))),4)</f>
        <v>1.4315</v>
      </c>
      <c r="AC13" s="1388"/>
      <c r="AD13" s="1430">
        <f>ROUND(AVERAGE(I13:I$41)/100,4)</f>
        <v>1.7899999999999999E-2</v>
      </c>
      <c r="AE13" s="1430">
        <f>ROUND(AVERAGE(J13:J$41)/100,4)</f>
        <v>1.12E-2</v>
      </c>
      <c r="AF13" s="1430">
        <f t="shared" si="10"/>
        <v>1.12E-2</v>
      </c>
      <c r="AG13" s="1430">
        <f>ROUND(AVERAGE(K13:K$41)/100,4)</f>
        <v>1.9699999999999999E-2</v>
      </c>
      <c r="AH13" s="1430">
        <f>ROUND(AVERAGE(L13:L$41)/100,4)</f>
        <v>1.29E-2</v>
      </c>
    </row>
    <row r="14" spans="1:34" s="1384" customFormat="1">
      <c r="A14" s="1402" t="s">
        <v>1941</v>
      </c>
      <c r="B14" s="1403">
        <f t="shared" si="0"/>
        <v>493.14449689037201</v>
      </c>
      <c r="C14" s="1403">
        <f t="shared" si="1"/>
        <v>347.21619073020599</v>
      </c>
      <c r="D14" s="1403">
        <f t="shared" si="2"/>
        <v>347.21619073020599</v>
      </c>
      <c r="E14" s="1403">
        <f t="shared" si="3"/>
        <v>710.55974278763904</v>
      </c>
      <c r="F14" s="1403">
        <f t="shared" si="4"/>
        <v>327.94540235306101</v>
      </c>
      <c r="G14" s="1400">
        <v>2020</v>
      </c>
      <c r="H14" s="1404">
        <v>4</v>
      </c>
      <c r="I14" s="1427">
        <v>2.0699999999999998</v>
      </c>
      <c r="J14" s="1427">
        <v>0.37</v>
      </c>
      <c r="K14" s="1427">
        <v>2.35</v>
      </c>
      <c r="L14" s="1428">
        <v>2.69</v>
      </c>
      <c r="M14" s="1388"/>
      <c r="N14" s="1429">
        <f t="shared" si="5"/>
        <v>2.07E-2</v>
      </c>
      <c r="O14" s="1430">
        <f t="shared" si="6"/>
        <v>3.7000000000000002E-3</v>
      </c>
      <c r="P14" s="1430">
        <f t="shared" si="7"/>
        <v>2.35E-2</v>
      </c>
      <c r="Q14" s="1430">
        <f t="shared" si="8"/>
        <v>2.69E-2</v>
      </c>
      <c r="R14" s="1449"/>
      <c r="S14" s="1437"/>
      <c r="T14" s="1438"/>
      <c r="U14" s="1438"/>
      <c r="V14" s="1438"/>
      <c r="W14" s="1388"/>
      <c r="X14" s="1388">
        <f>ROUND(IF(项目基本情况!B6="出让",SUMPRODUCT(PRODUCT(1+N14:N$41)),SUMPRODUCT(PRODUCT(1+N14:N$40))),4)</f>
        <v>1.6034999999999999</v>
      </c>
      <c r="Y14" s="1388">
        <f>ROUND(IF(项目基本情况!B6="出让",SUMPRODUCT(PRODUCT(1+O14:O$41)),SUMPRODUCT(PRODUCT(1+O14:O$40))),4)</f>
        <v>1.3469</v>
      </c>
      <c r="Z14" s="1388">
        <f t="shared" si="9"/>
        <v>1.3469</v>
      </c>
      <c r="AA14" s="1388">
        <f>ROUND(IF(项目基本情况!B6="出让",SUMPRODUCT(PRODUCT(1+P14:P$41)),SUMPRODUCT(PRODUCT(1+P14:P$40))),4)</f>
        <v>1.6801999999999999</v>
      </c>
      <c r="AB14" s="1388">
        <f>ROUND(IF(项目基本情况!B6="出让",SUMPRODUCT(PRODUCT(1+Q14:Q$41)),SUMPRODUCT(PRODUCT(1+Q14:Q$40))),4)</f>
        <v>1.4263999999999999</v>
      </c>
      <c r="AC14" s="1388"/>
      <c r="AD14" s="1430">
        <f>ROUND(AVERAGE(I14:I$41)/100,4)</f>
        <v>1.8200000000000001E-2</v>
      </c>
      <c r="AE14" s="1430">
        <f>ROUND(AVERAGE(J14:J$41)/100,4)</f>
        <v>1.1599999999999999E-2</v>
      </c>
      <c r="AF14" s="1430">
        <f t="shared" si="10"/>
        <v>1.1599999999999999E-2</v>
      </c>
      <c r="AG14" s="1430">
        <f>ROUND(AVERAGE(K14:K$41)/100,4)</f>
        <v>0.02</v>
      </c>
      <c r="AH14" s="1430">
        <f>ROUND(AVERAGE(L14:L$41)/100,4)</f>
        <v>1.3299999999999999E-2</v>
      </c>
    </row>
    <row r="15" spans="1:34" s="1384" customFormat="1">
      <c r="A15" s="1402" t="s">
        <v>1942</v>
      </c>
      <c r="B15" s="1403">
        <f t="shared" si="0"/>
        <v>483.143427932176</v>
      </c>
      <c r="C15" s="1403">
        <f t="shared" si="1"/>
        <v>345.93622669144798</v>
      </c>
      <c r="D15" s="1403">
        <f t="shared" si="2"/>
        <v>345.93622669144798</v>
      </c>
      <c r="E15" s="1403">
        <f t="shared" si="3"/>
        <v>694.24498562544102</v>
      </c>
      <c r="F15" s="1403">
        <f t="shared" si="4"/>
        <v>319.35475932716099</v>
      </c>
      <c r="G15" s="1400">
        <v>2020</v>
      </c>
      <c r="H15" s="1404">
        <v>3</v>
      </c>
      <c r="I15" s="1427">
        <v>0.36</v>
      </c>
      <c r="J15" s="1427">
        <v>-0.39</v>
      </c>
      <c r="K15" s="1427">
        <v>0.49</v>
      </c>
      <c r="L15" s="1428">
        <v>7.0000000000000007E-2</v>
      </c>
      <c r="M15" s="1388"/>
      <c r="N15" s="1429">
        <f t="shared" si="5"/>
        <v>3.5999999999999999E-3</v>
      </c>
      <c r="O15" s="1430">
        <f t="shared" si="6"/>
        <v>-3.8999999999999998E-3</v>
      </c>
      <c r="P15" s="1430">
        <f t="shared" si="7"/>
        <v>4.8999999999999998E-3</v>
      </c>
      <c r="Q15" s="1430">
        <f t="shared" si="8"/>
        <v>6.9999999999999999E-4</v>
      </c>
      <c r="R15" s="1449"/>
      <c r="S15" s="1437"/>
      <c r="T15" s="1438"/>
      <c r="U15" s="1438"/>
      <c r="V15" s="1438"/>
      <c r="W15" s="1388"/>
      <c r="X15" s="1388">
        <f>ROUND(IF(项目基本情况!B7="出让",SUMPRODUCT(PRODUCT(1+N15:N$41)),SUMPRODUCT(PRODUCT(1+N15:N$40))),4)</f>
        <v>1.571</v>
      </c>
      <c r="Y15" s="1388">
        <f>ROUND(IF(项目基本情况!B7="出让",SUMPRODUCT(PRODUCT(1+O15:O$41)),SUMPRODUCT(PRODUCT(1+O15:O$40))),4)</f>
        <v>1.3420000000000001</v>
      </c>
      <c r="Z15" s="1388">
        <f t="shared" si="9"/>
        <v>1.3420000000000001</v>
      </c>
      <c r="AA15" s="1388">
        <f>ROUND(IF(项目基本情况!B7="出让",SUMPRODUCT(PRODUCT(1+P15:P$41)),SUMPRODUCT(PRODUCT(1+P15:P$40))),4)</f>
        <v>1.6415999999999999</v>
      </c>
      <c r="AB15" s="1388">
        <f>ROUND(IF(项目基本情况!B7="出让",SUMPRODUCT(PRODUCT(1+Q15:Q$41)),SUMPRODUCT(PRODUCT(1+Q15:Q$40))),4)</f>
        <v>1.389</v>
      </c>
      <c r="AC15" s="1388"/>
      <c r="AD15" s="1430">
        <f>ROUND(AVERAGE(I15:I$41)/100,4)</f>
        <v>1.8100000000000002E-2</v>
      </c>
      <c r="AE15" s="1430">
        <f>ROUND(AVERAGE(J15:J$41)/100,4)</f>
        <v>1.1900000000000001E-2</v>
      </c>
      <c r="AF15" s="1430">
        <f t="shared" si="10"/>
        <v>1.1900000000000001E-2</v>
      </c>
      <c r="AG15" s="1430">
        <f>ROUND(AVERAGE(K15:K$41)/100,4)</f>
        <v>1.9900000000000001E-2</v>
      </c>
      <c r="AH15" s="1430">
        <f>ROUND(AVERAGE(L15:L$41)/100,4)</f>
        <v>1.2800000000000001E-2</v>
      </c>
    </row>
    <row r="16" spans="1:34" s="1384" customFormat="1">
      <c r="A16" s="1402" t="s">
        <v>1943</v>
      </c>
      <c r="B16" s="1403">
        <f t="shared" si="0"/>
        <v>481.410350669764</v>
      </c>
      <c r="C16" s="1403">
        <f t="shared" si="1"/>
        <v>347.29066026648701</v>
      </c>
      <c r="D16" s="1403">
        <f t="shared" si="2"/>
        <v>347.29066026648701</v>
      </c>
      <c r="E16" s="1403">
        <f t="shared" si="3"/>
        <v>690.85977273901995</v>
      </c>
      <c r="F16" s="1403">
        <f t="shared" si="4"/>
        <v>319.13136737000201</v>
      </c>
      <c r="G16" s="1400">
        <v>2020</v>
      </c>
      <c r="H16" s="1404">
        <v>2</v>
      </c>
      <c r="I16" s="1427">
        <v>0.31</v>
      </c>
      <c r="J16" s="1427">
        <v>-0.78</v>
      </c>
      <c r="K16" s="1427">
        <v>0.5</v>
      </c>
      <c r="L16" s="1428">
        <v>0.47</v>
      </c>
      <c r="M16" s="1388"/>
      <c r="N16" s="1429">
        <f t="shared" si="5"/>
        <v>3.0999999999999999E-3</v>
      </c>
      <c r="O16" s="1430">
        <f t="shared" si="6"/>
        <v>-7.7999999999999996E-3</v>
      </c>
      <c r="P16" s="1430">
        <f t="shared" si="7"/>
        <v>5.0000000000000001E-3</v>
      </c>
      <c r="Q16" s="1430">
        <f t="shared" si="8"/>
        <v>4.7000000000000002E-3</v>
      </c>
      <c r="R16" s="1449"/>
      <c r="S16" s="1437"/>
      <c r="T16" s="1438"/>
      <c r="U16" s="1438"/>
      <c r="V16" s="1438"/>
      <c r="W16" s="1388"/>
      <c r="X16" s="1388">
        <f>ROUND(IF(项目基本情况!B8="出让",SUMPRODUCT(PRODUCT(1+N16:N$41)),SUMPRODUCT(PRODUCT(1+N16:N$40))),4)</f>
        <v>1.5652999999999999</v>
      </c>
      <c r="Y16" s="1388">
        <f>ROUND(IF(项目基本情况!B8="出让",SUMPRODUCT(PRODUCT(1+O16:O$41)),SUMPRODUCT(PRODUCT(1+O16:O$40))),4)</f>
        <v>1.3472</v>
      </c>
      <c r="Z16" s="1388">
        <f t="shared" si="9"/>
        <v>1.3472</v>
      </c>
      <c r="AA16" s="1388">
        <f>ROUND(IF(项目基本情况!B8="出让",SUMPRODUCT(PRODUCT(1+P16:P$41)),SUMPRODUCT(PRODUCT(1+P16:P$40))),4)</f>
        <v>1.6335999999999999</v>
      </c>
      <c r="AB16" s="1388">
        <f>ROUND(IF(项目基本情况!B8="出让",SUMPRODUCT(PRODUCT(1+Q16:Q$41)),SUMPRODUCT(PRODUCT(1+Q16:Q$40))),4)</f>
        <v>1.3880999999999999</v>
      </c>
      <c r="AC16" s="1388"/>
      <c r="AD16" s="1430">
        <f>ROUND(AVERAGE(I16:I$41)/100,4)</f>
        <v>1.8599999999999998E-2</v>
      </c>
      <c r="AE16" s="1430">
        <f>ROUND(AVERAGE(J16:J$41)/100,4)</f>
        <v>1.2500000000000001E-2</v>
      </c>
      <c r="AF16" s="1430">
        <f t="shared" si="10"/>
        <v>1.2500000000000001E-2</v>
      </c>
      <c r="AG16" s="1430">
        <f>ROUND(AVERAGE(K16:K$41)/100,4)</f>
        <v>2.0400000000000001E-2</v>
      </c>
      <c r="AH16" s="1430">
        <f>ROUND(AVERAGE(L16:L$41)/100,4)</f>
        <v>1.32E-2</v>
      </c>
    </row>
    <row r="17" spans="1:34" s="1384" customFormat="1">
      <c r="A17" s="1402" t="s">
        <v>1944</v>
      </c>
      <c r="B17" s="1403">
        <f t="shared" si="0"/>
        <v>479.92259063878402</v>
      </c>
      <c r="C17" s="1403">
        <f t="shared" si="1"/>
        <v>350.02082268341798</v>
      </c>
      <c r="D17" s="1403">
        <f t="shared" si="2"/>
        <v>350.02082268341798</v>
      </c>
      <c r="E17" s="1403">
        <f t="shared" si="3"/>
        <v>687.42265944181099</v>
      </c>
      <c r="F17" s="1403">
        <f t="shared" si="4"/>
        <v>317.63846657709001</v>
      </c>
      <c r="G17" s="1400">
        <v>2020</v>
      </c>
      <c r="H17" s="1404">
        <v>1</v>
      </c>
      <c r="I17" s="1427">
        <v>0.12</v>
      </c>
      <c r="J17" s="1427">
        <v>-0.4</v>
      </c>
      <c r="K17" s="1427">
        <v>0.21</v>
      </c>
      <c r="L17" s="1428">
        <v>0.27</v>
      </c>
      <c r="M17" s="1388"/>
      <c r="N17" s="1429">
        <f t="shared" si="5"/>
        <v>1.1999999999999999E-3</v>
      </c>
      <c r="O17" s="1430">
        <f t="shared" si="6"/>
        <v>-4.0000000000000001E-3</v>
      </c>
      <c r="P17" s="1430">
        <f t="shared" si="7"/>
        <v>2.0999999999999999E-3</v>
      </c>
      <c r="Q17" s="1430">
        <f t="shared" si="8"/>
        <v>2.7000000000000001E-3</v>
      </c>
      <c r="R17" s="1449"/>
      <c r="S17" s="1437">
        <f>B17/B18-1</f>
        <v>1.2000000000000901E-3</v>
      </c>
      <c r="T17" s="1438">
        <f>C17/C18-1</f>
        <v>-4.0000000000000001E-3</v>
      </c>
      <c r="U17" s="1438">
        <f>E17/E18-1</f>
        <v>2.0999999999999899E-3</v>
      </c>
      <c r="V17" s="1438">
        <f>F17/F18-1</f>
        <v>2.6999999999999199E-3</v>
      </c>
      <c r="W17" s="1388"/>
      <c r="X17" s="1388">
        <f>ROUND(IF(项目基本情况!B8="出让",SUMPRODUCT(PRODUCT(1+N17:N$41)),SUMPRODUCT(PRODUCT(1+N17:N$40))),4)</f>
        <v>1.5605</v>
      </c>
      <c r="Y17" s="1388">
        <f>ROUND(IF(项目基本情况!B8="出让",SUMPRODUCT(PRODUCT(1+O17:O$41)),SUMPRODUCT(PRODUCT(1+O17:O$40))),4)</f>
        <v>1.3577999999999999</v>
      </c>
      <c r="Z17" s="1388">
        <f t="shared" si="9"/>
        <v>1.3577999999999999</v>
      </c>
      <c r="AA17" s="1388">
        <f>ROUND(IF(项目基本情况!B8="出让",SUMPRODUCT(PRODUCT(1+P17:P$41)),SUMPRODUCT(PRODUCT(1+P17:P$40))),4)</f>
        <v>1.6254999999999999</v>
      </c>
      <c r="AB17" s="1388">
        <f>ROUND(IF(项目基本情况!B8="出让",SUMPRODUCT(PRODUCT(1+Q17:Q$41)),SUMPRODUCT(PRODUCT(1+Q17:Q$40))),4)</f>
        <v>1.3815999999999999</v>
      </c>
      <c r="AC17" s="1388"/>
      <c r="AD17" s="1430">
        <f>ROUND(AVERAGE(I17:I$41)/100,4)</f>
        <v>1.9199999999999998E-2</v>
      </c>
      <c r="AE17" s="1430">
        <f>ROUND(AVERAGE(J17:J$41)/100,4)</f>
        <v>1.3299999999999999E-2</v>
      </c>
      <c r="AF17" s="1430">
        <f t="shared" si="10"/>
        <v>1.3299999999999999E-2</v>
      </c>
      <c r="AG17" s="1430">
        <f>ROUND(AVERAGE(K17:K$41)/100,4)</f>
        <v>2.1100000000000001E-2</v>
      </c>
      <c r="AH17" s="1430">
        <f>ROUND(AVERAGE(L17:L$41)/100,4)</f>
        <v>1.3599999999999999E-2</v>
      </c>
    </row>
    <row r="18" spans="1:34" s="1384" customFormat="1">
      <c r="A18" s="1402" t="s">
        <v>1945</v>
      </c>
      <c r="B18" s="1403">
        <f t="shared" si="0"/>
        <v>479.34737379023602</v>
      </c>
      <c r="C18" s="1403">
        <f t="shared" si="1"/>
        <v>351.42652879861203</v>
      </c>
      <c r="D18" s="1403">
        <f t="shared" si="2"/>
        <v>351.42652879861203</v>
      </c>
      <c r="E18" s="1403">
        <f t="shared" si="3"/>
        <v>685.98209703803104</v>
      </c>
      <c r="F18" s="1403">
        <f t="shared" si="4"/>
        <v>316.78315206651001</v>
      </c>
      <c r="G18" s="1400">
        <v>2019</v>
      </c>
      <c r="H18" s="1404">
        <v>4</v>
      </c>
      <c r="I18" s="1404">
        <v>0.45</v>
      </c>
      <c r="J18" s="1404">
        <v>-0.12</v>
      </c>
      <c r="K18" s="1404">
        <v>0.54</v>
      </c>
      <c r="L18" s="1431">
        <v>0.48</v>
      </c>
      <c r="M18" s="1388"/>
      <c r="N18" s="1429">
        <f t="shared" si="5"/>
        <v>4.4999999999999997E-3</v>
      </c>
      <c r="O18" s="1430">
        <f t="shared" si="6"/>
        <v>-1.1999999999999999E-3</v>
      </c>
      <c r="P18" s="1430">
        <f t="shared" si="7"/>
        <v>5.4000000000000003E-3</v>
      </c>
      <c r="Q18" s="1430">
        <f t="shared" si="8"/>
        <v>4.7999999999999996E-3</v>
      </c>
      <c r="R18" s="1449"/>
      <c r="S18" s="1437"/>
      <c r="T18" s="1438"/>
      <c r="U18" s="1438"/>
      <c r="V18" s="1438"/>
      <c r="W18" s="1388"/>
      <c r="X18" s="1388">
        <f>ROUND(IF(项目基本情况!B8="出让",SUMPRODUCT(PRODUCT(1+N18:N$41)),SUMPRODUCT(PRODUCT(1+N18:N$40))),4)</f>
        <v>1.5586</v>
      </c>
      <c r="Y18" s="1388">
        <f>ROUND(IF(项目基本情况!B8="出让",SUMPRODUCT(PRODUCT(1+O18:O$41)),SUMPRODUCT(PRODUCT(1+O18:O$40))),4)</f>
        <v>1.3633</v>
      </c>
      <c r="Z18" s="1388">
        <f t="shared" si="9"/>
        <v>1.3633</v>
      </c>
      <c r="AA18" s="1388">
        <f>ROUND(IF(项目基本情况!B8="出让",SUMPRODUCT(PRODUCT(1+P18:P$41)),SUMPRODUCT(PRODUCT(1+P18:P$40))),4)</f>
        <v>1.6221000000000001</v>
      </c>
      <c r="AB18" s="1388">
        <f>ROUND(IF(项目基本情况!B8="出让",SUMPRODUCT(PRODUCT(1+Q18:Q$41)),SUMPRODUCT(PRODUCT(1+Q18:Q$40))),4)</f>
        <v>1.3777999999999999</v>
      </c>
      <c r="AC18" s="1388"/>
      <c r="AD18" s="1430">
        <f>ROUND(AVERAGE(I18:I$41)/100,4)</f>
        <v>0.02</v>
      </c>
      <c r="AE18" s="1430">
        <f>ROUND(AVERAGE(J18:J$41)/100,4)</f>
        <v>1.4E-2</v>
      </c>
      <c r="AF18" s="1430">
        <f t="shared" si="10"/>
        <v>1.4E-2</v>
      </c>
      <c r="AG18" s="1430">
        <f>ROUND(AVERAGE(K18:K$41)/100,4)</f>
        <v>2.1899999999999999E-2</v>
      </c>
      <c r="AH18" s="1430">
        <f>ROUND(AVERAGE(L18:L$41)/100,4)</f>
        <v>1.4E-2</v>
      </c>
    </row>
    <row r="19" spans="1:34" s="1384" customFormat="1">
      <c r="A19" s="1402" t="s">
        <v>1946</v>
      </c>
      <c r="B19" s="1403">
        <f t="shared" si="0"/>
        <v>477.19997390765099</v>
      </c>
      <c r="C19" s="1403">
        <f t="shared" si="1"/>
        <v>351.84874729536699</v>
      </c>
      <c r="D19" s="1403">
        <f t="shared" si="2"/>
        <v>351.84874729536699</v>
      </c>
      <c r="E19" s="1403">
        <f t="shared" si="3"/>
        <v>682.29768951465201</v>
      </c>
      <c r="F19" s="1403">
        <f t="shared" si="4"/>
        <v>315.26985675408997</v>
      </c>
      <c r="G19" s="1400">
        <v>2019</v>
      </c>
      <c r="H19" s="1404">
        <v>3</v>
      </c>
      <c r="I19" s="1404">
        <v>0.61</v>
      </c>
      <c r="J19" s="1404">
        <v>0.67</v>
      </c>
      <c r="K19" s="1404">
        <v>0.6</v>
      </c>
      <c r="L19" s="1431">
        <v>1.03</v>
      </c>
      <c r="M19" s="1388"/>
      <c r="N19" s="1429">
        <f t="shared" si="5"/>
        <v>6.1000000000000004E-3</v>
      </c>
      <c r="O19" s="1430">
        <f t="shared" si="6"/>
        <v>6.7000000000000002E-3</v>
      </c>
      <c r="P19" s="1430">
        <f t="shared" si="7"/>
        <v>6.0000000000000001E-3</v>
      </c>
      <c r="Q19" s="1430">
        <f t="shared" si="8"/>
        <v>1.03E-2</v>
      </c>
      <c r="R19" s="1449"/>
      <c r="S19" s="1437"/>
      <c r="T19" s="1438"/>
      <c r="U19" s="1438"/>
      <c r="V19" s="1438"/>
      <c r="W19" s="1388"/>
      <c r="X19" s="1388">
        <f>ROUND(IF(项目基本情况!B8="出让",SUMPRODUCT(PRODUCT(1+N19:N$41)),SUMPRODUCT(PRODUCT(1+N19:N$40))),4)</f>
        <v>1.5516000000000001</v>
      </c>
      <c r="Y19" s="1388">
        <f>ROUND(IF(项目基本情况!B8="出让",SUMPRODUCT(PRODUCT(1+O19:O$41)),SUMPRODUCT(PRODUCT(1+O19:O$40))),4)</f>
        <v>1.3649</v>
      </c>
      <c r="Z19" s="1388">
        <f t="shared" si="9"/>
        <v>1.3649</v>
      </c>
      <c r="AA19" s="1388">
        <f>ROUND(IF(项目基本情况!B8="出让",SUMPRODUCT(PRODUCT(1+P19:P$41)),SUMPRODUCT(PRODUCT(1+P19:P$40))),4)</f>
        <v>1.6133999999999999</v>
      </c>
      <c r="AB19" s="1388">
        <f>ROUND(IF(项目基本情况!B8="出让",SUMPRODUCT(PRODUCT(1+Q19:Q$41)),SUMPRODUCT(PRODUCT(1+Q19:Q$40))),4)</f>
        <v>1.3713</v>
      </c>
      <c r="AC19" s="1388"/>
      <c r="AD19" s="1430">
        <f>ROUND(AVERAGE(I19:I$41)/100,4)</f>
        <v>2.07E-2</v>
      </c>
      <c r="AE19" s="1430">
        <f>ROUND(AVERAGE(J19:J$41)/100,4)</f>
        <v>1.47E-2</v>
      </c>
      <c r="AF19" s="1430">
        <f t="shared" si="10"/>
        <v>1.47E-2</v>
      </c>
      <c r="AG19" s="1430">
        <f>ROUND(AVERAGE(K19:K$41)/100,4)</f>
        <v>2.2599999999999999E-2</v>
      </c>
      <c r="AH19" s="1430">
        <f>ROUND(AVERAGE(L19:L$41)/100,4)</f>
        <v>1.44E-2</v>
      </c>
    </row>
    <row r="20" spans="1:34" s="1384" customFormat="1">
      <c r="A20" s="1402" t="s">
        <v>1947</v>
      </c>
      <c r="B20" s="1403">
        <f t="shared" ref="B20:B25" si="11">B21*(1+N20)</f>
        <v>474.30670301923402</v>
      </c>
      <c r="C20" s="1403">
        <f t="shared" ref="C20:C25" si="12">C21*(1+O20)</f>
        <v>349.50705005996502</v>
      </c>
      <c r="D20" s="1403">
        <f t="shared" si="2"/>
        <v>349.50705005996502</v>
      </c>
      <c r="E20" s="1403">
        <f t="shared" si="3"/>
        <v>678.22831959707003</v>
      </c>
      <c r="F20" s="1403">
        <f t="shared" si="4"/>
        <v>312.05568321695603</v>
      </c>
      <c r="G20" s="1400">
        <v>2019</v>
      </c>
      <c r="H20" s="1405">
        <v>2</v>
      </c>
      <c r="I20" s="1405">
        <v>1.53</v>
      </c>
      <c r="J20" s="1405">
        <v>1.01</v>
      </c>
      <c r="K20" s="1405">
        <v>1.62</v>
      </c>
      <c r="L20" s="1432">
        <v>1.25</v>
      </c>
      <c r="M20" s="1388"/>
      <c r="N20" s="1429">
        <f t="shared" si="5"/>
        <v>1.5299999999999999E-2</v>
      </c>
      <c r="O20" s="1430">
        <f t="shared" si="6"/>
        <v>1.01E-2</v>
      </c>
      <c r="P20" s="1430">
        <f t="shared" si="7"/>
        <v>1.6199999999999999E-2</v>
      </c>
      <c r="Q20" s="1430">
        <f t="shared" si="8"/>
        <v>1.2500000000000001E-2</v>
      </c>
      <c r="R20" s="1449"/>
      <c r="S20" s="1437"/>
      <c r="T20" s="1438"/>
      <c r="U20" s="1438"/>
      <c r="V20" s="1438"/>
      <c r="W20" s="1388"/>
      <c r="X20" s="1388">
        <f>ROUND(IF(项目基本情况!B8="出让",SUMPRODUCT(PRODUCT(1+N20:N$41)),SUMPRODUCT(PRODUCT(1+N20:N$40))),4)</f>
        <v>1.5422</v>
      </c>
      <c r="Y20" s="1388">
        <f>ROUND(IF(项目基本情况!B8="出让",SUMPRODUCT(PRODUCT(1+O20:O$41)),SUMPRODUCT(PRODUCT(1+O20:O$40))),4)</f>
        <v>1.3557999999999999</v>
      </c>
      <c r="Z20" s="1388">
        <f t="shared" si="9"/>
        <v>1.3557999999999999</v>
      </c>
      <c r="AA20" s="1388">
        <f>ROUND(IF(项目基本情况!B8="出让",SUMPRODUCT(PRODUCT(1+P20:P$41)),SUMPRODUCT(PRODUCT(1+P20:P$40))),4)</f>
        <v>1.6036999999999999</v>
      </c>
      <c r="AB20" s="1388">
        <f>ROUND(IF(项目基本情况!B8="出让",SUMPRODUCT(PRODUCT(1+Q20:Q$41)),SUMPRODUCT(PRODUCT(1+Q20:Q$40))),4)</f>
        <v>1.3573</v>
      </c>
      <c r="AC20" s="1388"/>
      <c r="AD20" s="1430">
        <f>ROUND(AVERAGE(I20:I$41)/100,4)</f>
        <v>2.1299999999999999E-2</v>
      </c>
      <c r="AE20" s="1430">
        <f>ROUND(AVERAGE(J20:J$41)/100,4)</f>
        <v>1.4999999999999999E-2</v>
      </c>
      <c r="AF20" s="1430">
        <f t="shared" si="10"/>
        <v>1.4999999999999999E-2</v>
      </c>
      <c r="AG20" s="1430">
        <f>ROUND(AVERAGE(K20:K$41)/100,4)</f>
        <v>2.3300000000000001E-2</v>
      </c>
      <c r="AH20" s="1430">
        <f>ROUND(AVERAGE(L20:L$41)/100,4)</f>
        <v>1.46E-2</v>
      </c>
    </row>
    <row r="21" spans="1:34" s="1384" customFormat="1">
      <c r="A21" s="1402" t="s">
        <v>1948</v>
      </c>
      <c r="B21" s="1403">
        <f t="shared" si="11"/>
        <v>467.159167752619</v>
      </c>
      <c r="C21" s="1403">
        <f t="shared" si="12"/>
        <v>346.01232557169101</v>
      </c>
      <c r="D21" s="1403">
        <f t="shared" si="2"/>
        <v>346.01232557169101</v>
      </c>
      <c r="E21" s="1403">
        <f t="shared" si="3"/>
        <v>667.41617752122602</v>
      </c>
      <c r="F21" s="1403">
        <f t="shared" si="4"/>
        <v>308.20314391798098</v>
      </c>
      <c r="G21" s="1400">
        <v>2019</v>
      </c>
      <c r="H21" s="1404">
        <v>1</v>
      </c>
      <c r="I21" s="1404">
        <v>0.6</v>
      </c>
      <c r="J21" s="1404">
        <v>0.37</v>
      </c>
      <c r="K21" s="1404">
        <v>0.63</v>
      </c>
      <c r="L21" s="1431">
        <v>1.1299999999999999</v>
      </c>
      <c r="M21" s="1388"/>
      <c r="N21" s="1429">
        <f t="shared" si="5"/>
        <v>6.0000000000000001E-3</v>
      </c>
      <c r="O21" s="1430">
        <f t="shared" si="6"/>
        <v>3.7000000000000002E-3</v>
      </c>
      <c r="P21" s="1430">
        <f t="shared" si="7"/>
        <v>6.3E-3</v>
      </c>
      <c r="Q21" s="1430">
        <f t="shared" si="8"/>
        <v>1.1299999999999999E-2</v>
      </c>
      <c r="R21" s="1449"/>
      <c r="S21" s="1437">
        <f>B21/B22-1</f>
        <v>6.0000000000000097E-3</v>
      </c>
      <c r="T21" s="1438">
        <f>C21/C22-1</f>
        <v>3.7000000000000401E-3</v>
      </c>
      <c r="U21" s="1438">
        <f>E21/E22-1</f>
        <v>6.2999999999999697E-3</v>
      </c>
      <c r="V21" s="1438">
        <f>F21/F22-1</f>
        <v>1.13000000000001E-2</v>
      </c>
      <c r="W21" s="1388"/>
      <c r="X21" s="1388">
        <f>ROUND(IF(项目基本情况!B8="出让",SUMPRODUCT(PRODUCT(1+N21:N$41)),SUMPRODUCT(PRODUCT(1+N21:N$40))),4)</f>
        <v>1.5189999999999999</v>
      </c>
      <c r="Y21" s="1388">
        <f>ROUND(IF(项目基本情况!B8="出让",SUMPRODUCT(PRODUCT(1+O21:O$41)),SUMPRODUCT(PRODUCT(1+O21:O$40))),4)</f>
        <v>1.3423</v>
      </c>
      <c r="Z21" s="1388">
        <f t="shared" si="9"/>
        <v>1.3423</v>
      </c>
      <c r="AA21" s="1388">
        <f>ROUND(IF(项目基本情况!B8="出让",SUMPRODUCT(PRODUCT(1+P21:P$41)),SUMPRODUCT(PRODUCT(1+P21:P$40))),4)</f>
        <v>1.5782</v>
      </c>
      <c r="AB21" s="1388">
        <f>ROUND(IF(项目基本情况!B8="出让",SUMPRODUCT(PRODUCT(1+Q21:Q$41)),SUMPRODUCT(PRODUCT(1+Q21:Q$40))),4)</f>
        <v>1.3405</v>
      </c>
      <c r="AC21" s="1388"/>
      <c r="AD21" s="1430">
        <f>ROUND(AVERAGE(I21:I$41)/100,4)</f>
        <v>2.1600000000000001E-2</v>
      </c>
      <c r="AE21" s="1430">
        <f>ROUND(AVERAGE(J21:J$41)/100,4)</f>
        <v>1.5299999999999999E-2</v>
      </c>
      <c r="AF21" s="1430">
        <f t="shared" si="10"/>
        <v>1.5299999999999999E-2</v>
      </c>
      <c r="AG21" s="1430">
        <f>ROUND(AVERAGE(K21:K$41)/100,4)</f>
        <v>2.3699999999999999E-2</v>
      </c>
      <c r="AH21" s="1430">
        <f>ROUND(AVERAGE(L21:L$41)/100,4)</f>
        <v>1.47E-2</v>
      </c>
    </row>
    <row r="22" spans="1:34" s="1384" customFormat="1">
      <c r="A22" s="1402" t="s">
        <v>1949</v>
      </c>
      <c r="B22" s="1406">
        <f t="shared" si="11"/>
        <v>464.37293017158902</v>
      </c>
      <c r="C22" s="1406">
        <f t="shared" si="12"/>
        <v>344.73679941386001</v>
      </c>
      <c r="D22" s="1406">
        <f t="shared" si="2"/>
        <v>344.73679941386001</v>
      </c>
      <c r="E22" s="1406">
        <f t="shared" si="3"/>
        <v>663.23777951031104</v>
      </c>
      <c r="F22" s="1407">
        <f t="shared" si="4"/>
        <v>304.75936311478398</v>
      </c>
      <c r="G22" s="3911">
        <v>2018</v>
      </c>
      <c r="H22" s="1405">
        <v>4</v>
      </c>
      <c r="I22" s="1405">
        <v>0.96</v>
      </c>
      <c r="J22" s="1405">
        <v>1.03</v>
      </c>
      <c r="K22" s="1405">
        <v>0.92</v>
      </c>
      <c r="L22" s="1432">
        <v>1.29</v>
      </c>
      <c r="M22" s="1388"/>
      <c r="N22" s="1429">
        <f t="shared" si="5"/>
        <v>9.5999999999999992E-3</v>
      </c>
      <c r="O22" s="1430">
        <f t="shared" si="6"/>
        <v>1.03E-2</v>
      </c>
      <c r="P22" s="1430">
        <f t="shared" si="7"/>
        <v>9.1999999999999998E-3</v>
      </c>
      <c r="Q22" s="1430">
        <f t="shared" si="8"/>
        <v>1.29E-2</v>
      </c>
      <c r="R22" s="1449"/>
      <c r="S22" s="1450"/>
      <c r="T22" s="1451"/>
      <c r="U22" s="1451"/>
      <c r="V22" s="1451"/>
      <c r="W22" s="1388"/>
      <c r="X22" s="1388">
        <f>ROUND(SUMPRODUCT(PRODUCT(1+N22:N$40)),4)</f>
        <v>1.5099</v>
      </c>
      <c r="Y22" s="1388">
        <f>ROUND(SUMPRODUCT(PRODUCT(1+O22:O$40)),4)</f>
        <v>1.3372999999999999</v>
      </c>
      <c r="Z22" s="1388">
        <f t="shared" si="9"/>
        <v>1.3372999999999999</v>
      </c>
      <c r="AA22" s="1388">
        <f>ROUND(SUMPRODUCT(PRODUCT(1+P22:P$40)),4)</f>
        <v>1.5683</v>
      </c>
      <c r="AB22" s="1388">
        <f>ROUND(SUMPRODUCT(PRODUCT(1+Q22:Q$40)),4)</f>
        <v>1.3255999999999999</v>
      </c>
      <c r="AC22" s="1388"/>
      <c r="AD22" s="1430">
        <f>ROUND(AVERAGE(I22:I$41)/100,4)</f>
        <v>2.24E-2</v>
      </c>
      <c r="AE22" s="1430">
        <f>ROUND(AVERAGE(J22:J$41)/100,4)</f>
        <v>1.5800000000000002E-2</v>
      </c>
      <c r="AF22" s="1430">
        <f t="shared" si="10"/>
        <v>1.5800000000000002E-2</v>
      </c>
      <c r="AG22" s="1430">
        <f>ROUND(AVERAGE(K22:K$41)/100,4)</f>
        <v>2.4500000000000001E-2</v>
      </c>
      <c r="AH22" s="1430">
        <f>ROUND(AVERAGE(L22:L$41)/100,4)</f>
        <v>1.49E-2</v>
      </c>
    </row>
    <row r="23" spans="1:34" s="1384" customFormat="1" ht="14.45" customHeight="1">
      <c r="A23" s="1402" t="s">
        <v>1950</v>
      </c>
      <c r="B23" s="1403">
        <f t="shared" si="11"/>
        <v>459.95733971036998</v>
      </c>
      <c r="C23" s="1403">
        <f t="shared" si="12"/>
        <v>341.22221064422399</v>
      </c>
      <c r="D23" s="1403">
        <f t="shared" si="2"/>
        <v>341.22221064422399</v>
      </c>
      <c r="E23" s="1403">
        <f t="shared" si="3"/>
        <v>657.19161663724799</v>
      </c>
      <c r="F23" s="1403">
        <f t="shared" si="4"/>
        <v>300.87803644464799</v>
      </c>
      <c r="G23" s="3911"/>
      <c r="H23" s="1404">
        <v>3</v>
      </c>
      <c r="I23" s="1404">
        <v>1.51</v>
      </c>
      <c r="J23" s="1404">
        <v>1.41</v>
      </c>
      <c r="K23" s="1404">
        <v>1.52</v>
      </c>
      <c r="L23" s="1431">
        <v>1.74</v>
      </c>
      <c r="M23" s="1388"/>
      <c r="N23" s="1429">
        <f t="shared" si="5"/>
        <v>1.5100000000000001E-2</v>
      </c>
      <c r="O23" s="1430">
        <f t="shared" si="6"/>
        <v>1.41E-2</v>
      </c>
      <c r="P23" s="1430">
        <f t="shared" si="7"/>
        <v>1.52E-2</v>
      </c>
      <c r="Q23" s="1430">
        <f t="shared" si="8"/>
        <v>1.7399999999999999E-2</v>
      </c>
      <c r="R23" s="1449"/>
      <c r="S23" s="1429"/>
      <c r="T23" s="1430"/>
      <c r="U23" s="1430"/>
      <c r="V23" s="1430"/>
      <c r="W23" s="1388"/>
      <c r="X23" s="1388">
        <f>ROUND(SUMPRODUCT(PRODUCT(1+N23:N$40)),4)</f>
        <v>1.4956</v>
      </c>
      <c r="Y23" s="1388">
        <f>ROUND(SUMPRODUCT(PRODUCT(1+O23:O$40)),4)</f>
        <v>1.3237000000000001</v>
      </c>
      <c r="Z23" s="1388">
        <f t="shared" si="9"/>
        <v>1.3237000000000001</v>
      </c>
      <c r="AA23" s="1388">
        <f>ROUND(SUMPRODUCT(PRODUCT(1+P23:P$40)),4)</f>
        <v>1.554</v>
      </c>
      <c r="AB23" s="1388">
        <f>ROUND(SUMPRODUCT(PRODUCT(1+Q23:Q$40)),4)</f>
        <v>1.3087</v>
      </c>
      <c r="AC23" s="1388"/>
      <c r="AD23" s="1430">
        <f>ROUND(AVERAGE(I23:I$41)/100,4)</f>
        <v>2.3099999999999999E-2</v>
      </c>
      <c r="AE23" s="1430">
        <f>ROUND(AVERAGE(J23:J$41)/100,4)</f>
        <v>1.61E-2</v>
      </c>
      <c r="AF23" s="1430">
        <f t="shared" si="10"/>
        <v>1.61E-2</v>
      </c>
      <c r="AG23" s="1430">
        <f>ROUND(AVERAGE(K23:K$41)/100,4)</f>
        <v>2.53E-2</v>
      </c>
      <c r="AH23" s="1430">
        <f>ROUND(AVERAGE(L23:L$41)/100,4)</f>
        <v>1.4999999999999999E-2</v>
      </c>
    </row>
    <row r="24" spans="1:34" s="1384" customFormat="1" ht="14.45" customHeight="1">
      <c r="A24" s="1402" t="s">
        <v>1951</v>
      </c>
      <c r="B24" s="1403">
        <f t="shared" si="11"/>
        <v>453.11529869999998</v>
      </c>
      <c r="C24" s="1403">
        <f t="shared" si="12"/>
        <v>336.47787263999999</v>
      </c>
      <c r="D24" s="1403">
        <f t="shared" si="2"/>
        <v>336.47787263999999</v>
      </c>
      <c r="E24" s="1403">
        <f t="shared" si="3"/>
        <v>647.35186824000004</v>
      </c>
      <c r="F24" s="1403">
        <f t="shared" si="4"/>
        <v>295.73229451999998</v>
      </c>
      <c r="G24" s="3911"/>
      <c r="H24" s="1408">
        <v>2</v>
      </c>
      <c r="I24" s="1408">
        <v>1.49</v>
      </c>
      <c r="J24" s="1408">
        <v>0.96</v>
      </c>
      <c r="K24" s="1408">
        <v>1.58</v>
      </c>
      <c r="L24" s="1433">
        <v>2.44</v>
      </c>
      <c r="M24" s="1388"/>
      <c r="N24" s="1429">
        <f t="shared" si="5"/>
        <v>1.49E-2</v>
      </c>
      <c r="O24" s="1430">
        <f t="shared" si="6"/>
        <v>9.5999999999999992E-3</v>
      </c>
      <c r="P24" s="1430">
        <f t="shared" si="7"/>
        <v>1.5800000000000002E-2</v>
      </c>
      <c r="Q24" s="1430">
        <f t="shared" si="8"/>
        <v>2.4400000000000002E-2</v>
      </c>
      <c r="R24" s="1449"/>
      <c r="S24" s="1429"/>
      <c r="T24" s="1430"/>
      <c r="U24" s="1430"/>
      <c r="V24" s="1430"/>
      <c r="W24" s="1388"/>
      <c r="X24" s="1388">
        <f>ROUND(SUMPRODUCT(PRODUCT(1+N24:N$40)),4)</f>
        <v>1.4733000000000001</v>
      </c>
      <c r="Y24" s="1388">
        <f>ROUND(SUMPRODUCT(PRODUCT(1+O24:O$40)),4)</f>
        <v>1.3052999999999999</v>
      </c>
      <c r="Z24" s="1388">
        <f t="shared" si="9"/>
        <v>1.3052999999999999</v>
      </c>
      <c r="AA24" s="1388">
        <f>ROUND(SUMPRODUCT(PRODUCT(1+P24:P$40)),4)</f>
        <v>1.5306999999999999</v>
      </c>
      <c r="AB24" s="1388">
        <f>ROUND(SUMPRODUCT(PRODUCT(1+Q24:Q$40)),4)</f>
        <v>1.2863</v>
      </c>
      <c r="AC24" s="1388"/>
      <c r="AD24" s="1430">
        <f>ROUND(AVERAGE(I24:I$41)/100,4)</f>
        <v>2.35E-2</v>
      </c>
      <c r="AE24" s="1430">
        <f>ROUND(AVERAGE(J24:J$41)/100,4)</f>
        <v>1.6199999999999999E-2</v>
      </c>
      <c r="AF24" s="1430">
        <f t="shared" si="10"/>
        <v>1.6199999999999999E-2</v>
      </c>
      <c r="AG24" s="1430">
        <f>ROUND(AVERAGE(K24:K$41)/100,4)</f>
        <v>2.5899999999999999E-2</v>
      </c>
      <c r="AH24" s="1430">
        <f>ROUND(AVERAGE(L24:L$41)/100,4)</f>
        <v>1.49E-2</v>
      </c>
    </row>
    <row r="25" spans="1:34" s="1384" customFormat="1" ht="15" customHeight="1">
      <c r="A25" s="1402" t="s">
        <v>1952</v>
      </c>
      <c r="B25" s="1403">
        <f t="shared" si="11"/>
        <v>446.46300000000002</v>
      </c>
      <c r="C25" s="1403">
        <f t="shared" si="12"/>
        <v>333.27839999999998</v>
      </c>
      <c r="D25" s="1403">
        <f t="shared" ref="D25:D30" si="13">C25</f>
        <v>333.27839999999998</v>
      </c>
      <c r="E25" s="1403">
        <f t="shared" si="3"/>
        <v>637.28279999999995</v>
      </c>
      <c r="F25" s="1403">
        <f t="shared" si="4"/>
        <v>288.68830000000003</v>
      </c>
      <c r="G25" s="3912"/>
      <c r="H25" s="1404">
        <v>1</v>
      </c>
      <c r="I25" s="1404">
        <v>1.7</v>
      </c>
      <c r="J25" s="1404">
        <v>1.92</v>
      </c>
      <c r="K25" s="1404">
        <v>1.64</v>
      </c>
      <c r="L25" s="1431">
        <v>2.0099999999999998</v>
      </c>
      <c r="M25" s="1388"/>
      <c r="N25" s="1429">
        <f t="shared" ref="N25:N30" si="14">I25/100</f>
        <v>1.7000000000000001E-2</v>
      </c>
      <c r="O25" s="1430">
        <f t="shared" ref="O25:Q29" si="15">J25/100</f>
        <v>1.9199999999999998E-2</v>
      </c>
      <c r="P25" s="1430">
        <f t="shared" si="15"/>
        <v>1.6400000000000001E-2</v>
      </c>
      <c r="Q25" s="1430">
        <f t="shared" si="15"/>
        <v>2.01E-2</v>
      </c>
      <c r="R25" s="1449"/>
      <c r="S25" s="1437">
        <f>B25/B26-1</f>
        <v>1.6999999999999901E-2</v>
      </c>
      <c r="T25" s="1438">
        <f>C25/C26-1</f>
        <v>1.9200000000000099E-2</v>
      </c>
      <c r="U25" s="1438">
        <f>E25/E26-1</f>
        <v>1.6400000000000001E-2</v>
      </c>
      <c r="V25" s="1438">
        <f>F25/F26-1</f>
        <v>2.01E-2</v>
      </c>
      <c r="W25" s="1388"/>
      <c r="X25" s="1388">
        <f>ROUND(SUMPRODUCT(PRODUCT(1+N25:N$40)),4)</f>
        <v>1.4517</v>
      </c>
      <c r="Y25" s="1388">
        <f>ROUND(SUMPRODUCT(PRODUCT(1+O25:O$40)),4)</f>
        <v>1.2928999999999999</v>
      </c>
      <c r="Z25" s="1388">
        <f t="shared" si="9"/>
        <v>1.2928999999999999</v>
      </c>
      <c r="AA25" s="1388">
        <f>ROUND(SUMPRODUCT(PRODUCT(1+P25:P$40)),4)</f>
        <v>1.5068999999999999</v>
      </c>
      <c r="AB25" s="1388">
        <f>ROUND(SUMPRODUCT(PRODUCT(1+Q25:Q$40)),4)</f>
        <v>1.2557</v>
      </c>
      <c r="AC25" s="1388"/>
      <c r="AD25" s="1430">
        <f>ROUND(AVERAGE(I25:I$41)/100,4)</f>
        <v>2.4E-2</v>
      </c>
      <c r="AE25" s="1430">
        <f>ROUND(AVERAGE(J25:J$41)/100,4)</f>
        <v>1.66E-2</v>
      </c>
      <c r="AF25" s="1430">
        <f t="shared" si="10"/>
        <v>1.66E-2</v>
      </c>
      <c r="AG25" s="1430">
        <f>ROUND(AVERAGE(K25:K$41)/100,4)</f>
        <v>2.6499999999999999E-2</v>
      </c>
      <c r="AH25" s="1430">
        <f>ROUND(AVERAGE(L25:L$41)/100,4)</f>
        <v>1.43E-2</v>
      </c>
    </row>
    <row r="26" spans="1:34">
      <c r="A26" s="1402" t="s">
        <v>1953</v>
      </c>
      <c r="B26" s="1409">
        <v>439</v>
      </c>
      <c r="C26" s="1409">
        <v>327</v>
      </c>
      <c r="D26" s="1409">
        <f t="shared" si="13"/>
        <v>327</v>
      </c>
      <c r="E26" s="1409">
        <v>627</v>
      </c>
      <c r="F26" s="1410">
        <v>283</v>
      </c>
      <c r="G26" s="3913">
        <v>2017</v>
      </c>
      <c r="H26" s="1405">
        <v>4</v>
      </c>
      <c r="I26" s="1405">
        <v>1.71</v>
      </c>
      <c r="J26" s="1405">
        <v>1.78</v>
      </c>
      <c r="K26" s="1405">
        <v>1.71</v>
      </c>
      <c r="L26" s="1432">
        <v>1.43</v>
      </c>
      <c r="N26" s="1434">
        <f t="shared" si="14"/>
        <v>1.7100000000000001E-2</v>
      </c>
      <c r="O26" s="1435">
        <f t="shared" si="15"/>
        <v>1.78E-2</v>
      </c>
      <c r="P26" s="1435">
        <f t="shared" si="15"/>
        <v>1.7100000000000001E-2</v>
      </c>
      <c r="Q26" s="1435">
        <f t="shared" si="15"/>
        <v>1.43E-2</v>
      </c>
      <c r="R26" s="1449"/>
      <c r="S26" s="1450"/>
      <c r="T26" s="1451"/>
      <c r="U26" s="1451"/>
      <c r="V26" s="1451"/>
      <c r="X26" s="1388">
        <f>ROUND(SUMPRODUCT(PRODUCT(1+N26:N$40)),4)</f>
        <v>1.4274</v>
      </c>
      <c r="Y26" s="1388">
        <f>ROUND(SUMPRODUCT(PRODUCT(1+O26:O$40)),4)</f>
        <v>1.2685</v>
      </c>
      <c r="Z26" s="1388">
        <f t="shared" si="9"/>
        <v>1.2685</v>
      </c>
      <c r="AA26" s="1388">
        <f>ROUND(SUMPRODUCT(PRODUCT(1+P26:P$40)),4)</f>
        <v>1.4825999999999999</v>
      </c>
      <c r="AB26" s="1388">
        <f>ROUND(SUMPRODUCT(PRODUCT(1+Q26:Q$40)),4)</f>
        <v>1.2309000000000001</v>
      </c>
      <c r="AD26" s="1430">
        <f>ROUND(AVERAGE(I26:I$41)/100,4)</f>
        <v>2.4500000000000001E-2</v>
      </c>
      <c r="AE26" s="1430">
        <f>ROUND(AVERAGE(J26:J$41)/100,4)</f>
        <v>1.6500000000000001E-2</v>
      </c>
      <c r="AF26" s="1430">
        <f t="shared" si="10"/>
        <v>1.6500000000000001E-2</v>
      </c>
      <c r="AG26" s="1430">
        <f>ROUND(AVERAGE(K26:K$41)/100,4)</f>
        <v>2.7099999999999999E-2</v>
      </c>
      <c r="AH26" s="1430">
        <f>ROUND(AVERAGE(L26:L$41)/100,4)</f>
        <v>1.3899999999999999E-2</v>
      </c>
    </row>
    <row r="27" spans="1:34" s="1384" customFormat="1" ht="14.45" customHeight="1">
      <c r="A27" s="1402" t="s">
        <v>1954</v>
      </c>
      <c r="B27" s="1403">
        <f t="shared" ref="B27:C29" si="16">B28*(1+N27)</f>
        <v>431.80730811680002</v>
      </c>
      <c r="C27" s="1403">
        <f t="shared" si="16"/>
        <v>320.57880516479997</v>
      </c>
      <c r="D27" s="1403">
        <f t="shared" si="13"/>
        <v>320.57880516479997</v>
      </c>
      <c r="E27" s="1403">
        <f t="shared" ref="E27:F29" si="17">E28*(1+P27)</f>
        <v>615.96110553196797</v>
      </c>
      <c r="F27" s="1403">
        <f t="shared" si="17"/>
        <v>279.46777300108801</v>
      </c>
      <c r="G27" s="3911"/>
      <c r="H27" s="1404">
        <v>3</v>
      </c>
      <c r="I27" s="1404">
        <v>2.98</v>
      </c>
      <c r="J27" s="1404">
        <v>2.11</v>
      </c>
      <c r="K27" s="1404">
        <v>3.24</v>
      </c>
      <c r="L27" s="1431">
        <v>1.72</v>
      </c>
      <c r="M27" s="1388"/>
      <c r="N27" s="1429">
        <f t="shared" si="14"/>
        <v>2.98E-2</v>
      </c>
      <c r="O27" s="1436">
        <f t="shared" si="15"/>
        <v>2.1100000000000001E-2</v>
      </c>
      <c r="P27" s="1436">
        <f t="shared" si="15"/>
        <v>3.2399999999999998E-2</v>
      </c>
      <c r="Q27" s="1436">
        <f t="shared" si="15"/>
        <v>1.72E-2</v>
      </c>
      <c r="R27" s="1449"/>
      <c r="S27" s="1429"/>
      <c r="T27" s="1430"/>
      <c r="U27" s="1430"/>
      <c r="V27" s="1430"/>
      <c r="W27" s="1388"/>
      <c r="X27" s="1388">
        <f>ROUND(SUMPRODUCT(PRODUCT(1+N27:N$40)),4)</f>
        <v>1.4034</v>
      </c>
      <c r="Y27" s="1388">
        <f>ROUND(SUMPRODUCT(PRODUCT(1+O27:O$40)),4)</f>
        <v>1.2463</v>
      </c>
      <c r="Z27" s="1388">
        <f t="shared" si="9"/>
        <v>1.2463</v>
      </c>
      <c r="AA27" s="1388">
        <f>ROUND(SUMPRODUCT(PRODUCT(1+P27:P$40)),4)</f>
        <v>1.4577</v>
      </c>
      <c r="AB27" s="1388">
        <f>ROUND(SUMPRODUCT(PRODUCT(1+Q27:Q$40)),4)</f>
        <v>1.2136</v>
      </c>
      <c r="AC27" s="1388"/>
      <c r="AD27" s="1430">
        <f>ROUND(AVERAGE(I27:I$41)/100,4)</f>
        <v>2.4899999999999999E-2</v>
      </c>
      <c r="AE27" s="1430">
        <f>ROUND(AVERAGE(J27:J$41)/100,4)</f>
        <v>1.6400000000000001E-2</v>
      </c>
      <c r="AF27" s="1430">
        <f t="shared" si="10"/>
        <v>1.6400000000000001E-2</v>
      </c>
      <c r="AG27" s="1430">
        <f>ROUND(AVERAGE(K27:K$41)/100,4)</f>
        <v>2.7799999999999998E-2</v>
      </c>
      <c r="AH27" s="1430">
        <f>ROUND(AVERAGE(L27:L$41)/100,4)</f>
        <v>1.3899999999999999E-2</v>
      </c>
    </row>
    <row r="28" spans="1:34" s="1380" customFormat="1" ht="14.45" customHeight="1">
      <c r="A28" s="1402" t="s">
        <v>1955</v>
      </c>
      <c r="B28" s="1403">
        <f t="shared" si="16"/>
        <v>419.31181600000002</v>
      </c>
      <c r="C28" s="1403">
        <f t="shared" si="16"/>
        <v>313.95436799999999</v>
      </c>
      <c r="D28" s="1403">
        <f t="shared" si="13"/>
        <v>313.95436799999999</v>
      </c>
      <c r="E28" s="1403">
        <f t="shared" si="17"/>
        <v>596.63028431999999</v>
      </c>
      <c r="F28" s="1403">
        <f t="shared" si="17"/>
        <v>274.74220703999998</v>
      </c>
      <c r="G28" s="3911"/>
      <c r="H28" s="1408">
        <v>2</v>
      </c>
      <c r="I28" s="1408">
        <v>3.4</v>
      </c>
      <c r="J28" s="1408">
        <v>2</v>
      </c>
      <c r="K28" s="1408">
        <v>3.82</v>
      </c>
      <c r="L28" s="1433">
        <v>1.68</v>
      </c>
      <c r="N28" s="1429">
        <f t="shared" si="14"/>
        <v>3.4000000000000002E-2</v>
      </c>
      <c r="O28" s="1436">
        <f t="shared" si="15"/>
        <v>0.02</v>
      </c>
      <c r="P28" s="1436">
        <f t="shared" si="15"/>
        <v>3.8199999999999998E-2</v>
      </c>
      <c r="Q28" s="1436">
        <f t="shared" si="15"/>
        <v>1.6799999999999999E-2</v>
      </c>
      <c r="S28" s="1429"/>
      <c r="T28" s="1430"/>
      <c r="U28" s="1430"/>
      <c r="V28" s="1430"/>
      <c r="X28" s="1388">
        <f>ROUND(SUMPRODUCT(PRODUCT(1+N28:N$40)),4)</f>
        <v>1.3628</v>
      </c>
      <c r="Y28" s="1388">
        <f>ROUND(SUMPRODUCT(PRODUCT(1+O28:O$40)),4)</f>
        <v>1.2205999999999999</v>
      </c>
      <c r="Z28" s="1388">
        <f t="shared" si="9"/>
        <v>1.2205999999999999</v>
      </c>
      <c r="AA28" s="1388">
        <f>ROUND(SUMPRODUCT(PRODUCT(1+P28:P$40)),4)</f>
        <v>1.4118999999999999</v>
      </c>
      <c r="AB28" s="1388">
        <f>ROUND(SUMPRODUCT(PRODUCT(1+Q28:Q$40)),4)</f>
        <v>1.1930000000000001</v>
      </c>
      <c r="AD28" s="1430">
        <f>ROUND(AVERAGE(I28:I$41)/100,4)</f>
        <v>2.46E-2</v>
      </c>
      <c r="AE28" s="1430">
        <f>ROUND(AVERAGE(J28:J$41)/100,4)</f>
        <v>1.6E-2</v>
      </c>
      <c r="AF28" s="1430">
        <f t="shared" si="10"/>
        <v>1.6E-2</v>
      </c>
      <c r="AG28" s="1430">
        <f>ROUND(AVERAGE(K28:K$41)/100,4)</f>
        <v>2.75E-2</v>
      </c>
      <c r="AH28" s="1430">
        <f>ROUND(AVERAGE(L28:L$41)/100,4)</f>
        <v>1.37E-2</v>
      </c>
    </row>
    <row r="29" spans="1:34" s="1384" customFormat="1" ht="15" customHeight="1">
      <c r="A29" s="1402" t="s">
        <v>1956</v>
      </c>
      <c r="B29" s="1403">
        <f t="shared" si="16"/>
        <v>405.524</v>
      </c>
      <c r="C29" s="1403">
        <f t="shared" si="16"/>
        <v>307.79840000000002</v>
      </c>
      <c r="D29" s="1403">
        <f t="shared" si="13"/>
        <v>307.79840000000002</v>
      </c>
      <c r="E29" s="1403">
        <f t="shared" si="17"/>
        <v>574.67759999999998</v>
      </c>
      <c r="F29" s="1403">
        <f t="shared" si="17"/>
        <v>270.20280000000002</v>
      </c>
      <c r="G29" s="3912"/>
      <c r="H29" s="1404">
        <v>1</v>
      </c>
      <c r="I29" s="1404">
        <v>3.45</v>
      </c>
      <c r="J29" s="1404">
        <v>1.92</v>
      </c>
      <c r="K29" s="1404">
        <v>3.92</v>
      </c>
      <c r="L29" s="1431">
        <v>1.58</v>
      </c>
      <c r="M29" s="1388"/>
      <c r="N29" s="1437">
        <f t="shared" si="14"/>
        <v>3.4500000000000003E-2</v>
      </c>
      <c r="O29" s="1438">
        <f t="shared" si="15"/>
        <v>1.9199999999999998E-2</v>
      </c>
      <c r="P29" s="1438">
        <f t="shared" si="15"/>
        <v>3.9199999999999999E-2</v>
      </c>
      <c r="Q29" s="1438">
        <f t="shared" si="15"/>
        <v>1.5800000000000002E-2</v>
      </c>
      <c r="R29" s="1449"/>
      <c r="S29" s="1437">
        <f>B29/B30-1</f>
        <v>3.4500000000000003E-2</v>
      </c>
      <c r="T29" s="1438">
        <f>C29/C30-1</f>
        <v>1.9200000000000099E-2</v>
      </c>
      <c r="U29" s="1438">
        <f>E29/E30-1</f>
        <v>3.9199999999999902E-2</v>
      </c>
      <c r="V29" s="1438">
        <f>F29/F30-1</f>
        <v>1.5800000000000002E-2</v>
      </c>
      <c r="W29" s="1388"/>
      <c r="X29" s="1388">
        <f>ROUND(SUMPRODUCT(PRODUCT(1+N29:N$40)),4)</f>
        <v>1.3180000000000001</v>
      </c>
      <c r="Y29" s="1388">
        <f>ROUND(SUMPRODUCT(PRODUCT(1+O29:O$40)),4)</f>
        <v>1.1966000000000001</v>
      </c>
      <c r="Z29" s="1388">
        <f t="shared" si="9"/>
        <v>1.1966000000000001</v>
      </c>
      <c r="AA29" s="1388">
        <f>ROUND(SUMPRODUCT(PRODUCT(1+P29:P$40)),4)</f>
        <v>1.36</v>
      </c>
      <c r="AB29" s="1388">
        <f>ROUND(SUMPRODUCT(PRODUCT(1+Q29:Q$40)),4)</f>
        <v>1.1733</v>
      </c>
      <c r="AC29" s="1388"/>
      <c r="AD29" s="1430">
        <f>ROUND(AVERAGE(I29:I$41)/100,4)</f>
        <v>2.3900000000000001E-2</v>
      </c>
      <c r="AE29" s="1430">
        <f>ROUND(AVERAGE(J29:J$41)/100,4)</f>
        <v>1.5699999999999999E-2</v>
      </c>
      <c r="AF29" s="1430">
        <f t="shared" si="10"/>
        <v>1.5699999999999999E-2</v>
      </c>
      <c r="AG29" s="1430">
        <f>ROUND(AVERAGE(K29:K$41)/100,4)</f>
        <v>2.6599999999999999E-2</v>
      </c>
      <c r="AH29" s="1430">
        <f>ROUND(AVERAGE(L29:L$41)/100,4)</f>
        <v>1.34E-2</v>
      </c>
    </row>
    <row r="30" spans="1:34">
      <c r="A30" s="1402" t="s">
        <v>1957</v>
      </c>
      <c r="B30" s="1411">
        <v>392</v>
      </c>
      <c r="C30" s="1411">
        <v>302</v>
      </c>
      <c r="D30" s="1411">
        <f t="shared" si="13"/>
        <v>302</v>
      </c>
      <c r="E30" s="1411">
        <v>553</v>
      </c>
      <c r="F30" s="1412">
        <v>266</v>
      </c>
      <c r="G30" s="3913">
        <v>2016</v>
      </c>
      <c r="H30" s="1405">
        <v>4</v>
      </c>
      <c r="I30" s="1405">
        <v>4.5599999999999996</v>
      </c>
      <c r="J30" s="1405">
        <v>2.15</v>
      </c>
      <c r="K30" s="1405">
        <v>5.32</v>
      </c>
      <c r="L30" s="1432">
        <v>1.57</v>
      </c>
      <c r="N30" s="1429">
        <f t="shared" si="14"/>
        <v>4.5600000000000002E-2</v>
      </c>
      <c r="O30" s="1430">
        <f t="shared" ref="O30:Q45" si="18">J30/100</f>
        <v>2.1499999999999998E-2</v>
      </c>
      <c r="P30" s="1430">
        <f t="shared" si="18"/>
        <v>5.3199999999999997E-2</v>
      </c>
      <c r="Q30" s="1430">
        <f t="shared" si="18"/>
        <v>1.5699999999999999E-2</v>
      </c>
      <c r="R30" s="1449"/>
      <c r="S30" s="1450"/>
      <c r="T30" s="1451"/>
      <c r="U30" s="1451"/>
      <c r="V30" s="1451"/>
      <c r="X30" s="1388">
        <f>ROUND(SUMPRODUCT(PRODUCT(1+N30:N$40)),4)</f>
        <v>1.274</v>
      </c>
      <c r="Y30" s="1388">
        <f>ROUND(SUMPRODUCT(PRODUCT(1+O30:O$40)),4)</f>
        <v>1.1740999999999999</v>
      </c>
      <c r="Z30" s="1388">
        <f t="shared" si="9"/>
        <v>1.1740999999999999</v>
      </c>
      <c r="AA30" s="1388">
        <f>ROUND(SUMPRODUCT(PRODUCT(1+P30:P$40)),4)</f>
        <v>1.3087</v>
      </c>
      <c r="AB30" s="1388">
        <f>ROUND(SUMPRODUCT(PRODUCT(1+Q30:Q$40)),4)</f>
        <v>1.1551</v>
      </c>
      <c r="AD30" s="1430">
        <f>ROUND(AVERAGE(I30:I$41)/100,4)</f>
        <v>2.3E-2</v>
      </c>
      <c r="AE30" s="1430">
        <f>ROUND(AVERAGE(J30:J$41)/100,4)</f>
        <v>1.55E-2</v>
      </c>
      <c r="AF30" s="1430">
        <f t="shared" si="10"/>
        <v>1.55E-2</v>
      </c>
      <c r="AG30" s="1430">
        <f>ROUND(AVERAGE(K30:K$41)/100,4)</f>
        <v>2.5600000000000001E-2</v>
      </c>
      <c r="AH30" s="1430">
        <f>ROUND(AVERAGE(L30:L$41)/100,4)</f>
        <v>1.32E-2</v>
      </c>
    </row>
    <row r="31" spans="1:34">
      <c r="A31" s="1402" t="s">
        <v>1958</v>
      </c>
      <c r="B31" s="1403">
        <f t="shared" ref="B31:C33" si="19">B30/(1+N30)</f>
        <v>374.90436113236399</v>
      </c>
      <c r="C31" s="1403">
        <f t="shared" si="19"/>
        <v>295.64366128242801</v>
      </c>
      <c r="D31" s="1403">
        <f t="shared" ref="D31:D90" si="20">C31</f>
        <v>295.64366128242801</v>
      </c>
      <c r="E31" s="1403">
        <f t="shared" ref="E31:F33" si="21">E30/(1+P30)</f>
        <v>525.06646410938095</v>
      </c>
      <c r="F31" s="1403">
        <f t="shared" si="21"/>
        <v>261.88835286009601</v>
      </c>
      <c r="G31" s="3911"/>
      <c r="H31" s="1404">
        <v>3</v>
      </c>
      <c r="I31" s="1404">
        <v>4.12</v>
      </c>
      <c r="J31" s="1404">
        <v>2</v>
      </c>
      <c r="K31" s="1404">
        <v>4.79</v>
      </c>
      <c r="L31" s="1431">
        <v>1.97</v>
      </c>
      <c r="N31" s="1429">
        <f t="shared" ref="N31:Q65" si="22">I31/100</f>
        <v>4.1200000000000001E-2</v>
      </c>
      <c r="O31" s="1430">
        <f t="shared" si="18"/>
        <v>0.02</v>
      </c>
      <c r="P31" s="1430">
        <f t="shared" si="18"/>
        <v>4.7899999999999998E-2</v>
      </c>
      <c r="Q31" s="1430">
        <f t="shared" si="18"/>
        <v>1.9699999999999999E-2</v>
      </c>
      <c r="R31" s="1449"/>
      <c r="S31" s="1429"/>
      <c r="T31" s="1430"/>
      <c r="U31" s="1430"/>
      <c r="V31" s="1430"/>
      <c r="X31" s="1388">
        <f>ROUND(SUMPRODUCT(PRODUCT(1+N31:N$40)),4)</f>
        <v>1.2184999999999999</v>
      </c>
      <c r="Y31" s="1388">
        <f>ROUND(SUMPRODUCT(PRODUCT(1+O31:O$40)),4)</f>
        <v>1.1494</v>
      </c>
      <c r="Z31" s="1388">
        <f t="shared" si="9"/>
        <v>1.1494</v>
      </c>
      <c r="AA31" s="1388">
        <f>ROUND(SUMPRODUCT(PRODUCT(1+P31:P$40)),4)</f>
        <v>1.2425999999999999</v>
      </c>
      <c r="AB31" s="1388">
        <f>ROUND(SUMPRODUCT(PRODUCT(1+Q31:Q$40)),4)</f>
        <v>1.1372</v>
      </c>
      <c r="AD31" s="1430">
        <f>ROUND(AVERAGE(I31:I$41)/100,4)</f>
        <v>2.0899999999999998E-2</v>
      </c>
      <c r="AE31" s="1430">
        <f>ROUND(AVERAGE(J31:J$41)/100,4)</f>
        <v>1.49E-2</v>
      </c>
      <c r="AF31" s="1430">
        <f t="shared" si="10"/>
        <v>1.49E-2</v>
      </c>
      <c r="AG31" s="1430">
        <f>ROUND(AVERAGE(K31:K$41)/100,4)</f>
        <v>2.3099999999999999E-2</v>
      </c>
      <c r="AH31" s="1430">
        <f>ROUND(AVERAGE(L31:L$41)/100,4)</f>
        <v>1.2999999999999999E-2</v>
      </c>
    </row>
    <row r="32" spans="1:34">
      <c r="A32" s="1402" t="s">
        <v>1959</v>
      </c>
      <c r="B32" s="1403">
        <f t="shared" si="19"/>
        <v>360.06949782209398</v>
      </c>
      <c r="C32" s="1403">
        <f t="shared" si="19"/>
        <v>289.84672674747799</v>
      </c>
      <c r="D32" s="1403">
        <f t="shared" si="20"/>
        <v>289.84672674747799</v>
      </c>
      <c r="E32" s="1403">
        <f t="shared" si="21"/>
        <v>501.06543001181501</v>
      </c>
      <c r="F32" s="1403">
        <f t="shared" si="21"/>
        <v>256.82882500745001</v>
      </c>
      <c r="G32" s="3911"/>
      <c r="H32" s="1408">
        <v>2</v>
      </c>
      <c r="I32" s="1408">
        <v>3.85</v>
      </c>
      <c r="J32" s="1408">
        <v>1.95</v>
      </c>
      <c r="K32" s="1408">
        <v>4.4800000000000004</v>
      </c>
      <c r="L32" s="1433">
        <v>1.41</v>
      </c>
      <c r="N32" s="1429">
        <f t="shared" si="22"/>
        <v>3.85E-2</v>
      </c>
      <c r="O32" s="1430">
        <f t="shared" si="18"/>
        <v>1.95E-2</v>
      </c>
      <c r="P32" s="1430">
        <f t="shared" si="18"/>
        <v>4.48E-2</v>
      </c>
      <c r="Q32" s="1430">
        <f t="shared" si="18"/>
        <v>1.41E-2</v>
      </c>
      <c r="R32" s="1449"/>
      <c r="S32" s="1429"/>
      <c r="T32" s="1430"/>
      <c r="U32" s="1430"/>
      <c r="V32" s="1430"/>
      <c r="X32" s="1388">
        <f>ROUND(SUMPRODUCT(PRODUCT(1+N32:N$40)),4)</f>
        <v>1.1702999999999999</v>
      </c>
      <c r="Y32" s="1388">
        <f>ROUND(SUMPRODUCT(PRODUCT(1+O32:O$40)),4)</f>
        <v>1.1269</v>
      </c>
      <c r="Z32" s="1388">
        <f t="shared" si="9"/>
        <v>1.1269</v>
      </c>
      <c r="AA32" s="1388">
        <f>ROUND(SUMPRODUCT(PRODUCT(1+P32:P$40)),4)</f>
        <v>1.1858</v>
      </c>
      <c r="AB32" s="1388">
        <f>ROUND(SUMPRODUCT(PRODUCT(1+Q32:Q$40)),4)</f>
        <v>1.1152</v>
      </c>
      <c r="AD32" s="1430">
        <f>ROUND(AVERAGE(I32:I$41)/100,4)</f>
        <v>1.89E-2</v>
      </c>
      <c r="AE32" s="1430">
        <f>ROUND(AVERAGE(J32:J$41)/100,4)</f>
        <v>1.44E-2</v>
      </c>
      <c r="AF32" s="1430">
        <f t="shared" si="10"/>
        <v>1.44E-2</v>
      </c>
      <c r="AG32" s="1430">
        <f>ROUND(AVERAGE(K32:K$41)/100,4)</f>
        <v>2.06E-2</v>
      </c>
      <c r="AH32" s="1430">
        <f>ROUND(AVERAGE(L32:L$41)/100,4)</f>
        <v>1.23E-2</v>
      </c>
    </row>
    <row r="33" spans="1:34">
      <c r="A33" s="1402" t="s">
        <v>1960</v>
      </c>
      <c r="B33" s="1403">
        <f t="shared" si="19"/>
        <v>346.720748986128</v>
      </c>
      <c r="C33" s="1403">
        <f t="shared" si="19"/>
        <v>284.30282172386302</v>
      </c>
      <c r="D33" s="1403">
        <f t="shared" si="20"/>
        <v>284.30282172386302</v>
      </c>
      <c r="E33" s="1403">
        <f t="shared" si="21"/>
        <v>479.58023546306902</v>
      </c>
      <c r="F33" s="1403">
        <f t="shared" si="21"/>
        <v>253.25788877571199</v>
      </c>
      <c r="G33" s="3914"/>
      <c r="H33" s="1404">
        <v>1</v>
      </c>
      <c r="I33" s="1404">
        <v>4.09</v>
      </c>
      <c r="J33" s="1404">
        <v>2.93</v>
      </c>
      <c r="K33" s="1404">
        <v>4.54</v>
      </c>
      <c r="L33" s="1431">
        <v>1.48</v>
      </c>
      <c r="N33" s="1429">
        <f t="shared" si="22"/>
        <v>4.0899999999999999E-2</v>
      </c>
      <c r="O33" s="1430">
        <f t="shared" si="18"/>
        <v>2.93E-2</v>
      </c>
      <c r="P33" s="1430">
        <f t="shared" si="18"/>
        <v>4.5400000000000003E-2</v>
      </c>
      <c r="Q33" s="1430">
        <f t="shared" si="18"/>
        <v>1.4800000000000001E-2</v>
      </c>
      <c r="R33" s="1449"/>
      <c r="S33" s="1437">
        <f>B33/B34-1</f>
        <v>4.1203450408792801E-2</v>
      </c>
      <c r="T33" s="1438">
        <f>C33/C34-1</f>
        <v>2.6363977342465102E-2</v>
      </c>
      <c r="U33" s="1438">
        <f>E33/E34-1</f>
        <v>4.4837114298626399E-2</v>
      </c>
      <c r="V33" s="1438">
        <f>F33/F34-1</f>
        <v>1.7099954922538602E-2</v>
      </c>
      <c r="X33" s="1388">
        <f>ROUND(SUMPRODUCT(PRODUCT(1+N33:N$40)),4)</f>
        <v>1.1269</v>
      </c>
      <c r="Y33" s="1388">
        <f>ROUND(SUMPRODUCT(PRODUCT(1+O33:O$40)),4)</f>
        <v>1.1052999999999999</v>
      </c>
      <c r="Z33" s="1388">
        <f t="shared" si="9"/>
        <v>1.1052999999999999</v>
      </c>
      <c r="AA33" s="1388">
        <f>ROUND(SUMPRODUCT(PRODUCT(1+P33:P$40)),4)</f>
        <v>1.1349</v>
      </c>
      <c r="AB33" s="1388">
        <f>ROUND(SUMPRODUCT(PRODUCT(1+Q33:Q$40)),4)</f>
        <v>1.0996999999999999</v>
      </c>
      <c r="AD33" s="1430">
        <f>ROUND(AVERAGE(I33:I$41)/100,4)</f>
        <v>1.67E-2</v>
      </c>
      <c r="AE33" s="1430">
        <f>ROUND(AVERAGE(J33:J$41)/100,4)</f>
        <v>1.38E-2</v>
      </c>
      <c r="AF33" s="1430">
        <f t="shared" si="10"/>
        <v>1.38E-2</v>
      </c>
      <c r="AG33" s="1430">
        <f>ROUND(AVERAGE(K33:K$41)/100,4)</f>
        <v>1.7899999999999999E-2</v>
      </c>
      <c r="AH33" s="1430">
        <f>ROUND(AVERAGE(L33:L$41)/100,4)</f>
        <v>1.21E-2</v>
      </c>
    </row>
    <row r="34" spans="1:34">
      <c r="A34" s="1402" t="s">
        <v>1961</v>
      </c>
      <c r="B34" s="1411">
        <v>333</v>
      </c>
      <c r="C34" s="1411">
        <v>277</v>
      </c>
      <c r="D34" s="1411">
        <f t="shared" si="20"/>
        <v>277</v>
      </c>
      <c r="E34" s="1411">
        <v>459</v>
      </c>
      <c r="F34" s="1412">
        <v>249</v>
      </c>
      <c r="G34" s="3915">
        <v>2015</v>
      </c>
      <c r="H34" s="1413">
        <v>4</v>
      </c>
      <c r="I34" s="1413">
        <v>1.63</v>
      </c>
      <c r="J34" s="1413">
        <v>1.1100000000000001</v>
      </c>
      <c r="K34" s="1413">
        <v>1.77</v>
      </c>
      <c r="L34" s="1439">
        <v>1.89</v>
      </c>
      <c r="N34" s="1434">
        <f t="shared" si="22"/>
        <v>1.6299999999999999E-2</v>
      </c>
      <c r="O34" s="1435">
        <f t="shared" si="18"/>
        <v>1.11E-2</v>
      </c>
      <c r="P34" s="1435">
        <f t="shared" si="18"/>
        <v>1.77E-2</v>
      </c>
      <c r="Q34" s="1435">
        <f t="shared" si="18"/>
        <v>1.89E-2</v>
      </c>
      <c r="R34" s="1449"/>
      <c r="X34" s="1388">
        <f>ROUND(SUMPRODUCT(PRODUCT(1+N34:N$40)),4)</f>
        <v>1.0826</v>
      </c>
      <c r="Y34" s="1388">
        <f>ROUND(SUMPRODUCT(PRODUCT(1+O34:O$40)),4)</f>
        <v>1.0738000000000001</v>
      </c>
      <c r="Z34" s="1388">
        <f t="shared" si="9"/>
        <v>1.0738000000000001</v>
      </c>
      <c r="AA34" s="1388">
        <f>ROUND(SUMPRODUCT(PRODUCT(1+P34:P$40)),4)</f>
        <v>1.0855999999999999</v>
      </c>
      <c r="AB34" s="1388">
        <f>ROUND(SUMPRODUCT(PRODUCT(1+Q34:Q$40)),4)</f>
        <v>1.0837000000000001</v>
      </c>
      <c r="AD34" s="1430">
        <f>ROUND(AVERAGE(I34:I$41)/100,4)</f>
        <v>1.37E-2</v>
      </c>
      <c r="AE34" s="1430">
        <f>ROUND(AVERAGE(J34:J$41)/100,4)</f>
        <v>1.1900000000000001E-2</v>
      </c>
      <c r="AF34" s="1430">
        <f t="shared" si="10"/>
        <v>1.1900000000000001E-2</v>
      </c>
      <c r="AG34" s="1430">
        <f>ROUND(AVERAGE(K34:K$41)/100,4)</f>
        <v>1.4500000000000001E-2</v>
      </c>
      <c r="AH34" s="1430">
        <f>ROUND(AVERAGE(L34:L$41)/100,4)</f>
        <v>1.18E-2</v>
      </c>
    </row>
    <row r="35" spans="1:34">
      <c r="A35" s="1402" t="s">
        <v>1962</v>
      </c>
      <c r="B35" s="1403">
        <f t="shared" ref="B35:C37" si="23">B34/(1+N34)</f>
        <v>327.65915576109398</v>
      </c>
      <c r="C35" s="1403">
        <f t="shared" si="23"/>
        <v>273.959054495104</v>
      </c>
      <c r="D35" s="1403">
        <f t="shared" si="20"/>
        <v>273.959054495104</v>
      </c>
      <c r="E35" s="1403">
        <f t="shared" ref="E35:F37" si="24">E34/(1+P34)</f>
        <v>451.01699911565299</v>
      </c>
      <c r="F35" s="1403">
        <f t="shared" si="24"/>
        <v>244.381195406811</v>
      </c>
      <c r="G35" s="3911"/>
      <c r="H35" s="1414">
        <v>3</v>
      </c>
      <c r="I35" s="1414">
        <v>1.65</v>
      </c>
      <c r="J35" s="1414">
        <v>0.92</v>
      </c>
      <c r="K35" s="1414">
        <v>1.88</v>
      </c>
      <c r="L35" s="1440">
        <v>1.26</v>
      </c>
      <c r="N35" s="1429">
        <f t="shared" si="22"/>
        <v>1.6500000000000001E-2</v>
      </c>
      <c r="O35" s="1436">
        <f t="shared" si="18"/>
        <v>9.1999999999999998E-3</v>
      </c>
      <c r="P35" s="1436">
        <f t="shared" si="18"/>
        <v>1.8800000000000001E-2</v>
      </c>
      <c r="Q35" s="1436">
        <f t="shared" si="18"/>
        <v>1.26E-2</v>
      </c>
      <c r="R35" s="1449"/>
      <c r="S35" s="1429"/>
      <c r="T35" s="1430"/>
      <c r="U35" s="1430"/>
      <c r="V35" s="1430"/>
      <c r="X35" s="1388">
        <f>ROUND(SUMPRODUCT(PRODUCT(1+N35:N$40)),4)</f>
        <v>1.0651999999999999</v>
      </c>
      <c r="Y35" s="1388">
        <f>ROUND(SUMPRODUCT(PRODUCT(1+O35:O$40)),4)</f>
        <v>1.0621</v>
      </c>
      <c r="Z35" s="1388">
        <f t="shared" si="9"/>
        <v>1.0621</v>
      </c>
      <c r="AA35" s="1388">
        <f>ROUND(SUMPRODUCT(PRODUCT(1+P35:P$40)),4)</f>
        <v>1.0668</v>
      </c>
      <c r="AB35" s="1388">
        <f>ROUND(SUMPRODUCT(PRODUCT(1+Q35:Q$40)),4)</f>
        <v>1.0636000000000001</v>
      </c>
      <c r="AD35" s="1430">
        <f>ROUND(AVERAGE(I35:I$41)/100,4)</f>
        <v>1.3299999999999999E-2</v>
      </c>
      <c r="AE35" s="1430">
        <f>ROUND(AVERAGE(J35:J$41)/100,4)</f>
        <v>1.2E-2</v>
      </c>
      <c r="AF35" s="1430">
        <f t="shared" si="10"/>
        <v>1.2E-2</v>
      </c>
      <c r="AG35" s="1430">
        <f>ROUND(AVERAGE(K35:K$41)/100,4)</f>
        <v>1.4E-2</v>
      </c>
      <c r="AH35" s="1430">
        <f>ROUND(AVERAGE(L35:L$41)/100,4)</f>
        <v>1.0800000000000001E-2</v>
      </c>
    </row>
    <row r="36" spans="1:34">
      <c r="A36" s="1402" t="s">
        <v>1963</v>
      </c>
      <c r="B36" s="1403">
        <f t="shared" si="23"/>
        <v>322.34053690220799</v>
      </c>
      <c r="C36" s="1403">
        <f t="shared" si="23"/>
        <v>271.461607704225</v>
      </c>
      <c r="D36" s="1403">
        <f t="shared" si="20"/>
        <v>271.461607704225</v>
      </c>
      <c r="E36" s="1403">
        <f t="shared" si="24"/>
        <v>442.69434542172502</v>
      </c>
      <c r="F36" s="1403">
        <f t="shared" si="24"/>
        <v>241.34030753190899</v>
      </c>
      <c r="G36" s="3911"/>
      <c r="H36" s="1408">
        <v>2</v>
      </c>
      <c r="I36" s="1408">
        <v>0.77</v>
      </c>
      <c r="J36" s="1408">
        <v>0.69</v>
      </c>
      <c r="K36" s="1408">
        <v>0.8</v>
      </c>
      <c r="L36" s="1433">
        <v>0.88</v>
      </c>
      <c r="N36" s="1429">
        <f t="shared" si="22"/>
        <v>7.7000000000000002E-3</v>
      </c>
      <c r="O36" s="1436">
        <f t="shared" si="18"/>
        <v>6.8999999999999999E-3</v>
      </c>
      <c r="P36" s="1436">
        <f t="shared" si="18"/>
        <v>8.0000000000000002E-3</v>
      </c>
      <c r="Q36" s="1436">
        <f t="shared" si="18"/>
        <v>8.8000000000000005E-3</v>
      </c>
      <c r="R36" s="1449"/>
      <c r="S36" s="1429"/>
      <c r="T36" s="1430"/>
      <c r="U36" s="1430"/>
      <c r="V36" s="1430"/>
      <c r="X36" s="1388">
        <f>ROUND(SUMPRODUCT(PRODUCT(1+N36:N$40)),4)</f>
        <v>1.048</v>
      </c>
      <c r="Y36" s="1388">
        <f>ROUND(SUMPRODUCT(PRODUCT(1+O36:O$40)),4)</f>
        <v>1.0524</v>
      </c>
      <c r="Z36" s="1388">
        <f t="shared" si="9"/>
        <v>1.0524</v>
      </c>
      <c r="AA36" s="1388">
        <f>ROUND(SUMPRODUCT(PRODUCT(1+P36:P$40)),4)</f>
        <v>1.0470999999999999</v>
      </c>
      <c r="AB36" s="1388">
        <f>ROUND(SUMPRODUCT(PRODUCT(1+Q36:Q$40)),4)</f>
        <v>1.0504</v>
      </c>
      <c r="AD36" s="1430">
        <f>ROUND(AVERAGE(I36:I$41)/100,4)</f>
        <v>1.2800000000000001E-2</v>
      </c>
      <c r="AE36" s="1430">
        <f>ROUND(AVERAGE(J36:J$41)/100,4)</f>
        <v>1.2500000000000001E-2</v>
      </c>
      <c r="AF36" s="1430">
        <f t="shared" si="10"/>
        <v>1.2500000000000001E-2</v>
      </c>
      <c r="AG36" s="1430">
        <f>ROUND(AVERAGE(K36:K$41)/100,4)</f>
        <v>1.32E-2</v>
      </c>
      <c r="AH36" s="1430">
        <f>ROUND(AVERAGE(L36:L$41)/100,4)</f>
        <v>1.0500000000000001E-2</v>
      </c>
    </row>
    <row r="37" spans="1:34">
      <c r="A37" s="1402" t="s">
        <v>1964</v>
      </c>
      <c r="B37" s="1403">
        <f t="shared" si="23"/>
        <v>319.87748030386803</v>
      </c>
      <c r="C37" s="1403">
        <f t="shared" si="23"/>
        <v>269.60135833173598</v>
      </c>
      <c r="D37" s="1403">
        <f t="shared" si="20"/>
        <v>269.60135833173598</v>
      </c>
      <c r="E37" s="1403">
        <f t="shared" si="24"/>
        <v>439.18089823583801</v>
      </c>
      <c r="F37" s="1403">
        <f t="shared" si="24"/>
        <v>239.23503918706299</v>
      </c>
      <c r="G37" s="3914"/>
      <c r="H37" s="1404">
        <v>1</v>
      </c>
      <c r="I37" s="1404">
        <v>0.51</v>
      </c>
      <c r="J37" s="1404">
        <v>0.54</v>
      </c>
      <c r="K37" s="1404">
        <v>0.48</v>
      </c>
      <c r="L37" s="1431">
        <v>0.93</v>
      </c>
      <c r="N37" s="1437">
        <f t="shared" si="22"/>
        <v>5.1000000000000004E-3</v>
      </c>
      <c r="O37" s="1438">
        <f t="shared" si="18"/>
        <v>5.4000000000000003E-3</v>
      </c>
      <c r="P37" s="1438">
        <f t="shared" si="18"/>
        <v>4.7999999999999996E-3</v>
      </c>
      <c r="Q37" s="1438">
        <f t="shared" si="18"/>
        <v>9.2999999999999992E-3</v>
      </c>
      <c r="R37" s="1449"/>
      <c r="S37" s="1437">
        <f>B37/B38-1</f>
        <v>5.9040261127922796E-3</v>
      </c>
      <c r="T37" s="1438">
        <f>C37/C38-1</f>
        <v>5.9752176557332799E-3</v>
      </c>
      <c r="U37" s="1438">
        <f>E37/E38-1</f>
        <v>4.9906138119859599E-3</v>
      </c>
      <c r="V37" s="1438">
        <f>F37/F38-1</f>
        <v>9.4305450930933805E-3</v>
      </c>
      <c r="X37" s="1388">
        <f>ROUND(SUMPRODUCT(PRODUCT(1+N37:N$40)),4)</f>
        <v>1.0399</v>
      </c>
      <c r="Y37" s="1388">
        <f>ROUND(SUMPRODUCT(PRODUCT(1+O37:O$40)),4)</f>
        <v>1.0451999999999999</v>
      </c>
      <c r="Z37" s="1388">
        <f t="shared" si="9"/>
        <v>1.0451999999999999</v>
      </c>
      <c r="AA37" s="1388">
        <f>ROUND(SUMPRODUCT(PRODUCT(1+P37:P$40)),4)</f>
        <v>1.0387999999999999</v>
      </c>
      <c r="AB37" s="1388">
        <f>ROUND(SUMPRODUCT(PRODUCT(1+Q37:Q$40)),4)</f>
        <v>1.0411999999999999</v>
      </c>
      <c r="AD37" s="1430">
        <f>ROUND(AVERAGE(I37:I$41)/100,4)</f>
        <v>1.38E-2</v>
      </c>
      <c r="AE37" s="1430">
        <f>ROUND(AVERAGE(J37:J$41)/100,4)</f>
        <v>1.3599999999999999E-2</v>
      </c>
      <c r="AF37" s="1430">
        <f t="shared" si="10"/>
        <v>1.3599999999999999E-2</v>
      </c>
      <c r="AG37" s="1430">
        <f>ROUND(AVERAGE(K37:K$41)/100,4)</f>
        <v>1.4200000000000001E-2</v>
      </c>
      <c r="AH37" s="1430">
        <f>ROUND(AVERAGE(L37:L$41)/100,4)</f>
        <v>1.0800000000000001E-2</v>
      </c>
    </row>
    <row r="38" spans="1:34">
      <c r="A38" s="1402" t="s">
        <v>1965</v>
      </c>
      <c r="B38" s="1415">
        <v>318</v>
      </c>
      <c r="C38" s="1415">
        <v>268</v>
      </c>
      <c r="D38" s="1415">
        <f t="shared" si="20"/>
        <v>268</v>
      </c>
      <c r="E38" s="1415">
        <v>437</v>
      </c>
      <c r="F38" s="1416">
        <v>237</v>
      </c>
      <c r="G38" s="3915">
        <v>2014</v>
      </c>
      <c r="H38" s="1413">
        <v>4</v>
      </c>
      <c r="I38" s="1413">
        <v>0.21</v>
      </c>
      <c r="J38" s="1413">
        <v>0.41</v>
      </c>
      <c r="K38" s="1413">
        <v>0.12</v>
      </c>
      <c r="L38" s="1439">
        <v>0.89</v>
      </c>
      <c r="N38" s="1429">
        <f t="shared" si="22"/>
        <v>2.0999999999999999E-3</v>
      </c>
      <c r="O38" s="1430">
        <f t="shared" si="18"/>
        <v>4.1000000000000003E-3</v>
      </c>
      <c r="P38" s="1430">
        <f t="shared" si="18"/>
        <v>1.1999999999999999E-3</v>
      </c>
      <c r="Q38" s="1430">
        <f t="shared" si="18"/>
        <v>8.8999999999999999E-3</v>
      </c>
      <c r="R38" s="1449"/>
      <c r="S38" s="1450"/>
      <c r="T38" s="1451"/>
      <c r="U38" s="1451"/>
      <c r="V38" s="1451"/>
      <c r="X38" s="1388">
        <f>ROUND(SUMPRODUCT(PRODUCT(1+N38:N$40)),4)</f>
        <v>1.0347</v>
      </c>
      <c r="Y38" s="1388">
        <f>ROUND(SUMPRODUCT(PRODUCT(1+O38:O$40)),4)</f>
        <v>1.0395000000000001</v>
      </c>
      <c r="Z38" s="1388">
        <f t="shared" si="9"/>
        <v>1.0395000000000001</v>
      </c>
      <c r="AA38" s="1388">
        <f>ROUND(SUMPRODUCT(PRODUCT(1+P38:P$40)),4)</f>
        <v>1.0338000000000001</v>
      </c>
      <c r="AB38" s="1388">
        <f>ROUND(SUMPRODUCT(PRODUCT(1+Q38:Q$40)),4)</f>
        <v>1.0316000000000001</v>
      </c>
      <c r="AD38" s="1430">
        <f>ROUND(AVERAGE(I38:I$41)/100,4)</f>
        <v>1.6E-2</v>
      </c>
      <c r="AE38" s="1430">
        <f>ROUND(AVERAGE(J38:J$41)/100,4)</f>
        <v>1.5599999999999999E-2</v>
      </c>
      <c r="AF38" s="1430">
        <f t="shared" si="10"/>
        <v>1.5599999999999999E-2</v>
      </c>
      <c r="AG38" s="1430">
        <f>ROUND(AVERAGE(K38:K$41)/100,4)</f>
        <v>1.66E-2</v>
      </c>
      <c r="AH38" s="1430">
        <f>ROUND(AVERAGE(L38:L$41)/100,4)</f>
        <v>1.12E-2</v>
      </c>
    </row>
    <row r="39" spans="1:34">
      <c r="A39" s="1402" t="s">
        <v>1966</v>
      </c>
      <c r="B39" s="1403">
        <f t="shared" ref="B39:C41" si="25">B38/(1+N38)</f>
        <v>317.33359944117399</v>
      </c>
      <c r="C39" s="1403">
        <f t="shared" si="25"/>
        <v>266.90568668459298</v>
      </c>
      <c r="D39" s="1403">
        <f t="shared" si="20"/>
        <v>266.90568668459298</v>
      </c>
      <c r="E39" s="1403">
        <f t="shared" ref="E39:F41" si="26">E38/(1+P38)</f>
        <v>436.47622852576899</v>
      </c>
      <c r="F39" s="1403">
        <f t="shared" si="26"/>
        <v>234.909307166221</v>
      </c>
      <c r="G39" s="3911"/>
      <c r="H39" s="1417">
        <v>3</v>
      </c>
      <c r="I39" s="1417">
        <v>0.83</v>
      </c>
      <c r="J39" s="1417">
        <v>1.47</v>
      </c>
      <c r="K39" s="1417">
        <v>0.65</v>
      </c>
      <c r="L39" s="1441">
        <v>0.72</v>
      </c>
      <c r="N39" s="1429">
        <f t="shared" si="22"/>
        <v>8.3000000000000001E-3</v>
      </c>
      <c r="O39" s="1430">
        <f t="shared" si="18"/>
        <v>1.47E-2</v>
      </c>
      <c r="P39" s="1430">
        <f t="shared" si="18"/>
        <v>6.4999999999999997E-3</v>
      </c>
      <c r="Q39" s="1430">
        <f t="shared" si="18"/>
        <v>7.1999999999999998E-3</v>
      </c>
      <c r="R39" s="1449"/>
      <c r="S39" s="1429"/>
      <c r="T39" s="1430"/>
      <c r="U39" s="1430"/>
      <c r="V39" s="1430"/>
      <c r="X39" s="1388">
        <f>ROUND(SUMPRODUCT(PRODUCT(1+N39:N$40)),4)</f>
        <v>1.0325</v>
      </c>
      <c r="Y39" s="1388">
        <f>ROUND(SUMPRODUCT(PRODUCT(1+O39:O$40)),4)</f>
        <v>1.0353000000000001</v>
      </c>
      <c r="Z39" s="1388">
        <f t="shared" si="9"/>
        <v>1.0353000000000001</v>
      </c>
      <c r="AA39" s="1388">
        <f>ROUND(SUMPRODUCT(PRODUCT(1+P39:P$40)),4)</f>
        <v>1.0326</v>
      </c>
      <c r="AB39" s="1388">
        <f>ROUND(SUMPRODUCT(PRODUCT(1+Q39:Q$40)),4)</f>
        <v>1.0225</v>
      </c>
      <c r="AD39" s="1430">
        <f>ROUND(AVERAGE(I39:I$41)/100,4)</f>
        <v>2.07E-2</v>
      </c>
      <c r="AE39" s="1430">
        <f>ROUND(AVERAGE(J39:J$41)/100,4)</f>
        <v>1.95E-2</v>
      </c>
      <c r="AF39" s="1430">
        <f t="shared" si="10"/>
        <v>1.95E-2</v>
      </c>
      <c r="AG39" s="1430">
        <f>ROUND(AVERAGE(K39:K$41)/100,4)</f>
        <v>2.1700000000000001E-2</v>
      </c>
      <c r="AH39" s="1430">
        <f>ROUND(AVERAGE(L39:L$41)/100,4)</f>
        <v>1.2E-2</v>
      </c>
    </row>
    <row r="40" spans="1:34">
      <c r="A40" s="1402" t="s">
        <v>1967</v>
      </c>
      <c r="B40" s="1403">
        <f t="shared" si="25"/>
        <v>314.721411723865</v>
      </c>
      <c r="C40" s="1403">
        <f t="shared" si="25"/>
        <v>263.03901319069001</v>
      </c>
      <c r="D40" s="1403">
        <f t="shared" si="20"/>
        <v>263.03901319069001</v>
      </c>
      <c r="E40" s="1403">
        <f t="shared" si="26"/>
        <v>433.65745506782798</v>
      </c>
      <c r="F40" s="1403">
        <f t="shared" si="26"/>
        <v>233.23005080045701</v>
      </c>
      <c r="G40" s="3911"/>
      <c r="H40" s="1413">
        <v>2</v>
      </c>
      <c r="I40" s="1413">
        <v>2.4</v>
      </c>
      <c r="J40" s="1413">
        <v>2.0299999999999998</v>
      </c>
      <c r="K40" s="1413">
        <v>2.59</v>
      </c>
      <c r="L40" s="1439">
        <v>1.52</v>
      </c>
      <c r="N40" s="1429">
        <f t="shared" si="22"/>
        <v>2.4E-2</v>
      </c>
      <c r="O40" s="1430">
        <f t="shared" si="18"/>
        <v>2.0299999999999999E-2</v>
      </c>
      <c r="P40" s="1430">
        <f t="shared" si="18"/>
        <v>2.5899999999999999E-2</v>
      </c>
      <c r="Q40" s="1430">
        <f t="shared" si="18"/>
        <v>1.52E-2</v>
      </c>
      <c r="R40" s="1449"/>
      <c r="S40" s="1429"/>
      <c r="T40" s="1430"/>
      <c r="U40" s="1430"/>
      <c r="V40" s="1430"/>
      <c r="X40" s="1388">
        <f>1+N40</f>
        <v>1.024</v>
      </c>
      <c r="Y40" s="1388">
        <f>1+O40</f>
        <v>1.0203</v>
      </c>
      <c r="Z40" s="1388">
        <f t="shared" si="9"/>
        <v>1.0203</v>
      </c>
      <c r="AA40" s="1388">
        <f>1+P40</f>
        <v>1.0259</v>
      </c>
      <c r="AB40" s="1388">
        <f>1+Q40</f>
        <v>1.0152000000000001</v>
      </c>
      <c r="AD40" s="1430">
        <f>ROUND(AVERAGE(I40:I$41)/100,4)</f>
        <v>2.69E-2</v>
      </c>
      <c r="AE40" s="1430">
        <f>ROUND(AVERAGE(J40:J$41)/100,4)</f>
        <v>2.1899999999999999E-2</v>
      </c>
      <c r="AF40" s="1430">
        <f t="shared" si="10"/>
        <v>2.1899999999999999E-2</v>
      </c>
      <c r="AG40" s="1430">
        <f>ROUND(AVERAGE(K40:K$41)/100,4)</f>
        <v>2.9399999999999999E-2</v>
      </c>
      <c r="AH40" s="1430">
        <f>ROUND(AVERAGE(L40:L$41)/100,4)</f>
        <v>1.44E-2</v>
      </c>
    </row>
    <row r="41" spans="1:34" s="1385" customFormat="1">
      <c r="A41" s="1418" t="s">
        <v>1968</v>
      </c>
      <c r="B41" s="1419">
        <f t="shared" si="25"/>
        <v>307.34512863658699</v>
      </c>
      <c r="C41" s="1419">
        <f t="shared" si="25"/>
        <v>257.80556031626998</v>
      </c>
      <c r="D41" s="1419">
        <f t="shared" si="20"/>
        <v>257.80556031626998</v>
      </c>
      <c r="E41" s="1419">
        <f t="shared" si="26"/>
        <v>422.70928459677202</v>
      </c>
      <c r="F41" s="1419">
        <f t="shared" si="26"/>
        <v>229.738032703366</v>
      </c>
      <c r="G41" s="3914"/>
      <c r="H41" s="1420">
        <v>1</v>
      </c>
      <c r="I41" s="1420">
        <v>2.97</v>
      </c>
      <c r="J41" s="1420">
        <v>2.34</v>
      </c>
      <c r="K41" s="1420">
        <v>3.28</v>
      </c>
      <c r="L41" s="1442">
        <v>1.36</v>
      </c>
      <c r="N41" s="1443">
        <f t="shared" si="22"/>
        <v>2.9700000000000001E-2</v>
      </c>
      <c r="O41" s="1444">
        <f t="shared" si="18"/>
        <v>2.3400000000000001E-2</v>
      </c>
      <c r="P41" s="1444">
        <f t="shared" si="18"/>
        <v>3.2800000000000003E-2</v>
      </c>
      <c r="Q41" s="1444">
        <f t="shared" si="18"/>
        <v>1.3599999999999999E-2</v>
      </c>
      <c r="R41" s="1452"/>
      <c r="S41" s="1453">
        <f>B41/B42-1</f>
        <v>2.7910129219355501E-2</v>
      </c>
      <c r="T41" s="1454">
        <f>C41/C42-1</f>
        <v>2.3037937762975198E-2</v>
      </c>
      <c r="U41" s="1454">
        <f>E41/E42-1</f>
        <v>3.3519033243940802E-2</v>
      </c>
      <c r="V41" s="1454">
        <f>F41/F42-1</f>
        <v>1.20618180765029E-2</v>
      </c>
      <c r="W41" s="1455" t="s">
        <v>1969</v>
      </c>
      <c r="X41" s="1456">
        <v>1</v>
      </c>
      <c r="Y41" s="1456">
        <v>1</v>
      </c>
      <c r="Z41" s="1456">
        <v>1</v>
      </c>
      <c r="AA41" s="1456">
        <v>1</v>
      </c>
      <c r="AB41" s="1456">
        <v>1</v>
      </c>
      <c r="AD41" s="1444">
        <f>I41/100</f>
        <v>2.9700000000000001E-2</v>
      </c>
      <c r="AE41" s="1444">
        <f>J41/100</f>
        <v>2.3400000000000001E-2</v>
      </c>
      <c r="AF41" s="1444">
        <f t="shared" si="10"/>
        <v>2.3400000000000001E-2</v>
      </c>
      <c r="AG41" s="1444">
        <f>K41/100</f>
        <v>3.2800000000000003E-2</v>
      </c>
      <c r="AH41" s="1444">
        <f>L41/100</f>
        <v>1.3599999999999999E-2</v>
      </c>
    </row>
    <row r="42" spans="1:34">
      <c r="A42" s="1402" t="s">
        <v>1970</v>
      </c>
      <c r="B42" s="1411">
        <v>299</v>
      </c>
      <c r="C42" s="1411">
        <v>252</v>
      </c>
      <c r="D42" s="1411">
        <f t="shared" si="20"/>
        <v>252</v>
      </c>
      <c r="E42" s="1411">
        <v>409</v>
      </c>
      <c r="F42" s="1412">
        <v>227</v>
      </c>
      <c r="G42" s="3916">
        <v>2013</v>
      </c>
      <c r="H42" s="1421">
        <v>4</v>
      </c>
      <c r="I42" s="1421">
        <v>1.83</v>
      </c>
      <c r="J42" s="1421">
        <v>1.68</v>
      </c>
      <c r="K42" s="1421">
        <v>1.97</v>
      </c>
      <c r="L42" s="1445">
        <v>0.87</v>
      </c>
      <c r="N42" s="1434">
        <f t="shared" si="22"/>
        <v>1.83E-2</v>
      </c>
      <c r="O42" s="1435">
        <f t="shared" si="18"/>
        <v>1.6799999999999999E-2</v>
      </c>
      <c r="P42" s="1435">
        <f t="shared" si="18"/>
        <v>1.9699999999999999E-2</v>
      </c>
      <c r="Q42" s="1435">
        <f t="shared" si="18"/>
        <v>8.6999999999999994E-3</v>
      </c>
      <c r="R42" s="1449"/>
      <c r="S42" s="1450"/>
      <c r="T42" s="1451"/>
      <c r="U42" s="1451"/>
      <c r="V42" s="1451"/>
      <c r="X42" s="1451"/>
      <c r="Y42" s="1451"/>
      <c r="Z42" s="1451"/>
    </row>
    <row r="43" spans="1:34">
      <c r="A43" s="1402" t="s">
        <v>1971</v>
      </c>
      <c r="B43" s="1403">
        <f t="shared" ref="B43:C45" si="27">B42/(1+N42)</f>
        <v>293.62663262299901</v>
      </c>
      <c r="C43" s="1403">
        <f t="shared" si="27"/>
        <v>247.836349331235</v>
      </c>
      <c r="D43" s="1403">
        <f t="shared" si="20"/>
        <v>247.836349331235</v>
      </c>
      <c r="E43" s="1403">
        <f t="shared" ref="E43:F45" si="28">E42/(1+P42)</f>
        <v>401.09836226341099</v>
      </c>
      <c r="F43" s="1403">
        <f t="shared" si="28"/>
        <v>225.04213343908</v>
      </c>
      <c r="G43" s="3917"/>
      <c r="H43" s="1414">
        <v>3</v>
      </c>
      <c r="I43" s="1414">
        <v>1.86</v>
      </c>
      <c r="J43" s="1414">
        <v>1.72</v>
      </c>
      <c r="K43" s="1414">
        <v>1.98</v>
      </c>
      <c r="L43" s="1440">
        <v>0.88</v>
      </c>
      <c r="N43" s="1429">
        <f t="shared" si="22"/>
        <v>1.8599999999999998E-2</v>
      </c>
      <c r="O43" s="1436">
        <f t="shared" si="18"/>
        <v>1.72E-2</v>
      </c>
      <c r="P43" s="1436">
        <f t="shared" si="18"/>
        <v>1.9800000000000002E-2</v>
      </c>
      <c r="Q43" s="1436">
        <f t="shared" si="18"/>
        <v>8.8000000000000005E-3</v>
      </c>
      <c r="R43" s="1449"/>
      <c r="S43" s="1429"/>
      <c r="T43" s="1430"/>
      <c r="U43" s="1430"/>
      <c r="V43" s="1430"/>
    </row>
    <row r="44" spans="1:34">
      <c r="A44" s="1402" t="s">
        <v>1972</v>
      </c>
      <c r="B44" s="1403">
        <f t="shared" si="27"/>
        <v>288.264905382878</v>
      </c>
      <c r="C44" s="1403">
        <f t="shared" si="27"/>
        <v>243.64564425013299</v>
      </c>
      <c r="D44" s="1403">
        <f t="shared" si="20"/>
        <v>243.64564425013299</v>
      </c>
      <c r="E44" s="1403">
        <f t="shared" si="28"/>
        <v>393.31080825986498</v>
      </c>
      <c r="F44" s="1403">
        <f t="shared" si="28"/>
        <v>223.079037905512</v>
      </c>
      <c r="G44" s="3917"/>
      <c r="H44" s="1408">
        <v>2</v>
      </c>
      <c r="I44" s="1408">
        <v>2.04</v>
      </c>
      <c r="J44" s="1408">
        <v>2.33</v>
      </c>
      <c r="K44" s="1408">
        <v>2.0699999999999998</v>
      </c>
      <c r="L44" s="1433">
        <v>0.69</v>
      </c>
      <c r="N44" s="1429">
        <f t="shared" si="22"/>
        <v>2.0400000000000001E-2</v>
      </c>
      <c r="O44" s="1436">
        <f t="shared" si="18"/>
        <v>2.3300000000000001E-2</v>
      </c>
      <c r="P44" s="1436">
        <f t="shared" si="18"/>
        <v>2.07E-2</v>
      </c>
      <c r="Q44" s="1436">
        <f t="shared" si="18"/>
        <v>6.8999999999999999E-3</v>
      </c>
      <c r="R44" s="1449"/>
      <c r="S44" s="1429"/>
      <c r="T44" s="1430"/>
      <c r="U44" s="1430"/>
      <c r="V44" s="1430"/>
      <c r="X44" s="1457"/>
      <c r="Y44" s="1460"/>
    </row>
    <row r="45" spans="1:34">
      <c r="A45" s="1402" t="s">
        <v>1973</v>
      </c>
      <c r="B45" s="1403">
        <f t="shared" si="27"/>
        <v>282.50186729015797</v>
      </c>
      <c r="C45" s="1403">
        <f t="shared" si="27"/>
        <v>238.097961741555</v>
      </c>
      <c r="D45" s="1403">
        <f t="shared" si="20"/>
        <v>238.097961741555</v>
      </c>
      <c r="E45" s="1403">
        <f t="shared" si="28"/>
        <v>385.33438646014099</v>
      </c>
      <c r="F45" s="1403">
        <f t="shared" si="28"/>
        <v>221.550340555677</v>
      </c>
      <c r="G45" s="3918"/>
      <c r="H45" s="1404">
        <v>1</v>
      </c>
      <c r="I45" s="1404">
        <v>1.67</v>
      </c>
      <c r="J45" s="1404">
        <v>1.31</v>
      </c>
      <c r="K45" s="1404">
        <v>1.85</v>
      </c>
      <c r="L45" s="1431">
        <v>0.96</v>
      </c>
      <c r="N45" s="1437">
        <f t="shared" si="22"/>
        <v>1.67E-2</v>
      </c>
      <c r="O45" s="1438">
        <f t="shared" si="18"/>
        <v>1.3100000000000001E-2</v>
      </c>
      <c r="P45" s="1438">
        <f t="shared" si="18"/>
        <v>1.8499999999999999E-2</v>
      </c>
      <c r="Q45" s="1438">
        <f t="shared" si="18"/>
        <v>9.5999999999999992E-3</v>
      </c>
      <c r="R45" s="1449"/>
      <c r="S45" s="1437">
        <f>B45/B46-1</f>
        <v>1.61937672307855E-2</v>
      </c>
      <c r="T45" s="1438">
        <f>C45/C46-1</f>
        <v>1.7512657015190902E-2</v>
      </c>
      <c r="U45" s="1438">
        <f>E45/E46-1</f>
        <v>1.6713420739156999E-2</v>
      </c>
      <c r="V45" s="1438">
        <f>F45/F46-1</f>
        <v>7.0470025258062598E-3</v>
      </c>
      <c r="X45" s="1458"/>
      <c r="Y45" s="1430"/>
      <c r="Z45" s="1430"/>
    </row>
    <row r="46" spans="1:34">
      <c r="A46" s="1402" t="s">
        <v>1974</v>
      </c>
      <c r="B46" s="1422">
        <v>278</v>
      </c>
      <c r="C46" s="1422">
        <v>234</v>
      </c>
      <c r="D46" s="1422">
        <f t="shared" si="20"/>
        <v>234</v>
      </c>
      <c r="E46" s="1422">
        <v>379</v>
      </c>
      <c r="F46" s="1423">
        <v>220</v>
      </c>
      <c r="G46" s="3915">
        <v>2012</v>
      </c>
      <c r="H46" s="1413">
        <v>4</v>
      </c>
      <c r="I46" s="1413">
        <v>0.91</v>
      </c>
      <c r="J46" s="1413">
        <v>0.68</v>
      </c>
      <c r="K46" s="1413">
        <v>0.98</v>
      </c>
      <c r="L46" s="1439">
        <v>0.9</v>
      </c>
      <c r="N46" s="1429">
        <f t="shared" si="22"/>
        <v>9.1000000000000004E-3</v>
      </c>
      <c r="O46" s="1430">
        <f t="shared" si="22"/>
        <v>6.7999999999999996E-3</v>
      </c>
      <c r="P46" s="1430">
        <f t="shared" si="22"/>
        <v>9.7999999999999997E-3</v>
      </c>
      <c r="Q46" s="1430">
        <f t="shared" si="22"/>
        <v>8.9999999999999993E-3</v>
      </c>
      <c r="R46" s="1449"/>
      <c r="S46" s="1450"/>
      <c r="T46" s="1451"/>
      <c r="U46" s="1451"/>
      <c r="V46" s="1451"/>
      <c r="X46" s="1451"/>
      <c r="Y46" s="1451"/>
      <c r="Z46" s="1451"/>
    </row>
    <row r="47" spans="1:34">
      <c r="A47" s="1402" t="s">
        <v>1975</v>
      </c>
      <c r="B47" s="1403">
        <f>B46/(1+N46)</f>
        <v>275.49301357645402</v>
      </c>
      <c r="C47" s="1403">
        <f>C46/(1+O46)</f>
        <v>232.41954707985701</v>
      </c>
      <c r="D47" s="1403">
        <f t="shared" si="20"/>
        <v>232.41954707985701</v>
      </c>
      <c r="E47" s="1403">
        <f t="shared" ref="E47:F49" si="29">E46/(1+P46)</f>
        <v>375.32184591008098</v>
      </c>
      <c r="F47" s="1403">
        <f t="shared" si="29"/>
        <v>218.03766105054501</v>
      </c>
      <c r="G47" s="3911"/>
      <c r="H47" s="1414">
        <v>3</v>
      </c>
      <c r="I47" s="1414">
        <v>0.09</v>
      </c>
      <c r="J47" s="1414">
        <v>0.28999999999999998</v>
      </c>
      <c r="K47" s="1414">
        <v>-0.01</v>
      </c>
      <c r="L47" s="1440">
        <v>0.57999999999999996</v>
      </c>
      <c r="N47" s="1429">
        <f t="shared" si="22"/>
        <v>8.9999999999999998E-4</v>
      </c>
      <c r="O47" s="1430">
        <f t="shared" si="22"/>
        <v>2.8999999999999998E-3</v>
      </c>
      <c r="P47" s="1430">
        <f t="shared" si="22"/>
        <v>-1E-4</v>
      </c>
      <c r="Q47" s="1430">
        <f t="shared" si="22"/>
        <v>5.7999999999999996E-3</v>
      </c>
      <c r="R47" s="1449"/>
      <c r="S47" s="1429"/>
      <c r="T47" s="1430"/>
      <c r="U47" s="1430"/>
      <c r="V47" s="1430"/>
    </row>
    <row r="48" spans="1:34">
      <c r="A48" s="1402" t="s">
        <v>1976</v>
      </c>
      <c r="B48" s="1403">
        <f>B47/(1+N47)</f>
        <v>275.24529281292303</v>
      </c>
      <c r="C48" s="1403">
        <f>C47/(1+O47)</f>
        <v>231.74747938962699</v>
      </c>
      <c r="D48" s="1403">
        <f t="shared" si="20"/>
        <v>231.74747938962699</v>
      </c>
      <c r="E48" s="1403">
        <f t="shared" si="29"/>
        <v>375.35938184826603</v>
      </c>
      <c r="F48" s="1403">
        <f t="shared" si="29"/>
        <v>216.78033510692501</v>
      </c>
      <c r="G48" s="3911"/>
      <c r="H48" s="1408">
        <v>2</v>
      </c>
      <c r="I48" s="1408">
        <v>0.02</v>
      </c>
      <c r="J48" s="1408">
        <v>0.12</v>
      </c>
      <c r="K48" s="1408">
        <v>-0.08</v>
      </c>
      <c r="L48" s="1433">
        <v>1.24</v>
      </c>
      <c r="N48" s="1429">
        <f t="shared" si="22"/>
        <v>2.0000000000000001E-4</v>
      </c>
      <c r="O48" s="1430">
        <f t="shared" si="22"/>
        <v>1.1999999999999999E-3</v>
      </c>
      <c r="P48" s="1430">
        <f t="shared" si="22"/>
        <v>-8.0000000000000004E-4</v>
      </c>
      <c r="Q48" s="1430">
        <f t="shared" si="22"/>
        <v>1.24E-2</v>
      </c>
      <c r="R48" s="1449"/>
      <c r="S48" s="1429"/>
      <c r="T48" s="1430"/>
      <c r="U48" s="1430"/>
      <c r="V48" s="1430"/>
    </row>
    <row r="49" spans="1:26">
      <c r="A49" s="1402" t="s">
        <v>1977</v>
      </c>
      <c r="B49" s="1403">
        <f>B48/(1+N48)</f>
        <v>275.19025476196998</v>
      </c>
      <c r="C49" s="1424">
        <v>232</v>
      </c>
      <c r="D49" s="1424">
        <f t="shared" si="20"/>
        <v>232</v>
      </c>
      <c r="E49" s="1403">
        <f t="shared" si="29"/>
        <v>375.65990977608698</v>
      </c>
      <c r="F49" s="1403">
        <f t="shared" si="29"/>
        <v>214.12518283971301</v>
      </c>
      <c r="G49" s="3914"/>
      <c r="H49" s="1404">
        <v>1</v>
      </c>
      <c r="I49" s="1404">
        <v>0.02</v>
      </c>
      <c r="J49" s="1404">
        <v>0.13</v>
      </c>
      <c r="K49" s="1404">
        <v>-0.04</v>
      </c>
      <c r="L49" s="1431">
        <v>0.46</v>
      </c>
      <c r="N49" s="1429">
        <f t="shared" si="22"/>
        <v>2.0000000000000001E-4</v>
      </c>
      <c r="O49" s="1430">
        <f t="shared" si="22"/>
        <v>1.2999999999999999E-3</v>
      </c>
      <c r="P49" s="1430">
        <f t="shared" si="22"/>
        <v>-4.0000000000000002E-4</v>
      </c>
      <c r="Q49" s="1430">
        <f t="shared" si="22"/>
        <v>4.5999999999999999E-3</v>
      </c>
      <c r="R49" s="1449"/>
      <c r="S49" s="1437">
        <f>B49/B50-1</f>
        <v>6.91835498073612E-4</v>
      </c>
      <c r="T49" s="1438">
        <f>C49/C50-1</f>
        <v>0</v>
      </c>
      <c r="U49" s="1438">
        <f>E49/E50-1</f>
        <v>-9.0449527636460303E-4</v>
      </c>
      <c r="V49" s="1438">
        <f>F49/F50-1</f>
        <v>5.2825485432512797E-3</v>
      </c>
      <c r="X49" s="1430"/>
      <c r="Y49" s="1430"/>
      <c r="Z49" s="1430"/>
    </row>
    <row r="50" spans="1:26">
      <c r="A50" s="1402" t="s">
        <v>1978</v>
      </c>
      <c r="B50" s="1411">
        <v>275</v>
      </c>
      <c r="C50" s="1411">
        <v>232</v>
      </c>
      <c r="D50" s="1411">
        <f t="shared" si="20"/>
        <v>232</v>
      </c>
      <c r="E50" s="1411">
        <v>376</v>
      </c>
      <c r="F50" s="1412">
        <v>213</v>
      </c>
      <c r="G50" s="3915">
        <v>2011</v>
      </c>
      <c r="H50" s="1413">
        <v>4</v>
      </c>
      <c r="I50" s="1413">
        <v>-0.2</v>
      </c>
      <c r="J50" s="1413">
        <v>0.04</v>
      </c>
      <c r="K50" s="1413">
        <v>-0.34</v>
      </c>
      <c r="L50" s="1439">
        <v>0.46</v>
      </c>
      <c r="N50" s="1434">
        <f t="shared" si="22"/>
        <v>-2E-3</v>
      </c>
      <c r="O50" s="1435">
        <f t="shared" si="22"/>
        <v>4.0000000000000002E-4</v>
      </c>
      <c r="P50" s="1435">
        <f t="shared" si="22"/>
        <v>-3.3999999999999998E-3</v>
      </c>
      <c r="Q50" s="1435">
        <f t="shared" si="22"/>
        <v>4.5999999999999999E-3</v>
      </c>
      <c r="R50" s="1449"/>
      <c r="S50" s="1450"/>
      <c r="T50" s="1451"/>
      <c r="U50" s="1451"/>
      <c r="V50" s="1451"/>
      <c r="X50" s="1451"/>
      <c r="Y50" s="1451"/>
      <c r="Z50" s="1451"/>
    </row>
    <row r="51" spans="1:26">
      <c r="A51" s="1402" t="s">
        <v>1979</v>
      </c>
      <c r="B51" s="1403">
        <f t="shared" ref="B51:C53" si="30">B50/(1+N50)</f>
        <v>275.55110220440901</v>
      </c>
      <c r="C51" s="1403">
        <f t="shared" si="30"/>
        <v>231.907237105158</v>
      </c>
      <c r="D51" s="1403">
        <f t="shared" si="20"/>
        <v>231.907237105158</v>
      </c>
      <c r="E51" s="1403">
        <f t="shared" ref="E51:F53" si="31">E50/(1+P50)</f>
        <v>377.28276138872201</v>
      </c>
      <c r="F51" s="1403">
        <f t="shared" si="31"/>
        <v>212.02468644236501</v>
      </c>
      <c r="G51" s="3911">
        <v>2011</v>
      </c>
      <c r="H51" s="1414">
        <v>3</v>
      </c>
      <c r="I51" s="1414">
        <v>0.13</v>
      </c>
      <c r="J51" s="1414">
        <v>0.75</v>
      </c>
      <c r="K51" s="1414">
        <v>-0.08</v>
      </c>
      <c r="L51" s="1440">
        <v>0.53</v>
      </c>
      <c r="N51" s="1429">
        <f t="shared" si="22"/>
        <v>1.2999999999999999E-3</v>
      </c>
      <c r="O51" s="1436">
        <f t="shared" si="22"/>
        <v>7.4999999999999997E-3</v>
      </c>
      <c r="P51" s="1436">
        <f t="shared" si="22"/>
        <v>-8.0000000000000004E-4</v>
      </c>
      <c r="Q51" s="1436">
        <f t="shared" si="22"/>
        <v>5.3E-3</v>
      </c>
      <c r="R51" s="1449"/>
      <c r="S51" s="1429"/>
      <c r="T51" s="1430"/>
      <c r="U51" s="1430"/>
      <c r="V51" s="1430"/>
    </row>
    <row r="52" spans="1:26">
      <c r="A52" s="1402" t="s">
        <v>1980</v>
      </c>
      <c r="B52" s="1403">
        <f t="shared" si="30"/>
        <v>275.19335084830601</v>
      </c>
      <c r="C52" s="1403">
        <f t="shared" si="30"/>
        <v>230.18088050139701</v>
      </c>
      <c r="D52" s="1403">
        <f t="shared" si="20"/>
        <v>230.18088050139701</v>
      </c>
      <c r="E52" s="1403">
        <f t="shared" si="31"/>
        <v>377.58482925212297</v>
      </c>
      <c r="F52" s="1403">
        <f t="shared" si="31"/>
        <v>210.906879978479</v>
      </c>
      <c r="G52" s="3911">
        <v>2011</v>
      </c>
      <c r="H52" s="1408">
        <v>2</v>
      </c>
      <c r="I52" s="1408">
        <v>-0.4</v>
      </c>
      <c r="J52" s="1408">
        <v>0.17</v>
      </c>
      <c r="K52" s="1408">
        <v>-0.57999999999999996</v>
      </c>
      <c r="L52" s="1433">
        <v>-0.2</v>
      </c>
      <c r="N52" s="1429">
        <f t="shared" si="22"/>
        <v>-4.0000000000000001E-3</v>
      </c>
      <c r="O52" s="1436">
        <f t="shared" si="22"/>
        <v>1.6999999999999999E-3</v>
      </c>
      <c r="P52" s="1436">
        <f t="shared" si="22"/>
        <v>-5.7999999999999996E-3</v>
      </c>
      <c r="Q52" s="1436">
        <f t="shared" si="22"/>
        <v>-2E-3</v>
      </c>
      <c r="R52" s="1449"/>
      <c r="S52" s="1429"/>
      <c r="T52" s="1430"/>
      <c r="U52" s="1430"/>
      <c r="V52" s="1430"/>
    </row>
    <row r="53" spans="1:26">
      <c r="A53" s="1402" t="s">
        <v>1981</v>
      </c>
      <c r="B53" s="1403">
        <f t="shared" si="30"/>
        <v>276.29854502841999</v>
      </c>
      <c r="C53" s="1403">
        <f t="shared" si="30"/>
        <v>229.79023709833001</v>
      </c>
      <c r="D53" s="1403">
        <f t="shared" si="20"/>
        <v>229.79023709833001</v>
      </c>
      <c r="E53" s="1403">
        <f t="shared" si="31"/>
        <v>379.78759731655902</v>
      </c>
      <c r="F53" s="1403">
        <f t="shared" si="31"/>
        <v>211.32953905659201</v>
      </c>
      <c r="G53" s="3914">
        <v>2011</v>
      </c>
      <c r="H53" s="1404">
        <v>1</v>
      </c>
      <c r="I53" s="1404">
        <v>2.65</v>
      </c>
      <c r="J53" s="1404">
        <v>3.76</v>
      </c>
      <c r="K53" s="1404">
        <v>1.89</v>
      </c>
      <c r="L53" s="1431">
        <v>7.95</v>
      </c>
      <c r="N53" s="1437">
        <f t="shared" si="22"/>
        <v>2.6499999999999999E-2</v>
      </c>
      <c r="O53" s="1438">
        <f t="shared" si="22"/>
        <v>3.7600000000000001E-2</v>
      </c>
      <c r="P53" s="1438">
        <f t="shared" si="22"/>
        <v>1.89E-2</v>
      </c>
      <c r="Q53" s="1438">
        <f t="shared" si="22"/>
        <v>7.9500000000000001E-2</v>
      </c>
      <c r="R53" s="1449"/>
      <c r="S53" s="1437">
        <f>B53/B54-1</f>
        <v>2.7132137652117898E-2</v>
      </c>
      <c r="T53" s="1438">
        <f>C53/C54-1</f>
        <v>3.9774828499231897E-2</v>
      </c>
      <c r="U53" s="1438">
        <f>E53/E54-1</f>
        <v>1.81973118406418E-2</v>
      </c>
      <c r="V53" s="1438">
        <f>F53/F54-1</f>
        <v>7.8211933962205799E-2</v>
      </c>
      <c r="X53" s="1430"/>
      <c r="Y53" s="1430"/>
      <c r="Z53" s="1430"/>
    </row>
    <row r="54" spans="1:26">
      <c r="A54" s="1402" t="s">
        <v>1982</v>
      </c>
      <c r="B54" s="1411">
        <v>269</v>
      </c>
      <c r="C54" s="1411">
        <v>221</v>
      </c>
      <c r="D54" s="1411">
        <f t="shared" si="20"/>
        <v>221</v>
      </c>
      <c r="E54" s="1411">
        <v>373</v>
      </c>
      <c r="F54" s="1412">
        <v>196</v>
      </c>
      <c r="G54" s="3915">
        <v>2010</v>
      </c>
      <c r="H54" s="1413">
        <v>4</v>
      </c>
      <c r="I54" s="1413">
        <v>5.72</v>
      </c>
      <c r="J54" s="1413">
        <v>6.57</v>
      </c>
      <c r="K54" s="1413">
        <v>5.72</v>
      </c>
      <c r="L54" s="1439">
        <v>2.72</v>
      </c>
      <c r="N54" s="1429">
        <f t="shared" si="22"/>
        <v>5.7200000000000001E-2</v>
      </c>
      <c r="O54" s="1430">
        <f t="shared" si="22"/>
        <v>6.5699999999999995E-2</v>
      </c>
      <c r="P54" s="1430">
        <f t="shared" si="22"/>
        <v>5.7200000000000001E-2</v>
      </c>
      <c r="Q54" s="1430">
        <f t="shared" si="22"/>
        <v>2.7199999999999998E-2</v>
      </c>
      <c r="R54" s="1449"/>
      <c r="S54" s="1450"/>
      <c r="T54" s="1451"/>
      <c r="U54" s="1451"/>
      <c r="V54" s="1451"/>
      <c r="X54" s="1451"/>
      <c r="Y54" s="1451"/>
      <c r="Z54" s="1451"/>
    </row>
    <row r="55" spans="1:26">
      <c r="A55" s="1402" t="s">
        <v>1983</v>
      </c>
      <c r="B55" s="1403">
        <f t="shared" ref="B55:C57" si="32">B54/(1+N54)</f>
        <v>254.445705637533</v>
      </c>
      <c r="C55" s="1403">
        <f t="shared" si="32"/>
        <v>207.375433987051</v>
      </c>
      <c r="D55" s="1403">
        <f t="shared" si="20"/>
        <v>207.375433987051</v>
      </c>
      <c r="E55" s="1403">
        <f t="shared" ref="E55:F57" si="33">E54/(1+P54)</f>
        <v>352.81876655315898</v>
      </c>
      <c r="F55" s="1403">
        <f t="shared" si="33"/>
        <v>190.809968847352</v>
      </c>
      <c r="G55" s="3911">
        <v>2010</v>
      </c>
      <c r="H55" s="1414">
        <v>3</v>
      </c>
      <c r="I55" s="1414">
        <v>4.7300000000000004</v>
      </c>
      <c r="J55" s="1414">
        <v>3.9</v>
      </c>
      <c r="K55" s="1414">
        <v>5.03</v>
      </c>
      <c r="L55" s="1440">
        <v>4.21</v>
      </c>
      <c r="N55" s="1429">
        <f t="shared" si="22"/>
        <v>4.7300000000000002E-2</v>
      </c>
      <c r="O55" s="1430">
        <f t="shared" si="22"/>
        <v>3.9E-2</v>
      </c>
      <c r="P55" s="1430">
        <f t="shared" si="22"/>
        <v>5.0299999999999997E-2</v>
      </c>
      <c r="Q55" s="1430">
        <f t="shared" si="22"/>
        <v>4.2099999999999999E-2</v>
      </c>
      <c r="R55" s="1449"/>
      <c r="S55" s="1429"/>
      <c r="T55" s="1430"/>
      <c r="U55" s="1430"/>
      <c r="V55" s="1430"/>
    </row>
    <row r="56" spans="1:26">
      <c r="A56" s="1402" t="s">
        <v>1984</v>
      </c>
      <c r="B56" s="1403">
        <f t="shared" si="32"/>
        <v>242.95398227588399</v>
      </c>
      <c r="C56" s="1403">
        <f t="shared" si="32"/>
        <v>199.591370536141</v>
      </c>
      <c r="D56" s="1403">
        <f t="shared" si="20"/>
        <v>199.591370536141</v>
      </c>
      <c r="E56" s="1403">
        <f t="shared" si="33"/>
        <v>335.92189522342102</v>
      </c>
      <c r="F56" s="1403">
        <f t="shared" si="33"/>
        <v>183.101399911095</v>
      </c>
      <c r="G56" s="3911">
        <v>2010</v>
      </c>
      <c r="H56" s="1408">
        <v>2</v>
      </c>
      <c r="I56" s="1408">
        <v>4.6900000000000004</v>
      </c>
      <c r="J56" s="1408">
        <v>3.55</v>
      </c>
      <c r="K56" s="1408">
        <v>5.07</v>
      </c>
      <c r="L56" s="1433">
        <v>4.2300000000000004</v>
      </c>
      <c r="N56" s="1429">
        <f t="shared" si="22"/>
        <v>4.6899999999999997E-2</v>
      </c>
      <c r="O56" s="1430">
        <f t="shared" si="22"/>
        <v>3.5499999999999997E-2</v>
      </c>
      <c r="P56" s="1430">
        <f t="shared" si="22"/>
        <v>5.0700000000000002E-2</v>
      </c>
      <c r="Q56" s="1430">
        <f t="shared" si="22"/>
        <v>4.2299999999999997E-2</v>
      </c>
      <c r="R56" s="1449"/>
      <c r="S56" s="1429"/>
      <c r="T56" s="1430"/>
      <c r="U56" s="1430"/>
      <c r="V56" s="1430"/>
    </row>
    <row r="57" spans="1:26">
      <c r="A57" s="1402" t="s">
        <v>1985</v>
      </c>
      <c r="B57" s="1403">
        <f t="shared" si="32"/>
        <v>232.06990378821601</v>
      </c>
      <c r="C57" s="1403">
        <f t="shared" si="32"/>
        <v>192.74878854286899</v>
      </c>
      <c r="D57" s="1403">
        <f t="shared" si="20"/>
        <v>192.74878854286899</v>
      </c>
      <c r="E57" s="1403">
        <f t="shared" si="33"/>
        <v>319.71247284993001</v>
      </c>
      <c r="F57" s="1403">
        <f t="shared" si="33"/>
        <v>175.670536228624</v>
      </c>
      <c r="G57" s="3914">
        <v>2010</v>
      </c>
      <c r="H57" s="1404">
        <v>1</v>
      </c>
      <c r="I57" s="1404">
        <v>5.4</v>
      </c>
      <c r="J57" s="1404">
        <v>3.2</v>
      </c>
      <c r="K57" s="1404">
        <v>6.16</v>
      </c>
      <c r="L57" s="1431">
        <v>4.51</v>
      </c>
      <c r="N57" s="1429">
        <f t="shared" si="22"/>
        <v>5.3999999999999999E-2</v>
      </c>
      <c r="O57" s="1430">
        <f t="shared" si="22"/>
        <v>3.2000000000000001E-2</v>
      </c>
      <c r="P57" s="1430">
        <f t="shared" si="22"/>
        <v>6.1600000000000002E-2</v>
      </c>
      <c r="Q57" s="1430">
        <f t="shared" si="22"/>
        <v>4.5100000000000001E-2</v>
      </c>
      <c r="R57" s="1449"/>
      <c r="S57" s="1437">
        <f>B57/B58-1</f>
        <v>5.4863199037347599E-2</v>
      </c>
      <c r="T57" s="1438">
        <f>C57/C58-1</f>
        <v>3.0742184721226602E-2</v>
      </c>
      <c r="U57" s="1438">
        <f>E57/E58-1</f>
        <v>6.2167683886810203E-2</v>
      </c>
      <c r="V57" s="1438">
        <f>F57/F58-1</f>
        <v>4.5657953741810003E-2</v>
      </c>
      <c r="X57" s="1430"/>
      <c r="Y57" s="1430"/>
      <c r="Z57" s="1430"/>
    </row>
    <row r="58" spans="1:26">
      <c r="A58" s="1402" t="s">
        <v>1986</v>
      </c>
      <c r="B58" s="1411">
        <v>220</v>
      </c>
      <c r="C58" s="1411">
        <v>187</v>
      </c>
      <c r="D58" s="1411">
        <f t="shared" si="20"/>
        <v>187</v>
      </c>
      <c r="E58" s="1411">
        <v>301</v>
      </c>
      <c r="F58" s="1412">
        <v>168</v>
      </c>
      <c r="G58" s="3915">
        <v>2009</v>
      </c>
      <c r="H58" s="1413">
        <v>4</v>
      </c>
      <c r="I58" s="1413">
        <v>2.2999999999999998</v>
      </c>
      <c r="J58" s="1413">
        <v>1.04</v>
      </c>
      <c r="K58" s="1413">
        <v>2.84</v>
      </c>
      <c r="L58" s="1439">
        <v>0.67</v>
      </c>
      <c r="N58" s="1434">
        <f t="shared" si="22"/>
        <v>2.3E-2</v>
      </c>
      <c r="O58" s="1435">
        <f t="shared" si="22"/>
        <v>1.04E-2</v>
      </c>
      <c r="P58" s="1435">
        <f t="shared" si="22"/>
        <v>2.8400000000000002E-2</v>
      </c>
      <c r="Q58" s="1435">
        <f t="shared" si="22"/>
        <v>6.7000000000000002E-3</v>
      </c>
      <c r="R58" s="1449"/>
      <c r="S58" s="1450"/>
      <c r="T58" s="1451"/>
      <c r="U58" s="1451"/>
      <c r="V58" s="1451"/>
      <c r="X58" s="1451"/>
      <c r="Y58" s="1451"/>
      <c r="Z58" s="1451"/>
    </row>
    <row r="59" spans="1:26">
      <c r="A59" s="1402" t="s">
        <v>1987</v>
      </c>
      <c r="B59" s="1403">
        <f t="shared" ref="B59:C61" si="34">B58/(1+N58)</f>
        <v>215.05376344086</v>
      </c>
      <c r="C59" s="1403">
        <f t="shared" si="34"/>
        <v>185.07521773555001</v>
      </c>
      <c r="D59" s="1403">
        <f t="shared" si="20"/>
        <v>185.07521773555001</v>
      </c>
      <c r="E59" s="1403">
        <f t="shared" ref="E59:F61" si="35">E58/(1+P58)</f>
        <v>292.68767016725002</v>
      </c>
      <c r="F59" s="1403">
        <f t="shared" si="35"/>
        <v>166.881891328102</v>
      </c>
      <c r="G59" s="3911">
        <v>2009</v>
      </c>
      <c r="H59" s="1414">
        <v>3</v>
      </c>
      <c r="I59" s="1414">
        <v>2.1</v>
      </c>
      <c r="J59" s="1414">
        <v>1.86</v>
      </c>
      <c r="K59" s="1414">
        <v>2.29</v>
      </c>
      <c r="L59" s="1440">
        <v>0.85</v>
      </c>
      <c r="N59" s="1429">
        <f t="shared" si="22"/>
        <v>2.1000000000000001E-2</v>
      </c>
      <c r="O59" s="1436">
        <f t="shared" si="22"/>
        <v>1.8599999999999998E-2</v>
      </c>
      <c r="P59" s="1436">
        <f t="shared" si="22"/>
        <v>2.29E-2</v>
      </c>
      <c r="Q59" s="1436">
        <f t="shared" si="22"/>
        <v>8.5000000000000006E-3</v>
      </c>
      <c r="R59" s="1449"/>
      <c r="S59" s="1429"/>
      <c r="T59" s="1430"/>
      <c r="U59" s="1430"/>
      <c r="V59" s="1430"/>
    </row>
    <row r="60" spans="1:26">
      <c r="A60" s="1402" t="s">
        <v>1988</v>
      </c>
      <c r="B60" s="1403">
        <f t="shared" si="34"/>
        <v>210.630522469011</v>
      </c>
      <c r="C60" s="1403">
        <f t="shared" si="34"/>
        <v>181.695678122472</v>
      </c>
      <c r="D60" s="1403">
        <f t="shared" si="20"/>
        <v>181.695678122472</v>
      </c>
      <c r="E60" s="1403">
        <f t="shared" si="35"/>
        <v>286.13517466736698</v>
      </c>
      <c r="F60" s="1403">
        <f t="shared" si="35"/>
        <v>165.47535084591101</v>
      </c>
      <c r="G60" s="3911">
        <v>2009</v>
      </c>
      <c r="H60" s="1408">
        <v>2</v>
      </c>
      <c r="I60" s="1408">
        <v>0.86</v>
      </c>
      <c r="J60" s="1408">
        <v>-1.1299999999999999</v>
      </c>
      <c r="K60" s="1408">
        <v>1.79</v>
      </c>
      <c r="L60" s="1433">
        <v>-2.0699999999999998</v>
      </c>
      <c r="N60" s="1429">
        <f t="shared" si="22"/>
        <v>8.6E-3</v>
      </c>
      <c r="O60" s="1436">
        <f t="shared" si="22"/>
        <v>-1.1299999999999999E-2</v>
      </c>
      <c r="P60" s="1436">
        <f t="shared" si="22"/>
        <v>1.7899999999999999E-2</v>
      </c>
      <c r="Q60" s="1436">
        <f t="shared" si="22"/>
        <v>-2.07E-2</v>
      </c>
      <c r="R60" s="1449"/>
      <c r="S60" s="1429"/>
      <c r="T60" s="1430"/>
      <c r="U60" s="1430"/>
      <c r="V60" s="1430"/>
    </row>
    <row r="61" spans="1:26">
      <c r="A61" s="1402" t="s">
        <v>1989</v>
      </c>
      <c r="B61" s="1403">
        <f t="shared" si="34"/>
        <v>208.834545378754</v>
      </c>
      <c r="C61" s="1403">
        <f t="shared" si="34"/>
        <v>183.77230517090399</v>
      </c>
      <c r="D61" s="1403">
        <f t="shared" si="20"/>
        <v>183.77230517090399</v>
      </c>
      <c r="E61" s="1403">
        <f t="shared" si="35"/>
        <v>281.10342338870902</v>
      </c>
      <c r="F61" s="1403">
        <f t="shared" si="35"/>
        <v>168.97309388942301</v>
      </c>
      <c r="G61" s="3914">
        <v>2009</v>
      </c>
      <c r="H61" s="1404">
        <v>1</v>
      </c>
      <c r="I61" s="1404">
        <v>-2.64</v>
      </c>
      <c r="J61" s="1404">
        <v>-2.5299999999999998</v>
      </c>
      <c r="K61" s="1404">
        <v>-3.02</v>
      </c>
      <c r="L61" s="1431">
        <v>1.52</v>
      </c>
      <c r="N61" s="1437">
        <f t="shared" si="22"/>
        <v>-2.64E-2</v>
      </c>
      <c r="O61" s="1438">
        <f t="shared" si="22"/>
        <v>-2.53E-2</v>
      </c>
      <c r="P61" s="1438">
        <f t="shared" si="22"/>
        <v>-3.0200000000000001E-2</v>
      </c>
      <c r="Q61" s="1438">
        <f t="shared" si="22"/>
        <v>1.52E-2</v>
      </c>
      <c r="R61" s="1449"/>
      <c r="S61" s="1437">
        <f>B61/B62-1</f>
        <v>-2.4137638417038799E-2</v>
      </c>
      <c r="T61" s="1438">
        <f>C61/C62-1</f>
        <v>-2.2487738452641001E-2</v>
      </c>
      <c r="U61" s="1438">
        <f>E61/E62-1</f>
        <v>-2.73237945027354E-2</v>
      </c>
      <c r="V61" s="1438">
        <f>F61/F62-1</f>
        <v>1.7910204153148E-2</v>
      </c>
      <c r="X61" s="1430"/>
      <c r="Y61" s="1430"/>
      <c r="Z61" s="1430"/>
    </row>
    <row r="62" spans="1:26">
      <c r="A62" s="1402" t="s">
        <v>1990</v>
      </c>
      <c r="B62" s="1422">
        <v>214</v>
      </c>
      <c r="C62" s="1422">
        <v>188</v>
      </c>
      <c r="D62" s="1422">
        <f t="shared" si="20"/>
        <v>188</v>
      </c>
      <c r="E62" s="1422">
        <v>289</v>
      </c>
      <c r="F62" s="1423">
        <v>166</v>
      </c>
      <c r="G62" s="3915">
        <v>2008</v>
      </c>
      <c r="H62" s="1413">
        <v>4</v>
      </c>
      <c r="I62" s="1413">
        <v>1.73</v>
      </c>
      <c r="J62" s="1413">
        <v>0.03</v>
      </c>
      <c r="K62" s="1413">
        <v>2.59</v>
      </c>
      <c r="L62" s="1439">
        <v>-1.66</v>
      </c>
      <c r="N62" s="1429">
        <f t="shared" si="22"/>
        <v>1.7299999999999999E-2</v>
      </c>
      <c r="O62" s="1430">
        <f t="shared" si="22"/>
        <v>2.9999999999999997E-4</v>
      </c>
      <c r="P62" s="1430">
        <f t="shared" si="22"/>
        <v>2.5899999999999999E-2</v>
      </c>
      <c r="Q62" s="1430">
        <f t="shared" si="22"/>
        <v>-1.66E-2</v>
      </c>
      <c r="R62" s="1449"/>
      <c r="S62" s="1450"/>
      <c r="T62" s="1451"/>
      <c r="U62" s="1451"/>
      <c r="V62" s="1451"/>
      <c r="X62" s="1451"/>
      <c r="Y62" s="1451"/>
      <c r="Z62" s="1451"/>
    </row>
    <row r="63" spans="1:26">
      <c r="A63" s="1402" t="s">
        <v>1991</v>
      </c>
      <c r="B63" s="1403">
        <f t="shared" ref="B63:C65" si="36">B62/(1+N62)</f>
        <v>210.36075887152299</v>
      </c>
      <c r="C63" s="1403">
        <f t="shared" si="36"/>
        <v>187.943616914926</v>
      </c>
      <c r="D63" s="1403">
        <f t="shared" si="20"/>
        <v>187.943616914926</v>
      </c>
      <c r="E63" s="1403">
        <f t="shared" ref="E63:F65" si="37">E62/(1+P62)</f>
        <v>281.703869772882</v>
      </c>
      <c r="F63" s="1403">
        <f t="shared" si="37"/>
        <v>168.80211511083999</v>
      </c>
      <c r="G63" s="3911">
        <v>2008</v>
      </c>
      <c r="H63" s="1414">
        <v>3</v>
      </c>
      <c r="I63" s="1414">
        <v>1.96</v>
      </c>
      <c r="J63" s="1414">
        <v>2.36</v>
      </c>
      <c r="K63" s="1414">
        <v>1.82</v>
      </c>
      <c r="L63" s="1440">
        <v>2.2200000000000002</v>
      </c>
      <c r="N63" s="1429">
        <f t="shared" si="22"/>
        <v>1.9599999999999999E-2</v>
      </c>
      <c r="O63" s="1430">
        <f t="shared" si="22"/>
        <v>2.3599999999999999E-2</v>
      </c>
      <c r="P63" s="1430">
        <f t="shared" si="22"/>
        <v>1.8200000000000001E-2</v>
      </c>
      <c r="Q63" s="1430">
        <f t="shared" si="22"/>
        <v>2.2200000000000001E-2</v>
      </c>
      <c r="R63" s="1449"/>
      <c r="S63" s="1429"/>
      <c r="T63" s="1430"/>
      <c r="U63" s="1430"/>
      <c r="V63" s="1430"/>
    </row>
    <row r="64" spans="1:26">
      <c r="A64" s="1402" t="s">
        <v>1992</v>
      </c>
      <c r="B64" s="1403">
        <f t="shared" si="36"/>
        <v>206.31694671589099</v>
      </c>
      <c r="C64" s="1403">
        <f t="shared" si="36"/>
        <v>183.61041121036101</v>
      </c>
      <c r="D64" s="1403">
        <f t="shared" si="20"/>
        <v>183.61041121036101</v>
      </c>
      <c r="E64" s="1403">
        <f t="shared" si="37"/>
        <v>276.66850301795603</v>
      </c>
      <c r="F64" s="1403">
        <f t="shared" si="37"/>
        <v>165.136093827861</v>
      </c>
      <c r="G64" s="3911">
        <v>2008</v>
      </c>
      <c r="H64" s="1408">
        <v>2</v>
      </c>
      <c r="I64" s="1408">
        <v>4.93</v>
      </c>
      <c r="J64" s="1408">
        <v>7.38</v>
      </c>
      <c r="K64" s="1408">
        <v>3.98</v>
      </c>
      <c r="L64" s="1433">
        <v>6.86</v>
      </c>
      <c r="N64" s="1429">
        <f t="shared" si="22"/>
        <v>4.9299999999999997E-2</v>
      </c>
      <c r="O64" s="1430">
        <f t="shared" si="22"/>
        <v>7.3800000000000004E-2</v>
      </c>
      <c r="P64" s="1430">
        <f t="shared" si="22"/>
        <v>3.9800000000000002E-2</v>
      </c>
      <c r="Q64" s="1430">
        <f t="shared" si="22"/>
        <v>6.8599999999999994E-2</v>
      </c>
      <c r="R64" s="1449"/>
      <c r="S64" s="1429"/>
      <c r="T64" s="1430"/>
      <c r="U64" s="1430"/>
      <c r="V64" s="1430"/>
    </row>
    <row r="65" spans="1:26" s="1386" customFormat="1">
      <c r="A65" s="1402" t="s">
        <v>1993</v>
      </c>
      <c r="B65" s="1461">
        <f t="shared" si="36"/>
        <v>196.62341248059801</v>
      </c>
      <c r="C65" s="1461">
        <f t="shared" si="36"/>
        <v>170.99125648199001</v>
      </c>
      <c r="D65" s="1461">
        <f t="shared" si="20"/>
        <v>170.99125648199001</v>
      </c>
      <c r="E65" s="1461">
        <f t="shared" si="37"/>
        <v>266.07857570490103</v>
      </c>
      <c r="F65" s="1461">
        <f t="shared" si="37"/>
        <v>154.53499328828499</v>
      </c>
      <c r="G65" s="3914">
        <v>2008</v>
      </c>
      <c r="H65" s="1462">
        <v>1</v>
      </c>
      <c r="I65" s="1462">
        <v>4.1399999999999997</v>
      </c>
      <c r="J65" s="1462">
        <v>3.45</v>
      </c>
      <c r="K65" s="1462">
        <v>4.95</v>
      </c>
      <c r="L65" s="1476">
        <v>4.82</v>
      </c>
      <c r="N65" s="1477">
        <f t="shared" si="22"/>
        <v>4.1399999999999999E-2</v>
      </c>
      <c r="O65" s="1478">
        <f t="shared" si="22"/>
        <v>3.4500000000000003E-2</v>
      </c>
      <c r="P65" s="1478">
        <f t="shared" si="22"/>
        <v>4.9500000000000002E-2</v>
      </c>
      <c r="Q65" s="1478">
        <f t="shared" si="22"/>
        <v>4.82E-2</v>
      </c>
      <c r="R65" s="1492"/>
      <c r="S65" s="1477">
        <f>B65/B66-1</f>
        <v>4.5869215322328301E-2</v>
      </c>
      <c r="T65" s="1478">
        <f>C65/C66-1</f>
        <v>3.6310645345394701E-2</v>
      </c>
      <c r="U65" s="1478">
        <f>E65/E66-1</f>
        <v>4.7553447657088702E-2</v>
      </c>
      <c r="V65" s="1478">
        <f>F65/F66-1</f>
        <v>4.41553600559801E-2</v>
      </c>
      <c r="X65" s="1478"/>
      <c r="Y65" s="1478"/>
      <c r="Z65" s="1478"/>
    </row>
    <row r="66" spans="1:26">
      <c r="A66" s="1402" t="s">
        <v>1994</v>
      </c>
      <c r="B66" s="1411">
        <v>188</v>
      </c>
      <c r="C66" s="1411">
        <v>165</v>
      </c>
      <c r="D66" s="1411">
        <f t="shared" si="20"/>
        <v>165</v>
      </c>
      <c r="E66" s="1411">
        <v>254</v>
      </c>
      <c r="F66" s="1412">
        <v>148</v>
      </c>
      <c r="G66" s="3915">
        <v>2007</v>
      </c>
      <c r="H66" s="1463">
        <v>4</v>
      </c>
      <c r="I66" s="1463">
        <v>5.51</v>
      </c>
      <c r="J66" s="1463">
        <v>4.8899999999999997</v>
      </c>
      <c r="K66" s="1463">
        <v>6.43</v>
      </c>
      <c r="L66" s="1479">
        <v>5.36</v>
      </c>
      <c r="N66" s="1480">
        <f t="shared" ref="N66:O69" si="38">B66/B67-1</f>
        <v>4.1339718365245498E-2</v>
      </c>
      <c r="O66" s="1481">
        <f t="shared" si="38"/>
        <v>4.0324492593775997E-2</v>
      </c>
      <c r="P66" s="1481">
        <f t="shared" ref="P66:Q69" si="39">E66/E67-1</f>
        <v>6.1625555347991003E-2</v>
      </c>
      <c r="Q66" s="1481">
        <f t="shared" si="39"/>
        <v>4.6757569250590603E-2</v>
      </c>
      <c r="R66" s="1449"/>
      <c r="S66" s="1450"/>
      <c r="T66" s="1451"/>
      <c r="U66" s="1451"/>
      <c r="V66" s="1451"/>
      <c r="X66" s="1451"/>
      <c r="Y66" s="1451"/>
      <c r="Z66" s="1451"/>
    </row>
    <row r="67" spans="1:26">
      <c r="A67" s="1402" t="s">
        <v>1995</v>
      </c>
      <c r="B67" s="1403">
        <f t="shared" ref="B67:C69" si="40">B68+(B$66-B$70)*I67/SUM(I$66:I$69)</f>
        <v>180.536665109762</v>
      </c>
      <c r="C67" s="1403">
        <f t="shared" si="40"/>
        <v>158.60435967302499</v>
      </c>
      <c r="D67" s="1403">
        <f t="shared" si="20"/>
        <v>158.60435967302499</v>
      </c>
      <c r="E67" s="1403">
        <f t="shared" ref="E67:F69" si="41">E68+(E$66-E$70)*K67/SUM(K$66:K$69)</f>
        <v>239.255732607851</v>
      </c>
      <c r="F67" s="1403">
        <f t="shared" si="41"/>
        <v>141.3889943074</v>
      </c>
      <c r="G67" s="3911">
        <v>2007</v>
      </c>
      <c r="H67" s="1414">
        <v>3</v>
      </c>
      <c r="I67" s="1414">
        <v>8.65</v>
      </c>
      <c r="J67" s="1414">
        <v>8.06</v>
      </c>
      <c r="K67" s="1414">
        <v>9.94</v>
      </c>
      <c r="L67" s="1440">
        <v>5.8</v>
      </c>
      <c r="N67" s="1480">
        <f t="shared" si="38"/>
        <v>6.9402175717400094E-2</v>
      </c>
      <c r="O67" s="1481">
        <f t="shared" si="38"/>
        <v>7.11974824711534E-2</v>
      </c>
      <c r="P67" s="1481">
        <f t="shared" si="39"/>
        <v>0.105296799225796</v>
      </c>
      <c r="Q67" s="1481">
        <f t="shared" si="39"/>
        <v>5.3292245059512099E-2</v>
      </c>
      <c r="R67" s="1449"/>
      <c r="S67" s="1429"/>
      <c r="T67" s="1430"/>
      <c r="U67" s="1430"/>
      <c r="V67" s="1430"/>
      <c r="X67" s="1493"/>
      <c r="Y67" s="1493"/>
      <c r="Z67" s="1493"/>
    </row>
    <row r="68" spans="1:26">
      <c r="A68" s="1402" t="s">
        <v>1996</v>
      </c>
      <c r="B68" s="1403">
        <f t="shared" si="40"/>
        <v>168.820177487156</v>
      </c>
      <c r="C68" s="1403">
        <f t="shared" si="40"/>
        <v>148.06267029972801</v>
      </c>
      <c r="D68" s="1403">
        <f t="shared" si="20"/>
        <v>148.06267029972801</v>
      </c>
      <c r="E68" s="1403">
        <f t="shared" si="41"/>
        <v>216.46288379323701</v>
      </c>
      <c r="F68" s="1403">
        <f t="shared" si="41"/>
        <v>134.23529411764699</v>
      </c>
      <c r="G68" s="3911">
        <v>2007</v>
      </c>
      <c r="H68" s="1408">
        <v>2</v>
      </c>
      <c r="I68" s="1408">
        <v>3.67</v>
      </c>
      <c r="J68" s="1408">
        <v>2.3199999999999998</v>
      </c>
      <c r="K68" s="1408">
        <v>5.0199999999999996</v>
      </c>
      <c r="L68" s="1433">
        <v>6.71</v>
      </c>
      <c r="N68" s="1480">
        <f t="shared" si="38"/>
        <v>3.0339138143848001E-2</v>
      </c>
      <c r="O68" s="1481">
        <f t="shared" si="38"/>
        <v>2.09223415887905E-2</v>
      </c>
      <c r="P68" s="1481">
        <f t="shared" si="39"/>
        <v>5.6164796592717003E-2</v>
      </c>
      <c r="Q68" s="1481">
        <f t="shared" si="39"/>
        <v>6.5704536723887305E-2</v>
      </c>
      <c r="R68" s="1449"/>
      <c r="S68" s="1429"/>
      <c r="T68" s="1430"/>
      <c r="U68" s="1430"/>
      <c r="V68" s="1430"/>
      <c r="X68" s="1493"/>
      <c r="Y68" s="1493"/>
      <c r="Z68" s="1493"/>
    </row>
    <row r="69" spans="1:26">
      <c r="A69" s="1402" t="s">
        <v>1997</v>
      </c>
      <c r="B69" s="1403">
        <f t="shared" si="40"/>
        <v>163.849135917795</v>
      </c>
      <c r="C69" s="1403">
        <f t="shared" si="40"/>
        <v>145.028337874659</v>
      </c>
      <c r="D69" s="1403">
        <f t="shared" si="20"/>
        <v>145.028337874659</v>
      </c>
      <c r="E69" s="1403">
        <f t="shared" si="41"/>
        <v>204.95180722891601</v>
      </c>
      <c r="F69" s="1403">
        <f t="shared" si="41"/>
        <v>125.959203036053</v>
      </c>
      <c r="G69" s="3914">
        <v>2007</v>
      </c>
      <c r="H69" s="1404">
        <v>1</v>
      </c>
      <c r="I69" s="1404">
        <v>3.58</v>
      </c>
      <c r="J69" s="1404">
        <v>3.08</v>
      </c>
      <c r="K69" s="1404">
        <v>4.34</v>
      </c>
      <c r="L69" s="1431">
        <v>3.21</v>
      </c>
      <c r="N69" s="1482">
        <f t="shared" si="38"/>
        <v>3.0497710174814101E-2</v>
      </c>
      <c r="O69" s="1483">
        <f t="shared" si="38"/>
        <v>2.8569772160705002E-2</v>
      </c>
      <c r="P69" s="1483">
        <f t="shared" si="39"/>
        <v>5.1034908866234303E-2</v>
      </c>
      <c r="Q69" s="1483">
        <f t="shared" si="39"/>
        <v>3.2452483902074801E-2</v>
      </c>
      <c r="R69" s="1449"/>
      <c r="S69" s="1437">
        <f>B69/B70-1</f>
        <v>3.0497710174814101E-2</v>
      </c>
      <c r="T69" s="1438">
        <f>C69/C70-1</f>
        <v>2.8569772160705002E-2</v>
      </c>
      <c r="U69" s="1438">
        <f>E69/E70-1</f>
        <v>5.1034908866234303E-2</v>
      </c>
      <c r="V69" s="1438">
        <f>F69/F70-1</f>
        <v>3.2452483902074801E-2</v>
      </c>
      <c r="X69" s="1493"/>
      <c r="Y69" s="1493"/>
      <c r="Z69" s="1493"/>
    </row>
    <row r="70" spans="1:26">
      <c r="A70" s="1402" t="s">
        <v>1998</v>
      </c>
      <c r="B70" s="1415">
        <v>159</v>
      </c>
      <c r="C70" s="1415">
        <v>141</v>
      </c>
      <c r="D70" s="1415">
        <f t="shared" si="20"/>
        <v>141</v>
      </c>
      <c r="E70" s="1415">
        <v>195</v>
      </c>
      <c r="F70" s="1416">
        <v>122</v>
      </c>
      <c r="G70" s="3915">
        <v>2006</v>
      </c>
      <c r="H70" s="1413">
        <v>4</v>
      </c>
      <c r="I70" s="1413">
        <v>3.79</v>
      </c>
      <c r="J70" s="1413">
        <v>2.21</v>
      </c>
      <c r="K70" s="1413">
        <v>5.65</v>
      </c>
      <c r="L70" s="1439">
        <v>5.41</v>
      </c>
      <c r="N70" s="1480">
        <f t="shared" ref="N70:O73" si="42">I70/SUM(I$70:I$73)*(B$70/B$74-1)</f>
        <v>7.2454664627485302E-2</v>
      </c>
      <c r="O70" s="1481">
        <f t="shared" si="42"/>
        <v>2.3237230038062801E-2</v>
      </c>
      <c r="P70" s="1481">
        <f t="shared" ref="P70:Q73" si="43">K70/SUM(K$70:K$73)*(E$70/E$74-1)</f>
        <v>0.161468938663237</v>
      </c>
      <c r="Q70" s="1481">
        <f t="shared" si="43"/>
        <v>5.0755230321793798E-2</v>
      </c>
      <c r="R70" s="1449"/>
      <c r="S70" s="1450"/>
      <c r="T70" s="1451"/>
      <c r="U70" s="1451"/>
      <c r="V70" s="1451"/>
      <c r="X70" s="1493"/>
      <c r="Y70" s="1493"/>
      <c r="Z70" s="1493"/>
    </row>
    <row r="71" spans="1:26">
      <c r="A71" s="1402" t="s">
        <v>1999</v>
      </c>
      <c r="B71" s="1403">
        <f t="shared" ref="B71:C73" si="44">B72+(B$70-B$74)*I71/SUM(I$70:I$73)</f>
        <v>149.001256281407</v>
      </c>
      <c r="C71" s="1403">
        <f t="shared" si="44"/>
        <v>137.955922865014</v>
      </c>
      <c r="D71" s="1403">
        <f t="shared" si="20"/>
        <v>137.955922865014</v>
      </c>
      <c r="E71" s="1403">
        <f t="shared" ref="E71:F73" si="45">E72+(E$70-E$74)*K71/SUM(K$70:K$73)</f>
        <v>169.97231450719801</v>
      </c>
      <c r="F71" s="1403">
        <f t="shared" si="45"/>
        <v>116.213903743316</v>
      </c>
      <c r="G71" s="3911">
        <v>2006</v>
      </c>
      <c r="H71" s="1414">
        <v>3</v>
      </c>
      <c r="I71" s="1414">
        <v>0.92</v>
      </c>
      <c r="J71" s="1414">
        <v>1.08</v>
      </c>
      <c r="K71" s="1414">
        <v>0.73</v>
      </c>
      <c r="L71" s="1440">
        <v>1.08</v>
      </c>
      <c r="N71" s="1480">
        <f t="shared" si="42"/>
        <v>1.75879396984925E-2</v>
      </c>
      <c r="O71" s="1481">
        <f t="shared" si="42"/>
        <v>1.13557504258406E-2</v>
      </c>
      <c r="P71" s="1481">
        <f t="shared" si="43"/>
        <v>2.0862358446754499E-2</v>
      </c>
      <c r="Q71" s="1481">
        <f t="shared" si="43"/>
        <v>1.0132282578103001E-2</v>
      </c>
      <c r="R71" s="1449"/>
      <c r="S71" s="1429"/>
      <c r="T71" s="1430"/>
      <c r="U71" s="1430"/>
      <c r="V71" s="1430"/>
      <c r="X71" s="1493"/>
      <c r="Y71" s="1493"/>
      <c r="Z71" s="1493"/>
    </row>
    <row r="72" spans="1:26">
      <c r="A72" s="1402" t="s">
        <v>2000</v>
      </c>
      <c r="B72" s="1403">
        <f t="shared" si="44"/>
        <v>146.57412060301499</v>
      </c>
      <c r="C72" s="1403">
        <f t="shared" si="44"/>
        <v>136.468319559229</v>
      </c>
      <c r="D72" s="1403">
        <f t="shared" si="20"/>
        <v>136.468319559229</v>
      </c>
      <c r="E72" s="1403">
        <f t="shared" si="45"/>
        <v>166.73864894795099</v>
      </c>
      <c r="F72" s="1403">
        <f t="shared" si="45"/>
        <v>115.058823529412</v>
      </c>
      <c r="G72" s="3911">
        <v>2006</v>
      </c>
      <c r="H72" s="1408">
        <v>2</v>
      </c>
      <c r="I72" s="1408">
        <v>0.96</v>
      </c>
      <c r="J72" s="1408">
        <v>0.25</v>
      </c>
      <c r="K72" s="1408">
        <v>1.9</v>
      </c>
      <c r="L72" s="1433">
        <v>0.95</v>
      </c>
      <c r="N72" s="1480">
        <f t="shared" si="42"/>
        <v>1.8352632728861701E-2</v>
      </c>
      <c r="O72" s="1481">
        <f t="shared" si="42"/>
        <v>2.62864593190755E-3</v>
      </c>
      <c r="P72" s="1481">
        <f t="shared" si="43"/>
        <v>5.4299289107991297E-2</v>
      </c>
      <c r="Q72" s="1481">
        <f t="shared" si="43"/>
        <v>8.9126559714794995E-3</v>
      </c>
      <c r="R72" s="1449"/>
      <c r="S72" s="1429"/>
      <c r="T72" s="1430"/>
      <c r="U72" s="1430"/>
      <c r="V72" s="1430"/>
      <c r="X72" s="1493"/>
      <c r="Y72" s="1493"/>
      <c r="Z72" s="1493"/>
    </row>
    <row r="73" spans="1:26">
      <c r="A73" s="1402" t="s">
        <v>2001</v>
      </c>
      <c r="B73" s="1403">
        <f t="shared" si="44"/>
        <v>144.04145728643201</v>
      </c>
      <c r="C73" s="1403">
        <f t="shared" si="44"/>
        <v>136.123966942149</v>
      </c>
      <c r="D73" s="1403">
        <f t="shared" si="20"/>
        <v>136.123966942149</v>
      </c>
      <c r="E73" s="1403">
        <f t="shared" si="45"/>
        <v>158.32225913621301</v>
      </c>
      <c r="F73" s="1403">
        <f t="shared" si="45"/>
        <v>114.04278074866301</v>
      </c>
      <c r="G73" s="3914">
        <v>2006</v>
      </c>
      <c r="H73" s="1404">
        <v>1</v>
      </c>
      <c r="I73" s="1404">
        <v>2.29</v>
      </c>
      <c r="J73" s="1404">
        <v>3.72</v>
      </c>
      <c r="K73" s="1404">
        <v>0.75</v>
      </c>
      <c r="L73" s="1431">
        <v>0.04</v>
      </c>
      <c r="N73" s="1482">
        <f t="shared" si="42"/>
        <v>4.3778675988638799E-2</v>
      </c>
      <c r="O73" s="1483">
        <f t="shared" si="42"/>
        <v>3.9114251466784399E-2</v>
      </c>
      <c r="P73" s="1483">
        <f t="shared" si="43"/>
        <v>2.1433929911049199E-2</v>
      </c>
      <c r="Q73" s="1483">
        <f t="shared" si="43"/>
        <v>3.7526972511492602E-4</v>
      </c>
      <c r="R73" s="1449"/>
      <c r="S73" s="1437">
        <f>B73/B74-1</f>
        <v>4.3778675988638702E-2</v>
      </c>
      <c r="T73" s="1438">
        <f>C73/C74-1</f>
        <v>3.91142514667846E-2</v>
      </c>
      <c r="U73" s="1438">
        <f>E73/E74-1</f>
        <v>2.1433929911049299E-2</v>
      </c>
      <c r="V73" s="1438">
        <f>F73/F74-1</f>
        <v>3.7526972511492401E-4</v>
      </c>
      <c r="X73" s="1493"/>
      <c r="Y73" s="1493"/>
      <c r="Z73" s="1493"/>
    </row>
    <row r="74" spans="1:26">
      <c r="A74" s="1402" t="s">
        <v>2002</v>
      </c>
      <c r="B74" s="1415">
        <v>138</v>
      </c>
      <c r="C74" s="1415">
        <v>131</v>
      </c>
      <c r="D74" s="1415">
        <f t="shared" si="20"/>
        <v>131</v>
      </c>
      <c r="E74" s="1415">
        <v>155</v>
      </c>
      <c r="F74" s="1416">
        <v>114</v>
      </c>
      <c r="G74" s="3915">
        <v>2005</v>
      </c>
      <c r="H74" s="1413">
        <v>4</v>
      </c>
      <c r="I74" s="1413">
        <v>3.29</v>
      </c>
      <c r="J74" s="1413">
        <v>1.44</v>
      </c>
      <c r="K74" s="1413">
        <v>0.66</v>
      </c>
      <c r="L74" s="1439">
        <v>7.78</v>
      </c>
      <c r="N74" s="1480">
        <f t="shared" ref="N74:O77" si="46">I74/SUM(I$74:I$77)*(B$74/B$78-1)</f>
        <v>9.9404603216919907E-2</v>
      </c>
      <c r="O74" s="1481">
        <f t="shared" si="46"/>
        <v>4.7636550760861603E-2</v>
      </c>
      <c r="P74" s="1481">
        <f t="shared" ref="P74:Q77" si="47">K74/SUM(K$74:K$77)*(E$74/E$78-1)</f>
        <v>8.3756345177665004E-2</v>
      </c>
      <c r="Q74" s="1481">
        <f t="shared" si="47"/>
        <v>5.2148766661559598E-2</v>
      </c>
      <c r="R74" s="1449"/>
      <c r="S74" s="1450"/>
      <c r="T74" s="1451"/>
      <c r="U74" s="1451"/>
      <c r="V74" s="1451"/>
      <c r="X74" s="1493"/>
      <c r="Y74" s="1493"/>
      <c r="Z74" s="1493"/>
    </row>
    <row r="75" spans="1:26">
      <c r="A75" s="1402" t="s">
        <v>2003</v>
      </c>
      <c r="B75" s="1403">
        <f t="shared" ref="B75:C77" si="48">B76+(B$74-B$78)*I75/SUM(I$74:I$77)</f>
        <v>125.972043010753</v>
      </c>
      <c r="C75" s="1403">
        <f t="shared" si="48"/>
        <v>125.188340807175</v>
      </c>
      <c r="D75" s="1403">
        <f t="shared" si="20"/>
        <v>125.188340807175</v>
      </c>
      <c r="E75" s="1403">
        <f t="shared" ref="E75:F77" si="49">E76+(E$74-E$78)*K75/SUM(K$74:K$77)</f>
        <v>144.61421319797</v>
      </c>
      <c r="F75" s="1403">
        <f t="shared" si="49"/>
        <v>108.42008196721299</v>
      </c>
      <c r="G75" s="3911">
        <v>2005</v>
      </c>
      <c r="H75" s="1414">
        <v>3</v>
      </c>
      <c r="I75" s="1414">
        <v>0.46</v>
      </c>
      <c r="J75" s="1414">
        <v>0.32</v>
      </c>
      <c r="K75" s="1414">
        <v>0.42</v>
      </c>
      <c r="L75" s="1440">
        <v>0.64</v>
      </c>
      <c r="N75" s="1480">
        <f t="shared" si="46"/>
        <v>1.38985159513019E-2</v>
      </c>
      <c r="O75" s="1481">
        <f t="shared" si="46"/>
        <v>1.0585900169080301E-2</v>
      </c>
      <c r="P75" s="1481">
        <f t="shared" si="47"/>
        <v>5.3299492385786802E-2</v>
      </c>
      <c r="Q75" s="1481">
        <f t="shared" si="47"/>
        <v>4.2898728359123603E-3</v>
      </c>
      <c r="R75" s="1449"/>
      <c r="S75" s="1429"/>
      <c r="T75" s="1430"/>
      <c r="U75" s="1430"/>
      <c r="V75" s="1430"/>
      <c r="X75" s="1493"/>
      <c r="Y75" s="1493"/>
      <c r="Z75" s="1493"/>
    </row>
    <row r="76" spans="1:26">
      <c r="A76" s="1402" t="s">
        <v>2004</v>
      </c>
      <c r="B76" s="1403">
        <f t="shared" si="48"/>
        <v>124.290322580645</v>
      </c>
      <c r="C76" s="1403">
        <f t="shared" si="48"/>
        <v>123.896860986547</v>
      </c>
      <c r="D76" s="1403">
        <f t="shared" si="20"/>
        <v>123.896860986547</v>
      </c>
      <c r="E76" s="1403">
        <f t="shared" si="49"/>
        <v>138.005076142132</v>
      </c>
      <c r="F76" s="1403">
        <f t="shared" si="49"/>
        <v>107.96106557377</v>
      </c>
      <c r="G76" s="3911">
        <v>2005</v>
      </c>
      <c r="H76" s="1408">
        <v>2</v>
      </c>
      <c r="I76" s="1408">
        <v>0.47</v>
      </c>
      <c r="J76" s="1408">
        <v>0.1</v>
      </c>
      <c r="K76" s="1408">
        <v>0.52</v>
      </c>
      <c r="L76" s="1433">
        <v>0.79</v>
      </c>
      <c r="N76" s="1480">
        <f t="shared" si="46"/>
        <v>1.4200657602417101E-2</v>
      </c>
      <c r="O76" s="1481">
        <f t="shared" si="46"/>
        <v>3.30809380283761E-3</v>
      </c>
      <c r="P76" s="1481">
        <f t="shared" si="47"/>
        <v>6.5989847715736002E-2</v>
      </c>
      <c r="Q76" s="1481">
        <f t="shared" si="47"/>
        <v>5.2953117818293196E-3</v>
      </c>
      <c r="R76" s="1449"/>
      <c r="S76" s="1429"/>
      <c r="T76" s="1430"/>
      <c r="U76" s="1430"/>
      <c r="V76" s="1430"/>
      <c r="X76" s="1493"/>
      <c r="Y76" s="1493"/>
      <c r="Z76" s="1493"/>
    </row>
    <row r="77" spans="1:26">
      <c r="A77" s="1402" t="s">
        <v>2005</v>
      </c>
      <c r="B77" s="1403">
        <f t="shared" si="48"/>
        <v>122.57204301075301</v>
      </c>
      <c r="C77" s="1403">
        <f t="shared" si="48"/>
        <v>123.493273542601</v>
      </c>
      <c r="D77" s="1403">
        <f t="shared" si="20"/>
        <v>123.493273542601</v>
      </c>
      <c r="E77" s="1403">
        <f t="shared" si="49"/>
        <v>129.82233502538099</v>
      </c>
      <c r="F77" s="1403">
        <f t="shared" si="49"/>
        <v>107.39446721311501</v>
      </c>
      <c r="G77" s="3914">
        <v>2005</v>
      </c>
      <c r="H77" s="1404">
        <v>1</v>
      </c>
      <c r="I77" s="1404">
        <v>0.43</v>
      </c>
      <c r="J77" s="1404">
        <v>0.37</v>
      </c>
      <c r="K77" s="1404">
        <v>0.37</v>
      </c>
      <c r="L77" s="1431">
        <v>0.55000000000000004</v>
      </c>
      <c r="N77" s="1482">
        <f t="shared" si="46"/>
        <v>1.2992090997956099E-2</v>
      </c>
      <c r="O77" s="1483">
        <f t="shared" si="46"/>
        <v>1.22399470704992E-2</v>
      </c>
      <c r="P77" s="1483">
        <f t="shared" si="47"/>
        <v>4.6954314720812199E-2</v>
      </c>
      <c r="Q77" s="1483">
        <f t="shared" si="47"/>
        <v>3.6866094683621802E-3</v>
      </c>
      <c r="R77" s="1449"/>
      <c r="S77" s="1437">
        <f>B77/B78-1</f>
        <v>1.29920909979562E-2</v>
      </c>
      <c r="T77" s="1438">
        <f>C77/C78-1</f>
        <v>1.22399470704992E-2</v>
      </c>
      <c r="U77" s="1438">
        <f>E77/E78-1</f>
        <v>4.6954314720812199E-2</v>
      </c>
      <c r="V77" s="1438">
        <f>F77/F78-1</f>
        <v>3.68660946836208E-3</v>
      </c>
      <c r="X77" s="1493"/>
      <c r="Y77" s="1493"/>
      <c r="Z77" s="1493"/>
    </row>
    <row r="78" spans="1:26">
      <c r="A78" s="1402" t="s">
        <v>2006</v>
      </c>
      <c r="B78" s="1422">
        <v>121</v>
      </c>
      <c r="C78" s="1422">
        <v>122</v>
      </c>
      <c r="D78" s="1422">
        <f t="shared" si="20"/>
        <v>122</v>
      </c>
      <c r="E78" s="1422">
        <v>124</v>
      </c>
      <c r="F78" s="1423">
        <v>107</v>
      </c>
      <c r="G78" s="3915">
        <v>2004</v>
      </c>
      <c r="H78" s="1413">
        <v>4</v>
      </c>
      <c r="I78" s="1413">
        <v>0.33</v>
      </c>
      <c r="J78" s="1413">
        <v>0.5</v>
      </c>
      <c r="K78" s="1413">
        <v>0.5</v>
      </c>
      <c r="L78" s="1439">
        <v>0</v>
      </c>
      <c r="N78" s="1480">
        <f t="shared" ref="N78:O81" si="50">I78/SUM(I$78:I$81)*(B$78/B$82-1)</f>
        <v>1.33917701485269E-2</v>
      </c>
      <c r="O78" s="1481">
        <f t="shared" si="50"/>
        <v>1.0632642211589599E-2</v>
      </c>
      <c r="P78" s="1481">
        <f t="shared" ref="P78:Q81" si="51">K78/SUM(K$78:K$81)*(E$78/E$82-1)</f>
        <v>2.2244466688911099E-2</v>
      </c>
      <c r="Q78" s="1481">
        <f t="shared" si="51"/>
        <v>0</v>
      </c>
      <c r="R78" s="1449"/>
      <c r="S78" s="1450"/>
      <c r="T78" s="1451"/>
      <c r="U78" s="1451"/>
      <c r="V78" s="1451"/>
      <c r="X78" s="1493"/>
      <c r="Y78" s="1493"/>
      <c r="Z78" s="1493"/>
    </row>
    <row r="79" spans="1:26">
      <c r="A79" s="1402" t="s">
        <v>2007</v>
      </c>
      <c r="B79" s="1403">
        <f t="shared" ref="B79:C81" si="52">B80+(B$78-B$82)*I79/SUM(I$78:I$81)</f>
        <v>119.513513513514</v>
      </c>
      <c r="C79" s="1403">
        <f t="shared" si="52"/>
        <v>120.787878787879</v>
      </c>
      <c r="D79" s="1403">
        <f t="shared" si="20"/>
        <v>120.787878787879</v>
      </c>
      <c r="E79" s="1403">
        <f t="shared" ref="E79:F81" si="53">E80+(E$78-E$82)*K79/SUM(K$78:K$81)</f>
        <v>121.597597597598</v>
      </c>
      <c r="F79" s="1403">
        <f t="shared" si="53"/>
        <v>107</v>
      </c>
      <c r="G79" s="3911">
        <v>2004</v>
      </c>
      <c r="H79" s="1414">
        <v>3</v>
      </c>
      <c r="I79" s="1414">
        <v>0.56000000000000005</v>
      </c>
      <c r="J79" s="1414">
        <v>0.8</v>
      </c>
      <c r="K79" s="1414">
        <v>0.83</v>
      </c>
      <c r="L79" s="1440">
        <v>0.06</v>
      </c>
      <c r="N79" s="1480">
        <f t="shared" si="50"/>
        <v>2.2725428130833499E-2</v>
      </c>
      <c r="O79" s="1481">
        <f t="shared" si="50"/>
        <v>1.7012227538543302E-2</v>
      </c>
      <c r="P79" s="1481">
        <f t="shared" si="51"/>
        <v>3.6925814703592498E-2</v>
      </c>
      <c r="Q79" s="1481">
        <f t="shared" si="51"/>
        <v>2.8846153846153699E-2</v>
      </c>
      <c r="R79" s="1449"/>
      <c r="S79" s="1429"/>
      <c r="T79" s="1430"/>
      <c r="U79" s="1430"/>
      <c r="V79" s="1430"/>
      <c r="X79" s="1493"/>
      <c r="Y79" s="1493"/>
      <c r="Z79" s="1493"/>
    </row>
    <row r="80" spans="1:26">
      <c r="A80" s="1402" t="s">
        <v>2008</v>
      </c>
      <c r="B80" s="1403">
        <f t="shared" si="52"/>
        <v>116.99099099099099</v>
      </c>
      <c r="C80" s="1403">
        <f t="shared" si="52"/>
        <v>118.848484848485</v>
      </c>
      <c r="D80" s="1403">
        <f t="shared" si="20"/>
        <v>118.848484848485</v>
      </c>
      <c r="E80" s="1403">
        <f t="shared" si="53"/>
        <v>117.60960960961</v>
      </c>
      <c r="F80" s="1403">
        <f t="shared" si="53"/>
        <v>104</v>
      </c>
      <c r="G80" s="3911">
        <v>2004</v>
      </c>
      <c r="H80" s="1408">
        <v>2</v>
      </c>
      <c r="I80" s="1408">
        <v>1</v>
      </c>
      <c r="J80" s="1408">
        <v>1.5</v>
      </c>
      <c r="K80" s="1408">
        <v>1.5</v>
      </c>
      <c r="L80" s="1433">
        <v>0</v>
      </c>
      <c r="N80" s="1480">
        <f t="shared" si="50"/>
        <v>4.05811216622027E-2</v>
      </c>
      <c r="O80" s="1481">
        <f t="shared" si="50"/>
        <v>3.1897926634768703E-2</v>
      </c>
      <c r="P80" s="1481">
        <f t="shared" si="51"/>
        <v>6.6733400066733395E-2</v>
      </c>
      <c r="Q80" s="1481">
        <f t="shared" si="51"/>
        <v>0</v>
      </c>
      <c r="R80" s="1449"/>
      <c r="S80" s="1429"/>
      <c r="T80" s="1430"/>
      <c r="U80" s="1430"/>
      <c r="V80" s="1430"/>
      <c r="X80" s="1493"/>
      <c r="Y80" s="1493"/>
      <c r="Z80" s="1493"/>
    </row>
    <row r="81" spans="1:26" s="1386" customFormat="1">
      <c r="A81" s="1402" t="s">
        <v>2009</v>
      </c>
      <c r="B81" s="1461">
        <f t="shared" si="52"/>
        <v>112.486486486486</v>
      </c>
      <c r="C81" s="1461">
        <f t="shared" si="52"/>
        <v>115.212121212121</v>
      </c>
      <c r="D81" s="1461">
        <f t="shared" si="20"/>
        <v>115.212121212121</v>
      </c>
      <c r="E81" s="1461">
        <f t="shared" si="53"/>
        <v>110.402402402402</v>
      </c>
      <c r="F81" s="1461">
        <f t="shared" si="53"/>
        <v>104</v>
      </c>
      <c r="G81" s="3914">
        <v>2004</v>
      </c>
      <c r="H81" s="1462">
        <v>1</v>
      </c>
      <c r="I81" s="1462">
        <v>0.33</v>
      </c>
      <c r="J81" s="1462">
        <v>0.5</v>
      </c>
      <c r="K81" s="1462">
        <v>0.5</v>
      </c>
      <c r="L81" s="1476">
        <v>0</v>
      </c>
      <c r="N81" s="1484">
        <f t="shared" si="50"/>
        <v>1.33917701485269E-2</v>
      </c>
      <c r="O81" s="1485">
        <f t="shared" si="50"/>
        <v>1.0632642211589599E-2</v>
      </c>
      <c r="P81" s="1485">
        <f t="shared" si="51"/>
        <v>2.2244466688911099E-2</v>
      </c>
      <c r="Q81" s="1485">
        <f t="shared" si="51"/>
        <v>0</v>
      </c>
      <c r="R81" s="1492"/>
      <c r="S81" s="1477">
        <f>B81/B82-1</f>
        <v>1.33917701485269E-2</v>
      </c>
      <c r="T81" s="1478">
        <f>C81/C82-1</f>
        <v>1.06326422115897E-2</v>
      </c>
      <c r="U81" s="1478">
        <f>E81/E82-1</f>
        <v>2.22444666889112E-2</v>
      </c>
      <c r="V81" s="1478">
        <f>F81/F82-1</f>
        <v>0</v>
      </c>
      <c r="X81" s="1494"/>
      <c r="Y81" s="1494"/>
      <c r="Z81" s="1494"/>
    </row>
    <row r="82" spans="1:26">
      <c r="A82" s="1402" t="s">
        <v>2010</v>
      </c>
      <c r="B82" s="1464">
        <v>111</v>
      </c>
      <c r="C82" s="1464">
        <v>114</v>
      </c>
      <c r="D82" s="1464">
        <f t="shared" si="20"/>
        <v>114</v>
      </c>
      <c r="E82" s="1464">
        <v>108</v>
      </c>
      <c r="F82" s="1465">
        <v>104</v>
      </c>
      <c r="G82" s="3915">
        <v>2003</v>
      </c>
      <c r="H82" s="1463">
        <v>4</v>
      </c>
      <c r="I82" s="1486"/>
      <c r="J82" s="1486"/>
      <c r="K82" s="1486"/>
      <c r="L82" s="1486"/>
      <c r="N82" s="1487"/>
      <c r="O82" s="1486"/>
      <c r="P82" s="1486"/>
      <c r="Q82" s="1486"/>
      <c r="S82" s="1487"/>
      <c r="T82" s="1486"/>
      <c r="U82" s="1486"/>
      <c r="V82" s="1486"/>
      <c r="X82" s="1493"/>
      <c r="Y82" s="1493"/>
      <c r="Z82" s="1493"/>
    </row>
    <row r="83" spans="1:26">
      <c r="A83" s="1402" t="s">
        <v>2011</v>
      </c>
      <c r="B83" s="1466">
        <f t="shared" ref="B83:C85" si="54">B84+(B$82-B$86)/4</f>
        <v>109.75</v>
      </c>
      <c r="C83" s="1466">
        <f t="shared" si="54"/>
        <v>112.25</v>
      </c>
      <c r="D83" s="1466">
        <f t="shared" si="20"/>
        <v>112.25</v>
      </c>
      <c r="E83" s="1466">
        <f t="shared" ref="E83:F85" si="55">E84+(E$82-E$86)/4</f>
        <v>107.25</v>
      </c>
      <c r="F83" s="1466">
        <f t="shared" si="55"/>
        <v>103.5</v>
      </c>
      <c r="G83" s="3911">
        <v>2003</v>
      </c>
      <c r="H83" s="1414">
        <v>3</v>
      </c>
      <c r="I83" s="1486"/>
      <c r="J83" s="1486"/>
      <c r="K83" s="1486"/>
      <c r="L83" s="1486"/>
      <c r="X83" s="1493"/>
      <c r="Y83" s="1493"/>
      <c r="Z83" s="1493"/>
    </row>
    <row r="84" spans="1:26">
      <c r="A84" s="1402" t="s">
        <v>2012</v>
      </c>
      <c r="B84" s="1466">
        <f t="shared" si="54"/>
        <v>108.5</v>
      </c>
      <c r="C84" s="1466">
        <f t="shared" si="54"/>
        <v>110.5</v>
      </c>
      <c r="D84" s="1466">
        <f t="shared" si="20"/>
        <v>110.5</v>
      </c>
      <c r="E84" s="1466">
        <f t="shared" si="55"/>
        <v>106.5</v>
      </c>
      <c r="F84" s="1466">
        <f t="shared" si="55"/>
        <v>103</v>
      </c>
      <c r="G84" s="3911">
        <v>2003</v>
      </c>
      <c r="H84" s="1408">
        <v>2</v>
      </c>
      <c r="I84" s="1486"/>
      <c r="J84" s="1486"/>
      <c r="K84" s="1486"/>
      <c r="L84" s="1486"/>
      <c r="X84" s="1493"/>
      <c r="Y84" s="1493"/>
      <c r="Z84" s="1493"/>
    </row>
    <row r="85" spans="1:26">
      <c r="A85" s="1402" t="s">
        <v>2013</v>
      </c>
      <c r="B85" s="1466">
        <f t="shared" si="54"/>
        <v>107.25</v>
      </c>
      <c r="C85" s="1466">
        <f t="shared" si="54"/>
        <v>108.75</v>
      </c>
      <c r="D85" s="1466">
        <f t="shared" si="20"/>
        <v>108.75</v>
      </c>
      <c r="E85" s="1466">
        <f t="shared" si="55"/>
        <v>105.75</v>
      </c>
      <c r="F85" s="1466">
        <f t="shared" si="55"/>
        <v>102.5</v>
      </c>
      <c r="G85" s="3914">
        <v>2003</v>
      </c>
      <c r="H85" s="1467">
        <v>1</v>
      </c>
      <c r="I85" s="1486"/>
      <c r="J85" s="1486"/>
      <c r="K85" s="1486"/>
      <c r="L85" s="1486"/>
      <c r="S85" s="1429"/>
      <c r="T85" s="1430"/>
      <c r="U85" s="1430"/>
      <c r="X85" s="1493"/>
      <c r="Y85" s="1493"/>
      <c r="Z85" s="1493"/>
    </row>
    <row r="86" spans="1:26">
      <c r="A86" s="1402" t="s">
        <v>2014</v>
      </c>
      <c r="B86" s="1468">
        <v>106</v>
      </c>
      <c r="C86" s="1468">
        <v>107</v>
      </c>
      <c r="D86" s="1468">
        <f t="shared" si="20"/>
        <v>107</v>
      </c>
      <c r="E86" s="1468">
        <v>105</v>
      </c>
      <c r="F86" s="1469">
        <v>102</v>
      </c>
      <c r="G86" s="3915">
        <v>2002</v>
      </c>
      <c r="H86" s="1413">
        <v>4</v>
      </c>
      <c r="I86" s="1486"/>
      <c r="J86" s="1486"/>
      <c r="K86" s="1486"/>
      <c r="L86" s="1486"/>
      <c r="N86" s="1487"/>
      <c r="O86" s="1486"/>
      <c r="P86" s="1486"/>
      <c r="Q86" s="1486"/>
      <c r="S86" s="1487"/>
      <c r="T86" s="1486"/>
      <c r="U86" s="1486"/>
      <c r="V86" s="1486"/>
      <c r="X86" s="1493"/>
      <c r="Y86" s="1493"/>
      <c r="Z86" s="1493"/>
    </row>
    <row r="87" spans="1:26">
      <c r="A87" s="1402" t="s">
        <v>2015</v>
      </c>
      <c r="B87" s="1466">
        <f t="shared" ref="B87:C89" si="56">B88+(B$86-B$90)/4</f>
        <v>105</v>
      </c>
      <c r="C87" s="1466">
        <f t="shared" si="56"/>
        <v>106</v>
      </c>
      <c r="D87" s="1466">
        <f t="shared" si="20"/>
        <v>106</v>
      </c>
      <c r="E87" s="1466">
        <f t="shared" ref="E87:F89" si="57">E88+(E$86-E$90)/4</f>
        <v>104.5</v>
      </c>
      <c r="F87" s="1466">
        <f t="shared" si="57"/>
        <v>101.5</v>
      </c>
      <c r="G87" s="3911">
        <v>2002</v>
      </c>
      <c r="H87" s="1414">
        <v>3</v>
      </c>
      <c r="I87" s="1486"/>
      <c r="J87" s="1486"/>
      <c r="K87" s="1486"/>
      <c r="L87" s="1486"/>
      <c r="X87" s="1493"/>
      <c r="Y87" s="1493"/>
      <c r="Z87" s="1493"/>
    </row>
    <row r="88" spans="1:26">
      <c r="A88" s="1402" t="s">
        <v>2016</v>
      </c>
      <c r="B88" s="1466">
        <f t="shared" si="56"/>
        <v>104</v>
      </c>
      <c r="C88" s="1466">
        <f t="shared" si="56"/>
        <v>105</v>
      </c>
      <c r="D88" s="1466">
        <f t="shared" si="20"/>
        <v>105</v>
      </c>
      <c r="E88" s="1466">
        <f t="shared" si="57"/>
        <v>104</v>
      </c>
      <c r="F88" s="1466">
        <f t="shared" si="57"/>
        <v>101</v>
      </c>
      <c r="G88" s="3911">
        <v>2002</v>
      </c>
      <c r="H88" s="1408">
        <v>2</v>
      </c>
      <c r="I88" s="1486"/>
      <c r="J88" s="1486"/>
      <c r="K88" s="1486"/>
      <c r="L88" s="1486"/>
      <c r="X88" s="1493"/>
      <c r="Y88" s="1493"/>
      <c r="Z88" s="1493"/>
    </row>
    <row r="89" spans="1:26" s="1385" customFormat="1">
      <c r="A89" s="1418" t="s">
        <v>2017</v>
      </c>
      <c r="B89" s="1452">
        <f t="shared" si="56"/>
        <v>103</v>
      </c>
      <c r="C89" s="1452">
        <f t="shared" si="56"/>
        <v>104</v>
      </c>
      <c r="D89" s="1452">
        <f t="shared" si="20"/>
        <v>104</v>
      </c>
      <c r="E89" s="1452">
        <f t="shared" si="57"/>
        <v>103.5</v>
      </c>
      <c r="F89" s="1452">
        <f t="shared" si="57"/>
        <v>100.5</v>
      </c>
      <c r="G89" s="3914">
        <v>2002</v>
      </c>
      <c r="H89" s="1470">
        <v>1</v>
      </c>
      <c r="I89" s="1488"/>
      <c r="J89" s="1488"/>
      <c r="K89" s="1488"/>
      <c r="L89" s="1488"/>
      <c r="N89" s="1489"/>
      <c r="S89" s="1489"/>
      <c r="X89" s="1495"/>
      <c r="Y89" s="1495"/>
      <c r="Z89" s="1495"/>
    </row>
    <row r="90" spans="1:26">
      <c r="B90" s="1471">
        <v>102</v>
      </c>
      <c r="C90" s="1472">
        <v>103</v>
      </c>
      <c r="D90" s="1472">
        <f t="shared" si="20"/>
        <v>103</v>
      </c>
      <c r="E90" s="1472">
        <v>103</v>
      </c>
      <c r="F90" s="1473">
        <v>100</v>
      </c>
      <c r="I90" s="1486"/>
      <c r="J90" s="1486"/>
      <c r="K90" s="1486"/>
      <c r="L90" s="1486"/>
      <c r="N90" s="1487"/>
      <c r="O90" s="1486"/>
      <c r="P90" s="1486"/>
      <c r="Q90" s="1486"/>
      <c r="S90" s="1487"/>
      <c r="T90" s="1486"/>
      <c r="U90" s="1486"/>
      <c r="V90" s="1486"/>
      <c r="X90" s="1451"/>
      <c r="Y90" s="1451"/>
      <c r="Z90" s="1451"/>
    </row>
    <row r="92" spans="1:26" s="1387" customFormat="1">
      <c r="A92" s="1474" t="s">
        <v>2018</v>
      </c>
      <c r="G92" s="1475"/>
      <c r="N92" s="1475"/>
      <c r="S92" s="1475"/>
    </row>
    <row r="93" spans="1:26" s="1387" customFormat="1">
      <c r="A93" s="1387" t="s">
        <v>2019</v>
      </c>
      <c r="G93" s="1475"/>
      <c r="N93" s="1475"/>
      <c r="S93" s="1475"/>
    </row>
    <row r="94" spans="1:26" s="1387" customFormat="1">
      <c r="A94" s="1387" t="s">
        <v>2020</v>
      </c>
      <c r="G94" s="1475"/>
      <c r="I94" s="1490"/>
      <c r="J94" s="1490"/>
      <c r="K94" s="1490"/>
      <c r="L94" s="1490"/>
      <c r="N94" s="1491"/>
      <c r="O94" s="1490"/>
      <c r="P94" s="1490"/>
      <c r="Q94" s="1490"/>
      <c r="S94" s="1491"/>
      <c r="T94" s="1490"/>
      <c r="U94" s="1490"/>
      <c r="V94" s="1490"/>
    </row>
    <row r="95" spans="1:26" s="1387" customFormat="1">
      <c r="A95" s="1387" t="s">
        <v>2021</v>
      </c>
      <c r="G95" s="1475"/>
      <c r="N95" s="1475"/>
      <c r="S95" s="1475"/>
    </row>
    <row r="103" spans="7:22">
      <c r="G103" s="1388"/>
      <c r="S103" s="1496" t="s">
        <v>2022</v>
      </c>
      <c r="T103" s="1497" t="s">
        <v>2023</v>
      </c>
      <c r="U103" s="1497" t="s">
        <v>2024</v>
      </c>
      <c r="V103" s="1497" t="s">
        <v>2025</v>
      </c>
    </row>
    <row r="104" spans="7:22">
      <c r="G104" s="1388"/>
      <c r="N104" s="1450"/>
      <c r="O104" s="1451"/>
      <c r="P104" s="1451"/>
      <c r="Q104" s="1451"/>
      <c r="S104" s="1498">
        <v>2006</v>
      </c>
      <c r="T104" s="1499">
        <v>15.1</v>
      </c>
      <c r="U104" s="1499">
        <v>7.43</v>
      </c>
      <c r="V104" s="1499">
        <v>26.26</v>
      </c>
    </row>
    <row r="105" spans="7:22">
      <c r="G105" s="1388"/>
      <c r="N105" s="1450"/>
      <c r="O105" s="1451"/>
      <c r="P105" s="1451"/>
      <c r="Q105" s="1451"/>
      <c r="S105" s="1500">
        <v>2005</v>
      </c>
      <c r="T105" s="1501">
        <v>13.9</v>
      </c>
      <c r="U105" s="1501">
        <v>7.49</v>
      </c>
      <c r="V105" s="1501">
        <v>24.92</v>
      </c>
    </row>
    <row r="106" spans="7:22">
      <c r="G106" s="1388"/>
      <c r="N106" s="1450"/>
      <c r="O106" s="1451"/>
      <c r="P106" s="1451"/>
      <c r="Q106" s="1451"/>
      <c r="S106" s="1498">
        <v>2004</v>
      </c>
      <c r="T106" s="1499">
        <v>9.48</v>
      </c>
      <c r="U106" s="1499">
        <v>7.2</v>
      </c>
      <c r="V106" s="1499">
        <v>14.68</v>
      </c>
    </row>
    <row r="107" spans="7:22">
      <c r="G107" s="1388"/>
      <c r="N107" s="1450"/>
      <c r="O107" s="1451"/>
      <c r="P107" s="1451"/>
      <c r="Q107" s="1451"/>
      <c r="S107" s="1500">
        <v>2003</v>
      </c>
      <c r="T107" s="1501">
        <v>4.5</v>
      </c>
      <c r="U107" s="1501">
        <v>6.12</v>
      </c>
      <c r="V107" s="1501">
        <v>2.34</v>
      </c>
    </row>
    <row r="108" spans="7:22">
      <c r="G108" s="1388"/>
      <c r="N108" s="1450"/>
      <c r="O108" s="1451"/>
      <c r="P108" s="1451"/>
      <c r="Q108" s="1451"/>
      <c r="S108" s="1502">
        <v>2002</v>
      </c>
      <c r="T108" s="1503">
        <v>3.59</v>
      </c>
      <c r="U108" s="1503">
        <v>4.54</v>
      </c>
      <c r="V108" s="1503">
        <v>2.5499999999999998</v>
      </c>
    </row>
    <row r="109" spans="7:22">
      <c r="G109" s="1388"/>
      <c r="N109" s="1450"/>
      <c r="O109" s="1451"/>
      <c r="P109" s="1451"/>
      <c r="Q109" s="1451"/>
    </row>
    <row r="110" spans="7:22">
      <c r="G110" s="1388"/>
      <c r="N110" s="1450"/>
      <c r="O110" s="1451"/>
      <c r="P110" s="1451"/>
      <c r="Q110" s="1451"/>
    </row>
    <row r="111" spans="7:22">
      <c r="G111" s="1388"/>
      <c r="N111" s="1450"/>
      <c r="O111" s="1451"/>
      <c r="P111" s="1451"/>
      <c r="Q111" s="1451"/>
    </row>
    <row r="112" spans="7:22">
      <c r="G112" s="1388"/>
      <c r="N112" s="1450"/>
      <c r="O112" s="1451"/>
      <c r="P112" s="1451"/>
      <c r="Q112" s="1451"/>
    </row>
    <row r="113" spans="7:19">
      <c r="G113" s="1388"/>
      <c r="N113" s="1450"/>
      <c r="O113" s="1451"/>
      <c r="P113" s="1451"/>
      <c r="Q113" s="1451"/>
    </row>
    <row r="114" spans="7:19">
      <c r="G114" s="1388"/>
      <c r="N114" s="1450"/>
      <c r="O114" s="1451"/>
      <c r="P114" s="1451"/>
      <c r="Q114" s="1451"/>
    </row>
    <row r="115" spans="7:19">
      <c r="G115" s="1388"/>
      <c r="N115" s="1450"/>
      <c r="O115" s="1451"/>
      <c r="P115" s="1451"/>
      <c r="Q115" s="1451"/>
    </row>
    <row r="116" spans="7:19">
      <c r="G116" s="1388"/>
      <c r="N116" s="1450"/>
      <c r="O116" s="1451"/>
      <c r="P116" s="1451"/>
      <c r="Q116" s="1451"/>
    </row>
    <row r="117" spans="7:19">
      <c r="G117" s="1388"/>
      <c r="N117" s="1450"/>
      <c r="O117" s="1451"/>
      <c r="P117" s="1451"/>
      <c r="Q117" s="1451"/>
    </row>
    <row r="118" spans="7:19">
      <c r="G118" s="1388"/>
      <c r="N118" s="1450"/>
      <c r="O118" s="1451"/>
      <c r="P118" s="1451"/>
      <c r="Q118" s="1451"/>
    </row>
    <row r="119" spans="7:19">
      <c r="G119" s="1388"/>
      <c r="N119" s="1450"/>
      <c r="O119" s="1451"/>
      <c r="P119" s="1451"/>
      <c r="Q119" s="1451"/>
      <c r="S119" s="1388"/>
    </row>
    <row r="120" spans="7:19">
      <c r="G120" s="1388"/>
      <c r="N120" s="1450"/>
      <c r="O120" s="1451"/>
      <c r="P120" s="1451"/>
      <c r="Q120" s="1451"/>
      <c r="S120" s="1388"/>
    </row>
    <row r="121" spans="7:19">
      <c r="G121" s="1388"/>
      <c r="N121" s="1450"/>
      <c r="O121" s="1451"/>
      <c r="P121" s="1451"/>
      <c r="Q121" s="1451"/>
      <c r="S121" s="1388"/>
    </row>
    <row r="122" spans="7:19">
      <c r="G122" s="1388"/>
      <c r="N122" s="1450"/>
      <c r="O122" s="1451"/>
      <c r="P122" s="1451"/>
      <c r="Q122" s="1451"/>
      <c r="S122" s="1388"/>
    </row>
    <row r="123" spans="7:19">
      <c r="G123" s="1388"/>
      <c r="N123" s="1450"/>
      <c r="O123" s="1451"/>
      <c r="P123" s="1451"/>
      <c r="Q123" s="1451"/>
      <c r="S123" s="1388"/>
    </row>
    <row r="124" spans="7:19">
      <c r="G124" s="1388"/>
      <c r="N124" s="1450"/>
      <c r="O124" s="1451"/>
      <c r="P124" s="1451"/>
      <c r="Q124" s="1451"/>
      <c r="S124" s="1388"/>
    </row>
  </sheetData>
  <sheetProtection formatCells="0" formatColumns="0" formatRows="0"/>
  <mergeCells count="23">
    <mergeCell ref="G78:G81"/>
    <mergeCell ref="G82:G85"/>
    <mergeCell ref="G86:G89"/>
    <mergeCell ref="G58:G61"/>
    <mergeCell ref="G62:G65"/>
    <mergeCell ref="G66:G69"/>
    <mergeCell ref="G70:G73"/>
    <mergeCell ref="G74:G77"/>
    <mergeCell ref="G38:G41"/>
    <mergeCell ref="G42:G45"/>
    <mergeCell ref="G46:G49"/>
    <mergeCell ref="G50:G53"/>
    <mergeCell ref="G54:G57"/>
    <mergeCell ref="AD1:AH1"/>
    <mergeCell ref="G22:G25"/>
    <mergeCell ref="G26:G29"/>
    <mergeCell ref="G30:G33"/>
    <mergeCell ref="G34:G37"/>
    <mergeCell ref="B1:F1"/>
    <mergeCell ref="G1:L1"/>
    <mergeCell ref="N1:Q1"/>
    <mergeCell ref="S1:V1"/>
    <mergeCell ref="X1:AB1"/>
  </mergeCells>
  <phoneticPr fontId="254" type="noConversion"/>
  <pageMargins left="0.7" right="0.7" top="0.75" bottom="0.75" header="0.3" footer="0.3"/>
  <pageSetup paperSize="9" scale="75" orientation="landscape"/>
  <rowBreaks count="1" manualBreakCount="1">
    <brk id="65"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D42"/>
  <sheetViews>
    <sheetView zoomScale="70" zoomScaleNormal="70" workbookViewId="0">
      <selection activeCell="A57" sqref="A57:XFD57"/>
    </sheetView>
  </sheetViews>
  <sheetFormatPr defaultColWidth="9" defaultRowHeight="13.5"/>
  <cols>
    <col min="1" max="1" width="12.375" customWidth="1"/>
    <col min="11" max="17" width="9" hidden="1" customWidth="1"/>
    <col min="24" max="30" width="9" hidden="1" customWidth="1"/>
  </cols>
  <sheetData>
    <row r="1" spans="1:30">
      <c r="A1" s="1303">
        <f>基准地价!G23</f>
        <v>45260</v>
      </c>
      <c r="B1" s="1304" t="s">
        <v>2026</v>
      </c>
      <c r="C1" s="1305"/>
      <c r="D1" s="1305"/>
      <c r="E1" s="1305"/>
      <c r="F1" s="1305"/>
      <c r="G1" s="1305"/>
      <c r="H1" s="1305"/>
      <c r="I1" s="1305"/>
      <c r="J1" s="1335"/>
      <c r="K1" s="1305" t="s">
        <v>1925</v>
      </c>
      <c r="L1" s="1305"/>
      <c r="M1" s="1305"/>
      <c r="N1" s="1305"/>
      <c r="O1" s="1305"/>
      <c r="P1" s="1305"/>
      <c r="Q1" s="1335"/>
      <c r="R1" s="3919" t="s">
        <v>1927</v>
      </c>
      <c r="S1" s="3920"/>
      <c r="T1" s="3920"/>
      <c r="U1" s="3920"/>
      <c r="V1" s="3920"/>
      <c r="W1" s="3920"/>
      <c r="X1" s="1335"/>
      <c r="Y1" s="3919" t="s">
        <v>1928</v>
      </c>
      <c r="Z1" s="3920"/>
      <c r="AA1" s="3920"/>
      <c r="AB1" s="3920"/>
      <c r="AC1" s="3920"/>
      <c r="AD1" s="3920"/>
    </row>
    <row r="2" spans="1:30">
      <c r="A2" s="1306"/>
      <c r="B2" s="1307"/>
      <c r="C2" s="1308"/>
      <c r="D2" s="1309" t="s">
        <v>2027</v>
      </c>
      <c r="E2" s="1310" t="s">
        <v>437</v>
      </c>
      <c r="F2" s="1310" t="s">
        <v>438</v>
      </c>
      <c r="G2" s="1310" t="s">
        <v>402</v>
      </c>
      <c r="H2" s="1310" t="s">
        <v>164</v>
      </c>
      <c r="I2" s="1310" t="s">
        <v>297</v>
      </c>
      <c r="J2" s="1336"/>
      <c r="K2" s="1309" t="s">
        <v>2027</v>
      </c>
      <c r="L2" s="1310" t="s">
        <v>437</v>
      </c>
      <c r="M2" s="1310" t="s">
        <v>438</v>
      </c>
      <c r="N2" s="1310" t="s">
        <v>402</v>
      </c>
      <c r="O2" s="1310" t="s">
        <v>164</v>
      </c>
      <c r="P2" s="1310" t="s">
        <v>297</v>
      </c>
      <c r="Q2" s="1336"/>
      <c r="R2" s="1309" t="s">
        <v>2027</v>
      </c>
      <c r="S2" s="1310" t="s">
        <v>437</v>
      </c>
      <c r="T2" s="1310" t="s">
        <v>438</v>
      </c>
      <c r="U2" s="1310" t="s">
        <v>402</v>
      </c>
      <c r="V2" s="1310" t="s">
        <v>164</v>
      </c>
      <c r="W2" s="1310" t="s">
        <v>297</v>
      </c>
      <c r="X2" s="1336"/>
      <c r="Y2" s="1309" t="s">
        <v>2027</v>
      </c>
      <c r="Z2" s="1310" t="s">
        <v>437</v>
      </c>
      <c r="AA2" s="1310" t="s">
        <v>438</v>
      </c>
      <c r="AB2" s="1310" t="s">
        <v>402</v>
      </c>
      <c r="AC2" s="1310" t="s">
        <v>164</v>
      </c>
      <c r="AD2" s="1310" t="s">
        <v>297</v>
      </c>
    </row>
    <row r="3" spans="1:30">
      <c r="A3" s="1311" t="s">
        <v>1931</v>
      </c>
      <c r="B3" s="1312"/>
      <c r="C3" s="1313"/>
      <c r="D3" s="1313">
        <f>ROUND(AVERAGEIF(D4:D18,"&lt;&gt;0"),2)</f>
        <v>0.7</v>
      </c>
      <c r="E3" s="1313">
        <f>ROUND(AVERAGEIF(E4:E18,"&lt;&gt;0"),2)</f>
        <v>0.41</v>
      </c>
      <c r="F3" s="1313">
        <f>ROUND(AVERAGEIF(F4:F18,"&lt;&gt;0"),2)</f>
        <v>0.23</v>
      </c>
      <c r="G3" s="1313">
        <f>ROUND(AVERAGEIF(G4:G18,"&lt;&gt;0"),2)</f>
        <v>0.84</v>
      </c>
      <c r="H3" s="1313">
        <f>ROUND(AVERAGEIF(H4:H18,"&lt;&gt;0"),2)</f>
        <v>0.63</v>
      </c>
      <c r="I3" s="1313">
        <f>F3</f>
        <v>0.23</v>
      </c>
      <c r="J3" s="1337"/>
      <c r="K3" s="1338">
        <f>ROUND(AVERAGEIF(K4:K18,"&lt;&gt;0"),4)</f>
        <v>7.0000000000000001E-3</v>
      </c>
      <c r="L3" s="1339">
        <f>ROUND(AVERAGEIF(L4:L18,"&lt;&gt;0"),4)</f>
        <v>4.1000000000000003E-3</v>
      </c>
      <c r="M3" s="1339">
        <f>ROUND(AVERAGEIF(M4:M18,"&lt;&gt;0"),4)</f>
        <v>2.3E-3</v>
      </c>
      <c r="N3" s="1339">
        <f>ROUND(AVERAGEIF(N4:N18,"&lt;&gt;0"),4)</f>
        <v>8.3999999999999995E-3</v>
      </c>
      <c r="O3" s="1339">
        <f>ROUND(AVERAGEIF(O4:O18,"&lt;&gt;0"),4)</f>
        <v>6.3E-3</v>
      </c>
      <c r="P3" s="1339">
        <f>M3</f>
        <v>2.3E-3</v>
      </c>
      <c r="Q3" s="1337"/>
      <c r="R3" s="1355">
        <f>ROUND(SUMPRODUCT(PRODUCT(1+K4:K18)),4)</f>
        <v>1.0942000000000001</v>
      </c>
      <c r="S3" s="1356">
        <f>ROUND(SUMPRODUCT(PRODUCT(1+L4:L18)),4)</f>
        <v>1.0463</v>
      </c>
      <c r="T3" s="1356">
        <f>ROUND(SUMPRODUCT(PRODUCT(1+M4:M18)),4)</f>
        <v>1.0257000000000001</v>
      </c>
      <c r="U3" s="1356">
        <f>ROUND(SUMPRODUCT(PRODUCT(1+N4:N18)),4)</f>
        <v>1.0961000000000001</v>
      </c>
      <c r="V3" s="1356">
        <f>ROUND(SUMPRODUCT(PRODUCT(1+O4:O18)),4)</f>
        <v>1.0713999999999999</v>
      </c>
      <c r="W3" s="1355">
        <f>T3</f>
        <v>1.0257000000000001</v>
      </c>
      <c r="X3" s="1337"/>
      <c r="Y3" s="1363">
        <f>ROUND(AVERAGEIF(Y5:Y18,"&lt;&gt;0"),4)</f>
        <v>8.3000000000000001E-3</v>
      </c>
      <c r="Z3" s="1364">
        <f>ROUND(AVERAGEIF(Z5:Z18,"&lt;&gt;0"),4)</f>
        <v>3.7000000000000002E-3</v>
      </c>
      <c r="AA3" s="1365">
        <f>ROUND(AVERAGEIF(AA5:AA18,"&lt;&gt;0"),4)</f>
        <v>1.1999999999999999E-3</v>
      </c>
      <c r="AB3" s="1363">
        <f>ROUND(AVERAGEIF(AB5:AB18,"&lt;&gt;0"),4)</f>
        <v>9.2999999999999992E-3</v>
      </c>
      <c r="AC3" s="1366">
        <f>ROUND(AVERAGEIF(AC5:AC18,"&lt;&gt;0"),4)</f>
        <v>6.1999999999999998E-3</v>
      </c>
      <c r="AD3" s="1363">
        <f>AA3</f>
        <v>1.1999999999999999E-3</v>
      </c>
    </row>
    <row r="4" spans="1:30">
      <c r="A4" s="1314"/>
      <c r="B4" s="1315"/>
      <c r="C4" s="1316"/>
      <c r="D4" s="1316"/>
      <c r="E4" s="1316"/>
      <c r="F4" s="1316"/>
      <c r="G4" s="1316"/>
      <c r="H4" s="1316"/>
      <c r="I4" s="1316"/>
      <c r="J4" s="1335"/>
      <c r="K4" s="1340"/>
      <c r="L4" s="1341"/>
      <c r="M4" s="1341"/>
      <c r="N4" s="1341"/>
      <c r="O4" s="1341"/>
      <c r="P4" s="1341"/>
      <c r="Q4" s="1335"/>
      <c r="R4" s="1357"/>
      <c r="S4" s="1358"/>
      <c r="T4" s="1359"/>
      <c r="U4" s="1357"/>
      <c r="V4" s="1360"/>
      <c r="W4" s="1357"/>
      <c r="X4" s="1335"/>
      <c r="Y4" s="1345"/>
      <c r="Z4" s="1367"/>
      <c r="AA4" s="1368"/>
      <c r="AB4" s="1345"/>
      <c r="AC4" s="1369"/>
      <c r="AD4" s="1345"/>
    </row>
    <row r="5" spans="1:30">
      <c r="A5" s="1317" t="s">
        <v>2028</v>
      </c>
      <c r="B5" s="1318">
        <v>2023</v>
      </c>
      <c r="C5" s="1319">
        <v>4</v>
      </c>
      <c r="D5" s="1319">
        <v>0</v>
      </c>
      <c r="E5" s="1319">
        <v>0</v>
      </c>
      <c r="F5" s="1319">
        <v>0</v>
      </c>
      <c r="G5" s="1319">
        <v>0</v>
      </c>
      <c r="H5" s="1319">
        <v>0</v>
      </c>
      <c r="I5" s="1342">
        <f t="shared" ref="I5:I18" si="0">F5</f>
        <v>0</v>
      </c>
      <c r="J5" s="1343"/>
      <c r="K5" s="1344">
        <f t="shared" ref="K5:O18" si="1">D5/100</f>
        <v>0</v>
      </c>
      <c r="L5" s="1345">
        <f t="shared" si="1"/>
        <v>0</v>
      </c>
      <c r="M5" s="1345">
        <f t="shared" si="1"/>
        <v>0</v>
      </c>
      <c r="N5" s="1345">
        <f t="shared" si="1"/>
        <v>0</v>
      </c>
      <c r="O5" s="1345">
        <f t="shared" si="1"/>
        <v>0</v>
      </c>
      <c r="P5" s="1345">
        <f>M5</f>
        <v>0</v>
      </c>
      <c r="Q5" s="1343"/>
      <c r="R5" s="1361">
        <f>ROUND(IF(项目基本情况!$B$8="出让",SUMPRODUCT(PRODUCT(1+K5:$K$18)),SUMPRODUCT(PRODUCT(1+K5:$K$17))),4)</f>
        <v>1.0837000000000001</v>
      </c>
      <c r="S5" s="1361">
        <f>ROUND(IF(项目基本情况!$B$8="出让",SUMPRODUCT(PRODUCT(1+L5:$L$18)),SUMPRODUCT(PRODUCT(1+L5:$L$17))),4)</f>
        <v>1.0447</v>
      </c>
      <c r="T5" s="1361">
        <f>ROUND(IF(项目基本情况!$B$8="出让",SUMPRODUCT(PRODUCT(1+M5:$M$18)),SUMPRODUCT(PRODUCT(1+M5:$M$17))),4)</f>
        <v>1.0282</v>
      </c>
      <c r="U5" s="1361">
        <f>ROUND(IF(项目基本情况!$B$8="出让",SUMPRODUCT(PRODUCT(1+N5:$N$18)),SUMPRODUCT(PRODUCT(1+N5:$N$17))),4)</f>
        <v>1.0841000000000001</v>
      </c>
      <c r="V5" s="1361">
        <f>ROUND(IF(项目基本情况!$B$8="出让",SUMPRODUCT(PRODUCT(1+O5:$O$18)),SUMPRODUCT(PRODUCT(1+O5:$O$17))),4)</f>
        <v>1.0674999999999999</v>
      </c>
      <c r="W5" s="1361">
        <f>T5</f>
        <v>1.0282</v>
      </c>
      <c r="X5" s="1343"/>
      <c r="Y5" s="1370">
        <f>IF(D5=0,0,ROUND(AVERAGE(D5:D18)/100,4))</f>
        <v>0</v>
      </c>
      <c r="Z5" s="1370">
        <f>IF(E5=0,0,ROUND(AVERAGE(E5:E18)/100,4))</f>
        <v>0</v>
      </c>
      <c r="AA5" s="1370">
        <f>IF(F5=0,0,ROUND(AVERAGE(F5:F18)/100,4))</f>
        <v>0</v>
      </c>
      <c r="AB5" s="1370">
        <f>IF(G5=0,0,ROUND(AVERAGE(G5:G18)/100,4))</f>
        <v>0</v>
      </c>
      <c r="AC5" s="1370">
        <f>IF(H5=0,0,ROUND(AVERAGE(H5:H18)/100,4))</f>
        <v>0</v>
      </c>
      <c r="AD5" s="1370">
        <f t="shared" ref="AD5:AD18" si="2">AA5</f>
        <v>0</v>
      </c>
    </row>
    <row r="6" spans="1:30">
      <c r="A6" s="1317" t="s">
        <v>2029</v>
      </c>
      <c r="B6" s="1318">
        <v>2023</v>
      </c>
      <c r="C6" s="1319">
        <v>3</v>
      </c>
      <c r="D6" s="1319">
        <v>0.25</v>
      </c>
      <c r="E6" s="1319">
        <v>0</v>
      </c>
      <c r="F6" s="1319">
        <v>0</v>
      </c>
      <c r="G6" s="1319">
        <v>0</v>
      </c>
      <c r="H6" s="1320">
        <v>0</v>
      </c>
      <c r="I6" s="1342">
        <f t="shared" si="0"/>
        <v>0</v>
      </c>
      <c r="J6" s="1343"/>
      <c r="K6" s="1344">
        <f t="shared" ref="K6" si="3">D6/100</f>
        <v>2.5000000000000001E-3</v>
      </c>
      <c r="L6" s="1345">
        <f t="shared" ref="L6" si="4">E6/100</f>
        <v>0</v>
      </c>
      <c r="M6" s="1345">
        <f t="shared" ref="M6" si="5">F6/100</f>
        <v>0</v>
      </c>
      <c r="N6" s="1345">
        <f t="shared" ref="N6" si="6">G6/100</f>
        <v>0</v>
      </c>
      <c r="O6" s="1345">
        <f t="shared" ref="O6" si="7">H6/100</f>
        <v>0</v>
      </c>
      <c r="P6" s="1345">
        <f t="shared" ref="P6" si="8">M6</f>
        <v>0</v>
      </c>
      <c r="Q6" s="1343"/>
      <c r="R6" s="1361">
        <f>ROUND(IF(项目基本情况!$B$8="出让",SUMPRODUCT(PRODUCT(1+K6:$K$18)),SUMPRODUCT(PRODUCT(1+K6:$K$17))),4)</f>
        <v>1.0837000000000001</v>
      </c>
      <c r="S6" s="1361">
        <f>ROUND(IF(项目基本情况!$B$8="出让",SUMPRODUCT(PRODUCT(1+L6:$L$18)),SUMPRODUCT(PRODUCT(1+L6:$L$17))),4)</f>
        <v>1.0447</v>
      </c>
      <c r="T6" s="1361">
        <f>ROUND(IF(项目基本情况!$B$8="出让",SUMPRODUCT(PRODUCT(1+M6:$M$18)),SUMPRODUCT(PRODUCT(1+M6:$M$17))),4)</f>
        <v>1.0282</v>
      </c>
      <c r="U6" s="1361">
        <f>ROUND(IF(项目基本情况!$B$8="出让",SUMPRODUCT(PRODUCT(1+N6:$N$18)),SUMPRODUCT(PRODUCT(1+N6:$N$17))),4)</f>
        <v>1.0841000000000001</v>
      </c>
      <c r="V6" s="1361">
        <f>ROUND(IF(项目基本情况!$B$8="出让",SUMPRODUCT(PRODUCT(1+O6:$O$18)),SUMPRODUCT(PRODUCT(1+O6:$O$17))),4)</f>
        <v>1.0674999999999999</v>
      </c>
      <c r="W6" s="1361">
        <f t="shared" ref="W6" si="9">T6</f>
        <v>1.0282</v>
      </c>
      <c r="X6" s="1343"/>
      <c r="Y6" s="1370">
        <f t="shared" ref="Y6" si="10">IF(D6=0,0,ROUND(AVERAGE(D6:D17)/100,4))</f>
        <v>6.7000000000000002E-3</v>
      </c>
      <c r="Z6" s="1370">
        <f t="shared" ref="Z6" si="11">IF(E6=0,0,ROUND(AVERAGE(E6:E17)/100,4))</f>
        <v>0</v>
      </c>
      <c r="AA6" s="1370">
        <f t="shared" ref="AA6" si="12">IF(F6=0,0,ROUND(AVERAGE(F6:F17)/100,4))</f>
        <v>0</v>
      </c>
      <c r="AB6" s="1370">
        <f t="shared" ref="AB6" si="13">IF(G6=0,0,ROUND(AVERAGE(G6:G17)/100,4))</f>
        <v>0</v>
      </c>
      <c r="AC6" s="1370">
        <f t="shared" ref="AC6" si="14">IF(H6=0,0,ROUND(AVERAGE(H6:H17)/100,4))</f>
        <v>0</v>
      </c>
      <c r="AD6" s="1370">
        <f t="shared" ref="AD6" si="15">AA6</f>
        <v>0</v>
      </c>
    </row>
    <row r="7" spans="1:30">
      <c r="A7" s="1317" t="s">
        <v>2030</v>
      </c>
      <c r="B7" s="1318">
        <v>2023</v>
      </c>
      <c r="C7" s="1319">
        <v>3</v>
      </c>
      <c r="D7" s="1319">
        <v>0.25</v>
      </c>
      <c r="E7" s="1319">
        <v>0</v>
      </c>
      <c r="F7" s="1319">
        <v>0</v>
      </c>
      <c r="G7" s="1319">
        <v>0</v>
      </c>
      <c r="H7" s="1320">
        <v>0</v>
      </c>
      <c r="I7" s="1342">
        <f t="shared" ref="I7" si="16">F7</f>
        <v>0</v>
      </c>
      <c r="J7" s="1343"/>
      <c r="K7" s="1344">
        <f t="shared" si="1"/>
        <v>2.5000000000000001E-3</v>
      </c>
      <c r="L7" s="1345">
        <f t="shared" si="1"/>
        <v>0</v>
      </c>
      <c r="M7" s="1345">
        <f t="shared" si="1"/>
        <v>0</v>
      </c>
      <c r="N7" s="1345">
        <f t="shared" si="1"/>
        <v>0</v>
      </c>
      <c r="O7" s="1345">
        <f t="shared" si="1"/>
        <v>0</v>
      </c>
      <c r="P7" s="1345">
        <f t="shared" ref="P7" si="17">M7</f>
        <v>0</v>
      </c>
      <c r="Q7" s="1343"/>
      <c r="R7" s="1361">
        <f>ROUND(IF(项目基本情况!$B$8="出让",SUMPRODUCT(PRODUCT(1+K7:$K$18)),SUMPRODUCT(PRODUCT(1+K7:$K$17))),4)</f>
        <v>1.081</v>
      </c>
      <c r="S7" s="1361">
        <f>ROUND(IF(项目基本情况!$B$8="出让",SUMPRODUCT(PRODUCT(1+L7:$L$18)),SUMPRODUCT(PRODUCT(1+L7:$L$17))),4)</f>
        <v>1.0447</v>
      </c>
      <c r="T7" s="1361">
        <f>ROUND(IF(项目基本情况!$B$8="出让",SUMPRODUCT(PRODUCT(1+M7:$M$18)),SUMPRODUCT(PRODUCT(1+M7:$M$17))),4)</f>
        <v>1.0282</v>
      </c>
      <c r="U7" s="1361">
        <f>ROUND(IF(项目基本情况!$B$8="出让",SUMPRODUCT(PRODUCT(1+N7:$N$18)),SUMPRODUCT(PRODUCT(1+N7:$N$17))),4)</f>
        <v>1.0841000000000001</v>
      </c>
      <c r="V7" s="1361">
        <f>ROUND(IF(项目基本情况!$B$8="出让",SUMPRODUCT(PRODUCT(1+O7:$O$18)),SUMPRODUCT(PRODUCT(1+O7:$O$17))),4)</f>
        <v>1.0674999999999999</v>
      </c>
      <c r="W7" s="1361">
        <f t="shared" ref="W7" si="18">T7</f>
        <v>1.0282</v>
      </c>
      <c r="X7" s="1343"/>
      <c r="Y7" s="1370">
        <f t="shared" ref="Y7" si="19">IF(D7=0,0,ROUND(AVERAGE(D7:D18)/100,4))</f>
        <v>7.3000000000000001E-3</v>
      </c>
      <c r="Z7" s="1370">
        <f t="shared" ref="Z7" si="20">IF(E7=0,0,ROUND(AVERAGE(E7:E18)/100,4))</f>
        <v>0</v>
      </c>
      <c r="AA7" s="1370">
        <f t="shared" ref="AA7" si="21">IF(F7=0,0,ROUND(AVERAGE(F7:F18)/100,4))</f>
        <v>0</v>
      </c>
      <c r="AB7" s="1370">
        <f t="shared" ref="AB7" si="22">IF(G7=0,0,ROUND(AVERAGE(G7:G18)/100,4))</f>
        <v>0</v>
      </c>
      <c r="AC7" s="1370">
        <f t="shared" ref="AC7" si="23">IF(H7=0,0,ROUND(AVERAGE(H7:H18)/100,4))</f>
        <v>0</v>
      </c>
      <c r="AD7" s="1370">
        <f t="shared" si="2"/>
        <v>0</v>
      </c>
    </row>
    <row r="8" spans="1:30">
      <c r="A8" s="1321" t="s">
        <v>2031</v>
      </c>
      <c r="B8" s="1322">
        <v>2023</v>
      </c>
      <c r="C8" s="1323">
        <v>3</v>
      </c>
      <c r="D8" s="1323">
        <v>0.25</v>
      </c>
      <c r="E8" s="1323">
        <v>0.5</v>
      </c>
      <c r="F8" s="1323">
        <v>0.31</v>
      </c>
      <c r="G8" s="1323">
        <v>0.21</v>
      </c>
      <c r="H8" s="1324">
        <v>0.43</v>
      </c>
      <c r="I8" s="1346">
        <f t="shared" si="0"/>
        <v>0.31</v>
      </c>
      <c r="J8" s="1347"/>
      <c r="K8" s="1348">
        <f t="shared" ref="K8:K10" si="24">D8/100</f>
        <v>2.5000000000000001E-3</v>
      </c>
      <c r="L8" s="1349">
        <f t="shared" ref="L8:L10" si="25">E8/100</f>
        <v>5.0000000000000001E-3</v>
      </c>
      <c r="M8" s="1349">
        <f t="shared" ref="M8:M10" si="26">F8/100</f>
        <v>3.0999999999999999E-3</v>
      </c>
      <c r="N8" s="1349">
        <f t="shared" ref="N8:N10" si="27">G8/100</f>
        <v>2.0999999999999999E-3</v>
      </c>
      <c r="O8" s="1349">
        <f t="shared" ref="O8:O10" si="28">H8/100</f>
        <v>4.3E-3</v>
      </c>
      <c r="P8" s="1349">
        <f t="shared" ref="P8:P10" si="29">M8</f>
        <v>3.0999999999999999E-3</v>
      </c>
      <c r="Q8" s="1347"/>
      <c r="R8" s="1347">
        <f>ROUND(IF(项目基本情况!$B$8="出让",SUMPRODUCT(PRODUCT(1+K8:$K$18)),SUMPRODUCT(PRODUCT(1+K8:$K$17))),4)</f>
        <v>1.0783</v>
      </c>
      <c r="S8" s="1347">
        <f>ROUND(IF(项目基本情况!$B$8="出让",SUMPRODUCT(PRODUCT(1+L8:$L$18)),SUMPRODUCT(PRODUCT(1+L8:$L$17))),4)</f>
        <v>1.0447</v>
      </c>
      <c r="T8" s="1347">
        <f>ROUND(IF(项目基本情况!$B$8="出让",SUMPRODUCT(PRODUCT(1+M8:$M$18)),SUMPRODUCT(PRODUCT(1+M8:$M$17))),4)</f>
        <v>1.0282</v>
      </c>
      <c r="U8" s="1347">
        <f>ROUND(IF(项目基本情况!$B$8="出让",SUMPRODUCT(PRODUCT(1+N8:$N$18)),SUMPRODUCT(PRODUCT(1+N8:$N$17))),4)</f>
        <v>1.0841000000000001</v>
      </c>
      <c r="V8" s="1347">
        <f>ROUND(IF(项目基本情况!$B$8="出让",SUMPRODUCT(PRODUCT(1+O8:$O$18)),SUMPRODUCT(PRODUCT(1+O8:$O$17))),4)</f>
        <v>1.0674999999999999</v>
      </c>
      <c r="W8" s="1347">
        <f t="shared" ref="W8:W10" si="30">T8</f>
        <v>1.0282</v>
      </c>
      <c r="X8" s="1347"/>
      <c r="Y8" s="1349">
        <f t="shared" ref="Y8:AC8" si="31">IF(D8=0,0,ROUND(AVERAGE(D8:D19)/100,4))</f>
        <v>7.7999999999999996E-3</v>
      </c>
      <c r="Z8" s="1349">
        <f t="shared" si="31"/>
        <v>4.1000000000000003E-3</v>
      </c>
      <c r="AA8" s="1349">
        <f t="shared" si="31"/>
        <v>2.3E-3</v>
      </c>
      <c r="AB8" s="1349">
        <f t="shared" si="31"/>
        <v>8.3999999999999995E-3</v>
      </c>
      <c r="AC8" s="1349">
        <f t="shared" si="31"/>
        <v>6.3E-3</v>
      </c>
      <c r="AD8" s="1349">
        <f t="shared" ref="AD8:AD10" si="32">AA8</f>
        <v>2.3E-3</v>
      </c>
    </row>
    <row r="9" spans="1:30">
      <c r="A9" s="1325" t="s">
        <v>2032</v>
      </c>
      <c r="B9" s="1318">
        <v>2023</v>
      </c>
      <c r="C9" s="1319">
        <v>2</v>
      </c>
      <c r="D9" s="1319">
        <v>0.91</v>
      </c>
      <c r="E9" s="1319">
        <v>0.66</v>
      </c>
      <c r="F9" s="1319">
        <v>0.47</v>
      </c>
      <c r="G9" s="1319">
        <v>0.96</v>
      </c>
      <c r="H9" s="1320">
        <v>0.71</v>
      </c>
      <c r="I9" s="1342">
        <f t="shared" si="0"/>
        <v>0.47</v>
      </c>
      <c r="J9" s="1343"/>
      <c r="K9" s="1344">
        <f t="shared" si="24"/>
        <v>9.1000000000000004E-3</v>
      </c>
      <c r="L9" s="1345">
        <f t="shared" si="25"/>
        <v>6.6E-3</v>
      </c>
      <c r="M9" s="1345">
        <f t="shared" si="26"/>
        <v>4.7000000000000002E-3</v>
      </c>
      <c r="N9" s="1345">
        <f t="shared" si="27"/>
        <v>9.5999999999999992E-3</v>
      </c>
      <c r="O9" s="1345">
        <f t="shared" si="28"/>
        <v>7.1000000000000004E-3</v>
      </c>
      <c r="P9" s="1345">
        <f t="shared" si="29"/>
        <v>4.7000000000000002E-3</v>
      </c>
      <c r="Q9" s="1343"/>
      <c r="R9" s="1361">
        <f>ROUND(IF(项目基本情况!$B$8="出让",SUMPRODUCT(PRODUCT(1+K9:$K$18)),SUMPRODUCT(PRODUCT(1+K9:$K$17))),4)</f>
        <v>1.0755999999999999</v>
      </c>
      <c r="S9" s="1361">
        <f>ROUND(IF(项目基本情况!$B$8="出让",SUMPRODUCT(PRODUCT(1+L9:$L$18)),SUMPRODUCT(PRODUCT(1+L9:$L$17))),4)</f>
        <v>1.0395000000000001</v>
      </c>
      <c r="T9" s="1361">
        <f>ROUND(IF(项目基本情况!$B$8="出让",SUMPRODUCT(PRODUCT(1+M9:$M$18)),SUMPRODUCT(PRODUCT(1+M9:$M$17))),4)</f>
        <v>1.0250999999999999</v>
      </c>
      <c r="U9" s="1361">
        <f>ROUND(IF(项目基本情况!$B$8="出让",SUMPRODUCT(PRODUCT(1+N9:$N$18)),SUMPRODUCT(PRODUCT(1+N9:$N$17))),4)</f>
        <v>1.0818000000000001</v>
      </c>
      <c r="V9" s="1361">
        <f>ROUND(IF(项目基本情况!$B$8="出让",SUMPRODUCT(PRODUCT(1+O9:$O$18)),SUMPRODUCT(PRODUCT(1+O9:$O$17))),4)</f>
        <v>1.0629999999999999</v>
      </c>
      <c r="W9" s="1361">
        <f t="shared" si="30"/>
        <v>1.0250999999999999</v>
      </c>
      <c r="X9" s="1343"/>
      <c r="Y9" s="1370">
        <f t="shared" ref="Y9:AC9" si="33">IF(D9=0,0,ROUND(AVERAGE(D9:D20)/100,4))</f>
        <v>8.3000000000000001E-3</v>
      </c>
      <c r="Z9" s="1370">
        <f t="shared" si="33"/>
        <v>4.0000000000000001E-3</v>
      </c>
      <c r="AA9" s="1370">
        <f t="shared" si="33"/>
        <v>2.2000000000000001E-3</v>
      </c>
      <c r="AB9" s="1370">
        <f t="shared" si="33"/>
        <v>8.9999999999999993E-3</v>
      </c>
      <c r="AC9" s="1370">
        <f t="shared" si="33"/>
        <v>6.4999999999999997E-3</v>
      </c>
      <c r="AD9" s="1370">
        <f t="shared" si="32"/>
        <v>2.2000000000000001E-3</v>
      </c>
    </row>
    <row r="10" spans="1:30">
      <c r="A10" s="1325" t="s">
        <v>1932</v>
      </c>
      <c r="B10" s="1318">
        <v>2023</v>
      </c>
      <c r="C10" s="1319">
        <v>1</v>
      </c>
      <c r="D10" s="1319">
        <v>0.89</v>
      </c>
      <c r="E10" s="1319">
        <v>0.74</v>
      </c>
      <c r="F10" s="1319">
        <v>0.56999999999999995</v>
      </c>
      <c r="G10" s="1319">
        <v>0.92</v>
      </c>
      <c r="H10" s="1320">
        <v>0.5</v>
      </c>
      <c r="I10" s="1342">
        <f t="shared" si="0"/>
        <v>0.56999999999999995</v>
      </c>
      <c r="J10" s="1343"/>
      <c r="K10" s="1344">
        <f t="shared" si="24"/>
        <v>8.8999999999999999E-3</v>
      </c>
      <c r="L10" s="1345">
        <f t="shared" si="25"/>
        <v>7.4000000000000003E-3</v>
      </c>
      <c r="M10" s="1345">
        <f t="shared" si="26"/>
        <v>5.7000000000000002E-3</v>
      </c>
      <c r="N10" s="1345">
        <f t="shared" si="27"/>
        <v>9.1999999999999998E-3</v>
      </c>
      <c r="O10" s="1345">
        <f t="shared" si="28"/>
        <v>5.0000000000000001E-3</v>
      </c>
      <c r="P10" s="1345">
        <f t="shared" si="29"/>
        <v>5.7000000000000002E-3</v>
      </c>
      <c r="Q10" s="1343"/>
      <c r="R10" s="1361">
        <f>ROUND(IF(项目基本情况!$B$8="出让",SUMPRODUCT(PRODUCT(1+K10:$K$18)),SUMPRODUCT(PRODUCT(1+K10:$K$17))),4)</f>
        <v>1.0659000000000001</v>
      </c>
      <c r="S10" s="1361">
        <f>ROUND(IF(项目基本情况!$B$8="出让",SUMPRODUCT(PRODUCT(1+L10:$L$18)),SUMPRODUCT(PRODUCT(1+L10:$L$17))),4)</f>
        <v>1.0326</v>
      </c>
      <c r="T10" s="1361">
        <f>ROUND(IF(项目基本情况!$B$8="出让",SUMPRODUCT(PRODUCT(1+M10:$M$18)),SUMPRODUCT(PRODUCT(1+M10:$M$17))),4)</f>
        <v>1.0203</v>
      </c>
      <c r="U10" s="1361">
        <f>ROUND(IF(项目基本情况!$B$8="出让",SUMPRODUCT(PRODUCT(1+N10:$N$18)),SUMPRODUCT(PRODUCT(1+N10:$N$17))),4)</f>
        <v>1.0714999999999999</v>
      </c>
      <c r="V10" s="1361">
        <f>ROUND(IF(项目基本情况!$B$8="出让",SUMPRODUCT(PRODUCT(1+O10:$O$18)),SUMPRODUCT(PRODUCT(1+O10:$O$17))),4)</f>
        <v>1.0555000000000001</v>
      </c>
      <c r="W10" s="1361">
        <f t="shared" si="30"/>
        <v>1.0203</v>
      </c>
      <c r="X10" s="1343"/>
      <c r="Y10" s="1370">
        <f t="shared" ref="Y10:AC10" si="34">IF(D10=0,0,ROUND(AVERAGE(D10:D21)/100,4))</f>
        <v>8.2000000000000007E-3</v>
      </c>
      <c r="Z10" s="1370">
        <f t="shared" si="34"/>
        <v>3.8E-3</v>
      </c>
      <c r="AA10" s="1370">
        <f t="shared" si="34"/>
        <v>2E-3</v>
      </c>
      <c r="AB10" s="1370">
        <f t="shared" si="34"/>
        <v>8.8999999999999999E-3</v>
      </c>
      <c r="AC10" s="1370">
        <f t="shared" si="34"/>
        <v>6.4000000000000003E-3</v>
      </c>
      <c r="AD10" s="1370">
        <f t="shared" si="32"/>
        <v>2E-3</v>
      </c>
    </row>
    <row r="11" spans="1:30">
      <c r="A11" s="1325" t="s">
        <v>1933</v>
      </c>
      <c r="B11" s="1318">
        <v>2022</v>
      </c>
      <c r="C11" s="1319">
        <v>4</v>
      </c>
      <c r="D11" s="1319">
        <v>0.62</v>
      </c>
      <c r="E11" s="1319">
        <v>0.2</v>
      </c>
      <c r="F11" s="1319">
        <v>0.11</v>
      </c>
      <c r="G11" s="1319">
        <v>0.69</v>
      </c>
      <c r="H11" s="1320">
        <v>0.53</v>
      </c>
      <c r="I11" s="1342">
        <f t="shared" si="0"/>
        <v>0.11</v>
      </c>
      <c r="J11" s="1343"/>
      <c r="K11" s="1344">
        <f t="shared" si="1"/>
        <v>6.1999999999999998E-3</v>
      </c>
      <c r="L11" s="1345">
        <f t="shared" si="1"/>
        <v>2E-3</v>
      </c>
      <c r="M11" s="1345">
        <f t="shared" si="1"/>
        <v>1.1000000000000001E-3</v>
      </c>
      <c r="N11" s="1345">
        <f t="shared" si="1"/>
        <v>6.8999999999999999E-3</v>
      </c>
      <c r="O11" s="1345">
        <f t="shared" si="1"/>
        <v>5.3E-3</v>
      </c>
      <c r="P11" s="1345">
        <f t="shared" ref="P11:P18" si="35">M11</f>
        <v>1.1000000000000001E-3</v>
      </c>
      <c r="Q11" s="1343"/>
      <c r="R11" s="1361">
        <f>ROUND(IF(项目基本情况!B8="出让",SUMPRODUCT(PRODUCT(1+K11:K18)),SUMPRODUCT(PRODUCT(1+K11:K17))),4)</f>
        <v>1.0565</v>
      </c>
      <c r="S11" s="1361">
        <f>ROUND(IF(项目基本情况!B8="出让",SUMPRODUCT(PRODUCT(1+L11:L18)),SUMPRODUCT(PRODUCT(1+L11:L17))),4)</f>
        <v>1.0250999999999999</v>
      </c>
      <c r="T11" s="1361">
        <f>ROUND(IF(项目基本情况!B8="出让",SUMPRODUCT(PRODUCT(1+M11:M18)),SUMPRODUCT(PRODUCT(1+M11:M17))),4)</f>
        <v>1.0145</v>
      </c>
      <c r="U11" s="1361">
        <f>ROUND(IF(项目基本情况!B8="出让",SUMPRODUCT(PRODUCT(1+N11:N18)),SUMPRODUCT(PRODUCT(1+N11:N17))),4)</f>
        <v>1.0618000000000001</v>
      </c>
      <c r="V11" s="1361">
        <f>ROUND(IF(项目基本情况!B8="出让",SUMPRODUCT(PRODUCT(1+O11:O18)),SUMPRODUCT(PRODUCT(1+O11:O17))),4)</f>
        <v>1.0502</v>
      </c>
      <c r="W11" s="1361">
        <f t="shared" ref="W11:W18" si="36">T11</f>
        <v>1.0145</v>
      </c>
      <c r="X11" s="1343"/>
      <c r="Y11" s="1370">
        <f>IF(D11=0,0,ROUND(AVERAGE(D11:D19)/100,4))</f>
        <v>8.0999999999999996E-3</v>
      </c>
      <c r="Z11" s="1370">
        <f>IF(E11=0,0,ROUND(AVERAGE(E11:E18)/100,4))</f>
        <v>3.3E-3</v>
      </c>
      <c r="AA11" s="1370">
        <f>IF(F11=0,0,ROUND(AVERAGE(F11:F18)/100,4))</f>
        <v>1.5E-3</v>
      </c>
      <c r="AB11" s="1370">
        <f>IF(G11=0,0,ROUND(AVERAGE(G11:G18)/100,4))</f>
        <v>8.8999999999999999E-3</v>
      </c>
      <c r="AC11" s="1370">
        <f>IF(H11=0,0,ROUND(AVERAGE(H11:H18)/100,4))</f>
        <v>6.6E-3</v>
      </c>
      <c r="AD11" s="1370">
        <f t="shared" si="2"/>
        <v>1.5E-3</v>
      </c>
    </row>
    <row r="12" spans="1:30">
      <c r="A12" s="1325" t="s">
        <v>1934</v>
      </c>
      <c r="B12" s="1318">
        <v>2022</v>
      </c>
      <c r="C12" s="1319">
        <v>3</v>
      </c>
      <c r="D12" s="1319">
        <v>0.66</v>
      </c>
      <c r="E12" s="1319">
        <v>0.32</v>
      </c>
      <c r="F12" s="1319">
        <v>0.23</v>
      </c>
      <c r="G12" s="1319">
        <v>0.72</v>
      </c>
      <c r="H12" s="1320">
        <v>0.63</v>
      </c>
      <c r="I12" s="1342">
        <f t="shared" si="0"/>
        <v>0.23</v>
      </c>
      <c r="J12" s="1343"/>
      <c r="K12" s="1344">
        <f t="shared" si="1"/>
        <v>6.6E-3</v>
      </c>
      <c r="L12" s="1345">
        <f t="shared" si="1"/>
        <v>3.2000000000000002E-3</v>
      </c>
      <c r="M12" s="1345">
        <f t="shared" si="1"/>
        <v>2.3E-3</v>
      </c>
      <c r="N12" s="1345">
        <f t="shared" si="1"/>
        <v>7.1999999999999998E-3</v>
      </c>
      <c r="O12" s="1345">
        <f t="shared" si="1"/>
        <v>6.3E-3</v>
      </c>
      <c r="P12" s="1345">
        <f t="shared" si="35"/>
        <v>2.3E-3</v>
      </c>
      <c r="Q12" s="1343"/>
      <c r="R12" s="1361">
        <f>ROUND(IF(项目基本情况!B8="出让",SUMPRODUCT(PRODUCT(1+K12:K18)),SUMPRODUCT(PRODUCT(1+K12:K17))),4)</f>
        <v>1.05</v>
      </c>
      <c r="S12" s="1361">
        <f>ROUND(IF(项目基本情况!B8="出让",SUMPRODUCT(PRODUCT(1+L12:L18)),SUMPRODUCT(PRODUCT(1+L12:L17))),4)</f>
        <v>1.0229999999999999</v>
      </c>
      <c r="T12" s="1361">
        <f>ROUND(IF(项目基本情况!B8="出让",SUMPRODUCT(PRODUCT(1+M12:M18)),SUMPRODUCT(PRODUCT(1+M12:M17))),4)</f>
        <v>1.0134000000000001</v>
      </c>
      <c r="U12" s="1361">
        <f>ROUND(IF(项目基本情况!B8="出让",SUMPRODUCT(PRODUCT(1+N12:N18)),SUMPRODUCT(PRODUCT(1+N12:N17))),4)</f>
        <v>1.0545</v>
      </c>
      <c r="V12" s="1361">
        <f>ROUND(IF(项目基本情况!B8="出让",SUMPRODUCT(PRODUCT(1+O12:O18)),SUMPRODUCT(PRODUCT(1+O12:O17))),4)</f>
        <v>1.0447</v>
      </c>
      <c r="W12" s="1361">
        <f t="shared" si="36"/>
        <v>1.0134000000000001</v>
      </c>
      <c r="X12" s="1343"/>
      <c r="Y12" s="1370">
        <f>IF(D12=0,0,ROUND(AVERAGE(D12:D18)/100,4))</f>
        <v>8.3999999999999995E-3</v>
      </c>
      <c r="Z12" s="1370">
        <f>IF(E12=0,0,ROUND(AVERAGE(E12:E18)/100,4))</f>
        <v>3.5000000000000001E-3</v>
      </c>
      <c r="AA12" s="1370">
        <f>IF(F12=0,0,ROUND(AVERAGE(F12:F18)/100,4))</f>
        <v>1.5E-3</v>
      </c>
      <c r="AB12" s="1370">
        <f>IF(G12=0,0,ROUND(AVERAGE(G12:G18)/100,4))</f>
        <v>9.1999999999999998E-3</v>
      </c>
      <c r="AC12" s="1370">
        <f>IF(H12=0,0,ROUND(AVERAGE(H12:H18)/100,4))</f>
        <v>6.7999999999999996E-3</v>
      </c>
      <c r="AD12" s="1370">
        <f t="shared" si="2"/>
        <v>1.5E-3</v>
      </c>
    </row>
    <row r="13" spans="1:30">
      <c r="A13" s="1325" t="s">
        <v>1935</v>
      </c>
      <c r="B13" s="1318">
        <v>2022</v>
      </c>
      <c r="C13" s="1319">
        <v>2</v>
      </c>
      <c r="D13" s="1319">
        <v>0.93</v>
      </c>
      <c r="E13" s="1319">
        <v>0.15</v>
      </c>
      <c r="F13" s="1319">
        <v>0.01</v>
      </c>
      <c r="G13" s="1319">
        <v>1.05</v>
      </c>
      <c r="H13" s="1320">
        <v>1.08</v>
      </c>
      <c r="I13" s="1342">
        <f t="shared" si="0"/>
        <v>0.01</v>
      </c>
      <c r="J13" s="1343"/>
      <c r="K13" s="1344">
        <f t="shared" si="1"/>
        <v>9.2999999999999992E-3</v>
      </c>
      <c r="L13" s="1345">
        <f t="shared" si="1"/>
        <v>1.5E-3</v>
      </c>
      <c r="M13" s="1345">
        <f t="shared" si="1"/>
        <v>1E-4</v>
      </c>
      <c r="N13" s="1345">
        <f t="shared" si="1"/>
        <v>1.0500000000000001E-2</v>
      </c>
      <c r="O13" s="1345">
        <f t="shared" si="1"/>
        <v>1.0800000000000001E-2</v>
      </c>
      <c r="P13" s="1345">
        <f t="shared" si="35"/>
        <v>1E-4</v>
      </c>
      <c r="Q13" s="1343"/>
      <c r="R13" s="1361">
        <f>ROUND(IF(项目基本情况!B8="出让",SUMPRODUCT(PRODUCT(1+K13:K18)),SUMPRODUCT(PRODUCT(1+K13:K17))),4)</f>
        <v>1.0430999999999999</v>
      </c>
      <c r="S13" s="1361">
        <f>ROUND(IF(项目基本情况!B8="出让",SUMPRODUCT(PRODUCT(1+L13:L18)),SUMPRODUCT(PRODUCT(1+L13:L17))),4)</f>
        <v>1.0197000000000001</v>
      </c>
      <c r="T13" s="1361">
        <f>ROUND(IF(项目基本情况!B8="出让",SUMPRODUCT(PRODUCT(1+M13:M18)),SUMPRODUCT(PRODUCT(1+M13:M17))),4)</f>
        <v>1.0109999999999999</v>
      </c>
      <c r="U13" s="1361">
        <f>ROUND(IF(项目基本情况!B8="出让",SUMPRODUCT(PRODUCT(1+N13:N18)),SUMPRODUCT(PRODUCT(1+N13:N17))),4)</f>
        <v>1.0468999999999999</v>
      </c>
      <c r="V13" s="1361">
        <f>ROUND(IF(项目基本情况!B8="出让",SUMPRODUCT(PRODUCT(1+O13:O18)),SUMPRODUCT(PRODUCT(1+O13:O17))),4)</f>
        <v>1.0382</v>
      </c>
      <c r="W13" s="1361">
        <f t="shared" si="36"/>
        <v>1.0109999999999999</v>
      </c>
      <c r="X13" s="1343"/>
      <c r="Y13" s="1370">
        <f>IF(D13=0,0,ROUND(AVERAGE(D13:D18)/100,4))</f>
        <v>8.6999999999999994E-3</v>
      </c>
      <c r="Z13" s="1370">
        <f>IF(E13=0,0,ROUND(AVERAGE(E13:E18)/100,4))</f>
        <v>3.5000000000000001E-3</v>
      </c>
      <c r="AA13" s="1370">
        <f>IF(F13=0,0,ROUND(AVERAGE(F13:F18)/100,4))</f>
        <v>1.4E-3</v>
      </c>
      <c r="AB13" s="1370">
        <f>IF(G13=0,0,ROUND(AVERAGE(G13:G18)/100,4))</f>
        <v>9.4999999999999998E-3</v>
      </c>
      <c r="AC13" s="1370">
        <f>IF(H13=0,0,ROUND(AVERAGE(H13:H18)/100,4))</f>
        <v>6.8999999999999999E-3</v>
      </c>
      <c r="AD13" s="1370">
        <f t="shared" si="2"/>
        <v>1.4E-3</v>
      </c>
    </row>
    <row r="14" spans="1:30">
      <c r="A14" s="1325" t="s">
        <v>1936</v>
      </c>
      <c r="B14" s="1318">
        <v>2022</v>
      </c>
      <c r="C14" s="1319">
        <v>1</v>
      </c>
      <c r="D14" s="1319">
        <v>0.89</v>
      </c>
      <c r="E14" s="1319">
        <v>0.44</v>
      </c>
      <c r="F14" s="1319">
        <v>0.37</v>
      </c>
      <c r="G14" s="1319">
        <v>0.96</v>
      </c>
      <c r="H14" s="1320">
        <v>0.64</v>
      </c>
      <c r="I14" s="1342">
        <f t="shared" si="0"/>
        <v>0.37</v>
      </c>
      <c r="J14" s="1343"/>
      <c r="K14" s="1344">
        <f t="shared" si="1"/>
        <v>8.8999999999999999E-3</v>
      </c>
      <c r="L14" s="1345">
        <f t="shared" si="1"/>
        <v>4.4000000000000003E-3</v>
      </c>
      <c r="M14" s="1345">
        <f t="shared" si="1"/>
        <v>3.7000000000000002E-3</v>
      </c>
      <c r="N14" s="1345">
        <f t="shared" si="1"/>
        <v>9.5999999999999992E-3</v>
      </c>
      <c r="O14" s="1345">
        <f t="shared" si="1"/>
        <v>6.4000000000000003E-3</v>
      </c>
      <c r="P14" s="1345">
        <f t="shared" si="35"/>
        <v>3.7000000000000002E-3</v>
      </c>
      <c r="Q14" s="1343"/>
      <c r="R14" s="1361">
        <f>ROUND(IF(项目基本情况!B8="出让",SUMPRODUCT(PRODUCT(1+K14:K18)),SUMPRODUCT(PRODUCT(1+K14:K17))),4)</f>
        <v>1.0335000000000001</v>
      </c>
      <c r="S14" s="1361">
        <f>ROUND(IF(项目基本情况!B8="出让",SUMPRODUCT(PRODUCT(1+L14:L18)),SUMPRODUCT(PRODUCT(1+L14:L17))),4)</f>
        <v>1.0182</v>
      </c>
      <c r="T14" s="1361">
        <f>ROUND(IF(项目基本情况!B8="出让",SUMPRODUCT(PRODUCT(1+M14:M18)),SUMPRODUCT(PRODUCT(1+M14:M17))),4)</f>
        <v>1.0108999999999999</v>
      </c>
      <c r="U14" s="1361">
        <f>ROUND(IF(项目基本情况!B8="出让",SUMPRODUCT(PRODUCT(1+N14:N18)),SUMPRODUCT(PRODUCT(1+N14:N17))),4)</f>
        <v>1.0361</v>
      </c>
      <c r="V14" s="1361">
        <f>ROUND(IF(项目基本情况!B8="出让",SUMPRODUCT(PRODUCT(1+O14:O18)),SUMPRODUCT(PRODUCT(1+O14:O17))),4)</f>
        <v>1.0270999999999999</v>
      </c>
      <c r="W14" s="1361">
        <f t="shared" si="36"/>
        <v>1.0108999999999999</v>
      </c>
      <c r="X14" s="1343"/>
      <c r="Y14" s="1370">
        <f>IF(D14=0,0,ROUND(AVERAGE(D14:D18)/100,4))</f>
        <v>8.6E-3</v>
      </c>
      <c r="Z14" s="1370">
        <f>IF(E14=0,0,ROUND(AVERAGE(E14:E18)/100,4))</f>
        <v>3.8999999999999998E-3</v>
      </c>
      <c r="AA14" s="1370">
        <f>IF(F14=0,0,ROUND(AVERAGE(F14:F18)/100,4))</f>
        <v>1.6999999999999999E-3</v>
      </c>
      <c r="AB14" s="1370">
        <f>IF(G14=0,0,ROUND(AVERAGE(G14:G18)/100,4))</f>
        <v>9.2999999999999992E-3</v>
      </c>
      <c r="AC14" s="1370">
        <f>IF(H14=0,0,ROUND(AVERAGE(H14:H18)/100,4))</f>
        <v>6.1000000000000004E-3</v>
      </c>
      <c r="AD14" s="1370">
        <f t="shared" si="2"/>
        <v>1.6999999999999999E-3</v>
      </c>
    </row>
    <row r="15" spans="1:30">
      <c r="A15" s="1325" t="s">
        <v>1937</v>
      </c>
      <c r="B15" s="1318">
        <v>2021</v>
      </c>
      <c r="C15" s="1319">
        <v>4</v>
      </c>
      <c r="D15" s="1319">
        <v>1.03</v>
      </c>
      <c r="E15" s="1319">
        <v>0.24</v>
      </c>
      <c r="F15" s="1319">
        <v>7.0000000000000007E-2</v>
      </c>
      <c r="G15" s="1319">
        <v>1.17</v>
      </c>
      <c r="H15" s="1320">
        <v>0.55000000000000004</v>
      </c>
      <c r="I15" s="1342">
        <f t="shared" si="0"/>
        <v>7.0000000000000007E-2</v>
      </c>
      <c r="J15" s="1343"/>
      <c r="K15" s="1344">
        <f t="shared" si="1"/>
        <v>1.03E-2</v>
      </c>
      <c r="L15" s="1345">
        <f t="shared" si="1"/>
        <v>2.3999999999999998E-3</v>
      </c>
      <c r="M15" s="1345">
        <f t="shared" si="1"/>
        <v>6.9999999999999999E-4</v>
      </c>
      <c r="N15" s="1345">
        <f t="shared" si="1"/>
        <v>1.17E-2</v>
      </c>
      <c r="O15" s="1345">
        <f t="shared" si="1"/>
        <v>5.4999999999999997E-3</v>
      </c>
      <c r="P15" s="1345">
        <f t="shared" si="35"/>
        <v>6.9999999999999999E-4</v>
      </c>
      <c r="Q15" s="1343"/>
      <c r="R15" s="1361">
        <f>ROUND(IF(项目基本情况!B8="出让",SUMPRODUCT(PRODUCT(1+K15:K18)),SUMPRODUCT(PRODUCT(1+K15:K17))),4)</f>
        <v>1.0244</v>
      </c>
      <c r="S15" s="1361">
        <f>ROUND(IF(项目基本情况!B8="出让",SUMPRODUCT(PRODUCT(1+L15:L18)),SUMPRODUCT(PRODUCT(1+L15:L17))),4)</f>
        <v>1.0138</v>
      </c>
      <c r="T15" s="1361">
        <f>ROUND(IF(项目基本情况!B8="出让",SUMPRODUCT(PRODUCT(1+M15:M18)),SUMPRODUCT(PRODUCT(1+M15:M17))),4)</f>
        <v>1.0072000000000001</v>
      </c>
      <c r="U15" s="1361">
        <f>ROUND(IF(项目基本情况!B8="出让",SUMPRODUCT(PRODUCT(1+N15:N18)),SUMPRODUCT(PRODUCT(1+N15:N17))),4)</f>
        <v>1.0262</v>
      </c>
      <c r="V15" s="1361">
        <f>ROUND(IF(项目基本情况!B8="出让",SUMPRODUCT(PRODUCT(1+O15:O18)),SUMPRODUCT(PRODUCT(1+O15:O17))),4)</f>
        <v>1.0205</v>
      </c>
      <c r="W15" s="1361">
        <f t="shared" si="36"/>
        <v>1.0072000000000001</v>
      </c>
      <c r="X15" s="1343"/>
      <c r="Y15" s="1370">
        <f>IF(D15=0,0,ROUND(AVERAGE(D15:D18)/100,4))</f>
        <v>8.5000000000000006E-3</v>
      </c>
      <c r="Z15" s="1370">
        <f>IF(E15=0,0,ROUND(AVERAGE(E15:E18)/100,4))</f>
        <v>3.8E-3</v>
      </c>
      <c r="AA15" s="1370">
        <f>IF(F15=0,0,ROUND(AVERAGE(F15:F18)/100,4))</f>
        <v>1.1999999999999999E-3</v>
      </c>
      <c r="AB15" s="1370">
        <f>IF(G15=0,0,ROUND(AVERAGE(G15:G18)/100,4))</f>
        <v>9.2999999999999992E-3</v>
      </c>
      <c r="AC15" s="1370">
        <f>IF(H15=0,0,ROUND(AVERAGE(H15:H18)/100,4))</f>
        <v>6.0000000000000001E-3</v>
      </c>
      <c r="AD15" s="1370">
        <f t="shared" si="2"/>
        <v>1.1999999999999999E-3</v>
      </c>
    </row>
    <row r="16" spans="1:30">
      <c r="A16" s="1325" t="s">
        <v>1938</v>
      </c>
      <c r="B16" s="1318">
        <v>2021</v>
      </c>
      <c r="C16" s="1319">
        <v>3</v>
      </c>
      <c r="D16" s="1319">
        <v>0.47</v>
      </c>
      <c r="E16" s="1319">
        <v>0.41</v>
      </c>
      <c r="F16" s="1319">
        <v>0.24</v>
      </c>
      <c r="G16" s="1319">
        <v>0.48</v>
      </c>
      <c r="H16" s="1320">
        <v>0.48</v>
      </c>
      <c r="I16" s="1342">
        <f t="shared" si="0"/>
        <v>0.24</v>
      </c>
      <c r="J16" s="1343"/>
      <c r="K16" s="1344">
        <f t="shared" si="1"/>
        <v>4.7000000000000002E-3</v>
      </c>
      <c r="L16" s="1345">
        <f t="shared" si="1"/>
        <v>4.1000000000000003E-3</v>
      </c>
      <c r="M16" s="1345">
        <f t="shared" si="1"/>
        <v>2.3999999999999998E-3</v>
      </c>
      <c r="N16" s="1345">
        <f t="shared" si="1"/>
        <v>4.7999999999999996E-3</v>
      </c>
      <c r="O16" s="1345">
        <f t="shared" si="1"/>
        <v>4.7999999999999996E-3</v>
      </c>
      <c r="P16" s="1345">
        <f t="shared" si="35"/>
        <v>2.3999999999999998E-3</v>
      </c>
      <c r="Q16" s="1343"/>
      <c r="R16" s="1361">
        <f>ROUND(IF(项目基本情况!B8="出让",SUMPRODUCT(PRODUCT(1+K16:K18)),SUMPRODUCT(PRODUCT(1+K16:K17))),4)</f>
        <v>1.0139</v>
      </c>
      <c r="S16" s="1361">
        <f>ROUND(IF(项目基本情况!B8="出让",SUMPRODUCT(PRODUCT(1+L16:L18)),SUMPRODUCT(PRODUCT(1+L16:L17))),4)</f>
        <v>1.0113000000000001</v>
      </c>
      <c r="T16" s="1361">
        <f>ROUND(IF(项目基本情况!B8="出让",SUMPRODUCT(PRODUCT(1+M16:M18)),SUMPRODUCT(PRODUCT(1+M16:M17))),4)</f>
        <v>1.0065</v>
      </c>
      <c r="U16" s="1361">
        <f>ROUND(IF(项目基本情况!B8="出让",SUMPRODUCT(PRODUCT(1+N16:N18)),SUMPRODUCT(PRODUCT(1+N16:N17))),4)</f>
        <v>1.0143</v>
      </c>
      <c r="V16" s="1361">
        <f>ROUND(IF(项目基本情况!B8="出让",SUMPRODUCT(PRODUCT(1+O16:O18)),SUMPRODUCT(PRODUCT(1+O16:O17))),4)</f>
        <v>1.0148999999999999</v>
      </c>
      <c r="W16" s="1361">
        <f t="shared" si="36"/>
        <v>1.0065</v>
      </c>
      <c r="X16" s="1343"/>
      <c r="Y16" s="1370">
        <f>IF(D16=0,0,ROUND(AVERAGE(D16:D18)/100,4))</f>
        <v>7.9000000000000008E-3</v>
      </c>
      <c r="Z16" s="1370">
        <f>IF(E16=0,0,ROUND(AVERAGE(E16:E18)/100,4))</f>
        <v>4.3E-3</v>
      </c>
      <c r="AA16" s="1370">
        <f>IF(F16=0,0,ROUND(AVERAGE(F16:F18)/100,4))</f>
        <v>1.2999999999999999E-3</v>
      </c>
      <c r="AB16" s="1370">
        <f>IF(G16=0,0,ROUND(AVERAGE(G16:G18)/100,4))</f>
        <v>8.5000000000000006E-3</v>
      </c>
      <c r="AC16" s="1370">
        <f>IF(H16=0,0,ROUND(AVERAGE(H16:H18)/100,4))</f>
        <v>6.1999999999999998E-3</v>
      </c>
      <c r="AD16" s="1370">
        <f t="shared" si="2"/>
        <v>1.2999999999999999E-3</v>
      </c>
    </row>
    <row r="17" spans="1:30">
      <c r="A17" s="1325" t="s">
        <v>1939</v>
      </c>
      <c r="B17" s="1318">
        <v>2021</v>
      </c>
      <c r="C17" s="1319">
        <v>2</v>
      </c>
      <c r="D17" s="1319">
        <v>0.92</v>
      </c>
      <c r="E17" s="1319">
        <v>0.72</v>
      </c>
      <c r="F17" s="1319">
        <v>0.41</v>
      </c>
      <c r="G17" s="1319">
        <v>0.95</v>
      </c>
      <c r="H17" s="1320">
        <v>1.01</v>
      </c>
      <c r="I17" s="1342">
        <f t="shared" si="0"/>
        <v>0.41</v>
      </c>
      <c r="J17" s="1343"/>
      <c r="K17" s="1344">
        <f t="shared" si="1"/>
        <v>9.1999999999999998E-3</v>
      </c>
      <c r="L17" s="1345">
        <f t="shared" si="1"/>
        <v>7.1999999999999998E-3</v>
      </c>
      <c r="M17" s="1345">
        <f t="shared" si="1"/>
        <v>4.1000000000000003E-3</v>
      </c>
      <c r="N17" s="1345">
        <f t="shared" si="1"/>
        <v>9.4999999999999998E-3</v>
      </c>
      <c r="O17" s="1345">
        <f t="shared" si="1"/>
        <v>1.01E-2</v>
      </c>
      <c r="P17" s="1345">
        <f t="shared" si="35"/>
        <v>4.1000000000000003E-3</v>
      </c>
      <c r="Q17" s="1343"/>
      <c r="R17" s="1361">
        <f>ROUND(IF(项目基本情况!B8="出让",SUMPRODUCT(PRODUCT(1+K17:K18)),SUMPRODUCT(PRODUCT(1+K17:K17))),4)</f>
        <v>1.0092000000000001</v>
      </c>
      <c r="S17" s="1361">
        <f>ROUND(IF(项目基本情况!B8="出让",SUMPRODUCT(PRODUCT(1+L17:L18)),SUMPRODUCT(PRODUCT(1+L17:L17))),4)</f>
        <v>1.0072000000000001</v>
      </c>
      <c r="T17" s="1361">
        <f>ROUND(IF(项目基本情况!B8="出让",SUMPRODUCT(PRODUCT(1+M17:M18)),SUMPRODUCT(PRODUCT(1+M17:M17))),4)</f>
        <v>1.0041</v>
      </c>
      <c r="U17" s="1361">
        <f>ROUND(IF(项目基本情况!B8="出让",SUMPRODUCT(PRODUCT(1+N17:N18)),SUMPRODUCT(PRODUCT(1+N17:N17))),4)</f>
        <v>1.0095000000000001</v>
      </c>
      <c r="V17" s="1361">
        <f>ROUND(IF(项目基本情况!B8="出让",SUMPRODUCT(PRODUCT(1+O17:O18)),SUMPRODUCT(PRODUCT(1+O17:O17))),4)</f>
        <v>1.0101</v>
      </c>
      <c r="W17" s="1361">
        <f t="shared" si="36"/>
        <v>1.0041</v>
      </c>
      <c r="X17" s="1343"/>
      <c r="Y17" s="1370">
        <f>IF(D17=0,0,ROUND(AVERAGE(D17:D18)/100,4))</f>
        <v>9.4999999999999998E-3</v>
      </c>
      <c r="Z17" s="1370">
        <f>IF(E17=0,0,ROUND(AVERAGE(E17:E18)/100,4))</f>
        <v>4.4000000000000003E-3</v>
      </c>
      <c r="AA17" s="1370">
        <f>IF(F17=0,0,ROUND(AVERAGE(F17:F18)/100,4))</f>
        <v>8.0000000000000004E-4</v>
      </c>
      <c r="AB17" s="1370">
        <f>IF(G17=0,0,ROUND(AVERAGE(G17:G18)/100,4))</f>
        <v>1.03E-2</v>
      </c>
      <c r="AC17" s="1370">
        <f>IF(H17=0,0,ROUND(AVERAGE(H17:H18)/100,4))</f>
        <v>6.8999999999999999E-3</v>
      </c>
      <c r="AD17" s="1370">
        <f t="shared" si="2"/>
        <v>8.0000000000000004E-4</v>
      </c>
    </row>
    <row r="18" spans="1:30">
      <c r="A18" s="1326" t="s">
        <v>1940</v>
      </c>
      <c r="B18" s="1327">
        <v>2021</v>
      </c>
      <c r="C18" s="1328">
        <v>1</v>
      </c>
      <c r="D18" s="1328">
        <v>0.97</v>
      </c>
      <c r="E18" s="1328">
        <v>0.16</v>
      </c>
      <c r="F18" s="1328">
        <v>-0.25</v>
      </c>
      <c r="G18" s="1328">
        <v>1.1100000000000001</v>
      </c>
      <c r="H18" s="1329">
        <v>0.36</v>
      </c>
      <c r="I18" s="1350">
        <f t="shared" si="0"/>
        <v>-0.25</v>
      </c>
      <c r="J18" s="1351"/>
      <c r="K18" s="1352">
        <f t="shared" si="1"/>
        <v>9.7000000000000003E-3</v>
      </c>
      <c r="L18" s="1353">
        <f t="shared" si="1"/>
        <v>1.6000000000000001E-3</v>
      </c>
      <c r="M18" s="1353">
        <f>F18/100</f>
        <v>-2.5000000000000001E-3</v>
      </c>
      <c r="N18" s="1353">
        <f t="shared" si="1"/>
        <v>1.11E-2</v>
      </c>
      <c r="O18" s="1353">
        <f t="shared" si="1"/>
        <v>3.5999999999999999E-3</v>
      </c>
      <c r="P18" s="1353">
        <f t="shared" si="35"/>
        <v>-2.5000000000000001E-3</v>
      </c>
      <c r="Q18" s="1351"/>
      <c r="R18" s="1362">
        <v>1</v>
      </c>
      <c r="S18" s="1362">
        <v>1</v>
      </c>
      <c r="T18" s="1362">
        <v>1</v>
      </c>
      <c r="U18" s="1362">
        <v>1</v>
      </c>
      <c r="V18" s="1362">
        <v>1</v>
      </c>
      <c r="W18" s="1362">
        <f t="shared" si="36"/>
        <v>1</v>
      </c>
      <c r="X18" s="1351"/>
      <c r="Y18" s="1353">
        <f>IF(D18=0,0,ROUND(AVERAGE(D18:D18)/100,4))</f>
        <v>9.7000000000000003E-3</v>
      </c>
      <c r="Z18" s="1353">
        <f>IF(E18=0,0,ROUND(AVERAGE(E18:E18)/100,4))</f>
        <v>1.6000000000000001E-3</v>
      </c>
      <c r="AA18" s="1353">
        <f>IF(F18=0,0,ROUND(AVERAGE(F18:F18)/100,4))</f>
        <v>-2.5000000000000001E-3</v>
      </c>
      <c r="AB18" s="1353">
        <f>IF(G18=0,0,ROUND(AVERAGE(G18:G18)/100,4))</f>
        <v>1.11E-2</v>
      </c>
      <c r="AC18" s="1353">
        <f>IF(H18=0,0,ROUND(AVERAGE(H18:H18)/100,4))</f>
        <v>3.5999999999999999E-3</v>
      </c>
      <c r="AD18" s="1353">
        <f t="shared" si="2"/>
        <v>-2.5000000000000001E-3</v>
      </c>
    </row>
    <row r="19" spans="1:30">
      <c r="A19" s="1330"/>
      <c r="B19" s="1330"/>
      <c r="C19" s="1330"/>
      <c r="D19" s="1330"/>
      <c r="E19" s="1330"/>
      <c r="F19" s="1330"/>
      <c r="G19" s="1330"/>
      <c r="H19" s="1330"/>
      <c r="I19" s="1330"/>
      <c r="J19" s="1330"/>
      <c r="K19" s="1330"/>
      <c r="L19" s="1330"/>
      <c r="M19" s="1330"/>
      <c r="N19" s="1330"/>
      <c r="O19" s="1330"/>
      <c r="P19" s="1330"/>
      <c r="Q19" s="1330"/>
      <c r="R19" s="1330"/>
      <c r="S19" s="1330"/>
      <c r="T19" s="1330"/>
      <c r="U19" s="1330"/>
      <c r="V19" s="1330"/>
      <c r="W19" s="1330"/>
      <c r="X19" s="1330"/>
      <c r="Y19" s="1330"/>
      <c r="Z19" s="1330"/>
      <c r="AA19" s="1330"/>
      <c r="AB19" s="1330"/>
      <c r="AC19" s="1330"/>
      <c r="AD19" s="1330"/>
    </row>
    <row r="20" spans="1:30">
      <c r="A20" s="1331" t="s">
        <v>2033</v>
      </c>
      <c r="B20" s="1330"/>
      <c r="C20" s="1330"/>
      <c r="D20" s="1330"/>
      <c r="E20" s="1330"/>
      <c r="F20" s="1330"/>
      <c r="G20" s="1330"/>
      <c r="H20" s="1330"/>
      <c r="I20" s="1330"/>
      <c r="J20" s="1330"/>
      <c r="K20" s="1330"/>
      <c r="L20" s="1330"/>
      <c r="M20" s="1330"/>
      <c r="N20" s="1330"/>
      <c r="O20" s="1330"/>
      <c r="P20" s="1330"/>
      <c r="Q20" s="1330"/>
      <c r="R20" s="1330"/>
      <c r="S20" s="1330"/>
      <c r="T20" s="1330"/>
      <c r="U20" s="1330"/>
      <c r="V20" s="1330"/>
      <c r="W20" s="1330"/>
      <c r="X20" s="1330"/>
      <c r="Y20" s="1330"/>
      <c r="Z20" s="1330"/>
      <c r="AA20" s="1330"/>
      <c r="AB20" s="1330"/>
      <c r="AC20" s="1330"/>
      <c r="AD20" s="1330"/>
    </row>
    <row r="21" spans="1:30">
      <c r="A21" s="1330"/>
      <c r="B21" s="1330"/>
      <c r="C21" s="1330"/>
      <c r="D21" s="1330"/>
      <c r="E21" s="1330"/>
      <c r="F21" s="1330"/>
      <c r="G21" s="1330"/>
      <c r="H21" s="1330"/>
      <c r="I21" s="1354" t="s">
        <v>2034</v>
      </c>
      <c r="J21" s="1330"/>
      <c r="K21" s="1330"/>
      <c r="L21" s="1330"/>
      <c r="M21" s="1330"/>
      <c r="N21" s="1330"/>
      <c r="O21" s="1330"/>
      <c r="P21" s="1330"/>
      <c r="Q21" s="1330"/>
      <c r="R21" s="1330"/>
      <c r="S21" s="1330"/>
      <c r="T21" s="1330"/>
      <c r="U21" s="1330"/>
      <c r="V21" s="1330"/>
      <c r="W21" s="1330"/>
      <c r="X21" s="1330"/>
      <c r="Y21" s="1330"/>
      <c r="Z21" s="1330"/>
      <c r="AA21" s="1330"/>
      <c r="AB21" s="1330"/>
      <c r="AC21" s="1330"/>
      <c r="AD21" s="1330"/>
    </row>
    <row r="22" spans="1:30">
      <c r="A22" s="1330"/>
      <c r="B22" s="1330"/>
      <c r="C22" s="1330"/>
      <c r="D22" s="1330"/>
      <c r="E22" s="1330"/>
      <c r="F22" s="1330"/>
      <c r="G22" s="1330"/>
      <c r="H22" s="1330"/>
      <c r="I22" s="1330"/>
      <c r="J22" s="1330"/>
      <c r="K22" s="1330"/>
      <c r="L22" s="1330"/>
      <c r="M22" s="1330"/>
      <c r="N22" s="1330"/>
      <c r="O22" s="1330"/>
      <c r="P22" s="1330"/>
      <c r="Q22" s="1330"/>
      <c r="R22" s="1330"/>
      <c r="S22" s="1330"/>
      <c r="T22" s="1330"/>
      <c r="U22" s="1330"/>
      <c r="V22" s="1330"/>
      <c r="W22" s="1330"/>
      <c r="X22" s="1330"/>
      <c r="Y22" s="1330"/>
      <c r="Z22" s="1330"/>
      <c r="AA22" s="1330"/>
      <c r="AB22" s="1330"/>
      <c r="AC22" s="1330"/>
      <c r="AD22" s="1330"/>
    </row>
    <row r="23" spans="1:30">
      <c r="A23" s="1332"/>
      <c r="B23" s="1304" t="s">
        <v>2035</v>
      </c>
      <c r="C23" s="1305"/>
      <c r="D23" s="1305"/>
      <c r="E23" s="1305"/>
      <c r="F23" s="1305"/>
      <c r="G23" s="1305"/>
      <c r="H23" s="1305"/>
      <c r="I23" s="1305"/>
      <c r="J23" s="1335"/>
      <c r="K23" s="1305" t="s">
        <v>1925</v>
      </c>
      <c r="L23" s="1305"/>
      <c r="M23" s="1305"/>
      <c r="N23" s="1305"/>
      <c r="O23" s="1305"/>
      <c r="P23" s="1305"/>
      <c r="Q23" s="1335"/>
      <c r="R23" s="3919" t="s">
        <v>1927</v>
      </c>
      <c r="S23" s="3920"/>
      <c r="T23" s="3920"/>
      <c r="U23" s="3920"/>
      <c r="V23" s="3920"/>
      <c r="W23" s="3920"/>
      <c r="X23" s="1335"/>
      <c r="Y23" s="3919" t="s">
        <v>1928</v>
      </c>
      <c r="Z23" s="3920"/>
      <c r="AA23" s="3920"/>
      <c r="AB23" s="3920"/>
      <c r="AC23" s="3920"/>
      <c r="AD23" s="3920"/>
    </row>
    <row r="24" spans="1:30">
      <c r="A24" s="1306"/>
      <c r="B24" s="1307"/>
      <c r="C24" s="1308"/>
      <c r="D24" s="1309" t="s">
        <v>2027</v>
      </c>
      <c r="E24" s="1310" t="s">
        <v>437</v>
      </c>
      <c r="F24" s="1310" t="s">
        <v>438</v>
      </c>
      <c r="G24" s="1310" t="s">
        <v>402</v>
      </c>
      <c r="H24" s="1310"/>
      <c r="I24" s="1310" t="s">
        <v>297</v>
      </c>
      <c r="J24" s="1336"/>
      <c r="K24" s="1309" t="s">
        <v>2027</v>
      </c>
      <c r="L24" s="1310" t="s">
        <v>437</v>
      </c>
      <c r="M24" s="1310" t="s">
        <v>438</v>
      </c>
      <c r="N24" s="1310" t="s">
        <v>402</v>
      </c>
      <c r="O24" s="1310"/>
      <c r="P24" s="1310" t="s">
        <v>297</v>
      </c>
      <c r="Q24" s="1336"/>
      <c r="R24" s="1309" t="s">
        <v>2027</v>
      </c>
      <c r="S24" s="1310" t="s">
        <v>437</v>
      </c>
      <c r="T24" s="1310" t="s">
        <v>438</v>
      </c>
      <c r="U24" s="1310" t="s">
        <v>402</v>
      </c>
      <c r="V24" s="1310"/>
      <c r="W24" s="1310" t="s">
        <v>297</v>
      </c>
      <c r="X24" s="1336"/>
      <c r="Y24" s="1309" t="s">
        <v>2027</v>
      </c>
      <c r="Z24" s="1310" t="s">
        <v>437</v>
      </c>
      <c r="AA24" s="1310" t="s">
        <v>438</v>
      </c>
      <c r="AB24" s="1310" t="s">
        <v>402</v>
      </c>
      <c r="AC24" s="1310"/>
      <c r="AD24" s="1310" t="s">
        <v>297</v>
      </c>
    </row>
    <row r="25" spans="1:30">
      <c r="A25" s="1311" t="s">
        <v>1931</v>
      </c>
      <c r="B25" s="1312"/>
      <c r="C25" s="1313"/>
      <c r="D25" s="1313"/>
      <c r="E25" s="1313">
        <f>ROUND(AVERAGEIF(E26:E40,"&lt;&gt;0"),2)</f>
        <v>0.42</v>
      </c>
      <c r="F25" s="1313">
        <f>ROUND(AVERAGEIF(F26:F40,"&lt;&gt;0"),2)</f>
        <v>0.3</v>
      </c>
      <c r="G25" s="1313">
        <f>ROUND(AVERAGEIF(G26:G40,"&lt;&gt;0"),2)</f>
        <v>0.73</v>
      </c>
      <c r="H25" s="1313"/>
      <c r="I25" s="1313">
        <f>F25</f>
        <v>0.3</v>
      </c>
      <c r="J25" s="1337"/>
      <c r="K25" s="1338"/>
      <c r="L25" s="1339">
        <f>ROUND(AVERAGEIF(L26:L40,"&lt;&gt;0"),4)</f>
        <v>4.1999999999999997E-3</v>
      </c>
      <c r="M25" s="1339">
        <f>ROUND(AVERAGEIF(M26:M40,"&lt;&gt;0"),4)</f>
        <v>3.0000000000000001E-3</v>
      </c>
      <c r="N25" s="1339">
        <f>ROUND(AVERAGEIF(N26:N40,"&lt;&gt;0"),4)</f>
        <v>7.3000000000000001E-3</v>
      </c>
      <c r="O25" s="1339"/>
      <c r="P25" s="1339">
        <f>M25</f>
        <v>3.0000000000000001E-3</v>
      </c>
      <c r="Q25" s="1337"/>
      <c r="R25" s="1355"/>
      <c r="S25" s="1356">
        <f>ROUND(SUMPRODUCT(PRODUCT(1+L26:L40)),4)</f>
        <v>1.0468</v>
      </c>
      <c r="T25" s="1356">
        <f>ROUND(SUMPRODUCT(PRODUCT(1+M26:M40)),4)</f>
        <v>1.0337000000000001</v>
      </c>
      <c r="U25" s="1356">
        <f>ROUND(SUMPRODUCT(PRODUCT(1+N26:N40)),4)</f>
        <v>1.0828</v>
      </c>
      <c r="V25" s="1356"/>
      <c r="W25" s="1355">
        <f>T25</f>
        <v>1.0337000000000001</v>
      </c>
      <c r="X25" s="1337"/>
      <c r="Y25" s="1363"/>
      <c r="Z25" s="1364">
        <f>ROUND(AVERAGEIF(Z26:Z40,"&lt;&gt;0"),4)</f>
        <v>4.3E-3</v>
      </c>
      <c r="AA25" s="1365">
        <f>ROUND(AVERAGEIF(AA26:AA40,"&lt;&gt;0"),4)</f>
        <v>3.3999999999999998E-3</v>
      </c>
      <c r="AB25" s="1363">
        <f>ROUND(AVERAGEIF(AB26:AB40,"&lt;&gt;0"),4)</f>
        <v>8.5000000000000006E-3</v>
      </c>
      <c r="AC25" s="1366"/>
      <c r="AD25" s="1363">
        <f>AA25</f>
        <v>3.3999999999999998E-3</v>
      </c>
    </row>
    <row r="26" spans="1:30">
      <c r="A26" s="1314"/>
      <c r="B26" s="1333"/>
      <c r="C26" s="1334"/>
      <c r="D26" s="1334"/>
      <c r="E26" s="1334"/>
      <c r="F26" s="1334"/>
      <c r="G26" s="1334"/>
      <c r="H26" s="1334"/>
      <c r="I26" s="1334"/>
      <c r="J26" s="1335"/>
      <c r="K26" s="1340"/>
      <c r="L26" s="1341"/>
      <c r="M26" s="1341"/>
      <c r="N26" s="1341"/>
      <c r="O26" s="1341"/>
      <c r="P26" s="1341"/>
      <c r="Q26" s="1335"/>
      <c r="R26" s="1357"/>
      <c r="S26" s="1358"/>
      <c r="T26" s="1359"/>
      <c r="U26" s="1357"/>
      <c r="V26" s="1360"/>
      <c r="W26" s="1357"/>
      <c r="X26" s="1335"/>
      <c r="Y26" s="1345"/>
      <c r="Z26" s="1367"/>
      <c r="AA26" s="1368"/>
      <c r="AB26" s="1345"/>
      <c r="AC26" s="1369"/>
      <c r="AD26" s="1345"/>
    </row>
    <row r="27" spans="1:30">
      <c r="A27" s="1317" t="s">
        <v>2028</v>
      </c>
      <c r="B27" s="1318">
        <v>2023</v>
      </c>
      <c r="C27" s="1319">
        <v>4</v>
      </c>
      <c r="D27" s="1319"/>
      <c r="E27" s="1319">
        <v>0</v>
      </c>
      <c r="F27" s="1319">
        <v>0</v>
      </c>
      <c r="G27" s="1319">
        <v>0</v>
      </c>
      <c r="H27" s="1319"/>
      <c r="I27" s="1342">
        <f t="shared" ref="I27:I40" si="37">F27</f>
        <v>0</v>
      </c>
      <c r="J27" s="1343"/>
      <c r="K27" s="1344"/>
      <c r="L27" s="1345">
        <f t="shared" ref="L27:N40" si="38">E27/100</f>
        <v>0</v>
      </c>
      <c r="M27" s="1345">
        <f t="shared" si="38"/>
        <v>0</v>
      </c>
      <c r="N27" s="1345">
        <f t="shared" si="38"/>
        <v>0</v>
      </c>
      <c r="O27" s="1345"/>
      <c r="P27" s="1345">
        <f>M27</f>
        <v>0</v>
      </c>
      <c r="Q27" s="1343"/>
      <c r="R27" s="1361"/>
      <c r="S27" s="1361">
        <f>ROUND(IF(项目基本情况!$B$8="出让",SUMPRODUCT(PRODUCT(1+L27:L$40)),SUMPRODUCT(PRODUCT(1+L27:L$39))),4)</f>
        <v>1.0431999999999999</v>
      </c>
      <c r="T27" s="1361">
        <f>ROUND(IF(项目基本情况!$B$8="出让",SUMPRODUCT(PRODUCT(1+M27:M$40)),SUMPRODUCT(PRODUCT(1+M27:M$39))),4)</f>
        <v>1.0286999999999999</v>
      </c>
      <c r="U27" s="1361">
        <f>ROUND(IF(项目基本情况!$B$8="出让",SUMPRODUCT(PRODUCT(1+N27:N$40)),SUMPRODUCT(PRODUCT(1+N27:N$39))),4)</f>
        <v>1.0723</v>
      </c>
      <c r="V27" s="1361"/>
      <c r="W27" s="1361">
        <f>T27</f>
        <v>1.0286999999999999</v>
      </c>
      <c r="X27" s="1343"/>
      <c r="Y27" s="1370"/>
      <c r="Z27" s="1371">
        <f>IF(E27=0,0,ROUND(AVERAGE(E27:E40)/100,4))</f>
        <v>0</v>
      </c>
      <c r="AA27" s="1371">
        <f>IF(F27=0,0,ROUND(AVERAGE(F27:F40)/100,4))</f>
        <v>0</v>
      </c>
      <c r="AB27" s="1371">
        <f>IF(G27=0,0,ROUND(AVERAGE(G27:G40)/100,4))</f>
        <v>0</v>
      </c>
      <c r="AC27" s="1372"/>
      <c r="AD27" s="1370">
        <f>IF(I27=0,0,ROUND(AVERAGE(I27:I40)/100,4))</f>
        <v>0</v>
      </c>
    </row>
    <row r="28" spans="1:30">
      <c r="A28" s="1317" t="s">
        <v>2029</v>
      </c>
      <c r="B28" s="1318">
        <v>2023</v>
      </c>
      <c r="C28" s="1319">
        <v>3</v>
      </c>
      <c r="D28" s="1319"/>
      <c r="E28" s="1319">
        <v>0</v>
      </c>
      <c r="F28" s="1319">
        <v>0</v>
      </c>
      <c r="G28" s="1319">
        <v>0</v>
      </c>
      <c r="H28" s="1320"/>
      <c r="I28" s="1342">
        <f t="shared" si="37"/>
        <v>0</v>
      </c>
      <c r="J28" s="1343"/>
      <c r="K28" s="1344"/>
      <c r="L28" s="1345">
        <f t="shared" ref="L28" si="39">E28/100</f>
        <v>0</v>
      </c>
      <c r="M28" s="1345">
        <f t="shared" ref="M28" si="40">F28/100</f>
        <v>0</v>
      </c>
      <c r="N28" s="1345">
        <f t="shared" ref="N28" si="41">G28/100</f>
        <v>0</v>
      </c>
      <c r="O28" s="1345"/>
      <c r="P28" s="1345">
        <f t="shared" ref="P28" si="42">M28</f>
        <v>0</v>
      </c>
      <c r="Q28" s="1343"/>
      <c r="R28" s="1361"/>
      <c r="S28" s="1361">
        <f>ROUND(IF(项目基本情况!$B$8="出让",SUMPRODUCT(PRODUCT(1+L28:L$40)),SUMPRODUCT(PRODUCT(1+L28:L$39))),4)</f>
        <v>1.0431999999999999</v>
      </c>
      <c r="T28" s="1361">
        <f>ROUND(IF(项目基本情况!$B$8="出让",SUMPRODUCT(PRODUCT(1+M28:M$40)),SUMPRODUCT(PRODUCT(1+M28:M$39))),4)</f>
        <v>1.0286999999999999</v>
      </c>
      <c r="U28" s="1361">
        <f>ROUND(IF(项目基本情况!$B$8="出让",SUMPRODUCT(PRODUCT(1+N28:N$40)),SUMPRODUCT(PRODUCT(1+N28:N$39))),4)</f>
        <v>1.0723</v>
      </c>
      <c r="V28" s="1361"/>
      <c r="W28" s="1361">
        <f t="shared" ref="W28" si="43">T28</f>
        <v>1.0286999999999999</v>
      </c>
      <c r="X28" s="1343"/>
      <c r="Y28" s="1370"/>
      <c r="Z28" s="1371">
        <f t="shared" ref="Z28" si="44">IF(E28=0,0,ROUND(AVERAGE(E28:E39)/100,4))</f>
        <v>0</v>
      </c>
      <c r="AA28" s="1373">
        <f t="shared" ref="AA28" si="45">IF(F28=0,0,ROUND(AVERAGE(F28:F39)/100,4))</f>
        <v>0</v>
      </c>
      <c r="AB28" s="1370">
        <f t="shared" ref="AB28" si="46">IF(G28=0,0,ROUND(AVERAGE(G28:G39)/100,4))</f>
        <v>0</v>
      </c>
      <c r="AC28" s="1372"/>
      <c r="AD28" s="1370">
        <f t="shared" ref="AD28" si="47">IF(I28=0,0,ROUND(AVERAGE(I28:I39)/100,4))</f>
        <v>0</v>
      </c>
    </row>
    <row r="29" spans="1:30">
      <c r="A29" s="1317" t="s">
        <v>2030</v>
      </c>
      <c r="B29" s="1318">
        <v>2023</v>
      </c>
      <c r="C29" s="1319">
        <v>3</v>
      </c>
      <c r="D29" s="1319"/>
      <c r="E29" s="1319">
        <v>0</v>
      </c>
      <c r="F29" s="1319">
        <v>0</v>
      </c>
      <c r="G29" s="1319">
        <v>0</v>
      </c>
      <c r="H29" s="1320"/>
      <c r="I29" s="1342">
        <f t="shared" ref="I29" si="48">F29</f>
        <v>0</v>
      </c>
      <c r="J29" s="1343"/>
      <c r="K29" s="1344"/>
      <c r="L29" s="1345">
        <f t="shared" si="38"/>
        <v>0</v>
      </c>
      <c r="M29" s="1345">
        <f t="shared" si="38"/>
        <v>0</v>
      </c>
      <c r="N29" s="1345">
        <f t="shared" si="38"/>
        <v>0</v>
      </c>
      <c r="O29" s="1345"/>
      <c r="P29" s="1345">
        <f t="shared" ref="P29" si="49">M29</f>
        <v>0</v>
      </c>
      <c r="Q29" s="1343"/>
      <c r="R29" s="1361"/>
      <c r="S29" s="1361">
        <f>ROUND(IF(项目基本情况!$B$8="出让",SUMPRODUCT(PRODUCT(1+L29:L$40)),SUMPRODUCT(PRODUCT(1+L29:L$39))),4)</f>
        <v>1.0431999999999999</v>
      </c>
      <c r="T29" s="1361">
        <f>ROUND(IF(项目基本情况!$B$8="出让",SUMPRODUCT(PRODUCT(1+M29:M$40)),SUMPRODUCT(PRODUCT(1+M29:M$39))),4)</f>
        <v>1.0286999999999999</v>
      </c>
      <c r="U29" s="1361">
        <f>ROUND(IF(项目基本情况!$B$8="出让",SUMPRODUCT(PRODUCT(1+N29:N$40)),SUMPRODUCT(PRODUCT(1+N29:N$39))),4)</f>
        <v>1.0723</v>
      </c>
      <c r="V29" s="1361"/>
      <c r="W29" s="1361">
        <f t="shared" ref="W29" si="50">T29</f>
        <v>1.0286999999999999</v>
      </c>
      <c r="X29" s="1343"/>
      <c r="Y29" s="1370"/>
      <c r="Z29" s="1371">
        <f t="shared" ref="Z29" si="51">IF(E29=0,0,ROUND(AVERAGE(E29:E40)/100,4))</f>
        <v>0</v>
      </c>
      <c r="AA29" s="1373">
        <f t="shared" ref="AA29" si="52">IF(F29=0,0,ROUND(AVERAGE(F29:F40)/100,4))</f>
        <v>0</v>
      </c>
      <c r="AB29" s="1370">
        <f t="shared" ref="AB29" si="53">IF(G29=0,0,ROUND(AVERAGE(G29:G40)/100,4))</f>
        <v>0</v>
      </c>
      <c r="AC29" s="1372"/>
      <c r="AD29" s="1370">
        <f t="shared" ref="AD29" si="54">IF(I29=0,0,ROUND(AVERAGE(I29:I40)/100,4))</f>
        <v>0</v>
      </c>
    </row>
    <row r="30" spans="1:30">
      <c r="A30" s="1321" t="s">
        <v>2031</v>
      </c>
      <c r="B30" s="1322">
        <v>2023</v>
      </c>
      <c r="C30" s="1323">
        <v>3</v>
      </c>
      <c r="D30" s="1323"/>
      <c r="E30" s="1323">
        <v>0.35</v>
      </c>
      <c r="F30" s="1323">
        <v>0.17</v>
      </c>
      <c r="G30" s="1323">
        <v>0.52</v>
      </c>
      <c r="H30" s="1324"/>
      <c r="I30" s="1346">
        <f t="shared" si="37"/>
        <v>0.17</v>
      </c>
      <c r="J30" s="1347"/>
      <c r="K30" s="1348"/>
      <c r="L30" s="1349">
        <f t="shared" ref="L30:L32" si="55">E30/100</f>
        <v>3.5000000000000001E-3</v>
      </c>
      <c r="M30" s="1349">
        <f t="shared" ref="M30:M32" si="56">F30/100</f>
        <v>1.6999999999999999E-3</v>
      </c>
      <c r="N30" s="1349">
        <f t="shared" ref="N30:N32" si="57">G30/100</f>
        <v>5.1999999999999998E-3</v>
      </c>
      <c r="O30" s="1349"/>
      <c r="P30" s="1349">
        <f t="shared" ref="P30:P32" si="58">M30</f>
        <v>1.6999999999999999E-3</v>
      </c>
      <c r="Q30" s="1347"/>
      <c r="R30" s="1347"/>
      <c r="S30" s="1347">
        <f>ROUND(IF(项目基本情况!$B$8="出让",SUMPRODUCT(PRODUCT(1+L30:L$40)),SUMPRODUCT(PRODUCT(1+L30:L$39))),4)</f>
        <v>1.0431999999999999</v>
      </c>
      <c r="T30" s="1347">
        <f>ROUND(IF(项目基本情况!$B$8="出让",SUMPRODUCT(PRODUCT(1+M30:M$40)),SUMPRODUCT(PRODUCT(1+M30:M$39))),4)</f>
        <v>1.0286999999999999</v>
      </c>
      <c r="U30" s="1347">
        <f>ROUND(IF(项目基本情况!$B$8="出让",SUMPRODUCT(PRODUCT(1+N30:N$40)),SUMPRODUCT(PRODUCT(1+N30:N$39))),4)</f>
        <v>1.0723</v>
      </c>
      <c r="V30" s="1347"/>
      <c r="W30" s="1347">
        <f t="shared" ref="W30:W32" si="59">T30</f>
        <v>1.0286999999999999</v>
      </c>
      <c r="X30" s="1347"/>
      <c r="Y30" s="1349"/>
      <c r="Z30" s="1374">
        <f t="shared" ref="Z30:AB30" si="60">IF(E30=0,0,ROUND(AVERAGE(E30:E41)/100,4))</f>
        <v>4.1999999999999997E-3</v>
      </c>
      <c r="AA30" s="1375">
        <f t="shared" si="60"/>
        <v>3.0000000000000001E-3</v>
      </c>
      <c r="AB30" s="1349">
        <f t="shared" si="60"/>
        <v>7.3000000000000001E-3</v>
      </c>
      <c r="AC30" s="1376"/>
      <c r="AD30" s="1349">
        <f t="shared" ref="AD30:AD32" si="61">IF(I30=0,0,ROUND(AVERAGE(I30:I41)/100,4))</f>
        <v>3.0000000000000001E-3</v>
      </c>
    </row>
    <row r="31" spans="1:30">
      <c r="A31" s="1325" t="s">
        <v>2032</v>
      </c>
      <c r="B31" s="1318">
        <v>2023</v>
      </c>
      <c r="C31" s="1319">
        <v>2</v>
      </c>
      <c r="D31" s="1319"/>
      <c r="E31" s="1319">
        <v>0.5</v>
      </c>
      <c r="F31" s="1319">
        <v>0.45</v>
      </c>
      <c r="G31" s="1319">
        <v>0.89</v>
      </c>
      <c r="H31" s="1320"/>
      <c r="I31" s="1342">
        <f t="shared" si="37"/>
        <v>0.45</v>
      </c>
      <c r="J31" s="1343"/>
      <c r="K31" s="1344"/>
      <c r="L31" s="1345">
        <f t="shared" si="55"/>
        <v>5.0000000000000001E-3</v>
      </c>
      <c r="M31" s="1345">
        <f t="shared" si="56"/>
        <v>4.4999999999999997E-3</v>
      </c>
      <c r="N31" s="1345">
        <f t="shared" si="57"/>
        <v>8.8999999999999999E-3</v>
      </c>
      <c r="O31" s="1345"/>
      <c r="P31" s="1345">
        <f t="shared" si="58"/>
        <v>4.4999999999999997E-3</v>
      </c>
      <c r="Q31" s="1343"/>
      <c r="R31" s="1361"/>
      <c r="S31" s="1361">
        <f>ROUND(IF(项目基本情况!$B$8="出让",SUMPRODUCT(PRODUCT(1+L31:L$40)),SUMPRODUCT(PRODUCT(1+L31:L$39))),4)</f>
        <v>1.0396000000000001</v>
      </c>
      <c r="T31" s="1361">
        <f>ROUND(IF(项目基本情况!$B$8="出让",SUMPRODUCT(PRODUCT(1+M31:M$40)),SUMPRODUCT(PRODUCT(1+M31:M$39))),4)</f>
        <v>1.0269999999999999</v>
      </c>
      <c r="U31" s="1361">
        <f>ROUND(IF(项目基本情况!$B$8="出让",SUMPRODUCT(PRODUCT(1+N31:N$40)),SUMPRODUCT(PRODUCT(1+N31:N$39))),4)</f>
        <v>1.0668</v>
      </c>
      <c r="V31" s="1361"/>
      <c r="W31" s="1361">
        <f t="shared" si="59"/>
        <v>1.0269999999999999</v>
      </c>
      <c r="X31" s="1343"/>
      <c r="Y31" s="1370"/>
      <c r="Z31" s="1371">
        <f t="shared" ref="Z31:AB31" si="62">IF(E31=0,0,ROUND(AVERAGE(E31:E42)/100,4))</f>
        <v>4.1999999999999997E-3</v>
      </c>
      <c r="AA31" s="1373">
        <f t="shared" si="62"/>
        <v>3.2000000000000002E-3</v>
      </c>
      <c r="AB31" s="1370">
        <f t="shared" si="62"/>
        <v>7.4999999999999997E-3</v>
      </c>
      <c r="AC31" s="1372"/>
      <c r="AD31" s="1370">
        <f t="shared" si="61"/>
        <v>3.2000000000000002E-3</v>
      </c>
    </row>
    <row r="32" spans="1:30">
      <c r="A32" s="1325" t="s">
        <v>1932</v>
      </c>
      <c r="B32" s="1318">
        <v>2023</v>
      </c>
      <c r="C32" s="1319">
        <v>1</v>
      </c>
      <c r="D32" s="1319"/>
      <c r="E32" s="1319">
        <v>0.55000000000000004</v>
      </c>
      <c r="F32" s="1319">
        <v>0.59</v>
      </c>
      <c r="G32" s="1319">
        <v>0.64</v>
      </c>
      <c r="H32" s="1320"/>
      <c r="I32" s="1342">
        <f t="shared" si="37"/>
        <v>0.59</v>
      </c>
      <c r="J32" s="1343"/>
      <c r="K32" s="1344"/>
      <c r="L32" s="1345">
        <f t="shared" si="55"/>
        <v>5.4999999999999997E-3</v>
      </c>
      <c r="M32" s="1345">
        <f t="shared" si="56"/>
        <v>5.8999999999999999E-3</v>
      </c>
      <c r="N32" s="1345">
        <f t="shared" si="57"/>
        <v>6.4000000000000003E-3</v>
      </c>
      <c r="O32" s="1345"/>
      <c r="P32" s="1345">
        <f t="shared" si="58"/>
        <v>5.8999999999999999E-3</v>
      </c>
      <c r="Q32" s="1343"/>
      <c r="R32" s="1361"/>
      <c r="S32" s="1361">
        <f>ROUND(IF(项目基本情况!$B$8="出让",SUMPRODUCT(PRODUCT(1+L32:L$40)),SUMPRODUCT(PRODUCT(1+L32:L$39))),4)</f>
        <v>1.0344</v>
      </c>
      <c r="T32" s="1361">
        <f>ROUND(IF(项目基本情况!$B$8="出让",SUMPRODUCT(PRODUCT(1+M32:M$40)),SUMPRODUCT(PRODUCT(1+M32:M$39))),4)</f>
        <v>1.0224</v>
      </c>
      <c r="U32" s="1361">
        <f>ROUND(IF(项目基本情况!$B$8="出让",SUMPRODUCT(PRODUCT(1+N32:N$40)),SUMPRODUCT(PRODUCT(1+N32:N$39))),4)</f>
        <v>1.0573999999999999</v>
      </c>
      <c r="V32" s="1361"/>
      <c r="W32" s="1361">
        <f t="shared" si="59"/>
        <v>1.0224</v>
      </c>
      <c r="X32" s="1343"/>
      <c r="Y32" s="1370"/>
      <c r="Z32" s="1371">
        <f t="shared" ref="Z32:AB32" si="63">IF(E32=0,0,ROUND(AVERAGE(E32:E43)/100,4))</f>
        <v>4.1999999999999997E-3</v>
      </c>
      <c r="AA32" s="1373">
        <f t="shared" si="63"/>
        <v>3.0000000000000001E-3</v>
      </c>
      <c r="AB32" s="1370">
        <f t="shared" si="63"/>
        <v>7.3000000000000001E-3</v>
      </c>
      <c r="AC32" s="1372"/>
      <c r="AD32" s="1370">
        <f t="shared" si="61"/>
        <v>3.0000000000000001E-3</v>
      </c>
    </row>
    <row r="33" spans="1:30">
      <c r="A33" s="1325" t="s">
        <v>1933</v>
      </c>
      <c r="B33" s="1318">
        <v>2022</v>
      </c>
      <c r="C33" s="1319">
        <v>4</v>
      </c>
      <c r="D33" s="1319"/>
      <c r="E33" s="1319">
        <v>0.45</v>
      </c>
      <c r="F33" s="1319">
        <v>0.2</v>
      </c>
      <c r="G33" s="1319">
        <v>0.38</v>
      </c>
      <c r="H33" s="1320"/>
      <c r="I33" s="1342">
        <f t="shared" si="37"/>
        <v>0.2</v>
      </c>
      <c r="J33" s="1343"/>
      <c r="K33" s="1344"/>
      <c r="L33" s="1345">
        <f t="shared" si="38"/>
        <v>4.4999999999999997E-3</v>
      </c>
      <c r="M33" s="1345">
        <f t="shared" si="38"/>
        <v>2E-3</v>
      </c>
      <c r="N33" s="1345">
        <f t="shared" si="38"/>
        <v>3.8E-3</v>
      </c>
      <c r="O33" s="1345"/>
      <c r="P33" s="1345">
        <f t="shared" ref="P33:P40" si="64">M33</f>
        <v>2E-3</v>
      </c>
      <c r="Q33" s="1343"/>
      <c r="R33" s="1361"/>
      <c r="S33" s="1361">
        <f>ROUND(IF(项目基本情况!$B$8="出让",SUMPRODUCT(PRODUCT(1+L33:L$40)),SUMPRODUCT(PRODUCT(1+L33:L$39))),4)</f>
        <v>1.0286999999999999</v>
      </c>
      <c r="T33" s="1361">
        <f>ROUND(IF(项目基本情况!$B$8="出让",SUMPRODUCT(PRODUCT(1+M33:M$40)),SUMPRODUCT(PRODUCT(1+M33:M$39))),4)</f>
        <v>1.0164</v>
      </c>
      <c r="U33" s="1361">
        <f>ROUND(IF(项目基本情况!$B$8="出让",SUMPRODUCT(PRODUCT(1+N33:N$40)),SUMPRODUCT(PRODUCT(1+N33:N$39))),4)</f>
        <v>1.0506</v>
      </c>
      <c r="V33" s="1361"/>
      <c r="W33" s="1361">
        <f t="shared" ref="W33:W40" si="65">T33</f>
        <v>1.0164</v>
      </c>
      <c r="X33" s="1343"/>
      <c r="Y33" s="1370"/>
      <c r="Z33" s="1371">
        <f t="shared" ref="Z33:AD40" si="66">IF(E33=0,0,ROUND(AVERAGE(E33:E41)/100,4))</f>
        <v>4.0000000000000001E-3</v>
      </c>
      <c r="AA33" s="1373">
        <f t="shared" si="66"/>
        <v>2.5999999999999999E-3</v>
      </c>
      <c r="AB33" s="1370">
        <f t="shared" si="66"/>
        <v>7.4000000000000003E-3</v>
      </c>
      <c r="AC33" s="1372"/>
      <c r="AD33" s="1370">
        <f t="shared" si="66"/>
        <v>2.5999999999999999E-3</v>
      </c>
    </row>
    <row r="34" spans="1:30">
      <c r="A34" s="1325" t="s">
        <v>1934</v>
      </c>
      <c r="B34" s="1318">
        <v>2022</v>
      </c>
      <c r="C34" s="1319">
        <v>3</v>
      </c>
      <c r="D34" s="1319"/>
      <c r="E34" s="1319">
        <v>0.3</v>
      </c>
      <c r="F34" s="1319">
        <v>0.28999999999999998</v>
      </c>
      <c r="G34" s="1319">
        <v>0.83</v>
      </c>
      <c r="H34" s="1320"/>
      <c r="I34" s="1342">
        <f t="shared" si="37"/>
        <v>0.28999999999999998</v>
      </c>
      <c r="J34" s="1343"/>
      <c r="K34" s="1344"/>
      <c r="L34" s="1345">
        <f t="shared" si="38"/>
        <v>3.0000000000000001E-3</v>
      </c>
      <c r="M34" s="1345">
        <f t="shared" si="38"/>
        <v>2.8999999999999998E-3</v>
      </c>
      <c r="N34" s="1345">
        <f t="shared" si="38"/>
        <v>8.3000000000000001E-3</v>
      </c>
      <c r="O34" s="1345"/>
      <c r="P34" s="1345">
        <f t="shared" si="64"/>
        <v>2.8999999999999998E-3</v>
      </c>
      <c r="Q34" s="1343"/>
      <c r="R34" s="1361"/>
      <c r="S34" s="1361">
        <f>ROUND(IF(项目基本情况!$B$8="出让",SUMPRODUCT(PRODUCT(1+L34:L$40)),SUMPRODUCT(PRODUCT(1+L34:L$39))),4)</f>
        <v>1.0241</v>
      </c>
      <c r="T34" s="1361">
        <f>ROUND(IF(项目基本情况!$B$8="出让",SUMPRODUCT(PRODUCT(1+M34:M$40)),SUMPRODUCT(PRODUCT(1+M34:M$39))),4)</f>
        <v>1.0144</v>
      </c>
      <c r="U34" s="1361">
        <f>ROUND(IF(项目基本情况!$B$8="出让",SUMPRODUCT(PRODUCT(1+N34:N$40)),SUMPRODUCT(PRODUCT(1+N34:N$39))),4)</f>
        <v>1.0467</v>
      </c>
      <c r="V34" s="1361"/>
      <c r="W34" s="1361">
        <f t="shared" si="65"/>
        <v>1.0144</v>
      </c>
      <c r="X34" s="1343"/>
      <c r="Y34" s="1370"/>
      <c r="Z34" s="1371">
        <f t="shared" si="66"/>
        <v>3.8999999999999998E-3</v>
      </c>
      <c r="AA34" s="1373">
        <f t="shared" si="66"/>
        <v>2.7000000000000001E-3</v>
      </c>
      <c r="AB34" s="1370">
        <f t="shared" si="66"/>
        <v>7.9000000000000008E-3</v>
      </c>
      <c r="AC34" s="1372"/>
      <c r="AD34" s="1370">
        <f t="shared" si="66"/>
        <v>2.7000000000000001E-3</v>
      </c>
    </row>
    <row r="35" spans="1:30">
      <c r="A35" s="1325" t="s">
        <v>1935</v>
      </c>
      <c r="B35" s="1318">
        <v>2022</v>
      </c>
      <c r="C35" s="1319">
        <v>2</v>
      </c>
      <c r="D35" s="1319"/>
      <c r="E35" s="1319">
        <v>-0.11</v>
      </c>
      <c r="F35" s="1319">
        <v>-0.13</v>
      </c>
      <c r="G35" s="1319">
        <v>0.53</v>
      </c>
      <c r="H35" s="1320"/>
      <c r="I35" s="1342">
        <f t="shared" si="37"/>
        <v>-0.13</v>
      </c>
      <c r="J35" s="1343"/>
      <c r="K35" s="1344"/>
      <c r="L35" s="1345">
        <f t="shared" si="38"/>
        <v>-1.1000000000000001E-3</v>
      </c>
      <c r="M35" s="1345">
        <f t="shared" si="38"/>
        <v>-1.2999999999999999E-3</v>
      </c>
      <c r="N35" s="1345">
        <f t="shared" si="38"/>
        <v>5.3E-3</v>
      </c>
      <c r="O35" s="1345"/>
      <c r="P35" s="1345">
        <f t="shared" si="64"/>
        <v>-1.2999999999999999E-3</v>
      </c>
      <c r="Q35" s="1343"/>
      <c r="R35" s="1361"/>
      <c r="S35" s="1361">
        <f>ROUND(IF(项目基本情况!$B$8="出让",SUMPRODUCT(PRODUCT(1+L35:L$40)),SUMPRODUCT(PRODUCT(1+L35:L$39))),4)</f>
        <v>1.0210999999999999</v>
      </c>
      <c r="T35" s="1361">
        <f>ROUND(IF(项目基本情况!$B$8="出让",SUMPRODUCT(PRODUCT(1+M35:M$40)),SUMPRODUCT(PRODUCT(1+M35:M$39))),4)</f>
        <v>1.0114000000000001</v>
      </c>
      <c r="U35" s="1361">
        <f>ROUND(IF(项目基本情况!$B$8="出让",SUMPRODUCT(PRODUCT(1+N35:N$40)),SUMPRODUCT(PRODUCT(1+N35:N$39))),4)</f>
        <v>1.0381</v>
      </c>
      <c r="V35" s="1361"/>
      <c r="W35" s="1361">
        <f t="shared" si="65"/>
        <v>1.0114000000000001</v>
      </c>
      <c r="X35" s="1343"/>
      <c r="Y35" s="1370"/>
      <c r="Z35" s="1371">
        <f t="shared" si="66"/>
        <v>4.1000000000000003E-3</v>
      </c>
      <c r="AA35" s="1373">
        <f t="shared" si="66"/>
        <v>2.7000000000000001E-3</v>
      </c>
      <c r="AB35" s="1370">
        <f t="shared" si="66"/>
        <v>7.9000000000000008E-3</v>
      </c>
      <c r="AC35" s="1372"/>
      <c r="AD35" s="1370">
        <f t="shared" si="66"/>
        <v>2.7000000000000001E-3</v>
      </c>
    </row>
    <row r="36" spans="1:30">
      <c r="A36" s="1325" t="s">
        <v>1936</v>
      </c>
      <c r="B36" s="1318">
        <v>2022</v>
      </c>
      <c r="C36" s="1319">
        <v>1</v>
      </c>
      <c r="D36" s="1319"/>
      <c r="E36" s="1319">
        <v>0.6</v>
      </c>
      <c r="F36" s="1319">
        <v>0.45</v>
      </c>
      <c r="G36" s="1319">
        <v>0.53</v>
      </c>
      <c r="H36" s="1320"/>
      <c r="I36" s="1342">
        <f t="shared" si="37"/>
        <v>0.45</v>
      </c>
      <c r="J36" s="1343"/>
      <c r="K36" s="1344"/>
      <c r="L36" s="1345">
        <f t="shared" si="38"/>
        <v>6.0000000000000001E-3</v>
      </c>
      <c r="M36" s="1345">
        <f t="shared" si="38"/>
        <v>4.4999999999999997E-3</v>
      </c>
      <c r="N36" s="1345">
        <f t="shared" si="38"/>
        <v>5.3E-3</v>
      </c>
      <c r="O36" s="1345"/>
      <c r="P36" s="1345">
        <f t="shared" si="64"/>
        <v>4.4999999999999997E-3</v>
      </c>
      <c r="Q36" s="1343"/>
      <c r="R36" s="1361"/>
      <c r="S36" s="1361">
        <f>ROUND(IF(项目基本情况!$B$8="出让",SUMPRODUCT(PRODUCT(1+L36:L$40)),SUMPRODUCT(PRODUCT(1+L36:L$39))),4)</f>
        <v>1.0222</v>
      </c>
      <c r="T36" s="1361">
        <f>ROUND(IF(项目基本情况!$B$8="出让",SUMPRODUCT(PRODUCT(1+M36:M$40)),SUMPRODUCT(PRODUCT(1+M36:M$39))),4)</f>
        <v>1.0127999999999999</v>
      </c>
      <c r="U36" s="1361">
        <f>ROUND(IF(项目基本情况!$B$8="出让",SUMPRODUCT(PRODUCT(1+N36:N$40)),SUMPRODUCT(PRODUCT(1+N36:N$39))),4)</f>
        <v>1.0326</v>
      </c>
      <c r="V36" s="1361"/>
      <c r="W36" s="1361">
        <f t="shared" si="65"/>
        <v>1.0127999999999999</v>
      </c>
      <c r="X36" s="1343"/>
      <c r="Y36" s="1370"/>
      <c r="Z36" s="1371">
        <f t="shared" si="66"/>
        <v>5.1000000000000004E-3</v>
      </c>
      <c r="AA36" s="1373">
        <f t="shared" si="66"/>
        <v>3.5000000000000001E-3</v>
      </c>
      <c r="AB36" s="1370">
        <f t="shared" si="66"/>
        <v>8.3999999999999995E-3</v>
      </c>
      <c r="AC36" s="1372"/>
      <c r="AD36" s="1370">
        <f t="shared" si="66"/>
        <v>3.5000000000000001E-3</v>
      </c>
    </row>
    <row r="37" spans="1:30">
      <c r="A37" s="1325" t="s">
        <v>1937</v>
      </c>
      <c r="B37" s="1318">
        <v>2021</v>
      </c>
      <c r="C37" s="1319">
        <v>4</v>
      </c>
      <c r="D37" s="1319"/>
      <c r="E37" s="1319">
        <v>0.57999999999999996</v>
      </c>
      <c r="F37" s="1319">
        <v>0.08</v>
      </c>
      <c r="G37" s="1319">
        <v>0.68</v>
      </c>
      <c r="H37" s="1320"/>
      <c r="I37" s="1342">
        <f t="shared" si="37"/>
        <v>0.08</v>
      </c>
      <c r="J37" s="1343"/>
      <c r="K37" s="1344"/>
      <c r="L37" s="1345">
        <f t="shared" si="38"/>
        <v>5.7999999999999996E-3</v>
      </c>
      <c r="M37" s="1345">
        <f t="shared" si="38"/>
        <v>8.0000000000000004E-4</v>
      </c>
      <c r="N37" s="1345">
        <f t="shared" si="38"/>
        <v>6.7999999999999996E-3</v>
      </c>
      <c r="O37" s="1345"/>
      <c r="P37" s="1345">
        <f t="shared" si="64"/>
        <v>8.0000000000000004E-4</v>
      </c>
      <c r="Q37" s="1343"/>
      <c r="R37" s="1361"/>
      <c r="S37" s="1361">
        <f>ROUND(IF(项目基本情况!$B$8="出让",SUMPRODUCT(PRODUCT(1+L37:L$40)),SUMPRODUCT(PRODUCT(1+L37:L$39))),4)</f>
        <v>1.0161</v>
      </c>
      <c r="T37" s="1361">
        <f>ROUND(IF(项目基本情况!$B$8="出让",SUMPRODUCT(PRODUCT(1+M37:M$40)),SUMPRODUCT(PRODUCT(1+M37:M$39))),4)</f>
        <v>1.0082</v>
      </c>
      <c r="U37" s="1361">
        <f>ROUND(IF(项目基本情况!$B$8="出让",SUMPRODUCT(PRODUCT(1+N37:N$40)),SUMPRODUCT(PRODUCT(1+N37:N$39))),4)</f>
        <v>1.0270999999999999</v>
      </c>
      <c r="V37" s="1361"/>
      <c r="W37" s="1361">
        <f t="shared" si="65"/>
        <v>1.0082</v>
      </c>
      <c r="X37" s="1343"/>
      <c r="Y37" s="1370"/>
      <c r="Z37" s="1371">
        <f t="shared" si="66"/>
        <v>4.8999999999999998E-3</v>
      </c>
      <c r="AA37" s="1373">
        <f t="shared" si="66"/>
        <v>3.3E-3</v>
      </c>
      <c r="AB37" s="1370">
        <f t="shared" si="66"/>
        <v>9.1999999999999998E-3</v>
      </c>
      <c r="AC37" s="1372"/>
      <c r="AD37" s="1370">
        <f t="shared" si="66"/>
        <v>3.3E-3</v>
      </c>
    </row>
    <row r="38" spans="1:30">
      <c r="A38" s="1325" t="s">
        <v>1938</v>
      </c>
      <c r="B38" s="1318">
        <v>2021</v>
      </c>
      <c r="C38" s="1319">
        <v>3</v>
      </c>
      <c r="D38" s="1319"/>
      <c r="E38" s="1319">
        <v>0.47</v>
      </c>
      <c r="F38" s="1319">
        <v>0.28000000000000003</v>
      </c>
      <c r="G38" s="1319">
        <v>0.91</v>
      </c>
      <c r="H38" s="1320"/>
      <c r="I38" s="1342">
        <f t="shared" si="37"/>
        <v>0.28000000000000003</v>
      </c>
      <c r="J38" s="1343"/>
      <c r="K38" s="1344"/>
      <c r="L38" s="1345">
        <f t="shared" si="38"/>
        <v>4.7000000000000002E-3</v>
      </c>
      <c r="M38" s="1345">
        <f t="shared" si="38"/>
        <v>2.8E-3</v>
      </c>
      <c r="N38" s="1345">
        <f t="shared" si="38"/>
        <v>9.1000000000000004E-3</v>
      </c>
      <c r="O38" s="1345"/>
      <c r="P38" s="1345">
        <f t="shared" si="64"/>
        <v>2.8E-3</v>
      </c>
      <c r="Q38" s="1343"/>
      <c r="R38" s="1361"/>
      <c r="S38" s="1361">
        <f>ROUND(IF(项目基本情况!$B$8="出让",SUMPRODUCT(PRODUCT(1+L38:L$40)),SUMPRODUCT(PRODUCT(1+L38:L$39))),4)</f>
        <v>1.0102</v>
      </c>
      <c r="T38" s="1361">
        <f>ROUND(IF(项目基本情况!$B$8="出让",SUMPRODUCT(PRODUCT(1+M38:M$40)),SUMPRODUCT(PRODUCT(1+M38:M$39))),4)</f>
        <v>1.0074000000000001</v>
      </c>
      <c r="U38" s="1361">
        <f>ROUND(IF(项目基本情况!$B$8="出让",SUMPRODUCT(PRODUCT(1+N38:N$40)),SUMPRODUCT(PRODUCT(1+N38:N$39))),4)</f>
        <v>1.0202</v>
      </c>
      <c r="V38" s="1361"/>
      <c r="W38" s="1361">
        <f t="shared" si="65"/>
        <v>1.0074000000000001</v>
      </c>
      <c r="X38" s="1343"/>
      <c r="Y38" s="1370"/>
      <c r="Z38" s="1371">
        <f t="shared" si="66"/>
        <v>4.5999999999999999E-3</v>
      </c>
      <c r="AA38" s="1373">
        <f t="shared" si="66"/>
        <v>4.1000000000000003E-3</v>
      </c>
      <c r="AB38" s="1370">
        <f t="shared" si="66"/>
        <v>0.01</v>
      </c>
      <c r="AC38" s="1372"/>
      <c r="AD38" s="1370">
        <f t="shared" si="66"/>
        <v>4.1000000000000003E-3</v>
      </c>
    </row>
    <row r="39" spans="1:30">
      <c r="A39" s="1325" t="s">
        <v>1939</v>
      </c>
      <c r="B39" s="1318">
        <v>2021</v>
      </c>
      <c r="C39" s="1319">
        <v>2</v>
      </c>
      <c r="D39" s="1319"/>
      <c r="E39" s="1319">
        <v>0.55000000000000004</v>
      </c>
      <c r="F39" s="1319">
        <v>0.46</v>
      </c>
      <c r="G39" s="1319">
        <v>1.1000000000000001</v>
      </c>
      <c r="H39" s="1320"/>
      <c r="I39" s="1342">
        <f t="shared" si="37"/>
        <v>0.46</v>
      </c>
      <c r="J39" s="1343"/>
      <c r="K39" s="1344"/>
      <c r="L39" s="1345">
        <f t="shared" si="38"/>
        <v>5.4999999999999997E-3</v>
      </c>
      <c r="M39" s="1345">
        <f t="shared" si="38"/>
        <v>4.5999999999999999E-3</v>
      </c>
      <c r="N39" s="1345">
        <f t="shared" si="38"/>
        <v>1.0999999999999999E-2</v>
      </c>
      <c r="O39" s="1345"/>
      <c r="P39" s="1345">
        <f t="shared" si="64"/>
        <v>4.5999999999999999E-3</v>
      </c>
      <c r="Q39" s="1343"/>
      <c r="R39" s="1361"/>
      <c r="S39" s="1361">
        <f>ROUND(IF(项目基本情况!$B$8="出让",SUMPRODUCT(PRODUCT(1+L39:L$40)),SUMPRODUCT(PRODUCT(1+L39:L$39))),4)</f>
        <v>1.0055000000000001</v>
      </c>
      <c r="T39" s="1361">
        <f>ROUND(IF(项目基本情况!$B$8="出让",SUMPRODUCT(PRODUCT(1+M39:M$40)),SUMPRODUCT(PRODUCT(1+M39:M$39))),4)</f>
        <v>1.0045999999999999</v>
      </c>
      <c r="U39" s="1361">
        <f>ROUND(IF(项目基本情况!$B$8="出让",SUMPRODUCT(PRODUCT(1+N39:N$40)),SUMPRODUCT(PRODUCT(1+N39:N$39))),4)</f>
        <v>1.0109999999999999</v>
      </c>
      <c r="V39" s="1361"/>
      <c r="W39" s="1361">
        <f t="shared" si="65"/>
        <v>1.0045999999999999</v>
      </c>
      <c r="X39" s="1343"/>
      <c r="Y39" s="1370"/>
      <c r="Z39" s="1371">
        <f t="shared" si="66"/>
        <v>4.4999999999999997E-3</v>
      </c>
      <c r="AA39" s="1373">
        <f t="shared" si="66"/>
        <v>4.7000000000000002E-3</v>
      </c>
      <c r="AB39" s="1370">
        <f t="shared" si="66"/>
        <v>1.04E-2</v>
      </c>
      <c r="AC39" s="1372"/>
      <c r="AD39" s="1370">
        <f t="shared" si="66"/>
        <v>4.7000000000000002E-3</v>
      </c>
    </row>
    <row r="40" spans="1:30">
      <c r="A40" s="1326" t="s">
        <v>1940</v>
      </c>
      <c r="B40" s="1327">
        <v>2021</v>
      </c>
      <c r="C40" s="1328">
        <v>1</v>
      </c>
      <c r="D40" s="1328"/>
      <c r="E40" s="1328">
        <v>0.35</v>
      </c>
      <c r="F40" s="1328">
        <v>0.48</v>
      </c>
      <c r="G40" s="1328">
        <v>0.98</v>
      </c>
      <c r="H40" s="1329"/>
      <c r="I40" s="1350">
        <f t="shared" si="37"/>
        <v>0.48</v>
      </c>
      <c r="J40" s="1351"/>
      <c r="K40" s="1352"/>
      <c r="L40" s="1353">
        <f t="shared" si="38"/>
        <v>3.5000000000000001E-3</v>
      </c>
      <c r="M40" s="1353">
        <f>F40/100</f>
        <v>4.7999999999999996E-3</v>
      </c>
      <c r="N40" s="1353">
        <f t="shared" si="38"/>
        <v>9.7999999999999997E-3</v>
      </c>
      <c r="O40" s="1353"/>
      <c r="P40" s="1353">
        <f t="shared" si="64"/>
        <v>4.7999999999999996E-3</v>
      </c>
      <c r="Q40" s="1351"/>
      <c r="R40" s="1362"/>
      <c r="S40" s="1362">
        <v>1</v>
      </c>
      <c r="T40" s="1362">
        <v>1</v>
      </c>
      <c r="U40" s="1362">
        <v>1</v>
      </c>
      <c r="V40" s="1362"/>
      <c r="W40" s="1362">
        <f t="shared" si="65"/>
        <v>1</v>
      </c>
      <c r="X40" s="1351"/>
      <c r="Y40" s="1353"/>
      <c r="Z40" s="1377">
        <f t="shared" si="66"/>
        <v>3.5000000000000001E-3</v>
      </c>
      <c r="AA40" s="1378">
        <f t="shared" si="66"/>
        <v>4.7999999999999996E-3</v>
      </c>
      <c r="AB40" s="1353">
        <f t="shared" si="66"/>
        <v>9.7999999999999997E-3</v>
      </c>
      <c r="AC40" s="1379"/>
      <c r="AD40" s="1353">
        <f t="shared" si="66"/>
        <v>4.7999999999999996E-3</v>
      </c>
    </row>
    <row r="42" spans="1:30">
      <c r="A42" s="1331" t="s">
        <v>2036</v>
      </c>
    </row>
  </sheetData>
  <sheetProtection password="CEE9" sheet="1" objects="1" scenarios="1"/>
  <mergeCells count="4">
    <mergeCell ref="R1:W1"/>
    <mergeCell ref="Y1:AD1"/>
    <mergeCell ref="R23:W23"/>
    <mergeCell ref="Y23:AD23"/>
  </mergeCells>
  <phoneticPr fontId="254"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workbookViewId="0">
      <selection activeCell="A30" sqref="A30"/>
    </sheetView>
  </sheetViews>
  <sheetFormatPr defaultColWidth="9" defaultRowHeight="13.5"/>
  <cols>
    <col min="1" max="1" width="84" style="3597" customWidth="1"/>
    <col min="2" max="2" width="9" style="3597"/>
    <col min="3" max="4" width="9.625" style="3597" customWidth="1"/>
    <col min="5" max="16384" width="9" style="3597"/>
  </cols>
  <sheetData>
    <row r="1" spans="1:4" ht="22.5">
      <c r="A1" s="3598" t="s">
        <v>82</v>
      </c>
    </row>
    <row r="2" spans="1:4">
      <c r="A2" s="3599"/>
    </row>
    <row r="3" spans="1:4" ht="18.75">
      <c r="A3" s="3600" t="str">
        <f>项目基本情况!B5&amp;"："</f>
        <v>：</v>
      </c>
    </row>
    <row r="4" spans="1:4" ht="18.75">
      <c r="A4" s="3601" t="str">
        <f>"受贵公司委托，我公司对"&amp;项目基本情况!K2&amp;项目基本情况!B9&amp;"进行了预评估。"</f>
        <v>受贵公司委托，我公司对出让国有建设用地使用权抵押价格进行了预评估。</v>
      </c>
    </row>
    <row r="5" spans="1:4" ht="18.75">
      <c r="A5" s="3602" t="s">
        <v>83</v>
      </c>
    </row>
    <row r="6" spans="1:4" ht="75">
      <c r="A6" s="3601"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200000平方米。根据《建设工程规划许可证》[]、《出让合同》[]，估价对象规划建筑面积为74800平方米。</v>
      </c>
    </row>
    <row r="7" spans="1:4" ht="56.25">
      <c r="A7" s="3613" t="s">
        <v>84</v>
      </c>
    </row>
    <row r="8" spans="1:4" ht="18.75">
      <c r="A8" s="3602" t="s">
        <v>85</v>
      </c>
    </row>
    <row r="9" spans="1:4" ht="56.25">
      <c r="A9" s="3604"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3600" t="s">
        <v>86</v>
      </c>
    </row>
    <row r="11" spans="1:4" ht="18.75">
      <c r="A11" s="3605" t="str">
        <f>TEXT(项目基本情况!D3,"yyyy年m月d日;;")&amp;IF(项目基本情况!B3=项目基本情况!D3,"（评估专业人员勘察现场之日）","")</f>
        <v>2023年11月30日</v>
      </c>
    </row>
    <row r="12" spans="1:4" ht="18.75">
      <c r="A12" s="3600" t="s">
        <v>87</v>
      </c>
    </row>
    <row r="13" spans="1:4" ht="18.75">
      <c r="A13" s="3601" t="s">
        <v>88</v>
      </c>
    </row>
    <row r="14" spans="1:4" ht="18.75">
      <c r="A14" s="3601" t="str">
        <f>"根据"&amp;项目基本情况!F12&amp;"，本次评估估价对象证载（地类）用途为"&amp;项目基本情况!B12&amp;"。"</f>
        <v>根据《国有土地使用证》[]，本次评估估价对象证载（地类）用途为。</v>
      </c>
      <c r="C14" s="3606"/>
      <c r="D14" s="3607"/>
    </row>
    <row r="15" spans="1:4" ht="18.75">
      <c r="A15" s="360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606"/>
      <c r="D15" s="3607"/>
    </row>
    <row r="16" spans="1:4" ht="18.75">
      <c r="A16" s="3601" t="s">
        <v>89</v>
      </c>
    </row>
    <row r="17" spans="1:1" ht="56.25">
      <c r="A17" s="360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3601"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3601" t="s">
        <v>90</v>
      </c>
    </row>
    <row r="20" spans="1:1" ht="56.25">
      <c r="A20" s="360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根据《国有土地使用证》[]，估价对象（分摊）出让国有建设用地使用权面积为200000平方米。根据《建设工程规划许可证》[]、《出让合同》[]，估价对象规划建筑面积为74800平方米。</v>
      </c>
    </row>
    <row r="21" spans="1:1" ht="18.75">
      <c r="A21" s="3601" t="s">
        <v>91</v>
      </c>
    </row>
    <row r="22" spans="1:1" ht="56.25">
      <c r="A22" s="3601"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本次估价对象为出让国有建设用地使用权，《国有土地使用证》[]证载土地终止日期为工业2066年8月29日。截至估价期日，出让国有建设用地使用权剩余土地使用年限为。</v>
      </c>
    </row>
    <row r="23" spans="1:1" ht="18.75">
      <c r="A23" s="3601" t="str">
        <f>IF(项目基本情况!A17="出让","本次评估设定估价对象剩余土地使用年限为"&amp;项目基本情况!D20&amp;"。","")</f>
        <v>本次评估设定估价对象剩余土地使用年限为。</v>
      </c>
    </row>
    <row r="24" spans="1:1" ht="18.75">
      <c r="A24" s="3601" t="s">
        <v>92</v>
      </c>
    </row>
    <row r="25" spans="1:1" ht="75">
      <c r="A25" s="3601" t="str">
        <f>定义!C53</f>
        <v>本次估价的“出让国有建设用地使用权价格”是指在估价对象土地所有权为国家所有，使用权性质为出让，在公开市场条件下、于估价期日2023年11月30日，在规划利用条件下、设定土地开发程度为红线外“七通”、宗地内场地，设定用途为，剩余土地使用年限为的出让国有建设用地使用权价格。</v>
      </c>
    </row>
    <row r="26" spans="1:1" ht="37.5">
      <c r="A26" s="3601"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3601"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3601"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3600" t="s">
        <v>93</v>
      </c>
    </row>
    <row r="30" spans="1:1" ht="75">
      <c r="A30" s="360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611"/>
    </row>
    <row r="32" spans="1:1" ht="18.75">
      <c r="A32" s="3612" t="s">
        <v>94</v>
      </c>
    </row>
  </sheetData>
  <sheetProtection formatCells="0" formatRows="0" insertRows="0" deleteRows="0"/>
  <phoneticPr fontId="254"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workbookViewId="0">
      <selection activeCell="A57" sqref="A57:XFD57"/>
    </sheetView>
  </sheetViews>
  <sheetFormatPr defaultColWidth="8.875" defaultRowHeight="13.5"/>
  <cols>
    <col min="1" max="1" width="22.75" style="1290" customWidth="1"/>
    <col min="2" max="2" width="12.5" style="1290" customWidth="1"/>
    <col min="3" max="3" width="12.125" style="1290" customWidth="1"/>
    <col min="4" max="4" width="16.625" style="1290" customWidth="1"/>
    <col min="5" max="5" width="12.5" style="1290" customWidth="1"/>
    <col min="6" max="6" width="12.75" style="1290" customWidth="1"/>
    <col min="7" max="16384" width="8.875" style="1290"/>
  </cols>
  <sheetData>
    <row r="1" spans="1:14" ht="20.25">
      <c r="A1" s="1291" t="s">
        <v>330</v>
      </c>
      <c r="B1" s="1292"/>
      <c r="C1" s="1292"/>
      <c r="D1" s="1292"/>
      <c r="E1" s="1292"/>
      <c r="F1" s="1292"/>
      <c r="G1" s="1293"/>
      <c r="H1" s="1293"/>
      <c r="I1" s="1293"/>
      <c r="J1" s="1293"/>
      <c r="K1" s="1293"/>
      <c r="L1" s="1293"/>
      <c r="M1" s="1293"/>
      <c r="N1" s="1293"/>
    </row>
    <row r="2" spans="1:14" ht="14.25">
      <c r="A2" s="1294" t="s">
        <v>1121</v>
      </c>
      <c r="B2" s="1295">
        <f ca="1">SUMIF(B7:B14,"&lt;&gt;#ref!",B7:B14)</f>
        <v>0</v>
      </c>
      <c r="C2" s="1294" t="s">
        <v>981</v>
      </c>
      <c r="D2" s="1296"/>
      <c r="E2" s="1296"/>
      <c r="F2" s="1296"/>
      <c r="G2" s="1293"/>
      <c r="H2" s="1293"/>
      <c r="I2" s="1293"/>
      <c r="J2" s="1293"/>
      <c r="K2" s="1293"/>
      <c r="L2" s="1293"/>
      <c r="M2" s="1293"/>
      <c r="N2" s="1293"/>
    </row>
    <row r="3" spans="1:14" ht="14.25">
      <c r="A3" s="1294" t="s">
        <v>946</v>
      </c>
      <c r="B3" s="1295" t="e">
        <f ca="1">ROUND(B2*10000/E3,0)</f>
        <v>#DIV/0!</v>
      </c>
      <c r="C3" s="1294" t="s">
        <v>1123</v>
      </c>
      <c r="D3" s="1294" t="s">
        <v>2037</v>
      </c>
      <c r="E3" s="1297">
        <f ca="1">SUMIF(E7:E14,"&lt;&gt;#ref!",E7:E14)</f>
        <v>0</v>
      </c>
      <c r="F3" s="1296"/>
      <c r="G3" s="1293"/>
      <c r="H3" s="1293"/>
      <c r="I3" s="1293"/>
      <c r="J3" s="1293"/>
      <c r="K3" s="1293"/>
      <c r="L3" s="1293"/>
      <c r="M3" s="1293"/>
      <c r="N3" s="1293"/>
    </row>
    <row r="4" spans="1:14" ht="14.25">
      <c r="A4" s="1294" t="s">
        <v>1112</v>
      </c>
      <c r="B4" s="1295" t="e">
        <f ca="1">ROUND(B2*10000/E4,0)</f>
        <v>#DIV/0!</v>
      </c>
      <c r="C4" s="1294" t="s">
        <v>1123</v>
      </c>
      <c r="D4" s="1294" t="s">
        <v>2038</v>
      </c>
      <c r="E4" s="1297">
        <f ca="1">SUMIF(F7:F14,"&lt;&gt;#ref!",F7:F14)</f>
        <v>0</v>
      </c>
      <c r="F4" s="1296"/>
      <c r="G4" s="1293"/>
      <c r="H4" s="1293"/>
      <c r="I4" s="1293"/>
      <c r="J4" s="1293"/>
      <c r="K4" s="1293"/>
      <c r="L4" s="1293"/>
      <c r="M4" s="1293"/>
      <c r="N4" s="1293"/>
    </row>
    <row r="5" spans="1:14" ht="14.25">
      <c r="A5" s="1298"/>
      <c r="B5" s="1296"/>
      <c r="C5" s="1296"/>
      <c r="D5" s="1296"/>
      <c r="E5" s="1296"/>
      <c r="F5" s="1296"/>
      <c r="G5" s="1293"/>
      <c r="H5" s="1293"/>
      <c r="I5" s="1293"/>
      <c r="J5" s="1293"/>
      <c r="K5" s="1293"/>
      <c r="L5" s="1293"/>
      <c r="M5" s="1293"/>
      <c r="N5" s="1293"/>
    </row>
    <row r="6" spans="1:14" ht="28.5">
      <c r="A6" s="1299" t="s">
        <v>2039</v>
      </c>
      <c r="B6" s="1294" t="s">
        <v>2040</v>
      </c>
      <c r="C6" s="1300"/>
      <c r="D6" s="1296"/>
      <c r="E6" s="1294" t="s">
        <v>446</v>
      </c>
      <c r="F6" s="1294" t="s">
        <v>449</v>
      </c>
      <c r="G6" s="1293"/>
      <c r="H6" s="1293"/>
      <c r="I6" s="1293"/>
      <c r="J6" s="1293"/>
      <c r="K6" s="1293"/>
      <c r="L6" s="1293"/>
      <c r="M6" s="1293"/>
      <c r="N6" s="1293"/>
    </row>
    <row r="7" spans="1:14" ht="14.25">
      <c r="A7" s="1301"/>
      <c r="B7" s="1295" t="e">
        <f ca="1">SUMIF(INDIRECT("'"&amp;A7&amp;"'"&amp;"!A:A"),"总价",INDIRECT("'"&amp;A7&amp;"'"&amp;"!B:B"))</f>
        <v>#REF!</v>
      </c>
      <c r="C7" s="1294" t="s">
        <v>981</v>
      </c>
      <c r="D7" s="1296"/>
      <c r="E7" s="1297" t="e">
        <f ca="1">SUMIF(INDIRECT("'"&amp;A7&amp;"'"&amp;"!C:C"),"建筑面积",INDIRECT("'"&amp;A7&amp;"'"&amp;"!D:D"))</f>
        <v>#REF!</v>
      </c>
      <c r="F7" s="1297" t="e">
        <f ca="1">SUMIF(INDIRECT("'"&amp;A7&amp;"'"&amp;"!E:E"),"土地面积",INDIRECT("'"&amp;A7&amp;"'"&amp;"!F:F"))</f>
        <v>#REF!</v>
      </c>
      <c r="G7" s="1293"/>
      <c r="H7" s="1293"/>
      <c r="I7" s="1293"/>
      <c r="J7" s="1293"/>
      <c r="K7" s="1293"/>
      <c r="L7" s="1293"/>
      <c r="M7" s="1293"/>
      <c r="N7" s="1293"/>
    </row>
    <row r="8" spans="1:14" ht="14.25">
      <c r="A8" s="1301"/>
      <c r="B8" s="1295" t="e">
        <f t="shared" ref="B8:B14" ca="1" si="0">SUMIF(INDIRECT("'"&amp;A8&amp;"'"&amp;"!A:A"),"总价",INDIRECT("'"&amp;A8&amp;"'"&amp;"!B:B"))</f>
        <v>#REF!</v>
      </c>
      <c r="C8" s="1294" t="s">
        <v>981</v>
      </c>
      <c r="D8" s="1296"/>
      <c r="E8" s="1297" t="e">
        <f t="shared" ref="E8:E14" ca="1" si="1">SUMIF(INDIRECT("'"&amp;A8&amp;"'"&amp;"!C:C"),"建筑面积",INDIRECT("'"&amp;A8&amp;"'"&amp;"!D:D"))</f>
        <v>#REF!</v>
      </c>
      <c r="F8" s="1297" t="e">
        <f t="shared" ref="F8:F14" ca="1" si="2">SUMIF(INDIRECT("'"&amp;A8&amp;"'"&amp;"!E:E"),"土地面积",INDIRECT("'"&amp;A8&amp;"'"&amp;"!F:F"))</f>
        <v>#REF!</v>
      </c>
      <c r="G8" s="1293"/>
      <c r="H8" s="1293"/>
      <c r="I8" s="1293"/>
      <c r="J8" s="1293"/>
      <c r="K8" s="1293"/>
      <c r="L8" s="1293"/>
      <c r="M8" s="1293"/>
      <c r="N8" s="1293"/>
    </row>
    <row r="9" spans="1:14" ht="14.25">
      <c r="A9" s="1301"/>
      <c r="B9" s="1295" t="e">
        <f t="shared" ca="1" si="0"/>
        <v>#REF!</v>
      </c>
      <c r="C9" s="1294" t="s">
        <v>981</v>
      </c>
      <c r="D9" s="1296"/>
      <c r="E9" s="1297" t="e">
        <f t="shared" ca="1" si="1"/>
        <v>#REF!</v>
      </c>
      <c r="F9" s="1297" t="e">
        <f t="shared" ca="1" si="2"/>
        <v>#REF!</v>
      </c>
      <c r="G9" s="1293"/>
      <c r="H9" s="1293"/>
      <c r="I9" s="1293"/>
      <c r="J9" s="1293"/>
      <c r="K9" s="1293"/>
      <c r="L9" s="1293"/>
      <c r="M9" s="1293"/>
      <c r="N9" s="1293"/>
    </row>
    <row r="10" spans="1:14" ht="14.25">
      <c r="A10" s="1301"/>
      <c r="B10" s="1295" t="e">
        <f t="shared" ca="1" si="0"/>
        <v>#REF!</v>
      </c>
      <c r="C10" s="1294" t="s">
        <v>981</v>
      </c>
      <c r="D10" s="1296"/>
      <c r="E10" s="1297" t="e">
        <f t="shared" ca="1" si="1"/>
        <v>#REF!</v>
      </c>
      <c r="F10" s="1297" t="e">
        <f t="shared" ca="1" si="2"/>
        <v>#REF!</v>
      </c>
      <c r="G10" s="1293"/>
      <c r="H10" s="1293"/>
      <c r="I10" s="1293"/>
      <c r="J10" s="1293"/>
      <c r="K10" s="1293"/>
      <c r="L10" s="1293"/>
      <c r="M10" s="1293"/>
      <c r="N10" s="1293"/>
    </row>
    <row r="11" spans="1:14" ht="14.25">
      <c r="A11" s="1301"/>
      <c r="B11" s="1295" t="e">
        <f t="shared" ca="1" si="0"/>
        <v>#REF!</v>
      </c>
      <c r="C11" s="1294" t="s">
        <v>981</v>
      </c>
      <c r="D11" s="1296"/>
      <c r="E11" s="1297" t="e">
        <f t="shared" ca="1" si="1"/>
        <v>#REF!</v>
      </c>
      <c r="F11" s="1297" t="e">
        <f t="shared" ca="1" si="2"/>
        <v>#REF!</v>
      </c>
      <c r="G11" s="1293"/>
      <c r="H11" s="1293"/>
      <c r="I11" s="1293"/>
      <c r="J11" s="1293"/>
      <c r="K11" s="1293"/>
      <c r="L11" s="1293"/>
      <c r="M11" s="1293"/>
      <c r="N11" s="1293"/>
    </row>
    <row r="12" spans="1:14" ht="14.25">
      <c r="A12" s="1301"/>
      <c r="B12" s="1295" t="e">
        <f t="shared" ca="1" si="0"/>
        <v>#REF!</v>
      </c>
      <c r="C12" s="1294" t="s">
        <v>981</v>
      </c>
      <c r="D12" s="1296"/>
      <c r="E12" s="1297" t="e">
        <f t="shared" ca="1" si="1"/>
        <v>#REF!</v>
      </c>
      <c r="F12" s="1297" t="e">
        <f t="shared" ca="1" si="2"/>
        <v>#REF!</v>
      </c>
      <c r="G12" s="1293"/>
      <c r="H12" s="1293"/>
      <c r="I12" s="1293"/>
      <c r="J12" s="1293"/>
      <c r="K12" s="1293"/>
      <c r="L12" s="1293"/>
      <c r="M12" s="1293"/>
      <c r="N12" s="1293"/>
    </row>
    <row r="13" spans="1:14" ht="14.25">
      <c r="A13" s="1301"/>
      <c r="B13" s="1295" t="e">
        <f t="shared" ca="1" si="0"/>
        <v>#REF!</v>
      </c>
      <c r="C13" s="1294" t="s">
        <v>981</v>
      </c>
      <c r="D13" s="1296"/>
      <c r="E13" s="1297" t="e">
        <f t="shared" ca="1" si="1"/>
        <v>#REF!</v>
      </c>
      <c r="F13" s="1297" t="e">
        <f t="shared" ca="1" si="2"/>
        <v>#REF!</v>
      </c>
      <c r="G13" s="1293"/>
      <c r="H13" s="1293"/>
      <c r="I13" s="1293"/>
      <c r="J13" s="1293"/>
      <c r="K13" s="1293"/>
      <c r="L13" s="1293"/>
      <c r="M13" s="1293"/>
      <c r="N13" s="1293"/>
    </row>
    <row r="14" spans="1:14" ht="14.25">
      <c r="A14" s="1302"/>
      <c r="B14" s="1295" t="e">
        <f t="shared" ca="1" si="0"/>
        <v>#REF!</v>
      </c>
      <c r="C14" s="1294" t="s">
        <v>981</v>
      </c>
      <c r="D14" s="1296"/>
      <c r="E14" s="1297" t="e">
        <f t="shared" ca="1" si="1"/>
        <v>#REF!</v>
      </c>
      <c r="F14" s="1297" t="e">
        <f t="shared" ca="1" si="2"/>
        <v>#REF!</v>
      </c>
      <c r="G14" s="1293"/>
      <c r="H14" s="1293"/>
      <c r="I14" s="1293"/>
      <c r="J14" s="1293"/>
      <c r="K14" s="1293"/>
      <c r="L14" s="1293"/>
      <c r="M14" s="1293"/>
      <c r="N14" s="1293"/>
    </row>
    <row r="15" spans="1:14">
      <c r="A15" s="1293"/>
      <c r="B15" s="1293"/>
      <c r="C15" s="1293"/>
      <c r="D15" s="1293"/>
      <c r="E15" s="1293"/>
      <c r="F15" s="1293"/>
      <c r="G15" s="1293"/>
      <c r="H15" s="1293"/>
      <c r="I15" s="1293"/>
      <c r="J15" s="1293"/>
      <c r="K15" s="1293"/>
      <c r="L15" s="1293"/>
      <c r="M15" s="1293"/>
      <c r="N15" s="1293"/>
    </row>
    <row r="16" spans="1:14">
      <c r="A16" s="1293"/>
      <c r="B16" s="1293"/>
      <c r="C16" s="1293"/>
      <c r="D16" s="1293"/>
      <c r="E16" s="1293"/>
      <c r="F16" s="1293"/>
      <c r="G16" s="1293"/>
      <c r="H16" s="1293"/>
      <c r="I16" s="1293"/>
      <c r="J16" s="1293"/>
      <c r="K16" s="1293"/>
      <c r="L16" s="1293"/>
      <c r="M16" s="1293"/>
      <c r="N16" s="1293"/>
    </row>
    <row r="17" spans="1:14">
      <c r="A17" s="1293"/>
      <c r="B17" s="1293"/>
      <c r="C17" s="1293"/>
      <c r="D17" s="1293"/>
      <c r="E17" s="1293"/>
      <c r="F17" s="1293"/>
      <c r="G17" s="1293"/>
      <c r="H17" s="1293"/>
      <c r="I17" s="1293"/>
      <c r="J17" s="1293"/>
      <c r="K17" s="1293"/>
      <c r="L17" s="1293"/>
      <c r="M17" s="1293"/>
      <c r="N17" s="1293"/>
    </row>
    <row r="18" spans="1:14">
      <c r="A18" s="1293"/>
      <c r="B18" s="1293"/>
      <c r="C18" s="1293"/>
      <c r="D18" s="1293"/>
      <c r="E18" s="1293"/>
      <c r="F18" s="1293"/>
      <c r="G18" s="1293"/>
      <c r="H18" s="1293"/>
      <c r="I18" s="1293"/>
      <c r="J18" s="1293"/>
      <c r="K18" s="1293"/>
      <c r="L18" s="1293"/>
      <c r="M18" s="1293"/>
      <c r="N18" s="1293"/>
    </row>
    <row r="19" spans="1:14">
      <c r="A19" s="1293"/>
      <c r="B19" s="1293"/>
      <c r="C19" s="1293"/>
      <c r="D19" s="1293"/>
      <c r="E19" s="1293"/>
      <c r="F19" s="1293"/>
      <c r="G19" s="1293"/>
      <c r="H19" s="1293"/>
      <c r="I19" s="1293"/>
      <c r="J19" s="1293"/>
      <c r="K19" s="1293"/>
      <c r="L19" s="1293"/>
      <c r="M19" s="1293"/>
      <c r="N19" s="1293"/>
    </row>
    <row r="20" spans="1:14">
      <c r="A20" s="1293"/>
      <c r="B20" s="1293"/>
      <c r="C20" s="1293"/>
      <c r="D20" s="1293"/>
      <c r="E20" s="1293"/>
      <c r="F20" s="1293"/>
      <c r="G20" s="1293"/>
      <c r="H20" s="1293"/>
      <c r="I20" s="1293"/>
      <c r="J20" s="1293"/>
      <c r="K20" s="1293"/>
      <c r="L20" s="1293"/>
      <c r="M20" s="1293"/>
      <c r="N20" s="1293"/>
    </row>
    <row r="21" spans="1:14">
      <c r="A21" s="1293"/>
      <c r="B21" s="1293"/>
      <c r="C21" s="1293"/>
      <c r="D21" s="1293"/>
      <c r="E21" s="1293"/>
      <c r="F21" s="1293"/>
      <c r="G21" s="1293"/>
      <c r="H21" s="1293"/>
      <c r="I21" s="1293"/>
      <c r="J21" s="1293"/>
      <c r="K21" s="1293"/>
      <c r="L21" s="1293"/>
      <c r="M21" s="1293"/>
      <c r="N21" s="1293"/>
    </row>
    <row r="22" spans="1:14">
      <c r="A22" s="1293"/>
      <c r="B22" s="1293"/>
      <c r="C22" s="1293"/>
      <c r="D22" s="1293"/>
      <c r="E22" s="1293"/>
      <c r="F22" s="1293"/>
      <c r="G22" s="1293"/>
      <c r="H22" s="1293"/>
      <c r="I22" s="1293"/>
      <c r="J22" s="1293"/>
      <c r="K22" s="1293"/>
      <c r="L22" s="1293"/>
      <c r="M22" s="1293"/>
      <c r="N22" s="1293"/>
    </row>
    <row r="23" spans="1:14">
      <c r="A23" s="1293"/>
      <c r="B23" s="1293"/>
      <c r="C23" s="1293"/>
      <c r="D23" s="1293"/>
      <c r="E23" s="1293"/>
      <c r="F23" s="1293"/>
      <c r="G23" s="1293"/>
      <c r="H23" s="1293"/>
      <c r="I23" s="1293"/>
      <c r="J23" s="1293"/>
      <c r="K23" s="1293"/>
      <c r="L23" s="1293"/>
      <c r="M23" s="1293"/>
      <c r="N23" s="1293"/>
    </row>
    <row r="24" spans="1:14">
      <c r="A24" s="1293"/>
      <c r="B24" s="1293"/>
      <c r="C24" s="1293"/>
      <c r="D24" s="1293"/>
      <c r="E24" s="1293"/>
      <c r="F24" s="1293"/>
      <c r="G24" s="1293"/>
      <c r="H24" s="1293"/>
      <c r="I24" s="1293"/>
      <c r="J24" s="1293"/>
      <c r="K24" s="1293"/>
      <c r="L24" s="1293"/>
      <c r="M24" s="1293"/>
      <c r="N24" s="1293"/>
    </row>
    <row r="25" spans="1:14">
      <c r="A25" s="1293"/>
      <c r="B25" s="1293"/>
      <c r="C25" s="1293"/>
      <c r="D25" s="1293"/>
      <c r="E25" s="1293"/>
      <c r="F25" s="1293"/>
      <c r="G25" s="1293"/>
      <c r="H25" s="1293"/>
      <c r="I25" s="1293"/>
      <c r="J25" s="1293"/>
      <c r="K25" s="1293"/>
      <c r="L25" s="1293"/>
      <c r="M25" s="1293"/>
      <c r="N25" s="1293"/>
    </row>
    <row r="26" spans="1:14">
      <c r="A26" s="1293"/>
      <c r="B26" s="1293"/>
      <c r="C26" s="1293"/>
      <c r="D26" s="1293"/>
      <c r="E26" s="1293"/>
      <c r="F26" s="1293"/>
      <c r="G26" s="1293"/>
      <c r="H26" s="1293"/>
      <c r="I26" s="1293"/>
      <c r="J26" s="1293"/>
      <c r="K26" s="1293"/>
      <c r="L26" s="1293"/>
      <c r="M26" s="1293"/>
      <c r="N26" s="1293"/>
    </row>
    <row r="27" spans="1:14">
      <c r="A27" s="1293"/>
      <c r="B27" s="1293"/>
      <c r="C27" s="1293"/>
      <c r="D27" s="1293"/>
      <c r="E27" s="1293"/>
      <c r="F27" s="1293"/>
      <c r="G27" s="1293"/>
      <c r="H27" s="1293"/>
      <c r="I27" s="1293"/>
      <c r="J27" s="1293"/>
      <c r="K27" s="1293"/>
      <c r="L27" s="1293"/>
      <c r="M27" s="1293"/>
      <c r="N27" s="1293"/>
    </row>
    <row r="28" spans="1:14">
      <c r="A28" s="1293"/>
      <c r="B28" s="1293"/>
      <c r="C28" s="1293"/>
      <c r="D28" s="1293"/>
      <c r="E28" s="1293"/>
      <c r="F28" s="1293"/>
      <c r="G28" s="1293"/>
      <c r="H28" s="1293"/>
      <c r="I28" s="1293"/>
      <c r="J28" s="1293"/>
      <c r="K28" s="1293"/>
      <c r="L28" s="1293"/>
      <c r="M28" s="1293"/>
      <c r="N28" s="1293"/>
    </row>
    <row r="29" spans="1:14">
      <c r="A29" s="1293"/>
      <c r="B29" s="1293"/>
      <c r="C29" s="1293"/>
      <c r="D29" s="1293"/>
      <c r="E29" s="1293"/>
      <c r="F29" s="1293"/>
      <c r="G29" s="1293"/>
      <c r="H29" s="1293"/>
      <c r="I29" s="1293"/>
      <c r="J29" s="1293"/>
      <c r="K29" s="1293"/>
      <c r="L29" s="1293"/>
      <c r="M29" s="1293"/>
      <c r="N29" s="1293"/>
    </row>
  </sheetData>
  <sheetProtection password="CEE9" sheet="1" objects="1" scenarios="1" formatCells="0" formatColumns="0" formatRows="0"/>
  <phoneticPr fontId="254"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A57" sqref="A57:XFD57"/>
    </sheetView>
  </sheetViews>
  <sheetFormatPr defaultColWidth="9" defaultRowHeight="15"/>
  <cols>
    <col min="1" max="1" width="9" style="1227" customWidth="1"/>
    <col min="2" max="2" width="20.625" style="963" customWidth="1"/>
    <col min="3" max="3" width="11.875" style="963" customWidth="1"/>
    <col min="4" max="4" width="40.5" style="962" customWidth="1"/>
    <col min="5" max="5" width="15.75" style="962" customWidth="1"/>
    <col min="6" max="6" width="10.625" style="962" customWidth="1"/>
    <col min="7" max="7" width="4.875" style="962" customWidth="1"/>
    <col min="8" max="8" width="8.5" style="962" customWidth="1"/>
    <col min="9" max="9" width="21.25" style="962" customWidth="1"/>
    <col min="10" max="10" width="12.25" style="962" customWidth="1"/>
    <col min="11" max="11" width="40.125" style="964" customWidth="1"/>
    <col min="12" max="12" width="18.375" style="962" customWidth="1"/>
    <col min="13" max="13" width="13" style="962" customWidth="1"/>
    <col min="14" max="14" width="9.5" style="719" customWidth="1"/>
    <col min="15" max="15" width="8.375" style="719" customWidth="1"/>
    <col min="16" max="16" width="30.25" style="719" customWidth="1"/>
    <col min="17" max="17" width="13.75" style="719" customWidth="1"/>
    <col min="18" max="18" width="22.25" style="719" customWidth="1"/>
    <col min="19" max="19" width="1.5" style="719" customWidth="1"/>
    <col min="20" max="25" width="9" style="719"/>
    <col min="26" max="16384" width="9" style="962"/>
  </cols>
  <sheetData>
    <row r="1" spans="1:25" s="960" customFormat="1" ht="21">
      <c r="A1" s="1228" t="s">
        <v>2041</v>
      </c>
      <c r="B1" s="967"/>
      <c r="C1" s="968"/>
      <c r="D1" s="973"/>
      <c r="E1" s="970" t="s">
        <v>618</v>
      </c>
      <c r="F1" s="971">
        <f ca="1">J54</f>
        <v>-1.5</v>
      </c>
      <c r="G1" s="1229">
        <f>MATCH(C1,'数据-取费表'!A6:A16,0)+5</f>
        <v>7</v>
      </c>
      <c r="H1" s="1230"/>
      <c r="I1" s="1117"/>
      <c r="J1" s="1117"/>
      <c r="K1" s="1118"/>
      <c r="L1" s="1117"/>
      <c r="M1" s="1117"/>
      <c r="N1" s="1119"/>
      <c r="O1" s="1119"/>
      <c r="P1" s="1119"/>
      <c r="Q1" s="1119"/>
      <c r="R1" s="1119"/>
      <c r="S1" s="1119"/>
      <c r="T1" s="1119"/>
      <c r="U1" s="1119"/>
      <c r="V1" s="1119"/>
      <c r="W1" s="1119"/>
      <c r="X1" s="1119"/>
      <c r="Y1" s="1119"/>
    </row>
    <row r="2" spans="1:25" ht="18" customHeight="1">
      <c r="A2" s="1231" t="s">
        <v>945</v>
      </c>
      <c r="B2" s="136">
        <f ca="1">IF(ISERROR(C45+J31),0,C45+J31)</f>
        <v>0</v>
      </c>
      <c r="C2" s="1232"/>
      <c r="D2" s="1233"/>
      <c r="E2" s="1234"/>
      <c r="F2" s="1234"/>
      <c r="G2" s="1235"/>
      <c r="H2" s="1121"/>
      <c r="I2" s="978"/>
      <c r="J2" s="978"/>
      <c r="K2" s="1120"/>
      <c r="L2" s="978"/>
      <c r="M2" s="978"/>
    </row>
    <row r="3" spans="1:25" ht="18" customHeight="1">
      <c r="A3" s="1236" t="s">
        <v>946</v>
      </c>
      <c r="B3" s="1237">
        <f ca="1">ROUND(B2*10000/'数据-汇总表'!E3,0)</f>
        <v>0</v>
      </c>
      <c r="C3" s="1232"/>
      <c r="D3" s="1233"/>
      <c r="E3" s="1234"/>
      <c r="F3" s="1234"/>
      <c r="G3" s="1235"/>
      <c r="H3" s="981" t="s">
        <v>2042</v>
      </c>
      <c r="I3" s="978"/>
      <c r="J3" s="978"/>
      <c r="K3" s="1120"/>
      <c r="L3" s="978"/>
      <c r="M3" s="978"/>
    </row>
    <row r="4" spans="1:25" ht="18" customHeight="1">
      <c r="A4" s="1238" t="s">
        <v>947</v>
      </c>
      <c r="B4" s="1239">
        <f ca="1">ROUND(B2*10000/'数据-汇总表'!D3,0)</f>
        <v>0</v>
      </c>
      <c r="C4" s="1240"/>
      <c r="D4" s="1233"/>
      <c r="E4" s="1234"/>
      <c r="F4" s="1234"/>
      <c r="G4" s="1235"/>
      <c r="H4" s="981"/>
      <c r="I4" s="978"/>
      <c r="J4" s="978"/>
      <c r="K4" s="1120"/>
      <c r="L4" s="978"/>
      <c r="M4" s="978"/>
    </row>
    <row r="5" spans="1:25" ht="18" customHeight="1">
      <c r="A5" s="1241"/>
      <c r="B5" s="738">
        <f ca="1">ROUND(B2/('数据-汇总表'!D3/666.67),0)</f>
        <v>0</v>
      </c>
      <c r="C5" s="739" t="s">
        <v>948</v>
      </c>
      <c r="D5" s="1233"/>
      <c r="E5" s="1234"/>
      <c r="F5" s="1234"/>
      <c r="G5" s="1235"/>
      <c r="H5" s="981"/>
      <c r="I5" s="978"/>
      <c r="J5" s="978"/>
      <c r="K5" s="1120"/>
      <c r="L5" s="978"/>
      <c r="M5" s="978"/>
    </row>
    <row r="6" spans="1:25" ht="18" customHeight="1">
      <c r="A6" s="1242" t="s">
        <v>2043</v>
      </c>
      <c r="B6" s="1243" t="s">
        <v>2044</v>
      </c>
      <c r="C6" s="1243" t="s">
        <v>2045</v>
      </c>
      <c r="D6" s="1243" t="s">
        <v>2046</v>
      </c>
      <c r="E6" s="984" t="s">
        <v>2047</v>
      </c>
      <c r="F6" s="985"/>
      <c r="G6" s="1174"/>
      <c r="H6" s="1242" t="s">
        <v>2043</v>
      </c>
      <c r="I6" s="1243" t="s">
        <v>2044</v>
      </c>
      <c r="J6" s="1243" t="s">
        <v>2045</v>
      </c>
      <c r="K6" s="1243" t="s">
        <v>2046</v>
      </c>
      <c r="L6" s="984" t="s">
        <v>2047</v>
      </c>
      <c r="M6" s="985"/>
    </row>
    <row r="7" spans="1:25" ht="18" customHeight="1">
      <c r="A7" s="987">
        <v>1</v>
      </c>
      <c r="B7" s="988" t="s">
        <v>2048</v>
      </c>
      <c r="C7" s="138">
        <f ca="1">C8+C12+C14</f>
        <v>0</v>
      </c>
      <c r="D7" s="990" t="s">
        <v>2049</v>
      </c>
      <c r="E7" s="991"/>
      <c r="F7" s="992"/>
      <c r="G7" s="1174"/>
      <c r="H7" s="987">
        <v>1</v>
      </c>
      <c r="I7" s="988" t="s">
        <v>2048</v>
      </c>
      <c r="J7" s="138">
        <f ca="1">J8+J12+J14</f>
        <v>0</v>
      </c>
      <c r="K7" s="990" t="s">
        <v>2049</v>
      </c>
      <c r="L7" s="991"/>
      <c r="M7" s="992"/>
    </row>
    <row r="8" spans="1:25" ht="18" customHeight="1">
      <c r="A8" s="993" t="s">
        <v>882</v>
      </c>
      <c r="B8" s="3923" t="s">
        <v>2050</v>
      </c>
      <c r="C8" s="1244">
        <f ca="1">ROUND(F8*F10*F9*(1-F11)/10000,0)</f>
        <v>0</v>
      </c>
      <c r="D8" s="1245" t="s">
        <v>2051</v>
      </c>
      <c r="E8" s="1246" t="s">
        <v>2052</v>
      </c>
      <c r="F8" s="997">
        <f ca="1">INDIRECT("'数据-取费表'!u"&amp;$G$1)</f>
        <v>0</v>
      </c>
      <c r="G8" s="1174"/>
      <c r="H8" s="998" t="s">
        <v>882</v>
      </c>
      <c r="I8" s="3923" t="s">
        <v>2050</v>
      </c>
      <c r="J8" s="994">
        <f ca="1">ROUND(M8*M10*M9*(1-M11)/10000,0)</f>
        <v>0</v>
      </c>
      <c r="K8" s="1068" t="s">
        <v>2051</v>
      </c>
      <c r="L8" s="996" t="s">
        <v>2052</v>
      </c>
      <c r="M8" s="997">
        <f ca="1">INDIRECT("'数据-取费表'!z"&amp;$G$1)</f>
        <v>0</v>
      </c>
    </row>
    <row r="9" spans="1:25" ht="18" customHeight="1">
      <c r="A9" s="999"/>
      <c r="B9" s="3924"/>
      <c r="C9" s="1247"/>
      <c r="D9" s="1248"/>
      <c r="E9" s="1246" t="s">
        <v>2053</v>
      </c>
      <c r="F9" s="997">
        <f ca="1">IF(INDIRECT("'数据-取费表'!ah"&amp;$G$1)="",INDIRECT("'数据-取费表'!k"&amp;$G$1),INDIRECT("'数据-取费表'!ah"&amp;$G$1))</f>
        <v>0</v>
      </c>
      <c r="G9" s="1174"/>
      <c r="H9" s="1002"/>
      <c r="I9" s="3924"/>
      <c r="J9" s="1000"/>
      <c r="K9" s="1001"/>
      <c r="L9" s="996" t="s">
        <v>2053</v>
      </c>
      <c r="M9" s="997">
        <f ca="1">F9</f>
        <v>0</v>
      </c>
    </row>
    <row r="10" spans="1:25" ht="18" customHeight="1">
      <c r="A10" s="1003"/>
      <c r="B10" s="3925"/>
      <c r="C10" s="1247"/>
      <c r="D10" s="1248"/>
      <c r="E10" s="1246" t="s">
        <v>2054</v>
      </c>
      <c r="F10" s="997">
        <f ca="1">INDIRECT("'数据-取费表'!ai"&amp;$G$1)</f>
        <v>0</v>
      </c>
      <c r="G10" s="1174"/>
      <c r="H10" s="1002"/>
      <c r="I10" s="3925"/>
      <c r="J10" s="1000"/>
      <c r="K10" s="1001"/>
      <c r="L10" s="996" t="s">
        <v>2054</v>
      </c>
      <c r="M10" s="997">
        <f ca="1">INDIRECT("'数据-取费表'!ai"&amp;$G$1)</f>
        <v>0</v>
      </c>
    </row>
    <row r="11" spans="1:25" ht="18" customHeight="1">
      <c r="A11" s="1004"/>
      <c r="B11" s="3926"/>
      <c r="C11" s="1247"/>
      <c r="D11" s="1248"/>
      <c r="E11" s="1246" t="s">
        <v>2055</v>
      </c>
      <c r="F11" s="1005">
        <f ca="1">INDIRECT("'数据-取费表'!w"&amp;$G$1)</f>
        <v>0</v>
      </c>
      <c r="G11" s="1174"/>
      <c r="H11" s="1006"/>
      <c r="I11" s="3925"/>
      <c r="J11" s="1000"/>
      <c r="K11" s="1001"/>
      <c r="L11" s="1049" t="s">
        <v>2055</v>
      </c>
      <c r="M11" s="1015">
        <f ca="1">INDIRECT("'数据-取费表'!ab"&amp;$G$1)</f>
        <v>0</v>
      </c>
    </row>
    <row r="12" spans="1:25" ht="18" customHeight="1">
      <c r="A12" s="993" t="s">
        <v>884</v>
      </c>
      <c r="B12" s="1007" t="s">
        <v>2056</v>
      </c>
      <c r="C12" s="137">
        <f ca="1">ROUND(IF(F12="押一",C8/12*F13,IF(F12="押二",C8/12*2*F13,IF(F12="押三",C8/12*3*F13,C13*F13))),0)</f>
        <v>0</v>
      </c>
      <c r="D12" s="1008" t="s">
        <v>2057</v>
      </c>
      <c r="E12" s="1009" t="s">
        <v>2058</v>
      </c>
      <c r="F12" s="1010"/>
      <c r="G12" s="1174"/>
      <c r="H12" s="1011" t="s">
        <v>884</v>
      </c>
      <c r="I12" s="1123" t="s">
        <v>2056</v>
      </c>
      <c r="J12" s="994">
        <f ca="1">ROUND(IF(M12="押一",J8/12*M13,IF(M12="押二",J8/12*2*M13,IF(M12="押三",J8/12*3*M13,J13*M13))),0)</f>
        <v>0</v>
      </c>
      <c r="K12" s="1008" t="s">
        <v>2057</v>
      </c>
      <c r="L12" s="1009" t="s">
        <v>2058</v>
      </c>
      <c r="M12" s="1010"/>
    </row>
    <row r="13" spans="1:25" ht="18" customHeight="1">
      <c r="A13" s="1012"/>
      <c r="B13" s="1013" t="s">
        <v>2059</v>
      </c>
      <c r="C13" s="1014"/>
      <c r="D13" s="1001"/>
      <c r="E13" s="1009" t="s">
        <v>665</v>
      </c>
      <c r="F13" s="1015">
        <f ca="1">'数据-取费表'!B39</f>
        <v>1.4999999999999999E-2</v>
      </c>
      <c r="G13" s="1174"/>
      <c r="H13" s="1016"/>
      <c r="I13" s="1013" t="s">
        <v>2059</v>
      </c>
      <c r="J13" s="1014"/>
      <c r="K13" s="1124"/>
      <c r="L13" s="1009" t="s">
        <v>665</v>
      </c>
      <c r="M13" s="1125">
        <f ca="1">'数据-取费表'!B39</f>
        <v>1.4999999999999999E-2</v>
      </c>
    </row>
    <row r="14" spans="1:25" ht="18" customHeight="1">
      <c r="A14" s="1017" t="s">
        <v>953</v>
      </c>
      <c r="B14" s="1018" t="s">
        <v>2060</v>
      </c>
      <c r="C14" s="1019"/>
      <c r="D14" s="1020"/>
      <c r="E14" s="1021"/>
      <c r="F14" s="1022"/>
      <c r="G14" s="1174"/>
      <c r="H14" s="1023" t="s">
        <v>953</v>
      </c>
      <c r="I14" s="1126" t="s">
        <v>2060</v>
      </c>
      <c r="J14" s="1127"/>
      <c r="K14" s="1020"/>
      <c r="L14" s="1021"/>
      <c r="M14" s="1128"/>
    </row>
    <row r="15" spans="1:25" ht="18" customHeight="1">
      <c r="A15" s="1024" t="s">
        <v>888</v>
      </c>
      <c r="B15" s="1025" t="s">
        <v>2061</v>
      </c>
      <c r="C15" s="1026">
        <f ca="1">ROUND(C31*F15,0)</f>
        <v>0</v>
      </c>
      <c r="D15" s="1027" t="s">
        <v>2062</v>
      </c>
      <c r="E15" s="1049" t="s">
        <v>2063</v>
      </c>
      <c r="F15" s="1112">
        <f ca="1">INDIRECT("'数据-取费表'!y"&amp;$G$1)</f>
        <v>0</v>
      </c>
      <c r="G15" s="1174"/>
      <c r="H15" s="1024" t="s">
        <v>888</v>
      </c>
      <c r="I15" s="1025" t="s">
        <v>2064</v>
      </c>
      <c r="J15" s="1129">
        <f ca="1">ROUND(J16*J17,0)</f>
        <v>0</v>
      </c>
      <c r="K15" s="1058" t="s">
        <v>2062</v>
      </c>
      <c r="L15" s="1132"/>
      <c r="M15" s="1133"/>
    </row>
    <row r="16" spans="1:25" ht="18" customHeight="1">
      <c r="A16" s="1249" t="s">
        <v>907</v>
      </c>
      <c r="B16" s="996" t="s">
        <v>960</v>
      </c>
      <c r="C16" s="1030">
        <f ca="1">INDIRECT("'数据-取费表'!m"&amp;$G$1)+INDIRECT("'数据-取费表'!t"&amp;$G$1)</f>
        <v>0</v>
      </c>
      <c r="D16" s="1031" t="s">
        <v>2065</v>
      </c>
      <c r="E16" s="1032"/>
      <c r="F16" s="1033"/>
      <c r="G16" s="1174"/>
      <c r="H16" s="1249" t="s">
        <v>882</v>
      </c>
      <c r="I16" s="1115" t="s">
        <v>2066</v>
      </c>
      <c r="J16" s="138">
        <f ca="1">C31</f>
        <v>0</v>
      </c>
      <c r="K16" s="1116"/>
      <c r="L16" s="1132"/>
      <c r="M16" s="1133"/>
    </row>
    <row r="17" spans="1:25" s="961" customFormat="1" ht="18" customHeight="1">
      <c r="A17" s="1249" t="s">
        <v>961</v>
      </c>
      <c r="B17" s="996" t="s">
        <v>962</v>
      </c>
      <c r="C17" s="138">
        <f ca="1">ROUND(C16*F17,0)</f>
        <v>0</v>
      </c>
      <c r="D17" s="1035" t="s">
        <v>2067</v>
      </c>
      <c r="E17" s="1035" t="s">
        <v>2068</v>
      </c>
      <c r="F17" s="1036">
        <f>'数据-取费表'!B33</f>
        <v>0.05</v>
      </c>
      <c r="G17" s="1250"/>
      <c r="H17" s="1249" t="s">
        <v>884</v>
      </c>
      <c r="I17" s="996" t="s">
        <v>2063</v>
      </c>
      <c r="J17" s="1283">
        <f ca="1">INDIRECT("'数据-取费表'!ad"&amp;$G$1)</f>
        <v>0</v>
      </c>
      <c r="K17" s="1116"/>
      <c r="L17" s="1132"/>
      <c r="M17" s="1133"/>
      <c r="N17" s="1138"/>
      <c r="O17" s="1138"/>
      <c r="P17" s="1138"/>
      <c r="Q17" s="1138"/>
      <c r="R17" s="1138"/>
      <c r="S17" s="1138"/>
      <c r="T17" s="1138"/>
      <c r="U17" s="1138"/>
      <c r="V17" s="1138"/>
      <c r="W17" s="1138"/>
      <c r="X17" s="1138"/>
      <c r="Y17" s="1138"/>
    </row>
    <row r="18" spans="1:25" ht="18" customHeight="1">
      <c r="A18" s="1249" t="s">
        <v>964</v>
      </c>
      <c r="B18" s="996" t="s">
        <v>965</v>
      </c>
      <c r="C18" s="138">
        <f ca="1">ROUND(INDIRECT("'数据-取费表'!m"&amp;$G$1)*F18,0)</f>
        <v>0</v>
      </c>
      <c r="D18" s="996" t="s">
        <v>2067</v>
      </c>
      <c r="E18" s="996" t="s">
        <v>2068</v>
      </c>
      <c r="F18" s="1038">
        <f ca="1">IF(INDIRECT("'数据-取费表'!c"&amp;$G$1)="住宅",'数据-取费表'!B34,0)</f>
        <v>0</v>
      </c>
      <c r="G18" s="1174"/>
      <c r="H18" s="1113" t="s">
        <v>893</v>
      </c>
      <c r="I18" s="1114" t="s">
        <v>2069</v>
      </c>
      <c r="J18" s="137">
        <f ca="1">ROUND(J19+J24+J25+J26,0)</f>
        <v>0</v>
      </c>
      <c r="K18" s="1116" t="s">
        <v>2070</v>
      </c>
      <c r="L18" s="140"/>
      <c r="M18" s="1039"/>
    </row>
    <row r="19" spans="1:25" s="961" customFormat="1" ht="18" customHeight="1">
      <c r="A19" s="1249" t="s">
        <v>967</v>
      </c>
      <c r="B19" s="996" t="s">
        <v>2071</v>
      </c>
      <c r="C19" s="138">
        <f ca="1">ROUND(F19*(INDIRECT("'数据-取费表'!k"&amp;$G$1)+INDIRECT("'数据-取费表'!S"&amp;$G$1))/10000,0)</f>
        <v>0</v>
      </c>
      <c r="D19" s="996" t="s">
        <v>2072</v>
      </c>
      <c r="E19" s="996" t="s">
        <v>2073</v>
      </c>
      <c r="F19" s="1039">
        <f>'数据-取费表'!B35</f>
        <v>200</v>
      </c>
      <c r="G19" s="1250"/>
      <c r="H19" s="1249" t="s">
        <v>882</v>
      </c>
      <c r="I19" s="996" t="s">
        <v>2074</v>
      </c>
      <c r="J19" s="1061">
        <f ca="1">ROUND(IF(AND(项目基本情况!B11="自然人",项目基本情况!B10="北京市"),J8*M19/(1+'数据-取费表'!C42),J20+J21+J22),0)</f>
        <v>0</v>
      </c>
      <c r="K19" s="1031" t="s">
        <v>2075</v>
      </c>
      <c r="L19" s="1062" t="s">
        <v>2076</v>
      </c>
      <c r="M19" s="1063" t="str">
        <f>IF(项目基本情况!B11="企业","——",IF('数据-取费表'!B10="住宅",IF(M8*M9*M10/12/(1+'数据-取费表'!F30)&gt;100000,4%,2.5%),IF(M8*M9*M10/12/(1+'数据-取费表'!F30)&gt;100000,12%,7%)))</f>
        <v>——</v>
      </c>
      <c r="N19" s="1138"/>
      <c r="O19" s="1138"/>
      <c r="P19" s="1138"/>
      <c r="Q19" s="1138"/>
      <c r="R19" s="1138"/>
      <c r="S19" s="1138"/>
      <c r="T19" s="1138"/>
      <c r="U19" s="1138"/>
      <c r="V19" s="1138"/>
      <c r="W19" s="1138"/>
      <c r="X19" s="1138"/>
      <c r="Y19" s="1138"/>
    </row>
    <row r="20" spans="1:25" s="961" customFormat="1" ht="18" customHeight="1">
      <c r="A20" s="1249" t="s">
        <v>969</v>
      </c>
      <c r="B20" s="996" t="s">
        <v>970</v>
      </c>
      <c r="C20" s="138">
        <f ca="1">ROUND(C16*F20,0)</f>
        <v>0</v>
      </c>
      <c r="D20" s="996" t="s">
        <v>2067</v>
      </c>
      <c r="E20" s="996" t="s">
        <v>2068</v>
      </c>
      <c r="F20" s="1038">
        <f>'数据-取费表'!B36</f>
        <v>0.02</v>
      </c>
      <c r="G20" s="1250"/>
      <c r="H20" s="1249" t="s">
        <v>907</v>
      </c>
      <c r="I20" s="996" t="s">
        <v>2077</v>
      </c>
      <c r="J20" s="138">
        <f ca="1">ROUND(J8*M20/(1+'数据-取费表'!C42),1)</f>
        <v>0</v>
      </c>
      <c r="K20" s="1062" t="s">
        <v>2078</v>
      </c>
      <c r="L20" s="996" t="s">
        <v>2068</v>
      </c>
      <c r="M20" s="1038">
        <f>'数据-取费表'!B41</f>
        <v>5.5E-2</v>
      </c>
      <c r="N20" s="1138"/>
      <c r="O20" s="1138"/>
      <c r="P20" s="1138"/>
      <c r="Q20" s="1138"/>
      <c r="R20" s="1138"/>
      <c r="S20" s="1138"/>
      <c r="T20" s="1138"/>
      <c r="U20" s="1138"/>
      <c r="V20" s="1138"/>
      <c r="W20" s="1138"/>
      <c r="X20" s="1138"/>
      <c r="Y20" s="1138"/>
    </row>
    <row r="21" spans="1:25" ht="18" customHeight="1">
      <c r="A21" s="1249" t="s">
        <v>882</v>
      </c>
      <c r="B21" s="996" t="s">
        <v>2079</v>
      </c>
      <c r="C21" s="138">
        <f ca="1">SUM(C16:C20)</f>
        <v>0</v>
      </c>
      <c r="D21" s="1040" t="s">
        <v>2080</v>
      </c>
      <c r="E21" s="140"/>
      <c r="F21" s="1039"/>
      <c r="G21" s="1174"/>
      <c r="H21" s="993" t="s">
        <v>961</v>
      </c>
      <c r="I21" s="996" t="s">
        <v>2081</v>
      </c>
      <c r="J21" s="138">
        <f ca="1">IF(K21="按租金收入计税",ROUND(J8*M21/(1+'数据-取费表'!C42),1),ROUND(C31*F35*0.7,1))</f>
        <v>0</v>
      </c>
      <c r="K21" s="1066" t="s">
        <v>2082</v>
      </c>
      <c r="L21" s="996" t="s">
        <v>2068</v>
      </c>
      <c r="M21" s="1038">
        <f>IF(K21="按租金收入计税",'数据-取费表'!B51,'数据-取费表'!B50)</f>
        <v>0.12</v>
      </c>
    </row>
    <row r="22" spans="1:25" s="961" customFormat="1" ht="18" customHeight="1">
      <c r="A22" s="1249" t="s">
        <v>2083</v>
      </c>
      <c r="B22" s="996" t="s">
        <v>2084</v>
      </c>
      <c r="C22" s="138">
        <f ca="1">ROUND(C21*F22,0)</f>
        <v>0</v>
      </c>
      <c r="D22" s="1041" t="s">
        <v>2085</v>
      </c>
      <c r="E22" s="996" t="s">
        <v>2068</v>
      </c>
      <c r="F22" s="1038">
        <f>'数据-取费表'!B37</f>
        <v>0.02</v>
      </c>
      <c r="G22" s="1250"/>
      <c r="H22" s="1251" t="s">
        <v>964</v>
      </c>
      <c r="I22" s="1245" t="s">
        <v>2086</v>
      </c>
      <c r="J22" s="1069">
        <f ca="1">ROUND(M22*M23/10000,0)</f>
        <v>0</v>
      </c>
      <c r="K22" s="1070" t="s">
        <v>2087</v>
      </c>
      <c r="L22" s="996" t="s">
        <v>2088</v>
      </c>
      <c r="M22" s="1046">
        <f>'数据-取费表'!B52</f>
        <v>2</v>
      </c>
      <c r="N22" s="1138"/>
      <c r="O22" s="1138"/>
      <c r="P22" s="1138"/>
      <c r="Q22" s="1138"/>
      <c r="R22" s="1138"/>
      <c r="S22" s="1138"/>
      <c r="T22" s="1138"/>
      <c r="U22" s="1138"/>
      <c r="V22" s="1138"/>
      <c r="W22" s="1138"/>
      <c r="X22" s="1138"/>
      <c r="Y22" s="1138"/>
    </row>
    <row r="23" spans="1:25" s="961" customFormat="1" ht="18" customHeight="1">
      <c r="A23" s="1249" t="s">
        <v>2089</v>
      </c>
      <c r="B23" s="996" t="s">
        <v>2090</v>
      </c>
      <c r="C23" s="138" t="s">
        <v>138</v>
      </c>
      <c r="D23" s="1041" t="s">
        <v>2091</v>
      </c>
      <c r="E23" s="996" t="s">
        <v>2092</v>
      </c>
      <c r="F23" s="1038">
        <f>'数据-取费表'!B38</f>
        <v>0.02</v>
      </c>
      <c r="G23" s="1250"/>
      <c r="H23" s="1252"/>
      <c r="I23" s="1284"/>
      <c r="J23" s="1073"/>
      <c r="K23" s="1074"/>
      <c r="L23" s="996" t="s">
        <v>2093</v>
      </c>
      <c r="M23" s="997">
        <f ca="1">INDIRECT("'数据-取费表'!r"&amp;$G$1)</f>
        <v>0</v>
      </c>
      <c r="N23" s="1138"/>
      <c r="O23" s="1138"/>
      <c r="P23" s="1138"/>
      <c r="Q23" s="1138"/>
      <c r="R23" s="1138"/>
      <c r="S23" s="1138"/>
      <c r="T23" s="1138"/>
      <c r="U23" s="1138"/>
      <c r="V23" s="1138"/>
      <c r="W23" s="1138"/>
      <c r="X23" s="1138"/>
      <c r="Y23" s="1138"/>
    </row>
    <row r="24" spans="1:25" ht="18" customHeight="1">
      <c r="A24" s="1249" t="s">
        <v>2094</v>
      </c>
      <c r="B24" s="996" t="s">
        <v>2095</v>
      </c>
      <c r="C24" s="138"/>
      <c r="D24" s="1044" t="str">
        <f>IF(F25&lt;=1,"单利计息。","复利计息。")&amp;"建造成本、管理费用、销售费用产生的利息。"</f>
        <v>复利计息。建造成本、管理费用、销售费用产生的利息。</v>
      </c>
      <c r="E24" s="140"/>
      <c r="F24" s="1039"/>
      <c r="G24" s="1174"/>
      <c r="H24" s="1253" t="s">
        <v>884</v>
      </c>
      <c r="I24" s="996" t="s">
        <v>2096</v>
      </c>
      <c r="J24" s="138">
        <f ca="1">ROUND(J16*M24,0)</f>
        <v>0</v>
      </c>
      <c r="K24" s="1062" t="s">
        <v>2097</v>
      </c>
      <c r="L24" s="996" t="s">
        <v>2068</v>
      </c>
      <c r="M24" s="1075">
        <f ca="1">INDIRECT("'数据-取费表'!Ak"&amp;$G$1)</f>
        <v>0</v>
      </c>
    </row>
    <row r="25" spans="1:25" s="961" customFormat="1" ht="18" customHeight="1">
      <c r="A25" s="1249" t="s">
        <v>907</v>
      </c>
      <c r="B25" s="996" t="s">
        <v>2098</v>
      </c>
      <c r="C25" s="138">
        <f ca="1">ROUND(IF('数据-取费表'!B22&lt;=1,(C21+C22)*F26*F25/2,(C21+C22)*(POWER((1+F26),F25/2)-1)),0)</f>
        <v>0</v>
      </c>
      <c r="D25" s="1045" t="str">
        <f>IF(F25&lt;=1,"(建造成本+管理费用)×利率×(建设周期÷2)","(建造成本+管理费用)×((1+利率)^(建设周期÷2)-1)")</f>
        <v>(建造成本+管理费用)×((1+利率)^(建设周期÷2)-1)</v>
      </c>
      <c r="E25" s="996" t="s">
        <v>2099</v>
      </c>
      <c r="F25" s="1046">
        <f>'数据-取费表'!B20</f>
        <v>1.5</v>
      </c>
      <c r="G25" s="1250"/>
      <c r="H25" s="1249" t="s">
        <v>2089</v>
      </c>
      <c r="I25" s="996" t="s">
        <v>2100</v>
      </c>
      <c r="J25" s="138">
        <f ca="1">ROUND(J15*M25,0)</f>
        <v>0</v>
      </c>
      <c r="K25" s="1062" t="s">
        <v>2101</v>
      </c>
      <c r="L25" s="996" t="s">
        <v>2068</v>
      </c>
      <c r="M25" s="1076">
        <f ca="1">INDIRECT("'数据-取费表'!Al"&amp;$G$1)</f>
        <v>0</v>
      </c>
      <c r="N25" s="1138"/>
      <c r="O25" s="1138"/>
      <c r="P25" s="1138"/>
      <c r="Q25" s="1138"/>
      <c r="R25" s="1138"/>
      <c r="S25" s="1138"/>
      <c r="T25" s="1138"/>
      <c r="U25" s="1138"/>
      <c r="V25" s="1138"/>
      <c r="W25" s="1138"/>
      <c r="X25" s="1138"/>
      <c r="Y25" s="1138"/>
    </row>
    <row r="26" spans="1:25" s="961" customFormat="1" ht="18" customHeight="1">
      <c r="A26" s="1249" t="s">
        <v>961</v>
      </c>
      <c r="B26" s="996" t="s">
        <v>2102</v>
      </c>
      <c r="C26" s="138">
        <f ca="1">ROUND(IF('数据-取费表'!B22&lt;=1,F23*F26*F25/2,F23*(POWER((1+F26),F25/2)-1)),4)</f>
        <v>5.0000000000000001E-4</v>
      </c>
      <c r="D26" s="1045" t="str">
        <f>IF(F25&lt;=1,"销售费用×利率×(建设周期÷2)","销售费用×((1+利率)^(建设周期÷2)-1)")</f>
        <v>销售费用×((1+利率)^(建设周期÷2)-1)</v>
      </c>
      <c r="E26" s="996" t="s">
        <v>2103</v>
      </c>
      <c r="F26" s="1047">
        <f ca="1">'数据-取费表'!B40</f>
        <v>3.4500000000000003E-2</v>
      </c>
      <c r="G26" s="1250"/>
      <c r="H26" s="1249" t="s">
        <v>2094</v>
      </c>
      <c r="I26" s="996" t="s">
        <v>2084</v>
      </c>
      <c r="J26" s="138">
        <f ca="1">ROUND(J7*M26,0)</f>
        <v>0</v>
      </c>
      <c r="K26" s="1062" t="s">
        <v>2104</v>
      </c>
      <c r="L26" s="996" t="s">
        <v>2068</v>
      </c>
      <c r="M26" s="1005">
        <f ca="1">INDIRECT("'数据-取费表'!Am"&amp;$G$1)</f>
        <v>0</v>
      </c>
      <c r="N26" s="1138"/>
      <c r="O26" s="1138"/>
      <c r="P26" s="1138"/>
      <c r="Q26" s="1138"/>
      <c r="R26" s="1138"/>
      <c r="S26" s="1138"/>
      <c r="T26" s="1138"/>
      <c r="U26" s="1138"/>
      <c r="V26" s="1138"/>
      <c r="W26" s="1138"/>
      <c r="X26" s="1138"/>
      <c r="Y26" s="1138"/>
    </row>
    <row r="27" spans="1:25" ht="18" customHeight="1">
      <c r="A27" s="1249" t="s">
        <v>2105</v>
      </c>
      <c r="B27" s="996" t="s">
        <v>2106</v>
      </c>
      <c r="C27" s="138"/>
      <c r="D27" s="1040" t="s">
        <v>2107</v>
      </c>
      <c r="E27" s="140"/>
      <c r="F27" s="1039"/>
      <c r="G27" s="1174"/>
      <c r="H27" s="1113" t="s">
        <v>896</v>
      </c>
      <c r="I27" s="1221" t="s">
        <v>2108</v>
      </c>
      <c r="J27" s="137">
        <f ca="1">J7-J18</f>
        <v>0</v>
      </c>
      <c r="K27" s="1031" t="s">
        <v>2109</v>
      </c>
      <c r="L27" s="1222"/>
      <c r="M27" s="1223"/>
    </row>
    <row r="28" spans="1:25" ht="18" customHeight="1">
      <c r="A28" s="1249" t="s">
        <v>907</v>
      </c>
      <c r="B28" s="996" t="s">
        <v>2110</v>
      </c>
      <c r="C28" s="138">
        <f ca="1">ROUND((C21+C22)*F28,0)</f>
        <v>0</v>
      </c>
      <c r="D28" s="1041" t="s">
        <v>2111</v>
      </c>
      <c r="E28" s="1049" t="s">
        <v>2112</v>
      </c>
      <c r="F28" s="1005">
        <f ca="1">INDIRECT("'数据-取费表'!q"&amp;$G$1)</f>
        <v>0</v>
      </c>
      <c r="G28" s="1174"/>
      <c r="H28" s="987" t="s">
        <v>921</v>
      </c>
      <c r="I28" s="988" t="s">
        <v>2113</v>
      </c>
      <c r="J28" s="994">
        <f ca="1">IF(J7&lt;&gt;0,ROUND(J27*(1-((1+M30)/(1+M28))^M29)/(M28-M30),0),0)</f>
        <v>0</v>
      </c>
      <c r="K28" s="1070" t="s">
        <v>2114</v>
      </c>
      <c r="L28" s="996" t="s">
        <v>2115</v>
      </c>
      <c r="M28" s="1005">
        <f ca="1">INDIRECT("'数据-取费表'!I"&amp;$G$1)</f>
        <v>0</v>
      </c>
    </row>
    <row r="29" spans="1:25" ht="18" customHeight="1">
      <c r="A29" s="1249" t="s">
        <v>961</v>
      </c>
      <c r="B29" s="996" t="s">
        <v>2116</v>
      </c>
      <c r="C29" s="138">
        <f ca="1">ROUND(F23*F28,4)</f>
        <v>0</v>
      </c>
      <c r="D29" s="1041" t="s">
        <v>2117</v>
      </c>
      <c r="E29" s="1035"/>
      <c r="F29" s="1036"/>
      <c r="G29" s="1174"/>
      <c r="H29" s="1004"/>
      <c r="I29" s="1082"/>
      <c r="J29" s="1000"/>
      <c r="K29" s="1083" t="s">
        <v>2118</v>
      </c>
      <c r="L29" s="996" t="s">
        <v>2119</v>
      </c>
      <c r="M29" s="1084">
        <f ca="1">INDIRECT("'数据-取费表'!ag"&amp;$G$1)</f>
        <v>0</v>
      </c>
    </row>
    <row r="30" spans="1:25" s="961" customFormat="1" ht="18" customHeight="1">
      <c r="A30" s="1249" t="s">
        <v>2120</v>
      </c>
      <c r="B30" s="996" t="s">
        <v>2121</v>
      </c>
      <c r="C30" s="138">
        <f>ROUND(F30/(1+'数据-取费表'!C42),4)</f>
        <v>5.2400000000000002E-2</v>
      </c>
      <c r="D30" s="1041" t="s">
        <v>2122</v>
      </c>
      <c r="E30" s="996" t="s">
        <v>2068</v>
      </c>
      <c r="F30" s="1038">
        <f>'数据-取费表'!B41</f>
        <v>5.5E-2</v>
      </c>
      <c r="G30" s="1250"/>
      <c r="H30" s="1012"/>
      <c r="I30" s="1086"/>
      <c r="J30" s="1026"/>
      <c r="K30" s="1074"/>
      <c r="L30" s="996" t="s">
        <v>2123</v>
      </c>
      <c r="M30" s="1005">
        <f ca="1">INDIRECT("'数据-取费表'!aa"&amp;$G$1)</f>
        <v>0</v>
      </c>
      <c r="N30" s="1138"/>
      <c r="O30" s="1138"/>
      <c r="P30" s="1138"/>
      <c r="Q30" s="1138"/>
      <c r="R30" s="1138"/>
      <c r="S30" s="1138"/>
      <c r="T30" s="1138"/>
      <c r="U30" s="1138"/>
      <c r="V30" s="1138"/>
      <c r="W30" s="1138"/>
      <c r="X30" s="1138"/>
      <c r="Y30" s="1138"/>
    </row>
    <row r="31" spans="1:25" s="961" customFormat="1" ht="18" customHeight="1">
      <c r="A31" s="1254" t="s">
        <v>2124</v>
      </c>
      <c r="B31" s="1021" t="s">
        <v>2125</v>
      </c>
      <c r="C31" s="1053">
        <f ca="1">ROUND((C21+C22+C25+C28)/(1-F23-C26-C29-C30),0)</f>
        <v>0</v>
      </c>
      <c r="D31" s="1054"/>
      <c r="E31" s="1055"/>
      <c r="F31" s="1056"/>
      <c r="G31" s="1250"/>
      <c r="H31" s="1057" t="s">
        <v>1213</v>
      </c>
      <c r="I31" s="1285" t="s">
        <v>2126</v>
      </c>
      <c r="J31" s="1088">
        <f ca="1">ROUND(J28/(1+F45)^F46,0)</f>
        <v>0</v>
      </c>
      <c r="K31" s="1089" t="s">
        <v>2127</v>
      </c>
      <c r="L31" s="1090"/>
      <c r="M31" s="1091">
        <f ca="1">INDIRECT("'数据-取费表'!k"&amp;$G$1)</f>
        <v>0</v>
      </c>
      <c r="N31" s="1138"/>
      <c r="O31" s="1138"/>
      <c r="P31" s="1138"/>
      <c r="Q31" s="1138"/>
      <c r="R31" s="1138"/>
      <c r="S31" s="1138"/>
      <c r="T31" s="1138"/>
      <c r="U31" s="1138"/>
      <c r="V31" s="1138"/>
      <c r="W31" s="1138"/>
      <c r="X31" s="1138"/>
      <c r="Y31" s="1138"/>
    </row>
    <row r="32" spans="1:25" ht="18" customHeight="1">
      <c r="A32" s="1024" t="s">
        <v>2128</v>
      </c>
      <c r="B32" s="1025" t="s">
        <v>2129</v>
      </c>
      <c r="C32" s="1026">
        <f ca="1">ROUND(C33+C38+C39+C40,0)</f>
        <v>0</v>
      </c>
      <c r="D32" s="1058" t="s">
        <v>2070</v>
      </c>
      <c r="E32" s="1059"/>
      <c r="F32" s="992"/>
      <c r="G32" s="986"/>
      <c r="H32" s="1060"/>
      <c r="I32" s="1139"/>
      <c r="J32" s="1140"/>
      <c r="K32" s="1141"/>
      <c r="L32" s="1142"/>
      <c r="M32" s="1143"/>
    </row>
    <row r="33" spans="1:18" ht="18" customHeight="1">
      <c r="A33" s="1249" t="s">
        <v>882</v>
      </c>
      <c r="B33" s="996" t="s">
        <v>2074</v>
      </c>
      <c r="C33" s="1061">
        <f ca="1">ROUND(IF(AND(项目基本情况!B11="自然人",项目基本情况!B10="北京市"),C8*F33/(1+'数据-取费表'!C42),C34+C35+C36),2)</f>
        <v>0</v>
      </c>
      <c r="D33" s="1031" t="s">
        <v>2075</v>
      </c>
      <c r="E33" s="1062" t="s">
        <v>2076</v>
      </c>
      <c r="F33" s="1063" t="str">
        <f>IF(项目基本情况!B11="企业","——",IF(M48="住宅",IF(F8*F9*F10/12/(1+'数据-取费表'!F30)&gt;100000,4%,2.5%),IF(F8*F9*F10/12/(1+'数据-取费表'!F30)&gt;100000,12%,7%)))</f>
        <v>——</v>
      </c>
      <c r="G33" s="986"/>
      <c r="H33" s="1064" t="s">
        <v>2130</v>
      </c>
      <c r="I33" s="1139"/>
      <c r="J33" s="1140"/>
      <c r="K33" s="1141"/>
      <c r="L33" s="1142"/>
      <c r="M33" s="1143"/>
    </row>
    <row r="34" spans="1:18" ht="18" customHeight="1">
      <c r="A34" s="1249" t="s">
        <v>907</v>
      </c>
      <c r="B34" s="996" t="s">
        <v>2077</v>
      </c>
      <c r="C34" s="138">
        <f ca="1">ROUND(C8*F34/(1+'数据-取费表'!C42),2)</f>
        <v>0</v>
      </c>
      <c r="D34" s="1062" t="s">
        <v>2078</v>
      </c>
      <c r="E34" s="996" t="s">
        <v>2068</v>
      </c>
      <c r="F34" s="1038">
        <f>'数据-取费表'!B41</f>
        <v>5.5E-2</v>
      </c>
      <c r="G34" s="986"/>
      <c r="H34" s="1065"/>
      <c r="I34" s="1144"/>
      <c r="J34" s="1145"/>
      <c r="K34" s="1146"/>
      <c r="L34" s="1147"/>
      <c r="M34" s="1148"/>
    </row>
    <row r="35" spans="1:18" ht="18" customHeight="1">
      <c r="A35" s="1249" t="s">
        <v>961</v>
      </c>
      <c r="B35" s="996" t="s">
        <v>2081</v>
      </c>
      <c r="C35" s="138">
        <f ca="1">IF(D35="按租金收入计税",ROUND(C8*F35/(1+'数据-取费表'!C42),2),IF(D35="按房产原值计税",ROUND(C31*F35*0.7,2),INDIRECT("'数据-取费表'!Aj"&amp;$G$1)))</f>
        <v>0</v>
      </c>
      <c r="D35" s="1066" t="s">
        <v>2082</v>
      </c>
      <c r="E35" s="996" t="s">
        <v>2068</v>
      </c>
      <c r="F35" s="1038">
        <f>IF(D35="按租金收入计税",'数据-取费表'!B51,'数据-取费表'!B50)</f>
        <v>0.12</v>
      </c>
      <c r="G35" s="986"/>
      <c r="H35" s="1067"/>
      <c r="I35" s="1067"/>
      <c r="J35" s="1067"/>
      <c r="K35" s="1149"/>
      <c r="L35" s="1067"/>
      <c r="M35" s="1067"/>
    </row>
    <row r="36" spans="1:18" ht="18" customHeight="1">
      <c r="A36" s="1255" t="s">
        <v>914</v>
      </c>
      <c r="B36" s="1068" t="s">
        <v>2086</v>
      </c>
      <c r="C36" s="1069">
        <f ca="1">ROUND(F36*F37/10000,2)</f>
        <v>0</v>
      </c>
      <c r="D36" s="1070" t="s">
        <v>2087</v>
      </c>
      <c r="E36" s="996" t="s">
        <v>2088</v>
      </c>
      <c r="F36" s="1046">
        <f>'数据-取费表'!B52</f>
        <v>2</v>
      </c>
      <c r="G36" s="986"/>
      <c r="H36" s="1060"/>
      <c r="I36" s="3927"/>
      <c r="J36" s="1153"/>
      <c r="K36" s="1152"/>
      <c r="L36" s="1153"/>
      <c r="M36" s="1153"/>
    </row>
    <row r="37" spans="1:18" ht="18" customHeight="1">
      <c r="A37" s="1071"/>
      <c r="B37" s="1072"/>
      <c r="C37" s="1073"/>
      <c r="D37" s="1074"/>
      <c r="E37" s="996" t="s">
        <v>2093</v>
      </c>
      <c r="F37" s="997">
        <f ca="1">INDIRECT("'数据-取费表'!r"&amp;$G$1)</f>
        <v>0</v>
      </c>
      <c r="G37" s="986"/>
      <c r="H37" s="1060"/>
      <c r="I37" s="3927"/>
      <c r="J37" s="1067"/>
      <c r="K37" s="1149"/>
      <c r="L37" s="1067"/>
      <c r="M37" s="1067"/>
    </row>
    <row r="38" spans="1:18" ht="18" customHeight="1">
      <c r="A38" s="1249" t="s">
        <v>2083</v>
      </c>
      <c r="B38" s="996" t="s">
        <v>2096</v>
      </c>
      <c r="C38" s="138">
        <f ca="1">ROUND(C31*F38,2)</f>
        <v>0</v>
      </c>
      <c r="D38" s="1062" t="s">
        <v>2131</v>
      </c>
      <c r="E38" s="996" t="s">
        <v>2068</v>
      </c>
      <c r="F38" s="1075">
        <f ca="1">INDIRECT("'数据-取费表'!Ak"&amp;$G$1)</f>
        <v>0</v>
      </c>
      <c r="G38" s="986"/>
      <c r="H38" s="1067"/>
      <c r="I38" s="1286"/>
      <c r="J38" s="1085"/>
      <c r="K38" s="1158"/>
      <c r="L38" s="1067"/>
      <c r="M38" s="1067"/>
    </row>
    <row r="39" spans="1:18" ht="18" customHeight="1">
      <c r="A39" s="1249" t="s">
        <v>2089</v>
      </c>
      <c r="B39" s="996" t="s">
        <v>2100</v>
      </c>
      <c r="C39" s="138">
        <f ca="1">ROUND(C15*F39,2)</f>
        <v>0</v>
      </c>
      <c r="D39" s="1062" t="s">
        <v>2101</v>
      </c>
      <c r="E39" s="996" t="s">
        <v>2068</v>
      </c>
      <c r="F39" s="1076">
        <f ca="1">INDIRECT("'数据-取费表'!Al"&amp;$G$1)</f>
        <v>0</v>
      </c>
      <c r="G39" s="986"/>
      <c r="H39" s="1067"/>
      <c r="I39" s="1286"/>
      <c r="J39" s="1085"/>
      <c r="K39" s="1158"/>
      <c r="L39" s="1067"/>
      <c r="M39" s="1067"/>
    </row>
    <row r="40" spans="1:18" ht="18" customHeight="1">
      <c r="A40" s="1254" t="s">
        <v>2094</v>
      </c>
      <c r="B40" s="1055" t="s">
        <v>2084</v>
      </c>
      <c r="C40" s="1053">
        <f ca="1">ROUND(C7*F40,2)</f>
        <v>0</v>
      </c>
      <c r="D40" s="1054" t="s">
        <v>2104</v>
      </c>
      <c r="E40" s="1055" t="s">
        <v>2068</v>
      </c>
      <c r="F40" s="1022">
        <f ca="1">INDIRECT("'数据-取费表'!Am"&amp;$G$1)</f>
        <v>0</v>
      </c>
      <c r="G40" s="986"/>
      <c r="H40" s="1067"/>
      <c r="I40" s="1286"/>
      <c r="J40" s="1085"/>
      <c r="K40" s="1163"/>
      <c r="L40" s="1067"/>
      <c r="M40" s="1067"/>
    </row>
    <row r="41" spans="1:18" ht="18" customHeight="1">
      <c r="A41" s="1024">
        <v>4</v>
      </c>
      <c r="B41" s="1025" t="s">
        <v>2132</v>
      </c>
      <c r="C41" s="1256"/>
      <c r="D41" s="1257"/>
      <c r="E41" s="1257"/>
      <c r="F41" s="1258"/>
      <c r="G41" s="986"/>
      <c r="H41" s="986"/>
      <c r="I41" s="986"/>
      <c r="J41" s="986"/>
      <c r="K41" s="1163"/>
      <c r="L41" s="986"/>
      <c r="M41" s="986"/>
    </row>
    <row r="42" spans="1:18" ht="18" customHeight="1">
      <c r="A42" s="1249" t="s">
        <v>882</v>
      </c>
      <c r="B42" s="1150" t="s">
        <v>2133</v>
      </c>
      <c r="C42" s="1259">
        <f ca="1">C7-C32</f>
        <v>0</v>
      </c>
      <c r="D42" s="1031" t="s">
        <v>2134</v>
      </c>
      <c r="E42" s="1222"/>
      <c r="F42" s="1223"/>
      <c r="G42" s="986"/>
      <c r="H42" s="986"/>
      <c r="I42" s="986"/>
      <c r="J42" s="986"/>
      <c r="K42" s="1163"/>
      <c r="L42" s="986"/>
      <c r="M42" s="986"/>
    </row>
    <row r="43" spans="1:18" ht="18" customHeight="1">
      <c r="A43" s="1249" t="s">
        <v>2083</v>
      </c>
      <c r="B43" s="1150" t="s">
        <v>2135</v>
      </c>
      <c r="C43" s="1151">
        <f ca="1">ROUND(C15*F43,0)</f>
        <v>0</v>
      </c>
      <c r="D43" s="1260" t="s">
        <v>2136</v>
      </c>
      <c r="E43" s="1261" t="s">
        <v>2137</v>
      </c>
      <c r="F43" s="1262">
        <f ca="1">INDIRECT("'数据-取费表'!j"&amp;$G$1)</f>
        <v>0</v>
      </c>
      <c r="G43" s="986"/>
      <c r="H43" s="986"/>
      <c r="I43" s="986"/>
      <c r="J43" s="986"/>
      <c r="K43" s="1163"/>
      <c r="L43" s="986"/>
      <c r="M43" s="986"/>
    </row>
    <row r="44" spans="1:18" ht="18" customHeight="1">
      <c r="A44" s="1249" t="s">
        <v>2089</v>
      </c>
      <c r="B44" s="1150" t="s">
        <v>2138</v>
      </c>
      <c r="C44" s="1263">
        <f ca="1">C42-C43</f>
        <v>0</v>
      </c>
      <c r="D44" s="1264" t="s">
        <v>2139</v>
      </c>
      <c r="E44" s="1265"/>
      <c r="F44" s="1266"/>
      <c r="G44" s="986"/>
      <c r="H44" s="986"/>
      <c r="I44" s="986"/>
      <c r="J44" s="986"/>
      <c r="K44" s="1163"/>
      <c r="L44" s="986"/>
      <c r="M44" s="986"/>
    </row>
    <row r="45" spans="1:18" ht="18" customHeight="1">
      <c r="A45" s="1249" t="s">
        <v>2094</v>
      </c>
      <c r="B45" s="1260" t="s">
        <v>2140</v>
      </c>
      <c r="C45" s="1267">
        <f ca="1">ROUND(-PV(F45,F46,C44,0),0)</f>
        <v>0</v>
      </c>
      <c r="D45" s="1268" t="s">
        <v>2141</v>
      </c>
      <c r="E45" s="1035" t="s">
        <v>2142</v>
      </c>
      <c r="F45" s="1269">
        <f ca="1">INDIRECT("'数据-取费表'!h"&amp;$G$1)</f>
        <v>0</v>
      </c>
      <c r="G45" s="986"/>
      <c r="H45" s="986"/>
      <c r="I45" s="986"/>
      <c r="J45" s="986"/>
      <c r="K45" s="1163"/>
      <c r="L45" s="986"/>
      <c r="M45" s="986"/>
    </row>
    <row r="46" spans="1:18" ht="18" customHeight="1">
      <c r="A46" s="1270"/>
      <c r="B46" s="1271"/>
      <c r="C46" s="1272"/>
      <c r="D46" s="1273"/>
      <c r="E46" s="1274" t="s">
        <v>2143</v>
      </c>
      <c r="F46" s="1091">
        <f ca="1">IF(INDIRECT("'数据-取费表'!af"&amp;$G$1)=0,INDIRECT("'数据-取费表'!ae"&amp;$G$1),INDIRECT("'数据-取费表'!af"&amp;$G$1))</f>
        <v>0</v>
      </c>
      <c r="G46" s="986"/>
      <c r="H46" s="986"/>
      <c r="I46" s="986"/>
      <c r="J46" s="986"/>
      <c r="K46" s="1163"/>
      <c r="L46" s="986"/>
      <c r="M46" s="986"/>
    </row>
    <row r="47" spans="1:18" s="719" customFormat="1" ht="18" customHeight="1">
      <c r="A47" s="1275"/>
      <c r="D47" s="1092"/>
      <c r="E47" s="1092"/>
      <c r="F47" s="1092"/>
      <c r="I47" s="1168" t="s">
        <v>2144</v>
      </c>
      <c r="J47" s="1169"/>
      <c r="K47" s="1170"/>
      <c r="L47" s="1171" t="e">
        <f ca="1">IF(M48="住宅",0,IF(L49&gt;J52,L61,J61))</f>
        <v>#DIV/0!</v>
      </c>
      <c r="O47" s="1173" t="s">
        <v>2145</v>
      </c>
      <c r="P47" s="1174"/>
      <c r="Q47" s="664"/>
      <c r="R47" s="1174"/>
    </row>
    <row r="48" spans="1:18" s="719" customFormat="1" ht="18" customHeight="1">
      <c r="A48" s="1275"/>
      <c r="C48" s="1276"/>
      <c r="D48" s="1277"/>
      <c r="E48" s="1277"/>
      <c r="F48" s="1278"/>
      <c r="G48" s="1108"/>
      <c r="I48" s="1175" t="s">
        <v>2146</v>
      </c>
      <c r="J48" s="1176"/>
      <c r="K48" s="1177" t="s">
        <v>2147</v>
      </c>
      <c r="L48" s="1178">
        <f ca="1">INDIRECT("'数据-取费表'!d"&amp;$G$1)</f>
        <v>0</v>
      </c>
      <c r="M48" s="1287" t="str">
        <f>IF(ISNUMBER(FIND("住宅",C1)),"住宅","非住宅")</f>
        <v>非住宅</v>
      </c>
      <c r="O48" s="1179" t="s">
        <v>1375</v>
      </c>
      <c r="P48" s="1180" t="s">
        <v>2148</v>
      </c>
      <c r="Q48" s="1217" t="s">
        <v>2149</v>
      </c>
      <c r="R48" s="1180" t="s">
        <v>2150</v>
      </c>
    </row>
    <row r="49" spans="1:18" s="719" customFormat="1" ht="18" customHeight="1">
      <c r="A49" s="1275"/>
      <c r="D49" s="1279"/>
      <c r="E49" s="1280"/>
      <c r="F49" s="1278"/>
      <c r="G49" s="1108"/>
      <c r="H49" s="1109"/>
      <c r="I49" s="1181" t="s">
        <v>2151</v>
      </c>
      <c r="J49" s="1182"/>
      <c r="K49" s="1183" t="s">
        <v>359</v>
      </c>
      <c r="L49" s="713">
        <f ca="1">INDIRECT("'数据-取费表'!f"&amp;$G$1)</f>
        <v>0</v>
      </c>
      <c r="O49" s="1184" t="s">
        <v>2152</v>
      </c>
      <c r="P49" s="1185" t="s">
        <v>2153</v>
      </c>
      <c r="Q49" s="1218">
        <f ca="1">C41+J31</f>
        <v>0</v>
      </c>
      <c r="R49" s="1185" t="s">
        <v>2154</v>
      </c>
    </row>
    <row r="50" spans="1:18" s="719" customFormat="1" ht="18" customHeight="1">
      <c r="A50" s="1275"/>
      <c r="D50" s="1281"/>
      <c r="E50" s="1281"/>
      <c r="F50" s="1277"/>
      <c r="G50" s="1110"/>
      <c r="H50" s="1109"/>
      <c r="I50" s="1181" t="s">
        <v>2155</v>
      </c>
      <c r="J50" s="1186"/>
      <c r="K50" s="1187" t="s">
        <v>2156</v>
      </c>
      <c r="L50" s="1188"/>
      <c r="O50" s="1184" t="s">
        <v>2157</v>
      </c>
      <c r="P50" s="1185" t="s">
        <v>2158</v>
      </c>
      <c r="Q50" s="1218" t="e">
        <f ca="1">J61</f>
        <v>#DIV/0!</v>
      </c>
      <c r="R50" s="1185" t="s">
        <v>2159</v>
      </c>
    </row>
    <row r="51" spans="1:18" s="719" customFormat="1" ht="18" customHeight="1">
      <c r="A51" s="1282"/>
      <c r="D51" s="1281"/>
      <c r="E51" s="1281"/>
      <c r="F51" s="1092"/>
      <c r="H51" s="1109"/>
      <c r="I51" s="1181" t="s">
        <v>2160</v>
      </c>
      <c r="J51" s="1189">
        <f>SUMPRODUCT((I64:I66=J48)*(J63:L63=J49)*(J64:L66))</f>
        <v>0</v>
      </c>
      <c r="K51" s="1187" t="s">
        <v>2161</v>
      </c>
      <c r="L51" s="1188"/>
      <c r="O51" s="1190" t="s">
        <v>2162</v>
      </c>
      <c r="P51" s="1185" t="s">
        <v>2163</v>
      </c>
      <c r="Q51" s="1218">
        <f ca="1">C31</f>
        <v>0</v>
      </c>
      <c r="R51" s="1185" t="s">
        <v>2154</v>
      </c>
    </row>
    <row r="52" spans="1:18" s="719" customFormat="1" ht="18" customHeight="1">
      <c r="A52" s="1282"/>
      <c r="F52" s="1092"/>
      <c r="I52" s="1191" t="s">
        <v>2164</v>
      </c>
      <c r="J52" s="1192">
        <f>IF(J50="",J51,J50+J51-YEAR('数据-取费表'!B3))</f>
        <v>0</v>
      </c>
      <c r="K52" s="1181" t="s">
        <v>2165</v>
      </c>
      <c r="L52" s="1193">
        <f ca="1">C45</f>
        <v>0</v>
      </c>
      <c r="O52" s="1190" t="s">
        <v>2166</v>
      </c>
      <c r="P52" s="1185" t="s">
        <v>2167</v>
      </c>
      <c r="Q52" s="1219" t="e">
        <f ca="1">J59</f>
        <v>#DIV/0!</v>
      </c>
      <c r="R52" s="1220"/>
    </row>
    <row r="53" spans="1:18" s="719" customFormat="1" ht="18" customHeight="1">
      <c r="A53" s="1282"/>
      <c r="F53" s="1092"/>
      <c r="I53" s="1194" t="s">
        <v>2168</v>
      </c>
      <c r="J53" s="1195"/>
      <c r="K53" s="1194" t="s">
        <v>1203</v>
      </c>
      <c r="L53" s="1195"/>
      <c r="O53" s="1190" t="s">
        <v>2169</v>
      </c>
      <c r="P53" s="1185" t="s">
        <v>2170</v>
      </c>
      <c r="Q53" s="1219">
        <f>J53</f>
        <v>0</v>
      </c>
      <c r="R53" s="1220"/>
    </row>
    <row r="54" spans="1:18" s="719" customFormat="1" ht="28.5">
      <c r="A54" s="1282"/>
      <c r="I54" s="1196" t="s">
        <v>2171</v>
      </c>
      <c r="J54" s="1197">
        <f ca="1">IF(M48="住宅",MAX(J52,L49-'数据-取费表'!B20),MIN(J52,L49-'数据-取费表'!B20))</f>
        <v>-1.5</v>
      </c>
      <c r="K54" s="3921"/>
      <c r="L54" s="3922"/>
      <c r="O54" s="1190" t="s">
        <v>2172</v>
      </c>
      <c r="P54" s="1185" t="s">
        <v>2173</v>
      </c>
      <c r="Q54" s="1218">
        <f ca="1">J54</f>
        <v>-1.5</v>
      </c>
      <c r="R54" s="1185" t="s">
        <v>2174</v>
      </c>
    </row>
    <row r="55" spans="1:18" s="719" customFormat="1" ht="18" customHeight="1">
      <c r="A55" s="1282"/>
      <c r="I55" s="1288"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288"/>
      <c r="K55" s="1289"/>
      <c r="O55" s="1184" t="s">
        <v>2175</v>
      </c>
      <c r="P55" s="1185" t="s">
        <v>2176</v>
      </c>
      <c r="Q55" s="1218" t="e">
        <f ca="1">Q49+Q50</f>
        <v>#DIV/0!</v>
      </c>
      <c r="R55" s="1220" t="s">
        <v>2177</v>
      </c>
    </row>
    <row r="56" spans="1:18" s="719" customFormat="1" ht="15.75">
      <c r="A56" s="1282"/>
      <c r="B56" s="965"/>
      <c r="C56" s="965"/>
      <c r="I56" s="1198" t="s">
        <v>2178</v>
      </c>
      <c r="J56" s="1199" t="e">
        <f ca="1">ROUND(IF(J48="钢混",J58/J51,1-(1-2%)*(J51-J58)/J51),3)</f>
        <v>#DIV/0!</v>
      </c>
      <c r="K56" s="1200" t="s">
        <v>2179</v>
      </c>
      <c r="L56" s="1201"/>
      <c r="O56" s="1202" t="s">
        <v>2180</v>
      </c>
      <c r="P56" s="1174"/>
      <c r="Q56" s="664"/>
      <c r="R56" s="1174"/>
    </row>
    <row r="57" spans="1:18" s="719" customFormat="1" ht="42.75">
      <c r="A57" s="1282"/>
      <c r="B57" s="965"/>
      <c r="C57" s="965"/>
      <c r="I57" s="1203" t="s">
        <v>2181</v>
      </c>
      <c r="J57" s="1204"/>
      <c r="K57" s="1181" t="s">
        <v>2182</v>
      </c>
      <c r="L57" s="713">
        <f ca="1">IF(L49&lt;J52,"——",L49-J52)</f>
        <v>0</v>
      </c>
      <c r="O57" s="1179" t="s">
        <v>1375</v>
      </c>
      <c r="P57" s="1180" t="s">
        <v>2148</v>
      </c>
      <c r="Q57" s="1217" t="s">
        <v>2149</v>
      </c>
      <c r="R57" s="1180" t="s">
        <v>2150</v>
      </c>
    </row>
    <row r="58" spans="1:18" s="719" customFormat="1" ht="28.5">
      <c r="A58" s="1282"/>
      <c r="B58" s="965"/>
      <c r="C58" s="965"/>
      <c r="I58" s="1205" t="s">
        <v>2183</v>
      </c>
      <c r="J58" s="1206">
        <f ca="1">IF(OR(M48="住宅",J52&lt;L49,J57="是"),"——",J52-L49)</f>
        <v>0</v>
      </c>
      <c r="K58" s="1181" t="s">
        <v>2184</v>
      </c>
      <c r="L58" s="713">
        <f ca="1">IF(L49&lt;J52,"——",IF(L56="比较法",L50,IF(L56="基准地价",L51,L52)))</f>
        <v>0</v>
      </c>
      <c r="O58" s="1184" t="s">
        <v>2152</v>
      </c>
      <c r="P58" s="1185" t="s">
        <v>2153</v>
      </c>
      <c r="Q58" s="1218">
        <f ca="1">C41+J31</f>
        <v>0</v>
      </c>
      <c r="R58" s="1185" t="s">
        <v>2154</v>
      </c>
    </row>
    <row r="59" spans="1:18" s="719" customFormat="1" ht="28.5">
      <c r="A59" s="1282"/>
      <c r="B59" s="965"/>
      <c r="C59" s="965"/>
      <c r="I59" s="1205" t="s">
        <v>2185</v>
      </c>
      <c r="J59" s="1207" t="e">
        <f ca="1">IF(J56&lt;0.4,0.4,J56)</f>
        <v>#DIV/0!</v>
      </c>
      <c r="K59" s="1181" t="s">
        <v>2186</v>
      </c>
      <c r="L59" s="713">
        <f ca="1">IF(ISERROR(POWER(1+L53,L48-L49)*(POWER(1+L53,L49)-1)/(POWER(1+L53,L48)-1)),0,POWER(1+L53,L48-L49)*(POWER(1+L53,L49)-1)/(POWER(1+L53,L48)-1))</f>
        <v>0</v>
      </c>
      <c r="O59" s="1184" t="s">
        <v>2157</v>
      </c>
      <c r="P59" s="1185" t="s">
        <v>2187</v>
      </c>
      <c r="Q59" s="1218" t="e">
        <f ca="1">L61</f>
        <v>#DIV/0!</v>
      </c>
      <c r="R59" s="1220" t="s">
        <v>2188</v>
      </c>
    </row>
    <row r="60" spans="1:18" s="719" customFormat="1" ht="28.5">
      <c r="A60" s="1282"/>
      <c r="B60" s="965"/>
      <c r="C60" s="965"/>
      <c r="I60" s="1205" t="s">
        <v>2189</v>
      </c>
      <c r="J60" s="1206" t="e">
        <f ca="1">IF(OR(M48="住宅",J52&lt;L49,J57="是"),"——",ROUND(C30*J59,0))</f>
        <v>#DIV/0!</v>
      </c>
      <c r="K60" s="1181" t="s">
        <v>2190</v>
      </c>
      <c r="L60" s="713">
        <f ca="1">IF(ISERROR(POWER(1+L53,L48-J52)*(POWER(1+L53,J52)-1)/(POWER(1+L53,L48)-1)),0,POWER(1+L53,L48-J52)*(POWER(1+L53,J52)-1)/(POWER(1+L53,L48)-1))</f>
        <v>0</v>
      </c>
      <c r="O60" s="1190" t="s">
        <v>2162</v>
      </c>
      <c r="P60" s="1185" t="s">
        <v>2191</v>
      </c>
      <c r="Q60" s="1218">
        <f>IF(L56="比较法",L50,IF(L56="基准地价",L51,0))</f>
        <v>0</v>
      </c>
      <c r="R60" s="1185" t="s">
        <v>2154</v>
      </c>
    </row>
    <row r="61" spans="1:18" s="719" customFormat="1">
      <c r="A61" s="1282"/>
      <c r="B61" s="965"/>
      <c r="C61" s="965"/>
      <c r="I61" s="1208" t="s">
        <v>2192</v>
      </c>
      <c r="J61" s="1209" t="e">
        <f ca="1">IF(OR(M48="住宅",J52&lt;L49,J57="是"),"0",ROUND(J60/(1+J53)^J54,0))</f>
        <v>#DIV/0!</v>
      </c>
      <c r="K61" s="1210" t="s">
        <v>2193</v>
      </c>
      <c r="L61" s="1209" t="e">
        <f ca="1">IF(OR(M48="住宅",L49&lt;J52),0,ROUND(L58*(L59/L60-1),0))</f>
        <v>#DIV/0!</v>
      </c>
      <c r="O61" s="1190" t="s">
        <v>2166</v>
      </c>
      <c r="P61" s="1185" t="s">
        <v>2194</v>
      </c>
      <c r="Q61" s="1219">
        <f>L53</f>
        <v>0</v>
      </c>
      <c r="R61" s="1220"/>
    </row>
    <row r="62" spans="1:18" s="719" customFormat="1" ht="19.5">
      <c r="A62" s="1282"/>
      <c r="B62" s="965"/>
      <c r="C62" s="965"/>
      <c r="K62" s="1167"/>
      <c r="O62" s="1190" t="s">
        <v>2169</v>
      </c>
      <c r="P62" s="1185" t="s">
        <v>2195</v>
      </c>
      <c r="Q62" s="1218">
        <f ca="1">L59</f>
        <v>0</v>
      </c>
      <c r="R62" s="1220" t="s">
        <v>2196</v>
      </c>
    </row>
    <row r="63" spans="1:18" s="719" customFormat="1" ht="19.5">
      <c r="A63" s="1282"/>
      <c r="B63" s="965"/>
      <c r="C63" s="965"/>
      <c r="I63" s="1211" t="s">
        <v>2197</v>
      </c>
      <c r="J63" s="1212" t="s">
        <v>2198</v>
      </c>
      <c r="K63" s="1212" t="s">
        <v>2199</v>
      </c>
      <c r="L63" s="1212" t="s">
        <v>2200</v>
      </c>
      <c r="M63" s="1213" t="s">
        <v>2201</v>
      </c>
      <c r="O63" s="1190" t="s">
        <v>2172</v>
      </c>
      <c r="P63" s="1185" t="s">
        <v>2202</v>
      </c>
      <c r="Q63" s="1218">
        <f ca="1">L60</f>
        <v>0</v>
      </c>
      <c r="R63" s="1220" t="s">
        <v>2203</v>
      </c>
    </row>
    <row r="64" spans="1:18" s="719" customFormat="1">
      <c r="A64" s="1282"/>
      <c r="B64" s="965"/>
      <c r="C64" s="965"/>
      <c r="I64" s="1211" t="s">
        <v>2204</v>
      </c>
      <c r="J64" s="1212">
        <v>70</v>
      </c>
      <c r="K64" s="1212">
        <v>50</v>
      </c>
      <c r="L64" s="1212">
        <v>80</v>
      </c>
      <c r="M64" s="1214">
        <v>0.02</v>
      </c>
      <c r="O64" s="1184" t="s">
        <v>2175</v>
      </c>
      <c r="P64" s="1185" t="s">
        <v>2176</v>
      </c>
      <c r="Q64" s="1218" t="e">
        <f ca="1">Q58+Q59</f>
        <v>#DIV/0!</v>
      </c>
      <c r="R64" s="1220" t="s">
        <v>2177</v>
      </c>
    </row>
    <row r="65" spans="1:18" s="719" customFormat="1" ht="15.75">
      <c r="A65" s="1282"/>
      <c r="B65" s="965"/>
      <c r="C65" s="965"/>
      <c r="I65" s="1211" t="s">
        <v>2205</v>
      </c>
      <c r="J65" s="1212">
        <v>50</v>
      </c>
      <c r="K65" s="1212">
        <v>35</v>
      </c>
      <c r="L65" s="1212">
        <v>60</v>
      </c>
      <c r="M65" s="712">
        <v>0</v>
      </c>
      <c r="O65" s="1202" t="s">
        <v>2206</v>
      </c>
      <c r="P65" s="1174"/>
      <c r="Q65" s="664"/>
      <c r="R65" s="1174"/>
    </row>
    <row r="66" spans="1:18" s="719" customFormat="1">
      <c r="A66" s="1282"/>
      <c r="B66" s="965"/>
      <c r="C66" s="965"/>
      <c r="I66" s="1211" t="s">
        <v>2207</v>
      </c>
      <c r="J66" s="1212">
        <v>40</v>
      </c>
      <c r="K66" s="1212">
        <v>30</v>
      </c>
      <c r="L66" s="1212">
        <v>50</v>
      </c>
      <c r="M66" s="1214">
        <v>0.02</v>
      </c>
      <c r="O66" s="1179" t="s">
        <v>1375</v>
      </c>
      <c r="P66" s="1180" t="s">
        <v>2148</v>
      </c>
      <c r="Q66" s="1217" t="s">
        <v>2149</v>
      </c>
      <c r="R66" s="1180" t="s">
        <v>2150</v>
      </c>
    </row>
    <row r="67" spans="1:18" s="719" customFormat="1">
      <c r="A67" s="1282"/>
      <c r="B67" s="965"/>
      <c r="C67" s="965"/>
      <c r="K67" s="1167"/>
      <c r="O67" s="1184" t="s">
        <v>2152</v>
      </c>
      <c r="P67" s="1185" t="s">
        <v>2153</v>
      </c>
      <c r="Q67" s="1218">
        <f ca="1">C41+J31</f>
        <v>0</v>
      </c>
      <c r="R67" s="1185" t="s">
        <v>2154</v>
      </c>
    </row>
    <row r="68" spans="1:18" s="719" customFormat="1" ht="19.5">
      <c r="A68" s="1282"/>
      <c r="B68" s="965"/>
      <c r="C68" s="965"/>
      <c r="K68" s="1167"/>
      <c r="O68" s="1184" t="s">
        <v>2157</v>
      </c>
      <c r="P68" s="1185" t="s">
        <v>2187</v>
      </c>
      <c r="Q68" s="1218" t="e">
        <f ca="1">L61</f>
        <v>#DIV/0!</v>
      </c>
      <c r="R68" s="1220" t="s">
        <v>2188</v>
      </c>
    </row>
    <row r="69" spans="1:18" s="719" customFormat="1" ht="21">
      <c r="A69" s="1282"/>
      <c r="B69" s="965"/>
      <c r="C69" s="965"/>
      <c r="K69" s="1167"/>
      <c r="O69" s="1190" t="s">
        <v>2162</v>
      </c>
      <c r="P69" s="1185" t="s">
        <v>2191</v>
      </c>
      <c r="Q69" s="1225">
        <f ca="1">L52</f>
        <v>0</v>
      </c>
      <c r="R69" s="1226" t="s">
        <v>2208</v>
      </c>
    </row>
    <row r="70" spans="1:18" s="719" customFormat="1" ht="19.5">
      <c r="A70" s="1282"/>
      <c r="B70" s="965"/>
      <c r="C70" s="965"/>
      <c r="K70" s="1167"/>
      <c r="O70" s="1190" t="s">
        <v>2166</v>
      </c>
      <c r="P70" s="1224" t="s">
        <v>2209</v>
      </c>
      <c r="Q70" s="1218">
        <f ca="1">ROUND(Q71-Q72*Q73,0)</f>
        <v>0</v>
      </c>
      <c r="R70" s="1220"/>
    </row>
    <row r="71" spans="1:18" s="719" customFormat="1">
      <c r="A71" s="1282"/>
      <c r="B71" s="965"/>
      <c r="C71" s="965"/>
      <c r="K71" s="1167"/>
      <c r="O71" s="1190" t="s">
        <v>2210</v>
      </c>
      <c r="P71" s="1224" t="s">
        <v>2211</v>
      </c>
      <c r="Q71" s="1218">
        <f ca="1">C42</f>
        <v>0</v>
      </c>
      <c r="R71" s="1185" t="s">
        <v>2154</v>
      </c>
    </row>
    <row r="72" spans="1:18" s="719" customFormat="1">
      <c r="A72" s="1282"/>
      <c r="B72" s="965"/>
      <c r="C72" s="965"/>
      <c r="K72" s="1167"/>
      <c r="O72" s="1190" t="s">
        <v>2212</v>
      </c>
      <c r="P72" s="1224" t="s">
        <v>2213</v>
      </c>
      <c r="Q72" s="1218">
        <f ca="1">C15</f>
        <v>0</v>
      </c>
      <c r="R72" s="1185" t="s">
        <v>2154</v>
      </c>
    </row>
    <row r="73" spans="1:18" s="719" customFormat="1">
      <c r="A73" s="1282"/>
      <c r="B73" s="965"/>
      <c r="C73" s="965"/>
      <c r="K73" s="1167"/>
      <c r="O73" s="1190" t="s">
        <v>2214</v>
      </c>
      <c r="P73" s="1224" t="s">
        <v>2215</v>
      </c>
      <c r="Q73" s="1219">
        <f ca="1">F43</f>
        <v>0</v>
      </c>
      <c r="R73" s="1220"/>
    </row>
    <row r="74" spans="1:18" s="719" customFormat="1">
      <c r="A74" s="1282"/>
      <c r="B74" s="965"/>
      <c r="C74" s="965"/>
      <c r="K74" s="1167"/>
      <c r="O74" s="1190" t="s">
        <v>2169</v>
      </c>
      <c r="P74" s="1185" t="s">
        <v>2194</v>
      </c>
      <c r="Q74" s="1219">
        <f>L53</f>
        <v>0</v>
      </c>
      <c r="R74" s="1220"/>
    </row>
    <row r="75" spans="1:18" s="719" customFormat="1" ht="19.5">
      <c r="A75" s="1282"/>
      <c r="B75" s="965"/>
      <c r="C75" s="965"/>
      <c r="K75" s="1167"/>
      <c r="O75" s="1190" t="s">
        <v>2172</v>
      </c>
      <c r="P75" s="1185" t="s">
        <v>2195</v>
      </c>
      <c r="Q75" s="1218">
        <f ca="1">L59</f>
        <v>0</v>
      </c>
      <c r="R75" s="1220" t="s">
        <v>2196</v>
      </c>
    </row>
    <row r="76" spans="1:18" s="719" customFormat="1" ht="19.5">
      <c r="A76" s="1282"/>
      <c r="B76" s="965"/>
      <c r="C76" s="965"/>
      <c r="K76" s="1167"/>
      <c r="O76" s="1190" t="s">
        <v>2216</v>
      </c>
      <c r="P76" s="1185" t="s">
        <v>2202</v>
      </c>
      <c r="Q76" s="1218">
        <f ca="1">L60</f>
        <v>0</v>
      </c>
      <c r="R76" s="1220" t="s">
        <v>2203</v>
      </c>
    </row>
    <row r="77" spans="1:18" s="719" customFormat="1">
      <c r="A77" s="1282"/>
      <c r="B77" s="965"/>
      <c r="C77" s="965"/>
      <c r="K77" s="1167"/>
      <c r="O77" s="1184" t="s">
        <v>2175</v>
      </c>
      <c r="P77" s="1185" t="s">
        <v>2176</v>
      </c>
      <c r="Q77" s="1218" t="e">
        <f ca="1">Q67+Q68</f>
        <v>#DIV/0!</v>
      </c>
      <c r="R77" s="1220" t="s">
        <v>2177</v>
      </c>
    </row>
    <row r="78" spans="1:18" s="719" customFormat="1">
      <c r="A78" s="1282"/>
      <c r="B78" s="965"/>
      <c r="C78" s="965"/>
      <c r="K78" s="1167"/>
    </row>
    <row r="79" spans="1:18" s="719" customFormat="1">
      <c r="A79" s="1282"/>
      <c r="B79" s="965"/>
      <c r="C79" s="965"/>
      <c r="K79" s="1167"/>
    </row>
    <row r="80" spans="1:18" s="719" customFormat="1">
      <c r="A80" s="1282"/>
      <c r="B80" s="965"/>
      <c r="C80" s="965"/>
      <c r="K80" s="1167"/>
    </row>
    <row r="81" spans="1:11" s="719" customFormat="1">
      <c r="A81" s="1282"/>
      <c r="B81" s="965"/>
      <c r="C81" s="965"/>
      <c r="K81" s="1167"/>
    </row>
    <row r="82" spans="1:11" s="719" customFormat="1">
      <c r="A82" s="1282"/>
      <c r="B82" s="965"/>
      <c r="C82" s="965"/>
      <c r="K82" s="1167"/>
    </row>
    <row r="83" spans="1:11" s="719" customFormat="1">
      <c r="A83" s="1282"/>
      <c r="B83" s="965"/>
      <c r="C83" s="965"/>
      <c r="K83" s="1167"/>
    </row>
    <row r="84" spans="1:11" s="719" customFormat="1">
      <c r="A84" s="1282"/>
      <c r="B84" s="965"/>
      <c r="C84" s="965"/>
      <c r="K84" s="1167"/>
    </row>
    <row r="85" spans="1:11" s="719" customFormat="1">
      <c r="A85" s="1282"/>
      <c r="B85" s="965"/>
      <c r="C85" s="965"/>
      <c r="K85" s="1167"/>
    </row>
    <row r="86" spans="1:11" s="719" customFormat="1">
      <c r="A86" s="1282"/>
      <c r="B86" s="965"/>
      <c r="C86" s="965"/>
      <c r="K86" s="1167"/>
    </row>
    <row r="87" spans="1:11" s="719" customFormat="1">
      <c r="A87" s="1282"/>
      <c r="B87" s="965"/>
      <c r="C87" s="965"/>
      <c r="K87" s="1167"/>
    </row>
    <row r="88" spans="1:11" s="719" customFormat="1">
      <c r="A88" s="1282"/>
      <c r="B88" s="965"/>
      <c r="C88" s="965"/>
      <c r="K88" s="1167"/>
    </row>
    <row r="89" spans="1:11" s="719" customFormat="1">
      <c r="A89" s="1282"/>
      <c r="B89" s="965"/>
      <c r="C89" s="965"/>
      <c r="K89" s="1167"/>
    </row>
    <row r="90" spans="1:11" s="719" customFormat="1">
      <c r="A90" s="1282"/>
      <c r="B90" s="965"/>
      <c r="C90" s="965"/>
      <c r="K90" s="1167"/>
    </row>
    <row r="91" spans="1:11" s="719" customFormat="1">
      <c r="A91" s="1282"/>
      <c r="B91" s="965"/>
      <c r="C91" s="965"/>
      <c r="K91" s="1167"/>
    </row>
    <row r="92" spans="1:11" s="719" customFormat="1">
      <c r="A92" s="1282"/>
      <c r="B92" s="965"/>
      <c r="C92" s="965"/>
      <c r="K92" s="1167"/>
    </row>
    <row r="93" spans="1:11" s="719" customFormat="1">
      <c r="A93" s="1282"/>
      <c r="B93" s="965"/>
      <c r="C93" s="965"/>
      <c r="K93" s="1167"/>
    </row>
    <row r="94" spans="1:11" s="719" customFormat="1">
      <c r="A94" s="1282"/>
      <c r="B94" s="965"/>
      <c r="C94" s="965"/>
      <c r="K94" s="1167"/>
    </row>
  </sheetData>
  <sheetProtection password="CEE9" sheet="1" objects="1" scenarios="1" formatCells="0" formatColumns="0" formatRows="0"/>
  <mergeCells count="4">
    <mergeCell ref="K54:L54"/>
    <mergeCell ref="B8:B11"/>
    <mergeCell ref="I8:I11"/>
    <mergeCell ref="I36:I37"/>
  </mergeCells>
  <phoneticPr fontId="254" type="noConversion"/>
  <conditionalFormatting sqref="C13">
    <cfRule type="expression" dxfId="127" priority="6">
      <formula>$F$12="自定义"</formula>
    </cfRule>
  </conditionalFormatting>
  <conditionalFormatting sqref="J13">
    <cfRule type="expression" dxfId="126" priority="5">
      <formula>$M$10="自定义"</formula>
    </cfRule>
  </conditionalFormatting>
  <conditionalFormatting sqref="I56">
    <cfRule type="expression" dxfId="125" priority="4">
      <formula>$J$51&gt;$L$48</formula>
    </cfRule>
  </conditionalFormatting>
  <conditionalFormatting sqref="K56">
    <cfRule type="expression" dxfId="124" priority="3">
      <formula>$L$48&gt;$J$51</formula>
    </cfRule>
  </conditionalFormatting>
  <conditionalFormatting sqref="I61">
    <cfRule type="expression" dxfId="123" priority="2">
      <formula>$J$51&gt;$L$48</formula>
    </cfRule>
  </conditionalFormatting>
  <conditionalFormatting sqref="K61">
    <cfRule type="expression" dxfId="122"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F12 M12">
      <formula1>"押一,押二,押三,自定义"</formula1>
    </dataValidation>
    <dataValidation type="list" allowBlank="1" showInputMessage="1" showErrorMessage="1" sqref="K21">
      <formula1>"按租金收入计税,按房产原值计税"</formula1>
    </dataValidation>
    <dataValidation type="list" allowBlank="1" showInputMessage="1" showErrorMessage="1" sqref="D35">
      <formula1>"按租金收入计税,按房产原值计税,按票据"</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topLeftCell="A17" zoomScale="60" zoomScaleNormal="60" workbookViewId="0">
      <selection activeCell="F35" sqref="F35"/>
    </sheetView>
  </sheetViews>
  <sheetFormatPr defaultColWidth="9" defaultRowHeight="15"/>
  <cols>
    <col min="1" max="1" width="9" style="962" customWidth="1"/>
    <col min="2" max="2" width="20.625" style="963" customWidth="1"/>
    <col min="3" max="3" width="11.875" style="963" customWidth="1"/>
    <col min="4" max="4" width="40.5" style="962" customWidth="1"/>
    <col min="5" max="5" width="15.75" style="962" customWidth="1"/>
    <col min="6" max="6" width="10.625" style="962" customWidth="1"/>
    <col min="7" max="7" width="4.875" style="962" customWidth="1"/>
    <col min="8" max="8" width="8.5" style="962" customWidth="1"/>
    <col min="9" max="9" width="21.25" style="962" customWidth="1"/>
    <col min="10" max="10" width="12.25" style="962" customWidth="1"/>
    <col min="11" max="11" width="40.125" style="964" customWidth="1"/>
    <col min="12" max="12" width="18.375" style="962" customWidth="1"/>
    <col min="13" max="13" width="13" style="962" customWidth="1"/>
    <col min="14" max="14" width="9.5" style="719" customWidth="1"/>
    <col min="15" max="15" width="5.875" style="719" customWidth="1"/>
    <col min="16" max="16" width="27.625" style="719" customWidth="1"/>
    <col min="17" max="17" width="13.75" style="965" customWidth="1"/>
    <col min="18" max="18" width="23.5" style="719" customWidth="1"/>
    <col min="19" max="19" width="1.5" style="719" customWidth="1"/>
    <col min="20" max="33" width="9" style="719"/>
    <col min="34" max="16384" width="9" style="962"/>
  </cols>
  <sheetData>
    <row r="1" spans="1:33" s="960" customFormat="1" ht="21">
      <c r="A1" s="966" t="s">
        <v>2217</v>
      </c>
      <c r="B1" s="967"/>
      <c r="C1" s="968" t="s">
        <v>581</v>
      </c>
      <c r="D1" s="969" t="s">
        <v>2218</v>
      </c>
      <c r="E1" s="970" t="s">
        <v>618</v>
      </c>
      <c r="F1" s="971">
        <f ca="1">J53</f>
        <v>41.27</v>
      </c>
      <c r="G1" s="972">
        <f>MATCH(C1,'数据-取费表'!A6:A16,0)+5</f>
        <v>6</v>
      </c>
      <c r="H1" s="973"/>
      <c r="I1" s="1117"/>
      <c r="J1" s="1117"/>
      <c r="K1" s="1118"/>
      <c r="L1" s="1117"/>
      <c r="M1" s="1117"/>
      <c r="N1" s="1119"/>
      <c r="O1" s="1119"/>
      <c r="P1" s="1119"/>
      <c r="Q1" s="1215"/>
      <c r="R1" s="1119"/>
      <c r="S1" s="1119"/>
      <c r="T1" s="1119"/>
      <c r="U1" s="1119"/>
      <c r="V1" s="1119"/>
      <c r="W1" s="1119"/>
      <c r="X1" s="1119"/>
      <c r="Y1" s="1119"/>
      <c r="Z1" s="1119"/>
      <c r="AA1" s="1119"/>
      <c r="AB1" s="1119"/>
      <c r="AC1" s="1119"/>
      <c r="AD1" s="1119"/>
      <c r="AE1" s="1119"/>
      <c r="AF1" s="1119"/>
      <c r="AG1" s="1119"/>
    </row>
    <row r="2" spans="1:33" ht="18" customHeight="1">
      <c r="A2" s="225" t="s">
        <v>945</v>
      </c>
      <c r="B2" s="136">
        <f ca="1">C40+J29+L46</f>
        <v>22182</v>
      </c>
      <c r="C2" s="974"/>
      <c r="D2" s="975"/>
      <c r="E2" s="976"/>
      <c r="F2" s="976"/>
      <c r="G2" s="977"/>
      <c r="H2" s="978"/>
      <c r="I2" s="978"/>
      <c r="J2" s="978"/>
      <c r="K2" s="1120"/>
      <c r="L2" s="978"/>
      <c r="M2" s="978"/>
    </row>
    <row r="3" spans="1:33" ht="18" customHeight="1">
      <c r="A3" s="979" t="s">
        <v>2219</v>
      </c>
      <c r="B3" s="980">
        <f ca="1">IF(ISERROR(B2*10000/F43),0,ROUND(B2*10000/F43,0))</f>
        <v>2966</v>
      </c>
      <c r="C3" s="974"/>
      <c r="D3" s="975"/>
      <c r="E3" s="976"/>
      <c r="F3" s="976"/>
      <c r="G3" s="977"/>
      <c r="H3" s="981" t="s">
        <v>2042</v>
      </c>
      <c r="I3" s="1121"/>
      <c r="J3" s="1121"/>
      <c r="K3" s="1122"/>
      <c r="L3" s="1121"/>
      <c r="M3" s="1121"/>
    </row>
    <row r="4" spans="1:33" ht="18" customHeight="1">
      <c r="A4" s="982" t="s">
        <v>2043</v>
      </c>
      <c r="B4" s="983" t="s">
        <v>2044</v>
      </c>
      <c r="C4" s="983" t="s">
        <v>2045</v>
      </c>
      <c r="D4" s="983" t="s">
        <v>2046</v>
      </c>
      <c r="E4" s="984" t="s">
        <v>2047</v>
      </c>
      <c r="F4" s="985"/>
      <c r="G4" s="986"/>
      <c r="H4" s="982" t="s">
        <v>2043</v>
      </c>
      <c r="I4" s="983" t="s">
        <v>2044</v>
      </c>
      <c r="J4" s="983" t="s">
        <v>2045</v>
      </c>
      <c r="K4" s="983" t="s">
        <v>2046</v>
      </c>
      <c r="L4" s="984" t="s">
        <v>2047</v>
      </c>
      <c r="M4" s="985"/>
    </row>
    <row r="5" spans="1:33" ht="18" customHeight="1">
      <c r="A5" s="987">
        <v>1</v>
      </c>
      <c r="B5" s="988" t="s">
        <v>2048</v>
      </c>
      <c r="C5" s="989">
        <f ca="1">C6+C10+C12</f>
        <v>1722</v>
      </c>
      <c r="D5" s="990" t="s">
        <v>2049</v>
      </c>
      <c r="E5" s="991"/>
      <c r="F5" s="992"/>
      <c r="G5" s="986"/>
      <c r="H5" s="987">
        <v>1</v>
      </c>
      <c r="I5" s="988" t="s">
        <v>2048</v>
      </c>
      <c r="J5" s="989">
        <f ca="1">J6+J10+J12</f>
        <v>0</v>
      </c>
      <c r="K5" s="990" t="s">
        <v>2049</v>
      </c>
      <c r="L5" s="991"/>
      <c r="M5" s="992"/>
    </row>
    <row r="6" spans="1:33" ht="18" customHeight="1">
      <c r="A6" s="993" t="s">
        <v>882</v>
      </c>
      <c r="B6" s="3923" t="s">
        <v>2050</v>
      </c>
      <c r="C6" s="994">
        <f ca="1">ROUND(F6*F8*F7*(1-F9)/10000,0)</f>
        <v>1720</v>
      </c>
      <c r="D6" s="995" t="s">
        <v>2220</v>
      </c>
      <c r="E6" s="996" t="s">
        <v>2052</v>
      </c>
      <c r="F6" s="997">
        <f ca="1">INDIRECT("'数据-取费表'!u"&amp;$G$1)</f>
        <v>0.7</v>
      </c>
      <c r="G6" s="986"/>
      <c r="H6" s="998" t="s">
        <v>882</v>
      </c>
      <c r="I6" s="3923" t="s">
        <v>2050</v>
      </c>
      <c r="J6" s="994">
        <f ca="1">ROUND(M6*M8*M7*(1-M9)/10000,0)</f>
        <v>0</v>
      </c>
      <c r="K6" s="1068" t="s">
        <v>2221</v>
      </c>
      <c r="L6" s="996" t="s">
        <v>2052</v>
      </c>
      <c r="M6" s="997">
        <f ca="1">INDIRECT("'数据-取费表'!z"&amp;$G$1)</f>
        <v>0</v>
      </c>
    </row>
    <row r="7" spans="1:33" ht="18" customHeight="1">
      <c r="A7" s="999"/>
      <c r="B7" s="3924"/>
      <c r="C7" s="1000"/>
      <c r="D7" s="1001"/>
      <c r="E7" s="996" t="s">
        <v>2053</v>
      </c>
      <c r="F7" s="997">
        <f ca="1">IF(INDIRECT("'数据-取费表'!ah"&amp;$G$1)="",INDIRECT("'数据-取费表'!k"&amp;$G$1),INDIRECT("'数据-取费表'!ah"&amp;$G$1))</f>
        <v>74800</v>
      </c>
      <c r="G7" s="986"/>
      <c r="H7" s="1002"/>
      <c r="I7" s="3924"/>
      <c r="J7" s="1000"/>
      <c r="K7" s="1001"/>
      <c r="L7" s="996" t="s">
        <v>2053</v>
      </c>
      <c r="M7" s="997">
        <f ca="1">F7</f>
        <v>74800</v>
      </c>
    </row>
    <row r="8" spans="1:33" ht="18" customHeight="1">
      <c r="A8" s="1003"/>
      <c r="B8" s="3925"/>
      <c r="C8" s="1000"/>
      <c r="D8" s="1001"/>
      <c r="E8" s="996" t="s">
        <v>2054</v>
      </c>
      <c r="F8" s="997">
        <f ca="1">INDIRECT("'数据-取费表'!ai"&amp;$G$1)</f>
        <v>365</v>
      </c>
      <c r="G8" s="986"/>
      <c r="H8" s="1002"/>
      <c r="I8" s="3925"/>
      <c r="J8" s="1000"/>
      <c r="K8" s="1001"/>
      <c r="L8" s="996" t="s">
        <v>2054</v>
      </c>
      <c r="M8" s="997">
        <f ca="1">INDIRECT("'数据-取费表'!ai"&amp;$G$1)</f>
        <v>365</v>
      </c>
    </row>
    <row r="9" spans="1:33" ht="18" customHeight="1">
      <c r="A9" s="1004"/>
      <c r="B9" s="3926"/>
      <c r="C9" s="1000"/>
      <c r="D9" s="1001"/>
      <c r="E9" s="996" t="s">
        <v>2055</v>
      </c>
      <c r="F9" s="1005">
        <f ca="1">INDIRECT("'数据-取费表'!w"&amp;$G$1)</f>
        <v>0.1</v>
      </c>
      <c r="G9" s="986"/>
      <c r="H9" s="1006"/>
      <c r="I9" s="3925"/>
      <c r="J9" s="1000"/>
      <c r="K9" s="1001"/>
      <c r="L9" s="1049" t="s">
        <v>2055</v>
      </c>
      <c r="M9" s="1015">
        <f ca="1">INDIRECT("'数据-取费表'!ab"&amp;$G$1)</f>
        <v>0</v>
      </c>
    </row>
    <row r="10" spans="1:33" ht="18" customHeight="1">
      <c r="A10" s="993" t="s">
        <v>884</v>
      </c>
      <c r="B10" s="1007" t="s">
        <v>2056</v>
      </c>
      <c r="C10" s="137">
        <f ca="1">ROUND(IF(F10="押一",C6/12*F11,IF(F10="押二",C6/12*2*F11,IF(F10="押三",C6/12*3*F11,C11*F11))),0)</f>
        <v>2</v>
      </c>
      <c r="D10" s="1008" t="s">
        <v>2057</v>
      </c>
      <c r="E10" s="1009" t="s">
        <v>2058</v>
      </c>
      <c r="F10" s="1010" t="s">
        <v>2222</v>
      </c>
      <c r="G10" s="986"/>
      <c r="H10" s="1011" t="s">
        <v>884</v>
      </c>
      <c r="I10" s="1123" t="s">
        <v>2056</v>
      </c>
      <c r="J10" s="994">
        <f ca="1">ROUND(IF(M10="押一",J6/12*M11,IF(M10="押二",J6/12*2*M11,IF(M10="押三",J6/12*3*M11,J11*M11))),0)</f>
        <v>0</v>
      </c>
      <c r="K10" s="1008" t="s">
        <v>2057</v>
      </c>
      <c r="L10" s="1009" t="s">
        <v>2058</v>
      </c>
      <c r="M10" s="1010"/>
    </row>
    <row r="11" spans="1:33" ht="18" customHeight="1">
      <c r="A11" s="1012"/>
      <c r="B11" s="1013" t="s">
        <v>2059</v>
      </c>
      <c r="C11" s="1014"/>
      <c r="D11" s="1001"/>
      <c r="E11" s="1009" t="s">
        <v>665</v>
      </c>
      <c r="F11" s="1015">
        <f ca="1">'数据-取费表'!B39</f>
        <v>1.4999999999999999E-2</v>
      </c>
      <c r="G11" s="986"/>
      <c r="H11" s="1016"/>
      <c r="I11" s="1013" t="s">
        <v>2059</v>
      </c>
      <c r="J11" s="1014"/>
      <c r="K11" s="1124"/>
      <c r="L11" s="1009" t="s">
        <v>665</v>
      </c>
      <c r="M11" s="1125">
        <f ca="1">'数据-取费表'!B39</f>
        <v>1.4999999999999999E-2</v>
      </c>
    </row>
    <row r="12" spans="1:33" ht="18" customHeight="1">
      <c r="A12" s="1017" t="s">
        <v>953</v>
      </c>
      <c r="B12" s="1018" t="s">
        <v>2060</v>
      </c>
      <c r="C12" s="1019"/>
      <c r="D12" s="1020"/>
      <c r="E12" s="1021"/>
      <c r="F12" s="1022"/>
      <c r="G12" s="986"/>
      <c r="H12" s="1023" t="s">
        <v>953</v>
      </c>
      <c r="I12" s="1126" t="s">
        <v>2060</v>
      </c>
      <c r="J12" s="1127"/>
      <c r="K12" s="1020"/>
      <c r="L12" s="1021"/>
      <c r="M12" s="1128"/>
    </row>
    <row r="13" spans="1:33" ht="18" customHeight="1">
      <c r="A13" s="1024">
        <v>2</v>
      </c>
      <c r="B13" s="1025" t="s">
        <v>2064</v>
      </c>
      <c r="C13" s="1026">
        <f ca="1">ROUND(C29*F13,0)</f>
        <v>19380</v>
      </c>
      <c r="D13" s="1027" t="s">
        <v>2223</v>
      </c>
      <c r="E13" s="1027" t="s">
        <v>2063</v>
      </c>
      <c r="F13" s="1028">
        <f ca="1">INDIRECT("'数据-取费表'!y"&amp;$G$1)</f>
        <v>1</v>
      </c>
      <c r="G13" s="986"/>
      <c r="H13" s="1024">
        <v>2</v>
      </c>
      <c r="I13" s="1025" t="s">
        <v>2064</v>
      </c>
      <c r="J13" s="1129">
        <f ca="1">ROUND(J14*J15,0)</f>
        <v>0</v>
      </c>
      <c r="K13" s="1058" t="s">
        <v>2062</v>
      </c>
      <c r="L13" s="1130"/>
      <c r="M13" s="1131"/>
    </row>
    <row r="14" spans="1:33" ht="18" customHeight="1">
      <c r="A14" s="1029" t="s">
        <v>907</v>
      </c>
      <c r="B14" s="996" t="s">
        <v>960</v>
      </c>
      <c r="C14" s="1030">
        <f ca="1">INDIRECT("'数据-取费表'!m"&amp;$G$1)+INDIRECT("'数据-取费表'!t"&amp;$G$1)</f>
        <v>13464</v>
      </c>
      <c r="D14" s="1031" t="s">
        <v>2065</v>
      </c>
      <c r="E14" s="1032"/>
      <c r="F14" s="1033"/>
      <c r="G14" s="986"/>
      <c r="H14" s="1034" t="s">
        <v>882</v>
      </c>
      <c r="I14" s="1115" t="s">
        <v>2066</v>
      </c>
      <c r="J14" s="138">
        <f ca="1">C29</f>
        <v>19380</v>
      </c>
      <c r="K14" s="1116"/>
      <c r="L14" s="1132"/>
      <c r="M14" s="1133"/>
    </row>
    <row r="15" spans="1:33" s="961" customFormat="1" ht="18" customHeight="1">
      <c r="A15" s="1029" t="s">
        <v>911</v>
      </c>
      <c r="B15" s="996" t="s">
        <v>962</v>
      </c>
      <c r="C15" s="138">
        <f ca="1">ROUND(C14*F15,0)</f>
        <v>673</v>
      </c>
      <c r="D15" s="1035" t="s">
        <v>2067</v>
      </c>
      <c r="E15" s="1035" t="s">
        <v>2068</v>
      </c>
      <c r="F15" s="1036">
        <f>'数据-取费表'!B33</f>
        <v>0.05</v>
      </c>
      <c r="G15" s="1037"/>
      <c r="H15" s="1023" t="s">
        <v>884</v>
      </c>
      <c r="I15" s="1055" t="s">
        <v>2063</v>
      </c>
      <c r="J15" s="1134">
        <f ca="1">INDIRECT("'数据-取费表'!ad"&amp;$G$1)</f>
        <v>0</v>
      </c>
      <c r="K15" s="1135"/>
      <c r="L15" s="1136"/>
      <c r="M15" s="1137"/>
      <c r="N15" s="1138"/>
      <c r="O15" s="1138"/>
      <c r="P15" s="1138"/>
      <c r="Q15" s="1216"/>
      <c r="R15" s="1138"/>
      <c r="S15" s="1138"/>
      <c r="T15" s="1138"/>
      <c r="U15" s="1138"/>
      <c r="V15" s="1138"/>
      <c r="W15" s="1138"/>
      <c r="X15" s="1138"/>
      <c r="Y15" s="1138"/>
      <c r="Z15" s="1138"/>
      <c r="AA15" s="1138"/>
      <c r="AB15" s="1138"/>
      <c r="AC15" s="1138"/>
      <c r="AD15" s="1138"/>
      <c r="AE15" s="1138"/>
      <c r="AF15" s="1138"/>
      <c r="AG15" s="1138"/>
    </row>
    <row r="16" spans="1:33" ht="18" customHeight="1">
      <c r="A16" s="1029" t="s">
        <v>914</v>
      </c>
      <c r="B16" s="996" t="s">
        <v>965</v>
      </c>
      <c r="C16" s="138">
        <f ca="1">ROUND(INDIRECT("'数据-取费表'!m"&amp;$G$1)*F16,0)</f>
        <v>0</v>
      </c>
      <c r="D16" s="996" t="s">
        <v>2067</v>
      </c>
      <c r="E16" s="996" t="s">
        <v>2068</v>
      </c>
      <c r="F16" s="1038">
        <f ca="1">IF(INDIRECT("'数据-取费表'!c"&amp;$G$1)="住宅",'数据-取费表'!B34,0)</f>
        <v>0</v>
      </c>
      <c r="G16" s="986"/>
      <c r="H16" s="1024" t="s">
        <v>2128</v>
      </c>
      <c r="I16" s="1025" t="s">
        <v>2069</v>
      </c>
      <c r="J16" s="1026">
        <f ca="1">ROUND(J17+J22+J23+J24,0)</f>
        <v>137</v>
      </c>
      <c r="K16" s="1058" t="s">
        <v>2070</v>
      </c>
      <c r="L16" s="1059"/>
      <c r="M16" s="992"/>
    </row>
    <row r="17" spans="1:33" s="961" customFormat="1" ht="18" customHeight="1">
      <c r="A17" s="1029" t="s">
        <v>2224</v>
      </c>
      <c r="B17" s="996" t="s">
        <v>2071</v>
      </c>
      <c r="C17" s="138">
        <f ca="1">ROUND(F17*(F43+INDIRECT("'数据-取费表'!S"&amp;$G$1))/10000,0)</f>
        <v>1496</v>
      </c>
      <c r="D17" s="996" t="s">
        <v>2072</v>
      </c>
      <c r="E17" s="996" t="s">
        <v>2073</v>
      </c>
      <c r="F17" s="1039">
        <f>'数据-取费表'!B35</f>
        <v>200</v>
      </c>
      <c r="G17" s="1037"/>
      <c r="H17" s="1034" t="s">
        <v>882</v>
      </c>
      <c r="I17" s="996" t="s">
        <v>2074</v>
      </c>
      <c r="J17" s="1061">
        <f ca="1">ROUND(IF(AND(项目基本情况!B11="自然人",项目基本情况!B10="北京市"),J6*M17/(1+'数据-取费表'!C42),J18+J19+J20),2)</f>
        <v>40</v>
      </c>
      <c r="K17" s="1031" t="s">
        <v>2075</v>
      </c>
      <c r="L17" s="1062" t="s">
        <v>2076</v>
      </c>
      <c r="M17" s="1063" t="str">
        <f>IF(项目基本情况!B11="企业","——",IF('数据-取费表'!B10="住宅",IF(M6*M7*M8/12/(1+'数据-取费表'!F30)&gt;100000,4%,2.5%),IF(M6*M7*M8/12/(1+'数据-取费表'!F30)&gt;100000,12%,7%)))</f>
        <v>——</v>
      </c>
      <c r="N17" s="1138"/>
      <c r="O17" s="1138"/>
      <c r="P17" s="1138"/>
      <c r="Q17" s="1216"/>
      <c r="R17" s="1138"/>
      <c r="S17" s="1138"/>
      <c r="T17" s="1138"/>
      <c r="U17" s="1138"/>
      <c r="V17" s="1138"/>
      <c r="W17" s="1138"/>
      <c r="X17" s="1138"/>
      <c r="Y17" s="1138"/>
      <c r="Z17" s="1138"/>
      <c r="AA17" s="1138"/>
      <c r="AB17" s="1138"/>
      <c r="AC17" s="1138"/>
      <c r="AD17" s="1138"/>
      <c r="AE17" s="1138"/>
      <c r="AF17" s="1138"/>
      <c r="AG17" s="1138"/>
    </row>
    <row r="18" spans="1:33" s="961" customFormat="1" ht="18" customHeight="1">
      <c r="A18" s="1029" t="s">
        <v>2225</v>
      </c>
      <c r="B18" s="996" t="s">
        <v>970</v>
      </c>
      <c r="C18" s="138">
        <f ca="1">ROUND(C14*F18,0)</f>
        <v>269</v>
      </c>
      <c r="D18" s="996" t="s">
        <v>2067</v>
      </c>
      <c r="E18" s="996" t="s">
        <v>2068</v>
      </c>
      <c r="F18" s="1038">
        <f>'数据-取费表'!B36</f>
        <v>0.02</v>
      </c>
      <c r="G18" s="1037"/>
      <c r="H18" s="1029" t="s">
        <v>907</v>
      </c>
      <c r="I18" s="996" t="s">
        <v>2077</v>
      </c>
      <c r="J18" s="138">
        <f ca="1">ROUND(J6*M18/(1+'数据-取费表'!C42),2)</f>
        <v>0</v>
      </c>
      <c r="K18" s="1062" t="s">
        <v>2078</v>
      </c>
      <c r="L18" s="996" t="s">
        <v>2068</v>
      </c>
      <c r="M18" s="1038">
        <f>'数据-取费表'!B41</f>
        <v>5.5E-2</v>
      </c>
      <c r="N18" s="1138"/>
      <c r="O18" s="1138"/>
      <c r="P18" s="1138"/>
      <c r="Q18" s="1216"/>
      <c r="R18" s="1138"/>
      <c r="S18" s="1138"/>
      <c r="T18" s="1138"/>
      <c r="U18" s="1138"/>
      <c r="V18" s="1138"/>
      <c r="W18" s="1138"/>
      <c r="X18" s="1138"/>
      <c r="Y18" s="1138"/>
      <c r="Z18" s="1138"/>
      <c r="AA18" s="1138"/>
      <c r="AB18" s="1138"/>
      <c r="AC18" s="1138"/>
      <c r="AD18" s="1138"/>
      <c r="AE18" s="1138"/>
      <c r="AF18" s="1138"/>
      <c r="AG18" s="1138"/>
    </row>
    <row r="19" spans="1:33" ht="18" customHeight="1">
      <c r="A19" s="1034" t="s">
        <v>882</v>
      </c>
      <c r="B19" s="996" t="s">
        <v>2079</v>
      </c>
      <c r="C19" s="138">
        <f ca="1">SUM(C14:C18)</f>
        <v>15902</v>
      </c>
      <c r="D19" s="1040" t="s">
        <v>2080</v>
      </c>
      <c r="E19" s="140"/>
      <c r="F19" s="1039"/>
      <c r="G19" s="986"/>
      <c r="H19" s="1029" t="s">
        <v>911</v>
      </c>
      <c r="I19" s="996" t="s">
        <v>2081</v>
      </c>
      <c r="J19" s="138">
        <f ca="1">IF(K19="按租金收入计税",ROUND(J6*M19/(1+'数据-取费表'!C42),1),ROUND(C29*F33*0.7,2))</f>
        <v>0</v>
      </c>
      <c r="K19" s="1066" t="s">
        <v>2082</v>
      </c>
      <c r="L19" s="996" t="s">
        <v>2068</v>
      </c>
      <c r="M19" s="1038">
        <f>IF(K19="按租金收入计税",'数据-取费表'!B51,'数据-取费表'!B50)</f>
        <v>0.12</v>
      </c>
    </row>
    <row r="20" spans="1:33" s="961" customFormat="1" ht="18" customHeight="1">
      <c r="A20" s="1034" t="s">
        <v>884</v>
      </c>
      <c r="B20" s="996" t="s">
        <v>2084</v>
      </c>
      <c r="C20" s="138">
        <f ca="1">ROUND(C19*F20,0)</f>
        <v>318</v>
      </c>
      <c r="D20" s="1041" t="s">
        <v>2085</v>
      </c>
      <c r="E20" s="996" t="s">
        <v>2068</v>
      </c>
      <c r="F20" s="1038">
        <f>'数据-取费表'!B37</f>
        <v>0.02</v>
      </c>
      <c r="G20" s="1037"/>
      <c r="H20" s="1042" t="s">
        <v>914</v>
      </c>
      <c r="I20" s="1068" t="s">
        <v>2086</v>
      </c>
      <c r="J20" s="1069">
        <f ca="1">ROUND(M20*M21/10000,2)</f>
        <v>40</v>
      </c>
      <c r="K20" s="1070" t="s">
        <v>2087</v>
      </c>
      <c r="L20" s="996" t="s">
        <v>2088</v>
      </c>
      <c r="M20" s="1046">
        <f>'数据-取费表'!B52</f>
        <v>2</v>
      </c>
      <c r="N20" s="1138"/>
      <c r="O20" s="1138"/>
      <c r="P20" s="1138"/>
      <c r="Q20" s="1216"/>
      <c r="R20" s="1138"/>
      <c r="S20" s="1138"/>
      <c r="T20" s="1138"/>
      <c r="U20" s="1138"/>
      <c r="V20" s="1138"/>
      <c r="W20" s="1138"/>
      <c r="X20" s="1138"/>
      <c r="Y20" s="1138"/>
      <c r="Z20" s="1138"/>
      <c r="AA20" s="1138"/>
      <c r="AB20" s="1138"/>
      <c r="AC20" s="1138"/>
      <c r="AD20" s="1138"/>
      <c r="AE20" s="1138"/>
      <c r="AF20" s="1138"/>
      <c r="AG20" s="1138"/>
    </row>
    <row r="21" spans="1:33" s="961" customFormat="1" ht="18" customHeight="1">
      <c r="A21" s="1034" t="s">
        <v>953</v>
      </c>
      <c r="B21" s="996" t="s">
        <v>2090</v>
      </c>
      <c r="C21" s="138" t="s">
        <v>138</v>
      </c>
      <c r="D21" s="1041" t="s">
        <v>2226</v>
      </c>
      <c r="E21" s="996" t="s">
        <v>2092</v>
      </c>
      <c r="F21" s="1038">
        <f>'数据-取费表'!B38</f>
        <v>0.02</v>
      </c>
      <c r="G21" s="1037"/>
      <c r="H21" s="1043"/>
      <c r="I21" s="1072"/>
      <c r="J21" s="1073"/>
      <c r="K21" s="1074"/>
      <c r="L21" s="996" t="s">
        <v>2093</v>
      </c>
      <c r="M21" s="997">
        <f ca="1">INDIRECT("'数据-取费表'!r"&amp;$G$1)</f>
        <v>200000</v>
      </c>
      <c r="N21" s="1138"/>
      <c r="O21" s="1138"/>
      <c r="P21" s="1138"/>
      <c r="Q21" s="1216"/>
      <c r="R21" s="1138"/>
      <c r="S21" s="1138"/>
      <c r="T21" s="1138"/>
      <c r="U21" s="1138"/>
      <c r="V21" s="1138"/>
      <c r="W21" s="1138"/>
      <c r="X21" s="1138"/>
      <c r="Y21" s="1138"/>
      <c r="Z21" s="1138"/>
      <c r="AA21" s="1138"/>
      <c r="AB21" s="1138"/>
      <c r="AC21" s="1138"/>
      <c r="AD21" s="1138"/>
      <c r="AE21" s="1138"/>
      <c r="AF21" s="1138"/>
      <c r="AG21" s="1138"/>
    </row>
    <row r="22" spans="1:33" ht="18" customHeight="1">
      <c r="A22" s="1034" t="s">
        <v>2227</v>
      </c>
      <c r="B22" s="996" t="s">
        <v>2095</v>
      </c>
      <c r="C22" s="138"/>
      <c r="D22" s="1044" t="str">
        <f>IF(F23&lt;=1,"单利计息。","复利计息。")&amp;"建造成本、管理费用、销售费用产生的利息。"</f>
        <v>复利计息。建造成本、管理费用、销售费用产生的利息。</v>
      </c>
      <c r="E22" s="140"/>
      <c r="F22" s="1039"/>
      <c r="G22" s="986"/>
      <c r="H22" s="1034" t="s">
        <v>884</v>
      </c>
      <c r="I22" s="996" t="s">
        <v>2096</v>
      </c>
      <c r="J22" s="138">
        <f ca="1">ROUND(J14*M22,2)</f>
        <v>96.9</v>
      </c>
      <c r="K22" s="1062" t="s">
        <v>2097</v>
      </c>
      <c r="L22" s="996" t="s">
        <v>2068</v>
      </c>
      <c r="M22" s="1075">
        <f ca="1">INDIRECT("'数据-取费表'!Ak"&amp;$G$1)</f>
        <v>5.0000000000000001E-3</v>
      </c>
    </row>
    <row r="23" spans="1:33" s="961" customFormat="1" ht="18" customHeight="1">
      <c r="A23" s="1029" t="s">
        <v>907</v>
      </c>
      <c r="B23" s="996" t="s">
        <v>2098</v>
      </c>
      <c r="C23" s="138">
        <f ca="1">ROUND(IF('数据-取费表'!B22&lt;=1,(C19+C20)*F24*F23/2,(C19+C20)*(POWER((1+F24),F23/2)-1)),0)</f>
        <v>418</v>
      </c>
      <c r="D23" s="1045" t="str">
        <f>IF(F23&lt;=1,"(建造成本+管理费用)×利率×(建设周期÷2)","(建造成本+管理费用)×((1+利率)^(建设周期÷2)-1)")</f>
        <v>(建造成本+管理费用)×((1+利率)^(建设周期÷2)-1)</v>
      </c>
      <c r="E23" s="996" t="s">
        <v>2099</v>
      </c>
      <c r="F23" s="1046">
        <f>'数据-取费表'!B20</f>
        <v>1.5</v>
      </c>
      <c r="G23" s="1037"/>
      <c r="H23" s="1034" t="s">
        <v>953</v>
      </c>
      <c r="I23" s="996" t="s">
        <v>2100</v>
      </c>
      <c r="J23" s="138">
        <f ca="1">ROUND(J13*M23,2)</f>
        <v>0</v>
      </c>
      <c r="K23" s="1062" t="s">
        <v>2101</v>
      </c>
      <c r="L23" s="996" t="s">
        <v>2068</v>
      </c>
      <c r="M23" s="1076">
        <f ca="1">INDIRECT("'数据-取费表'!Al"&amp;$G$1)</f>
        <v>5.0000000000000001E-4</v>
      </c>
      <c r="N23" s="1138"/>
      <c r="O23" s="1138"/>
      <c r="P23" s="1138"/>
      <c r="Q23" s="1216"/>
      <c r="R23" s="1138"/>
      <c r="S23" s="1138"/>
      <c r="T23" s="1138"/>
      <c r="U23" s="1138"/>
      <c r="V23" s="1138"/>
      <c r="W23" s="1138"/>
      <c r="X23" s="1138"/>
      <c r="Y23" s="1138"/>
      <c r="Z23" s="1138"/>
      <c r="AA23" s="1138"/>
      <c r="AB23" s="1138"/>
      <c r="AC23" s="1138"/>
      <c r="AD23" s="1138"/>
      <c r="AE23" s="1138"/>
      <c r="AF23" s="1138"/>
      <c r="AG23" s="1138"/>
    </row>
    <row r="24" spans="1:33" s="961" customFormat="1" ht="18" customHeight="1">
      <c r="A24" s="1029" t="s">
        <v>911</v>
      </c>
      <c r="B24" s="996" t="s">
        <v>2102</v>
      </c>
      <c r="C24" s="138">
        <f ca="1">ROUND(IF('数据-取费表'!B22&lt;=1,F21*F24*F23/2,F21*(POWER((1+F24),F23/2)-1)),4)</f>
        <v>5.0000000000000001E-4</v>
      </c>
      <c r="D24" s="1045" t="str">
        <f>IF(F23&lt;=1,"销售费用×利率×(建设周期÷2)","销售费用×((1+利率)^(建设周期÷2)-1)")</f>
        <v>销售费用×((1+利率)^(建设周期÷2)-1)</v>
      </c>
      <c r="E24" s="996" t="s">
        <v>2103</v>
      </c>
      <c r="F24" s="1047">
        <f ca="1">'数据-取费表'!B40</f>
        <v>3.4500000000000003E-2</v>
      </c>
      <c r="G24" s="1037"/>
      <c r="H24" s="1023" t="s">
        <v>2227</v>
      </c>
      <c r="I24" s="1055" t="s">
        <v>2084</v>
      </c>
      <c r="J24" s="1053">
        <f ca="1">ROUND(J5*M24,2)</f>
        <v>0</v>
      </c>
      <c r="K24" s="1054" t="s">
        <v>2104</v>
      </c>
      <c r="L24" s="1055" t="s">
        <v>2068</v>
      </c>
      <c r="M24" s="1022">
        <f ca="1">INDIRECT("'数据-取费表'!Am"&amp;$G$1)</f>
        <v>5.0000000000000001E-3</v>
      </c>
      <c r="N24" s="1138"/>
      <c r="O24" s="1138"/>
      <c r="P24" s="1138"/>
      <c r="Q24" s="1216"/>
      <c r="R24" s="1138"/>
      <c r="S24" s="1138"/>
      <c r="T24" s="1138"/>
      <c r="U24" s="1138"/>
      <c r="V24" s="1138"/>
      <c r="W24" s="1138"/>
      <c r="X24" s="1138"/>
      <c r="Y24" s="1138"/>
      <c r="Z24" s="1138"/>
      <c r="AA24" s="1138"/>
      <c r="AB24" s="1138"/>
      <c r="AC24" s="1138"/>
      <c r="AD24" s="1138"/>
      <c r="AE24" s="1138"/>
      <c r="AF24" s="1138"/>
      <c r="AG24" s="1138"/>
    </row>
    <row r="25" spans="1:33" ht="18" customHeight="1">
      <c r="A25" s="1048" t="s">
        <v>940</v>
      </c>
      <c r="B25" s="996" t="s">
        <v>2106</v>
      </c>
      <c r="C25" s="138"/>
      <c r="D25" s="1040" t="s">
        <v>2107</v>
      </c>
      <c r="E25" s="140"/>
      <c r="F25" s="1039"/>
      <c r="G25" s="986"/>
      <c r="H25" s="1024" t="s">
        <v>2228</v>
      </c>
      <c r="I25" s="1077" t="s">
        <v>2108</v>
      </c>
      <c r="J25" s="1026">
        <f ca="1">J5-J16</f>
        <v>-137</v>
      </c>
      <c r="K25" s="1078" t="s">
        <v>2109</v>
      </c>
      <c r="L25" s="1079"/>
      <c r="M25" s="1080"/>
    </row>
    <row r="26" spans="1:33" ht="18" customHeight="1">
      <c r="A26" s="1029" t="s">
        <v>907</v>
      </c>
      <c r="B26" s="996" t="s">
        <v>2110</v>
      </c>
      <c r="C26" s="138">
        <f ca="1">ROUND((C19+C20)*F26,0)</f>
        <v>1298</v>
      </c>
      <c r="D26" s="1041" t="s">
        <v>2111</v>
      </c>
      <c r="E26" s="1049" t="s">
        <v>2112</v>
      </c>
      <c r="F26" s="1005">
        <f ca="1">INDIRECT("'数据-取费表'!q"&amp;$G$1)</f>
        <v>0.08</v>
      </c>
      <c r="G26" s="986"/>
      <c r="H26" s="1050" t="s">
        <v>2229</v>
      </c>
      <c r="I26" s="1081" t="s">
        <v>2230</v>
      </c>
      <c r="J26" s="994">
        <f ca="1">IF(J5&lt;&gt;0,ROUND(J25*(1-((1+M28)/(1+M26))^M27)/(M26-M28),0),0)</f>
        <v>0</v>
      </c>
      <c r="K26" s="1070" t="s">
        <v>2114</v>
      </c>
      <c r="L26" s="996" t="s">
        <v>2231</v>
      </c>
      <c r="M26" s="1005">
        <f ca="1">INDIRECT("'数据-取费表'!I"&amp;$G$1)</f>
        <v>0.05</v>
      </c>
    </row>
    <row r="27" spans="1:33" ht="18" customHeight="1">
      <c r="A27" s="1029" t="s">
        <v>911</v>
      </c>
      <c r="B27" s="996" t="s">
        <v>2116</v>
      </c>
      <c r="C27" s="138">
        <f ca="1">ROUND(F21*F26,4)</f>
        <v>1.6000000000000001E-3</v>
      </c>
      <c r="D27" s="1041" t="s">
        <v>2117</v>
      </c>
      <c r="E27" s="1035"/>
      <c r="F27" s="1036"/>
      <c r="G27" s="986"/>
      <c r="H27" s="1051"/>
      <c r="I27" s="1082"/>
      <c r="J27" s="1000"/>
      <c r="K27" s="1083" t="s">
        <v>2118</v>
      </c>
      <c r="L27" s="996" t="s">
        <v>2119</v>
      </c>
      <c r="M27" s="1084">
        <f ca="1">INDIRECT("'数据-取费表'!ag"&amp;$G$1)</f>
        <v>0</v>
      </c>
    </row>
    <row r="28" spans="1:33" s="961" customFormat="1" ht="18" customHeight="1">
      <c r="A28" s="1048" t="s">
        <v>941</v>
      </c>
      <c r="B28" s="996" t="s">
        <v>2121</v>
      </c>
      <c r="C28" s="138">
        <f>ROUND(F28/(1+'数据-取费表'!C42),4)</f>
        <v>5.2400000000000002E-2</v>
      </c>
      <c r="D28" s="1041" t="s">
        <v>2232</v>
      </c>
      <c r="E28" s="996" t="s">
        <v>2068</v>
      </c>
      <c r="F28" s="1038">
        <f>'数据-取费表'!B41</f>
        <v>5.5E-2</v>
      </c>
      <c r="G28" s="1037"/>
      <c r="H28" s="1024"/>
      <c r="I28" s="1086"/>
      <c r="J28" s="1026"/>
      <c r="K28" s="1074"/>
      <c r="L28" s="996" t="s">
        <v>2123</v>
      </c>
      <c r="M28" s="1005">
        <f ca="1">INDIRECT("'数据-取费表'!aa"&amp;$G$1)</f>
        <v>0</v>
      </c>
      <c r="N28" s="1138"/>
      <c r="O28" s="1138"/>
      <c r="P28" s="1138"/>
      <c r="Q28" s="1216"/>
      <c r="R28" s="1138"/>
      <c r="S28" s="1138"/>
      <c r="T28" s="1138"/>
      <c r="U28" s="1138"/>
      <c r="V28" s="1138"/>
      <c r="W28" s="1138"/>
      <c r="X28" s="1138"/>
      <c r="Y28" s="1138"/>
      <c r="Z28" s="1138"/>
      <c r="AA28" s="1138"/>
      <c r="AB28" s="1138"/>
      <c r="AC28" s="1138"/>
      <c r="AD28" s="1138"/>
      <c r="AE28" s="1138"/>
      <c r="AF28" s="1138"/>
      <c r="AG28" s="1138"/>
    </row>
    <row r="29" spans="1:33" s="961" customFormat="1" ht="18" customHeight="1">
      <c r="A29" s="1052" t="s">
        <v>2233</v>
      </c>
      <c r="B29" s="1021" t="s">
        <v>2125</v>
      </c>
      <c r="C29" s="1053">
        <f ca="1">ROUND((C19+C20+C23+C26)/(1-F21-C24-C27-C28),0)</f>
        <v>19380</v>
      </c>
      <c r="D29" s="1054"/>
      <c r="E29" s="1055"/>
      <c r="F29" s="1056"/>
      <c r="G29" s="1037"/>
      <c r="H29" s="1057" t="s">
        <v>2234</v>
      </c>
      <c r="I29" s="1087" t="s">
        <v>2235</v>
      </c>
      <c r="J29" s="1088">
        <f ca="1">ROUND(J26/(1+F40)^F41,0)</f>
        <v>0</v>
      </c>
      <c r="K29" s="1089" t="s">
        <v>2127</v>
      </c>
      <c r="L29" s="1090"/>
      <c r="M29" s="1091">
        <f ca="1">INDIRECT("'数据-取费表'!k"&amp;$G$1)</f>
        <v>74800</v>
      </c>
      <c r="N29" s="1138"/>
      <c r="O29" s="1138"/>
      <c r="P29" s="1138"/>
      <c r="Q29" s="1216"/>
      <c r="R29" s="1138"/>
      <c r="S29" s="1138"/>
      <c r="T29" s="1138"/>
      <c r="U29" s="1138"/>
      <c r="V29" s="1138"/>
      <c r="W29" s="1138"/>
      <c r="X29" s="1138"/>
      <c r="Y29" s="1138"/>
      <c r="Z29" s="1138"/>
      <c r="AA29" s="1138"/>
      <c r="AB29" s="1138"/>
      <c r="AC29" s="1138"/>
      <c r="AD29" s="1138"/>
      <c r="AE29" s="1138"/>
      <c r="AF29" s="1138"/>
      <c r="AG29" s="1138"/>
    </row>
    <row r="30" spans="1:33" ht="18" customHeight="1">
      <c r="A30" s="1024" t="s">
        <v>2128</v>
      </c>
      <c r="B30" s="1025" t="s">
        <v>2069</v>
      </c>
      <c r="C30" s="1026">
        <f ca="1">ROUND(C31+C36+C37+C38,0)</f>
        <v>442</v>
      </c>
      <c r="D30" s="1058" t="s">
        <v>2070</v>
      </c>
      <c r="E30" s="1059"/>
      <c r="F30" s="992"/>
      <c r="G30" s="986"/>
      <c r="H30" s="1060"/>
      <c r="I30" s="1139"/>
      <c r="J30" s="1140"/>
      <c r="K30" s="1141"/>
      <c r="L30" s="1142"/>
      <c r="M30" s="1143"/>
    </row>
    <row r="31" spans="1:33" ht="18" customHeight="1">
      <c r="A31" s="1034" t="s">
        <v>882</v>
      </c>
      <c r="B31" s="996" t="s">
        <v>2074</v>
      </c>
      <c r="C31" s="1061">
        <f ca="1">ROUND(IF(AND(项目基本情况!B11="自然人",项目基本情况!B10="北京市"),C6*F31/(1+'数据-取费表'!C42),C32+C33+C34),2)</f>
        <v>326.67</v>
      </c>
      <c r="D31" s="1031" t="s">
        <v>2075</v>
      </c>
      <c r="E31" s="1062" t="s">
        <v>2076</v>
      </c>
      <c r="F31" s="1063" t="str">
        <f>IF(项目基本情况!B11="企业","——",IF(M47="住宅",IF(F6*F7*F8/12/(1+'数据-取费表'!F30)&gt;100000,4%,2.5%),IF(F6*F7*F8/12/(1+'数据-取费表'!F30)&gt;100000,12%,7%)))</f>
        <v>——</v>
      </c>
      <c r="G31" s="986"/>
      <c r="H31" s="1064" t="s">
        <v>2130</v>
      </c>
      <c r="I31" s="1139"/>
      <c r="J31" s="1140"/>
      <c r="K31" s="1141"/>
      <c r="L31" s="1142"/>
      <c r="M31" s="1143"/>
    </row>
    <row r="32" spans="1:33" ht="18" customHeight="1">
      <c r="A32" s="1029" t="s">
        <v>907</v>
      </c>
      <c r="B32" s="996" t="s">
        <v>2077</v>
      </c>
      <c r="C32" s="138">
        <f ca="1">ROUND(C6*F32/(1+'数据-取费表'!C42),2)</f>
        <v>90.1</v>
      </c>
      <c r="D32" s="1062" t="s">
        <v>2078</v>
      </c>
      <c r="E32" s="996" t="s">
        <v>2068</v>
      </c>
      <c r="F32" s="1038">
        <f>'数据-取费表'!B41</f>
        <v>5.5E-2</v>
      </c>
      <c r="G32" s="986"/>
      <c r="H32" s="1065"/>
      <c r="I32" s="1144"/>
      <c r="J32" s="1145"/>
      <c r="K32" s="1146"/>
      <c r="L32" s="1147"/>
      <c r="M32" s="1148"/>
    </row>
    <row r="33" spans="1:18" ht="18" customHeight="1">
      <c r="A33" s="1029" t="s">
        <v>911</v>
      </c>
      <c r="B33" s="996" t="s">
        <v>2081</v>
      </c>
      <c r="C33" s="138">
        <f ca="1">IF(D33="按租金收入计税",ROUND(C6*F33/(1+'数据-取费表'!C42),2),IF(D33="按房产原值计税",ROUND(C29*F33*0.7,2),INDIRECT("'数据-取费表'!Aj"&amp;$G$1)))</f>
        <v>196.57</v>
      </c>
      <c r="D33" s="1066" t="s">
        <v>2082</v>
      </c>
      <c r="E33" s="996" t="s">
        <v>2068</v>
      </c>
      <c r="F33" s="1038">
        <f>IF(D33="按租金收入计税",'数据-取费表'!B51,'数据-取费表'!B50)</f>
        <v>0.12</v>
      </c>
      <c r="G33" s="986"/>
      <c r="H33" s="1067"/>
      <c r="I33" s="1067"/>
      <c r="J33" s="1067"/>
      <c r="K33" s="1149"/>
      <c r="L33" s="1067"/>
      <c r="M33" s="1067"/>
    </row>
    <row r="34" spans="1:18" ht="18" customHeight="1">
      <c r="A34" s="1042" t="s">
        <v>914</v>
      </c>
      <c r="B34" s="1068" t="s">
        <v>2086</v>
      </c>
      <c r="C34" s="1069">
        <f ca="1">ROUND(F34*F35/10000,2)</f>
        <v>40</v>
      </c>
      <c r="D34" s="1070" t="s">
        <v>2087</v>
      </c>
      <c r="E34" s="996" t="s">
        <v>2088</v>
      </c>
      <c r="F34" s="1046">
        <f>'数据-取费表'!B52</f>
        <v>2</v>
      </c>
      <c r="G34" s="986"/>
      <c r="H34" s="1060"/>
      <c r="I34" s="1150" t="s">
        <v>2236</v>
      </c>
      <c r="J34" s="1151"/>
      <c r="K34" s="1152"/>
      <c r="L34" s="1153"/>
      <c r="M34" s="1153"/>
    </row>
    <row r="35" spans="1:18" ht="18" customHeight="1">
      <c r="A35" s="1071"/>
      <c r="B35" s="1072"/>
      <c r="C35" s="1073"/>
      <c r="D35" s="1074"/>
      <c r="E35" s="996" t="s">
        <v>2093</v>
      </c>
      <c r="F35" s="997">
        <f ca="1">INDIRECT("'数据-取费表'!r"&amp;$G$1)</f>
        <v>200000</v>
      </c>
      <c r="G35" s="986"/>
      <c r="H35" s="1060"/>
      <c r="I35" s="1154" t="s">
        <v>2237</v>
      </c>
      <c r="J35" s="1155">
        <f ca="1">ROUND(C13*J36,0)</f>
        <v>1357</v>
      </c>
      <c r="K35" s="1149"/>
      <c r="L35" s="1067"/>
      <c r="M35" s="1067"/>
    </row>
    <row r="36" spans="1:18" ht="18" customHeight="1">
      <c r="A36" s="1034" t="s">
        <v>884</v>
      </c>
      <c r="B36" s="996" t="s">
        <v>2096</v>
      </c>
      <c r="C36" s="138">
        <f ca="1">ROUND(C29*F36,2)</f>
        <v>96.9</v>
      </c>
      <c r="D36" s="1062" t="s">
        <v>2131</v>
      </c>
      <c r="E36" s="996" t="s">
        <v>2068</v>
      </c>
      <c r="F36" s="1075">
        <f ca="1">INDIRECT("'数据-取费表'!Ak"&amp;$G$1)</f>
        <v>5.0000000000000001E-3</v>
      </c>
      <c r="G36" s="986"/>
      <c r="H36" s="1067"/>
      <c r="I36" s="1156" t="s">
        <v>2238</v>
      </c>
      <c r="J36" s="1157">
        <f ca="1">INDIRECT("'数据-取费表'!j"&amp;$G$1)</f>
        <v>7.0000000000000007E-2</v>
      </c>
      <c r="K36" s="1158"/>
      <c r="L36" s="1067"/>
      <c r="M36" s="1067"/>
    </row>
    <row r="37" spans="1:18" ht="18" customHeight="1">
      <c r="A37" s="1034" t="s">
        <v>953</v>
      </c>
      <c r="B37" s="996" t="s">
        <v>2100</v>
      </c>
      <c r="C37" s="138">
        <f ca="1">ROUND(C13*F37,2)</f>
        <v>9.69</v>
      </c>
      <c r="D37" s="1062" t="s">
        <v>2101</v>
      </c>
      <c r="E37" s="996" t="s">
        <v>2068</v>
      </c>
      <c r="F37" s="1076">
        <f ca="1">INDIRECT("'数据-取费表'!Al"&amp;$G$1)</f>
        <v>5.0000000000000001E-4</v>
      </c>
      <c r="G37" s="986"/>
      <c r="H37" s="1067"/>
      <c r="I37" s="1159" t="s">
        <v>2239</v>
      </c>
      <c r="J37" s="1160"/>
      <c r="K37" s="1158"/>
      <c r="L37" s="1067"/>
      <c r="M37" s="1067"/>
    </row>
    <row r="38" spans="1:18" ht="18" customHeight="1">
      <c r="A38" s="1023" t="s">
        <v>2227</v>
      </c>
      <c r="B38" s="1055" t="s">
        <v>2084</v>
      </c>
      <c r="C38" s="1053">
        <f ca="1">ROUND(C5*F38,2)</f>
        <v>8.61</v>
      </c>
      <c r="D38" s="1054" t="s">
        <v>2104</v>
      </c>
      <c r="E38" s="1055" t="s">
        <v>2068</v>
      </c>
      <c r="F38" s="1022">
        <f ca="1">INDIRECT("'数据-取费表'!Am"&amp;$G$1)</f>
        <v>5.0000000000000001E-3</v>
      </c>
      <c r="G38" s="986"/>
      <c r="H38" s="1067"/>
      <c r="I38" s="1161" t="s">
        <v>2240</v>
      </c>
      <c r="J38" s="1162"/>
      <c r="K38" s="1163"/>
      <c r="L38" s="1067"/>
      <c r="M38" s="1067"/>
    </row>
    <row r="39" spans="1:18" ht="24.6" customHeight="1">
      <c r="A39" s="1024" t="s">
        <v>2228</v>
      </c>
      <c r="B39" s="1077" t="s">
        <v>2108</v>
      </c>
      <c r="C39" s="1026">
        <f ca="1">C5-C30</f>
        <v>1280</v>
      </c>
      <c r="D39" s="1078" t="s">
        <v>2109</v>
      </c>
      <c r="E39" s="1079"/>
      <c r="F39" s="1080"/>
      <c r="G39" s="986"/>
      <c r="H39" s="1067"/>
      <c r="I39" s="1154" t="s">
        <v>2241</v>
      </c>
      <c r="J39" s="1164">
        <f ca="1">ROUND(J35/C39,3)</f>
        <v>1.06</v>
      </c>
      <c r="K39" s="1163"/>
      <c r="L39" s="1067"/>
      <c r="M39" s="1067"/>
    </row>
    <row r="40" spans="1:18" ht="18" customHeight="1">
      <c r="A40" s="987" t="s">
        <v>2229</v>
      </c>
      <c r="B40" s="1081" t="s">
        <v>2242</v>
      </c>
      <c r="C40" s="994">
        <f ca="1">ROUND(C39*(1-((1+F42)/(1+F40))^F41)/(F40-F42),0)</f>
        <v>22182</v>
      </c>
      <c r="D40" s="1070" t="s">
        <v>2114</v>
      </c>
      <c r="E40" s="996" t="s">
        <v>2231</v>
      </c>
      <c r="F40" s="1005">
        <f ca="1">INDIRECT("'数据-取费表'!I"&amp;$G$1)</f>
        <v>0.05</v>
      </c>
      <c r="G40" s="986"/>
      <c r="H40" s="986"/>
      <c r="I40" s="1154" t="s">
        <v>2243</v>
      </c>
      <c r="J40" s="1164">
        <f ca="1">1-J39</f>
        <v>-6.0000000000000053E-2</v>
      </c>
      <c r="K40" s="1163"/>
      <c r="L40" s="986"/>
      <c r="M40" s="986"/>
    </row>
    <row r="41" spans="1:18" ht="18" customHeight="1">
      <c r="A41" s="1004"/>
      <c r="B41" s="1082"/>
      <c r="C41" s="1000"/>
      <c r="D41" s="1083" t="s">
        <v>2118</v>
      </c>
      <c r="E41" s="996" t="s">
        <v>2119</v>
      </c>
      <c r="F41" s="1084">
        <f ca="1">IF(INDIRECT("'数据-取费表'!af"&amp;$G$1)=0,INDIRECT("'数据-取费表'!ae"&amp;$G$1),INDIRECT("'数据-取费表'!af"&amp;$G$1))</f>
        <v>41.27</v>
      </c>
      <c r="G41" s="986"/>
      <c r="H41" s="1085"/>
      <c r="I41" s="1161" t="s">
        <v>2244</v>
      </c>
      <c r="J41" s="712"/>
      <c r="K41" s="1158"/>
      <c r="L41" s="1085"/>
      <c r="M41" s="1085"/>
    </row>
    <row r="42" spans="1:18" ht="18" customHeight="1">
      <c r="A42" s="1012"/>
      <c r="B42" s="1086"/>
      <c r="C42" s="1026"/>
      <c r="D42" s="1074"/>
      <c r="E42" s="996" t="s">
        <v>2123</v>
      </c>
      <c r="F42" s="1005">
        <f ca="1">INDIRECT("'数据-取费表'!v"&amp;$G$1)</f>
        <v>0</v>
      </c>
      <c r="G42" s="986"/>
      <c r="H42" s="1085"/>
      <c r="I42" s="1165" t="s">
        <v>2245</v>
      </c>
      <c r="J42" s="1164">
        <f ca="1">ROUND(C13/C40,3)</f>
        <v>0.874</v>
      </c>
      <c r="K42" s="1158"/>
      <c r="L42" s="1085"/>
      <c r="M42" s="1085"/>
    </row>
    <row r="43" spans="1:18" ht="18" customHeight="1">
      <c r="A43" s="1057" t="s">
        <v>2234</v>
      </c>
      <c r="B43" s="1087" t="s">
        <v>2246</v>
      </c>
      <c r="C43" s="1088">
        <f ca="1">ROUND(C40*10000/F43,0)</f>
        <v>2966</v>
      </c>
      <c r="D43" s="1089" t="s">
        <v>2247</v>
      </c>
      <c r="E43" s="1090" t="s">
        <v>2248</v>
      </c>
      <c r="F43" s="1091">
        <f ca="1">INDIRECT("'数据-取费表'!k"&amp;$G$1)</f>
        <v>74800</v>
      </c>
      <c r="G43" s="986"/>
      <c r="H43" s="1085"/>
      <c r="I43" s="1165" t="s">
        <v>2249</v>
      </c>
      <c r="J43" s="1166">
        <f ca="1">1-J42</f>
        <v>0.126</v>
      </c>
      <c r="K43" s="1158"/>
      <c r="L43" s="1085"/>
      <c r="M43" s="1085"/>
    </row>
    <row r="44" spans="1:18" s="719" customFormat="1" ht="18" customHeight="1">
      <c r="A44" s="1092"/>
      <c r="B44" s="1092"/>
      <c r="C44" s="1093"/>
      <c r="D44" s="1092"/>
      <c r="E44" s="1092"/>
      <c r="F44" s="1092"/>
      <c r="K44" s="1167"/>
      <c r="Q44" s="965"/>
    </row>
    <row r="45" spans="1:18" s="719" customFormat="1" ht="18" customHeight="1">
      <c r="A45" s="1092"/>
      <c r="B45" s="1092"/>
      <c r="C45" s="1093"/>
      <c r="D45" s="1092"/>
      <c r="E45" s="1092"/>
      <c r="F45" s="1092"/>
      <c r="K45" s="1167"/>
      <c r="Q45" s="965"/>
    </row>
    <row r="46" spans="1:18" s="719" customFormat="1" ht="18" customHeight="1">
      <c r="A46" s="1094" t="s">
        <v>2250</v>
      </c>
      <c r="B46" s="1092"/>
      <c r="C46" s="1095">
        <f ca="1">C67-C40</f>
        <v>-24729</v>
      </c>
      <c r="D46" s="1096"/>
      <c r="E46" s="1096"/>
      <c r="F46" s="1096"/>
      <c r="I46" s="1168" t="s">
        <v>2144</v>
      </c>
      <c r="J46" s="1169"/>
      <c r="K46" s="1170"/>
      <c r="L46" s="1171">
        <f>IF(OR(M47="住宅",D1="土地（套用方法）"),0,IF(L48&gt;J51,L60,J60))</f>
        <v>0</v>
      </c>
      <c r="M46" s="1172"/>
      <c r="O46" s="1173" t="s">
        <v>2145</v>
      </c>
      <c r="P46" s="1174"/>
      <c r="Q46" s="664"/>
      <c r="R46" s="1174"/>
    </row>
    <row r="47" spans="1:18" s="719" customFormat="1" ht="18" customHeight="1">
      <c r="A47" s="1097">
        <v>1</v>
      </c>
      <c r="B47" s="1098" t="s">
        <v>2251</v>
      </c>
      <c r="C47" s="1099">
        <f ca="1">C48+C52+C54</f>
        <v>0</v>
      </c>
      <c r="D47" s="1100"/>
      <c r="E47" s="1100"/>
      <c r="F47" s="1101"/>
      <c r="I47" s="1175" t="s">
        <v>2146</v>
      </c>
      <c r="J47" s="1176" t="s">
        <v>2205</v>
      </c>
      <c r="K47" s="1177" t="s">
        <v>2147</v>
      </c>
      <c r="L47" s="1178">
        <f ca="1">INDIRECT("'数据-取费表'!d"&amp;$G$1)</f>
        <v>50</v>
      </c>
      <c r="M47" s="664" t="str">
        <f>IF(ISNUMBER(FIND("住宅",C1)),"住宅","非住宅")</f>
        <v>非住宅</v>
      </c>
      <c r="O47" s="1179" t="s">
        <v>1375</v>
      </c>
      <c r="P47" s="1180" t="s">
        <v>2148</v>
      </c>
      <c r="Q47" s="1217" t="s">
        <v>2149</v>
      </c>
      <c r="R47" s="1180" t="s">
        <v>2150</v>
      </c>
    </row>
    <row r="48" spans="1:18" s="719" customFormat="1" ht="18" customHeight="1">
      <c r="A48" s="1102" t="s">
        <v>1132</v>
      </c>
      <c r="B48" s="1103" t="s">
        <v>2252</v>
      </c>
      <c r="C48" s="1104">
        <f ca="1">ROUND(F48*F50*F49*(1-F51)/10000,0)</f>
        <v>0</v>
      </c>
      <c r="D48" s="1105" t="s">
        <v>2221</v>
      </c>
      <c r="E48" s="1106" t="s">
        <v>2253</v>
      </c>
      <c r="F48" s="1107">
        <f ca="1">M6</f>
        <v>0</v>
      </c>
      <c r="G48" s="1108"/>
      <c r="I48" s="1181" t="s">
        <v>2151</v>
      </c>
      <c r="J48" s="1182" t="s">
        <v>2200</v>
      </c>
      <c r="K48" s="1183" t="s">
        <v>359</v>
      </c>
      <c r="L48" s="713">
        <f ca="1">INDIRECT("'数据-取费表'!f"&amp;$G$1)</f>
        <v>42.77</v>
      </c>
      <c r="M48" s="1172"/>
      <c r="O48" s="1184" t="s">
        <v>2152</v>
      </c>
      <c r="P48" s="1185" t="s">
        <v>2153</v>
      </c>
      <c r="Q48" s="1218">
        <f ca="1">C40+J29</f>
        <v>22182</v>
      </c>
      <c r="R48" s="1185" t="s">
        <v>2154</v>
      </c>
    </row>
    <row r="49" spans="1:18" s="719" customFormat="1" ht="18" customHeight="1">
      <c r="A49" s="1004"/>
      <c r="B49" s="1082"/>
      <c r="C49" s="1000"/>
      <c r="D49" s="1001"/>
      <c r="E49" s="996" t="s">
        <v>2053</v>
      </c>
      <c r="F49" s="997">
        <f ca="1">F7</f>
        <v>74800</v>
      </c>
      <c r="G49" s="1108"/>
      <c r="H49" s="1109"/>
      <c r="I49" s="1181" t="s">
        <v>2155</v>
      </c>
      <c r="J49" s="1186">
        <v>2024</v>
      </c>
      <c r="K49" s="1187" t="s">
        <v>2156</v>
      </c>
      <c r="L49" s="1188"/>
      <c r="M49" s="1172"/>
      <c r="O49" s="1184" t="s">
        <v>2157</v>
      </c>
      <c r="P49" s="1185" t="s">
        <v>2158</v>
      </c>
      <c r="Q49" s="1218">
        <f ca="1">J60</f>
        <v>392</v>
      </c>
      <c r="R49" s="1185" t="s">
        <v>2159</v>
      </c>
    </row>
    <row r="50" spans="1:18" s="719" customFormat="1" ht="18" customHeight="1">
      <c r="A50" s="1004"/>
      <c r="B50" s="1082"/>
      <c r="C50" s="1000"/>
      <c r="D50" s="1001"/>
      <c r="E50" s="996" t="s">
        <v>2054</v>
      </c>
      <c r="F50" s="997">
        <f ca="1">F8</f>
        <v>365</v>
      </c>
      <c r="G50" s="1110"/>
      <c r="H50" s="1109"/>
      <c r="I50" s="1181" t="s">
        <v>2160</v>
      </c>
      <c r="J50" s="1189">
        <f>SUMPRODUCT((I63:I65=J47)*(J62:L62=J48)*(J63:L65))</f>
        <v>60</v>
      </c>
      <c r="K50" s="1187" t="s">
        <v>2161</v>
      </c>
      <c r="L50" s="1188"/>
      <c r="M50" s="1172"/>
      <c r="O50" s="1190" t="s">
        <v>2162</v>
      </c>
      <c r="P50" s="1185" t="s">
        <v>2163</v>
      </c>
      <c r="Q50" s="1218">
        <f ca="1">C29</f>
        <v>19380</v>
      </c>
      <c r="R50" s="1185" t="s">
        <v>2154</v>
      </c>
    </row>
    <row r="51" spans="1:18" s="719" customFormat="1" ht="18" customHeight="1">
      <c r="A51" s="1004"/>
      <c r="B51" s="1082"/>
      <c r="C51" s="1000"/>
      <c r="D51" s="1001"/>
      <c r="E51" s="996" t="s">
        <v>2055</v>
      </c>
      <c r="F51" s="1111"/>
      <c r="H51" s="1109"/>
      <c r="I51" s="1191" t="s">
        <v>2164</v>
      </c>
      <c r="J51" s="1192">
        <f>IF(J49="",J50,J49+J50-YEAR('数据-取费表'!B2))</f>
        <v>61</v>
      </c>
      <c r="K51" s="1181" t="s">
        <v>2165</v>
      </c>
      <c r="L51" s="1193">
        <f ca="1">ROUND(-PV(INDIRECT("'数据-取费表'!h"&amp;$G$1),J51,(C39-C13*J36),0),0)</f>
        <v>-1454</v>
      </c>
      <c r="M51" s="1172"/>
      <c r="O51" s="1190" t="s">
        <v>2166</v>
      </c>
      <c r="P51" s="1185" t="s">
        <v>2167</v>
      </c>
      <c r="Q51" s="1219">
        <f ca="1">J58</f>
        <v>0.4</v>
      </c>
      <c r="R51" s="1220"/>
    </row>
    <row r="52" spans="1:18" s="719" customFormat="1" ht="18" customHeight="1">
      <c r="A52" s="987" t="s">
        <v>2254</v>
      </c>
      <c r="B52" s="1007" t="s">
        <v>2056</v>
      </c>
      <c r="C52" s="137">
        <f ca="1">ROUND(IF(F52="押一",C48/12*F11,IF(F52="押二",C48/12*2*F11,IF(F52="押三",C48/12*3*F11,C53*F11))),0)</f>
        <v>0</v>
      </c>
      <c r="D52" s="1008" t="s">
        <v>2057</v>
      </c>
      <c r="E52" s="1009" t="s">
        <v>2058</v>
      </c>
      <c r="F52" s="1010"/>
      <c r="I52" s="1194" t="s">
        <v>2168</v>
      </c>
      <c r="J52" s="1195">
        <v>7.4999999999999997E-2</v>
      </c>
      <c r="K52" s="1194" t="s">
        <v>1203</v>
      </c>
      <c r="L52" s="1195"/>
      <c r="M52" s="1172"/>
      <c r="O52" s="1190" t="s">
        <v>2169</v>
      </c>
      <c r="P52" s="1185" t="s">
        <v>2170</v>
      </c>
      <c r="Q52" s="1219">
        <f>J52</f>
        <v>7.4999999999999997E-2</v>
      </c>
      <c r="R52" s="1220"/>
    </row>
    <row r="53" spans="1:18" s="719" customFormat="1" ht="39.75" customHeight="1">
      <c r="A53" s="1004"/>
      <c r="B53" s="1013" t="s">
        <v>2059</v>
      </c>
      <c r="C53" s="1014"/>
      <c r="D53" s="1008"/>
      <c r="E53" s="1009"/>
      <c r="F53" s="1112"/>
      <c r="I53" s="1196" t="s">
        <v>2171</v>
      </c>
      <c r="J53" s="1197">
        <f ca="1">IF(M47="住宅",IF(D1="——",MAX(J51,L48),MAX(J51,L48-'数据-取费表'!B20)),IF(D1="——",MIN(J51,L48),MIN(J51,L48-'数据-取费表'!B20)))</f>
        <v>41.27</v>
      </c>
      <c r="K53" s="3928" t="s">
        <v>2255</v>
      </c>
      <c r="L53" s="3929"/>
      <c r="M53" s="1172"/>
      <c r="O53" s="1190" t="s">
        <v>2172</v>
      </c>
      <c r="P53" s="1185" t="s">
        <v>2173</v>
      </c>
      <c r="Q53" s="1218">
        <f ca="1">J53</f>
        <v>41.27</v>
      </c>
      <c r="R53" s="1185" t="s">
        <v>2174</v>
      </c>
    </row>
    <row r="54" spans="1:18" s="719" customFormat="1" ht="18" customHeight="1">
      <c r="A54" s="1017" t="s">
        <v>953</v>
      </c>
      <c r="B54" s="1018" t="s">
        <v>2060</v>
      </c>
      <c r="C54" s="1019"/>
      <c r="D54" s="1008"/>
      <c r="E54" s="1009"/>
      <c r="F54" s="1112"/>
      <c r="I54" s="71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167"/>
      <c r="M54" s="1172"/>
      <c r="O54" s="1184" t="s">
        <v>2175</v>
      </c>
      <c r="P54" s="1185" t="s">
        <v>2176</v>
      </c>
      <c r="Q54" s="1218">
        <f ca="1">Q48+Q49</f>
        <v>22574</v>
      </c>
      <c r="R54" s="1220" t="s">
        <v>2177</v>
      </c>
    </row>
    <row r="55" spans="1:18" s="719" customFormat="1" ht="18" customHeight="1">
      <c r="A55" s="1113">
        <v>2</v>
      </c>
      <c r="B55" s="1114" t="s">
        <v>2064</v>
      </c>
      <c r="C55" s="137">
        <f ca="1">C13</f>
        <v>19380</v>
      </c>
      <c r="D55" s="1049"/>
      <c r="E55" s="1049"/>
      <c r="F55" s="1112"/>
      <c r="I55" s="1198" t="s">
        <v>2178</v>
      </c>
      <c r="J55" s="1199">
        <f ca="1">ROUND(IF(J47="钢混",J57/J50,1-(1-2%)*(J50-J57)/J50),3)</f>
        <v>0.30399999999999999</v>
      </c>
      <c r="K55" s="1200" t="s">
        <v>2179</v>
      </c>
      <c r="L55" s="1201"/>
      <c r="M55" s="1172"/>
      <c r="O55" s="1202" t="s">
        <v>2180</v>
      </c>
      <c r="P55" s="1174"/>
      <c r="Q55" s="664"/>
      <c r="R55" s="1174"/>
    </row>
    <row r="56" spans="1:18" s="719" customFormat="1" ht="42.75" customHeight="1">
      <c r="A56" s="1048"/>
      <c r="B56" s="1115" t="s">
        <v>2125</v>
      </c>
      <c r="C56" s="138">
        <f ca="1">C29</f>
        <v>19380</v>
      </c>
      <c r="D56" s="1062"/>
      <c r="E56" s="996"/>
      <c r="F56" s="1038"/>
      <c r="I56" s="1203" t="s">
        <v>2181</v>
      </c>
      <c r="J56" s="1204" t="s">
        <v>2256</v>
      </c>
      <c r="K56" s="1181" t="s">
        <v>2182</v>
      </c>
      <c r="L56" s="713" t="str">
        <f ca="1">IF(L48&lt;J51,"——",L48-J51)</f>
        <v>——</v>
      </c>
      <c r="M56" s="1172"/>
      <c r="O56" s="1179" t="s">
        <v>1375</v>
      </c>
      <c r="P56" s="1180" t="s">
        <v>2148</v>
      </c>
      <c r="Q56" s="1217" t="s">
        <v>2149</v>
      </c>
      <c r="R56" s="1180" t="s">
        <v>2150</v>
      </c>
    </row>
    <row r="57" spans="1:18" s="719" customFormat="1" ht="28.5" customHeight="1">
      <c r="A57" s="1113" t="s">
        <v>2128</v>
      </c>
      <c r="B57" s="1114" t="s">
        <v>2069</v>
      </c>
      <c r="C57" s="137">
        <f ca="1">ROUND(C58+C63+C64+C65,0)</f>
        <v>147</v>
      </c>
      <c r="D57" s="1116" t="s">
        <v>2070</v>
      </c>
      <c r="E57" s="140"/>
      <c r="F57" s="1039"/>
      <c r="I57" s="1205" t="s">
        <v>2183</v>
      </c>
      <c r="J57" s="1206">
        <f ca="1">IF(OR(M47="住宅",J51&lt;L48,J56="是"),"——",J51-L48)</f>
        <v>18.229999999999997</v>
      </c>
      <c r="K57" s="1181" t="s">
        <v>2184</v>
      </c>
      <c r="L57" s="713" t="str">
        <f ca="1">IF(L48&lt;J51,"——",IF(L55="比较法",L49,IF(L55="基准地价",L50,L51)))</f>
        <v>——</v>
      </c>
      <c r="M57" s="1172"/>
      <c r="O57" s="1184" t="s">
        <v>2152</v>
      </c>
      <c r="P57" s="1185" t="s">
        <v>2153</v>
      </c>
      <c r="Q57" s="1218">
        <f ca="1">C40+J29</f>
        <v>22182</v>
      </c>
      <c r="R57" s="1185" t="s">
        <v>2154</v>
      </c>
    </row>
    <row r="58" spans="1:18" s="719" customFormat="1" ht="28.5" customHeight="1">
      <c r="A58" s="1034" t="s">
        <v>882</v>
      </c>
      <c r="B58" s="996" t="s">
        <v>2074</v>
      </c>
      <c r="C58" s="1061">
        <f ca="1">ROUND(IF(AND(项目基本情况!B11="自然人",项目基本情况!B10="北京市"),C48*F58/(1+'数据-取费表'!C42),C59+C60+C61),2)</f>
        <v>40</v>
      </c>
      <c r="D58" s="1031" t="s">
        <v>2075</v>
      </c>
      <c r="E58" s="1062" t="s">
        <v>2076</v>
      </c>
      <c r="F58" s="1063" t="str">
        <f>IF(项目基本情况!B11="企业","——",IF('数据-取费表'!B10="住宅",IF(F48*F49*F50/12/(1+'数据-取费表'!F30)&gt;100000,4%,2.5%),IF(F48*F49*F50/12/(1+'数据-取费表'!F30)&gt;100000,12%,7%)))</f>
        <v>——</v>
      </c>
      <c r="I58" s="1205" t="s">
        <v>2185</v>
      </c>
      <c r="J58" s="1207">
        <f ca="1">IF(J55&lt;0.4,0.4,J55)</f>
        <v>0.4</v>
      </c>
      <c r="K58" s="1181" t="s">
        <v>2186</v>
      </c>
      <c r="L58" s="713" t="e">
        <f ca="1">ROUND(POWER(1+L52,L47-L48)*(POWER(1+L52,L48)-1)/(POWER(1+L52,L47)-1),4)</f>
        <v>#DIV/0!</v>
      </c>
      <c r="M58" s="1172"/>
      <c r="O58" s="1184" t="s">
        <v>2157</v>
      </c>
      <c r="P58" s="1185" t="s">
        <v>2187</v>
      </c>
      <c r="Q58" s="1218">
        <f ca="1">L60</f>
        <v>0</v>
      </c>
      <c r="R58" s="1220" t="s">
        <v>2188</v>
      </c>
    </row>
    <row r="59" spans="1:18" s="719" customFormat="1" ht="28.5" customHeight="1">
      <c r="A59" s="1029" t="s">
        <v>907</v>
      </c>
      <c r="B59" s="996" t="s">
        <v>2077</v>
      </c>
      <c r="C59" s="138">
        <f ca="1">ROUND(C47*F59/1.05,2)</f>
        <v>0</v>
      </c>
      <c r="D59" s="1062" t="s">
        <v>2078</v>
      </c>
      <c r="E59" s="996" t="s">
        <v>2068</v>
      </c>
      <c r="F59" s="1038">
        <f t="shared" ref="F59:F65" si="0">F32</f>
        <v>5.5E-2</v>
      </c>
      <c r="I59" s="1205" t="s">
        <v>2189</v>
      </c>
      <c r="J59" s="1206">
        <f ca="1">IF(OR(M47="住宅",J51&lt;L48,J56="是"),"——",ROUND(C29*J58,0))</f>
        <v>7752</v>
      </c>
      <c r="K59" s="1181" t="str">
        <f>IF(D1="——","建筑物剩余耐用年限下的土地年期修正系数Kn","建设期及建筑物耐用年限下的土地年期修正系数Kn")</f>
        <v>建设期及建筑物耐用年限下的土地年期修正系数Kn</v>
      </c>
      <c r="L59" s="713" t="e">
        <f ca="1">ROUND(IF(D1="土地（套用方法）",POWER(1+L52,L47-(J51+'数据-取费表'!B20))*(POWER(1+L52,(J51+'数据-取费表'!B20))-1)/(POWER(1+L52,L47)-1),POWER(1+L52,L47-J51)*(POWER(1+L52,J51)-1)/(POWER(1+L52,L47)-1)),4)</f>
        <v>#DIV/0!</v>
      </c>
      <c r="M59" s="1172"/>
      <c r="O59" s="1190" t="s">
        <v>2162</v>
      </c>
      <c r="P59" s="1185" t="s">
        <v>2191</v>
      </c>
      <c r="Q59" s="1218">
        <f>IF(L55="比较法",L49,IF(L55="基准地价",L50,0))</f>
        <v>0</v>
      </c>
      <c r="R59" s="1185" t="s">
        <v>2154</v>
      </c>
    </row>
    <row r="60" spans="1:18" s="719" customFormat="1" ht="18" customHeight="1">
      <c r="A60" s="1029" t="s">
        <v>911</v>
      </c>
      <c r="B60" s="996" t="s">
        <v>2081</v>
      </c>
      <c r="C60" s="138">
        <f ca="1">IF(D60="按租金收入计税",ROUND(C48*F60/(1+'数据-取费表'!C42),2),IF(D60="按房产原值计税",ROUND(C56*F60*0.7,2),INDIRECT("'数据-取费表'!Aj"&amp;$G$1)))</f>
        <v>0</v>
      </c>
      <c r="D60" s="1062" t="str">
        <f>D33</f>
        <v>按租金收入计税</v>
      </c>
      <c r="E60" s="996" t="s">
        <v>2068</v>
      </c>
      <c r="F60" s="1038">
        <f t="shared" si="0"/>
        <v>0.12</v>
      </c>
      <c r="I60" s="1208" t="s">
        <v>2192</v>
      </c>
      <c r="J60" s="1209">
        <f ca="1">IF(OR(M47="住宅",J51&lt;L48,J56="是"),"0",ROUND(J59/(1+J52)^J53,0))</f>
        <v>392</v>
      </c>
      <c r="K60" s="1210" t="s">
        <v>2193</v>
      </c>
      <c r="L60" s="1209">
        <f ca="1">IF(OR(M47="住宅",L48&lt;J51),0,ROUND(L57*(L58/L59-1),0))</f>
        <v>0</v>
      </c>
      <c r="M60" s="1172"/>
      <c r="O60" s="1190" t="s">
        <v>2166</v>
      </c>
      <c r="P60" s="1185" t="s">
        <v>2194</v>
      </c>
      <c r="Q60" s="1219">
        <f>L52</f>
        <v>0</v>
      </c>
      <c r="R60" s="1220"/>
    </row>
    <row r="61" spans="1:18" s="719" customFormat="1" ht="18" customHeight="1">
      <c r="A61" s="1042" t="s">
        <v>914</v>
      </c>
      <c r="B61" s="1068" t="s">
        <v>2086</v>
      </c>
      <c r="C61" s="1069">
        <f ca="1">ROUND(F61*F62/10000,2)</f>
        <v>40</v>
      </c>
      <c r="D61" s="1070" t="s">
        <v>2087</v>
      </c>
      <c r="E61" s="996" t="s">
        <v>2088</v>
      </c>
      <c r="F61" s="1046">
        <f t="shared" si="0"/>
        <v>2</v>
      </c>
      <c r="K61" s="1167"/>
      <c r="O61" s="1190" t="s">
        <v>2169</v>
      </c>
      <c r="P61" s="1185" t="s">
        <v>2195</v>
      </c>
      <c r="Q61" s="1218" t="e">
        <f ca="1">L58</f>
        <v>#DIV/0!</v>
      </c>
      <c r="R61" s="1220" t="s">
        <v>2196</v>
      </c>
    </row>
    <row r="62" spans="1:18" s="719" customFormat="1">
      <c r="A62" s="1071"/>
      <c r="B62" s="1072"/>
      <c r="C62" s="1073"/>
      <c r="D62" s="1074"/>
      <c r="E62" s="996" t="s">
        <v>2093</v>
      </c>
      <c r="F62" s="997">
        <f t="shared" ca="1" si="0"/>
        <v>200000</v>
      </c>
      <c r="I62" s="1211" t="s">
        <v>2197</v>
      </c>
      <c r="J62" s="1212" t="s">
        <v>2198</v>
      </c>
      <c r="K62" s="1212" t="s">
        <v>2199</v>
      </c>
      <c r="L62" s="1212" t="s">
        <v>2200</v>
      </c>
      <c r="M62" s="1213" t="s">
        <v>2201</v>
      </c>
      <c r="O62" s="1190" t="s">
        <v>2172</v>
      </c>
      <c r="P62" s="1185" t="str">
        <f>K59</f>
        <v>建设期及建筑物耐用年限下的土地年期修正系数Kn</v>
      </c>
      <c r="Q62" s="1218" t="e">
        <f ca="1">L59</f>
        <v>#DIV/0!</v>
      </c>
      <c r="R62" s="1220" t="s">
        <v>2203</v>
      </c>
    </row>
    <row r="63" spans="1:18" s="719" customFormat="1">
      <c r="A63" s="1034" t="s">
        <v>884</v>
      </c>
      <c r="B63" s="996" t="s">
        <v>2096</v>
      </c>
      <c r="C63" s="138">
        <f ca="1">ROUND(C56*F63,2)</f>
        <v>96.9</v>
      </c>
      <c r="D63" s="1062" t="s">
        <v>2131</v>
      </c>
      <c r="E63" s="996" t="s">
        <v>2068</v>
      </c>
      <c r="F63" s="1075">
        <f t="shared" ca="1" si="0"/>
        <v>5.0000000000000001E-3</v>
      </c>
      <c r="I63" s="1211" t="s">
        <v>2204</v>
      </c>
      <c r="J63" s="1212">
        <v>70</v>
      </c>
      <c r="K63" s="1212">
        <v>50</v>
      </c>
      <c r="L63" s="1212">
        <v>80</v>
      </c>
      <c r="M63" s="1214">
        <v>0.02</v>
      </c>
      <c r="O63" s="1184" t="s">
        <v>2175</v>
      </c>
      <c r="P63" s="1185" t="s">
        <v>2176</v>
      </c>
      <c r="Q63" s="1218">
        <f ca="1">Q57+Q58</f>
        <v>22182</v>
      </c>
      <c r="R63" s="1220" t="s">
        <v>2177</v>
      </c>
    </row>
    <row r="64" spans="1:18" s="719" customFormat="1" ht="15.75">
      <c r="A64" s="1034" t="s">
        <v>953</v>
      </c>
      <c r="B64" s="996" t="s">
        <v>2100</v>
      </c>
      <c r="C64" s="138">
        <f ca="1">ROUND(C55*F64,2)</f>
        <v>9.69</v>
      </c>
      <c r="D64" s="1062" t="s">
        <v>2101</v>
      </c>
      <c r="E64" s="996" t="s">
        <v>2068</v>
      </c>
      <c r="F64" s="1076">
        <f t="shared" ca="1" si="0"/>
        <v>5.0000000000000001E-4</v>
      </c>
      <c r="I64" s="1211" t="s">
        <v>2205</v>
      </c>
      <c r="J64" s="1212">
        <v>50</v>
      </c>
      <c r="K64" s="1212">
        <v>35</v>
      </c>
      <c r="L64" s="1212">
        <v>60</v>
      </c>
      <c r="M64" s="712">
        <v>0</v>
      </c>
      <c r="O64" s="1202" t="s">
        <v>2206</v>
      </c>
      <c r="P64" s="1174"/>
      <c r="Q64" s="664"/>
      <c r="R64" s="1174"/>
    </row>
    <row r="65" spans="1:18" s="719" customFormat="1">
      <c r="A65" s="1034" t="s">
        <v>2227</v>
      </c>
      <c r="B65" s="996" t="s">
        <v>2084</v>
      </c>
      <c r="C65" s="138">
        <f ca="1">ROUND(C47*F65,2)</f>
        <v>0</v>
      </c>
      <c r="D65" s="1062" t="s">
        <v>2104</v>
      </c>
      <c r="E65" s="996" t="s">
        <v>2068</v>
      </c>
      <c r="F65" s="1005">
        <f t="shared" ca="1" si="0"/>
        <v>5.0000000000000001E-3</v>
      </c>
      <c r="I65" s="1211" t="s">
        <v>2207</v>
      </c>
      <c r="J65" s="1212">
        <v>40</v>
      </c>
      <c r="K65" s="1212">
        <v>30</v>
      </c>
      <c r="L65" s="1212">
        <v>50</v>
      </c>
      <c r="M65" s="1214">
        <v>0.02</v>
      </c>
      <c r="O65" s="1179" t="s">
        <v>1375</v>
      </c>
      <c r="P65" s="1180" t="s">
        <v>2148</v>
      </c>
      <c r="Q65" s="1217" t="s">
        <v>2149</v>
      </c>
      <c r="R65" s="1180" t="s">
        <v>2150</v>
      </c>
    </row>
    <row r="66" spans="1:18" s="719" customFormat="1">
      <c r="A66" s="1113" t="s">
        <v>2228</v>
      </c>
      <c r="B66" s="1221" t="s">
        <v>2108</v>
      </c>
      <c r="C66" s="137">
        <f ca="1">C47-C57</f>
        <v>-147</v>
      </c>
      <c r="D66" s="1031" t="s">
        <v>2109</v>
      </c>
      <c r="E66" s="1222"/>
      <c r="F66" s="1223"/>
      <c r="K66" s="1167"/>
      <c r="O66" s="1184" t="s">
        <v>2152</v>
      </c>
      <c r="P66" s="1185" t="s">
        <v>2153</v>
      </c>
      <c r="Q66" s="1218">
        <f ca="1">C40+J29</f>
        <v>22182</v>
      </c>
      <c r="R66" s="1185" t="s">
        <v>2154</v>
      </c>
    </row>
    <row r="67" spans="1:18" s="719" customFormat="1" ht="19.5">
      <c r="A67" s="987" t="s">
        <v>2229</v>
      </c>
      <c r="B67" s="1081" t="s">
        <v>2242</v>
      </c>
      <c r="C67" s="994">
        <f ca="1">ROUND(C66*(1-((1+F69)/(1+F67))^F68)/(F67-F69),0)</f>
        <v>-2547</v>
      </c>
      <c r="D67" s="1070" t="s">
        <v>2114</v>
      </c>
      <c r="E67" s="996" t="s">
        <v>2115</v>
      </c>
      <c r="F67" s="1005">
        <f ca="1">F40</f>
        <v>0.05</v>
      </c>
      <c r="K67" s="1167"/>
      <c r="O67" s="1184" t="s">
        <v>2157</v>
      </c>
      <c r="P67" s="1185" t="s">
        <v>2187</v>
      </c>
      <c r="Q67" s="1218">
        <f ca="1">L60</f>
        <v>0</v>
      </c>
      <c r="R67" s="1220" t="s">
        <v>2188</v>
      </c>
    </row>
    <row r="68" spans="1:18" ht="21">
      <c r="A68" s="1004"/>
      <c r="B68" s="1082"/>
      <c r="C68" s="1000"/>
      <c r="D68" s="1083" t="s">
        <v>2118</v>
      </c>
      <c r="E68" s="996" t="s">
        <v>2119</v>
      </c>
      <c r="F68" s="1084">
        <f ca="1">F41</f>
        <v>41.27</v>
      </c>
      <c r="O68" s="1190" t="s">
        <v>2162</v>
      </c>
      <c r="P68" s="1185" t="s">
        <v>2191</v>
      </c>
      <c r="Q68" s="1225">
        <f ca="1">L51</f>
        <v>-1454</v>
      </c>
      <c r="R68" s="1226" t="s">
        <v>2208</v>
      </c>
    </row>
    <row r="69" spans="1:18" ht="19.5">
      <c r="A69" s="1012"/>
      <c r="B69" s="1086"/>
      <c r="C69" s="1026"/>
      <c r="D69" s="1074"/>
      <c r="E69" s="996" t="s">
        <v>2123</v>
      </c>
      <c r="F69" s="1111"/>
      <c r="O69" s="1190" t="s">
        <v>2166</v>
      </c>
      <c r="P69" s="1224" t="s">
        <v>2209</v>
      </c>
      <c r="Q69" s="1218">
        <f ca="1">ROUND(Q70-Q71*Q72,0)</f>
        <v>-77</v>
      </c>
      <c r="R69" s="1220"/>
    </row>
    <row r="70" spans="1:18">
      <c r="A70" s="1057" t="s">
        <v>2234</v>
      </c>
      <c r="B70" s="1087" t="s">
        <v>2246</v>
      </c>
      <c r="C70" s="1088">
        <f ca="1">ROUND(C67*10000/F70,0)</f>
        <v>-341</v>
      </c>
      <c r="D70" s="1089" t="s">
        <v>2247</v>
      </c>
      <c r="E70" s="1090" t="s">
        <v>2248</v>
      </c>
      <c r="F70" s="1091">
        <f ca="1">F43</f>
        <v>74800</v>
      </c>
      <c r="O70" s="1190" t="s">
        <v>2210</v>
      </c>
      <c r="P70" s="1224" t="s">
        <v>2211</v>
      </c>
      <c r="Q70" s="1218">
        <f ca="1">C39</f>
        <v>1280</v>
      </c>
      <c r="R70" s="1185" t="s">
        <v>2154</v>
      </c>
    </row>
    <row r="71" spans="1:18">
      <c r="O71" s="1190" t="s">
        <v>2212</v>
      </c>
      <c r="P71" s="1224" t="s">
        <v>2213</v>
      </c>
      <c r="Q71" s="1218">
        <f ca="1">C13</f>
        <v>19380</v>
      </c>
      <c r="R71" s="1185" t="s">
        <v>2154</v>
      </c>
    </row>
    <row r="72" spans="1:18">
      <c r="O72" s="1190" t="s">
        <v>2214</v>
      </c>
      <c r="P72" s="1224" t="s">
        <v>2215</v>
      </c>
      <c r="Q72" s="1219">
        <f ca="1">J36</f>
        <v>7.0000000000000007E-2</v>
      </c>
      <c r="R72" s="1220"/>
    </row>
    <row r="73" spans="1:18">
      <c r="O73" s="1190" t="s">
        <v>2169</v>
      </c>
      <c r="P73" s="1185" t="s">
        <v>2194</v>
      </c>
      <c r="Q73" s="1219">
        <f>L52</f>
        <v>0</v>
      </c>
      <c r="R73" s="1220"/>
    </row>
    <row r="74" spans="1:18" ht="19.5">
      <c r="O74" s="1190" t="s">
        <v>2172</v>
      </c>
      <c r="P74" s="1185" t="s">
        <v>2195</v>
      </c>
      <c r="Q74" s="1218" t="e">
        <f ca="1">L58</f>
        <v>#DIV/0!</v>
      </c>
      <c r="R74" s="1220" t="s">
        <v>2196</v>
      </c>
    </row>
    <row r="75" spans="1:18">
      <c r="O75" s="1190" t="s">
        <v>2216</v>
      </c>
      <c r="P75" s="1185" t="str">
        <f>K59</f>
        <v>建设期及建筑物耐用年限下的土地年期修正系数Kn</v>
      </c>
      <c r="Q75" s="1218" t="e">
        <f ca="1">L59</f>
        <v>#DIV/0!</v>
      </c>
      <c r="R75" s="1220" t="s">
        <v>2203</v>
      </c>
    </row>
    <row r="76" spans="1:18">
      <c r="O76" s="1184" t="s">
        <v>2175</v>
      </c>
      <c r="P76" s="1185" t="s">
        <v>2176</v>
      </c>
      <c r="Q76" s="1218">
        <f ca="1">Q66+Q67</f>
        <v>22182</v>
      </c>
      <c r="R76" s="1220" t="s">
        <v>2177</v>
      </c>
    </row>
  </sheetData>
  <sheetProtection password="CEE9" sheet="1" objects="1" scenarios="1" formatCells="0" formatColumns="0" formatRows="0"/>
  <mergeCells count="3">
    <mergeCell ref="K53:L53"/>
    <mergeCell ref="B6:B9"/>
    <mergeCell ref="I6:I9"/>
  </mergeCells>
  <phoneticPr fontId="254" type="noConversion"/>
  <conditionalFormatting sqref="C11">
    <cfRule type="expression" dxfId="121" priority="4">
      <formula>$F$10="自定义"</formula>
    </cfRule>
  </conditionalFormatting>
  <conditionalFormatting sqref="J11">
    <cfRule type="expression" dxfId="120" priority="2">
      <formula>$M$10="自定义"</formula>
    </cfRule>
  </conditionalFormatting>
  <conditionalFormatting sqref="C53">
    <cfRule type="expression" dxfId="119" priority="1">
      <formula>$F$52="自定义"</formula>
    </cfRule>
  </conditionalFormatting>
  <conditionalFormatting sqref="I55">
    <cfRule type="expression" dxfId="118" priority="8">
      <formula>$J$51&gt;$L$48</formula>
    </cfRule>
  </conditionalFormatting>
  <conditionalFormatting sqref="K55">
    <cfRule type="expression" dxfId="117" priority="7">
      <formula>$L$48&gt;$J$51</formula>
    </cfRule>
  </conditionalFormatting>
  <conditionalFormatting sqref="I60">
    <cfRule type="expression" dxfId="116" priority="6">
      <formula>$J$51&gt;$L$48</formula>
    </cfRule>
  </conditionalFormatting>
  <conditionalFormatting sqref="K60">
    <cfRule type="expression" dxfId="115" priority="5">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C1:C3">
      <formula1>项目类型</formula1>
    </dataValidation>
  </dataValidations>
  <pageMargins left="0.7" right="0.7" top="0.75" bottom="0.75" header="0.3" footer="0.3"/>
  <pageSetup paperSize="9" scale="62" orientation="landscape" r:id="rId1"/>
  <ignoredErrors>
    <ignoredError sqref="F49:F50 F70 F67:F68 F62:F65" evalError="1"/>
  </ignoredError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T45" sqref="T45"/>
    </sheetView>
  </sheetViews>
  <sheetFormatPr defaultColWidth="9" defaultRowHeight="13.15" customHeight="1"/>
  <cols>
    <col min="1" max="1" width="9.5" style="787" customWidth="1"/>
    <col min="2" max="2" width="8.875" style="787"/>
    <col min="3" max="5" width="12.875" style="787" customWidth="1"/>
    <col min="6" max="6" width="47.5" style="787" customWidth="1"/>
    <col min="7" max="7" width="13" style="788" customWidth="1"/>
    <col min="8" max="8" width="8.875" style="789"/>
    <col min="9" max="9" width="8.875" style="790"/>
    <col min="10" max="10" width="5.75" style="791" customWidth="1"/>
    <col min="11" max="11" width="11.75" style="791" customWidth="1"/>
    <col min="12" max="13" width="10.75" style="791" customWidth="1"/>
    <col min="14" max="14" width="10" style="791" customWidth="1"/>
    <col min="15" max="16" width="10.5" style="791" customWidth="1"/>
    <col min="17" max="17" width="10" style="791" customWidth="1"/>
    <col min="18" max="18" width="10.125" style="791" customWidth="1"/>
    <col min="19" max="19" width="10" style="791" customWidth="1"/>
    <col min="20" max="20" width="26.125" style="791" customWidth="1"/>
    <col min="21" max="21" width="8.875" style="791"/>
    <col min="22" max="22" width="8.875" style="790"/>
    <col min="23" max="256" width="8.875" style="787"/>
    <col min="257" max="257" width="9.5" style="787" customWidth="1"/>
    <col min="258" max="258" width="8.875" style="787"/>
    <col min="259" max="261" width="12.875" style="787" customWidth="1"/>
    <col min="262" max="262" width="47.5" style="787" customWidth="1"/>
    <col min="263" max="263" width="13" style="787" customWidth="1"/>
    <col min="264" max="265" width="8.875" style="787"/>
    <col min="266" max="266" width="5.75" style="787" customWidth="1"/>
    <col min="267" max="267" width="11.75" style="787" customWidth="1"/>
    <col min="268" max="269" width="10.75" style="787" customWidth="1"/>
    <col min="270" max="270" width="10" style="787" customWidth="1"/>
    <col min="271" max="272" width="10.5" style="787" customWidth="1"/>
    <col min="273" max="273" width="10" style="787" customWidth="1"/>
    <col min="274" max="274" width="10.125" style="787" customWidth="1"/>
    <col min="275" max="275" width="10" style="787" customWidth="1"/>
    <col min="276" max="276" width="26.125" style="787" customWidth="1"/>
    <col min="277" max="512" width="8.875" style="787"/>
    <col min="513" max="513" width="9.5" style="787" customWidth="1"/>
    <col min="514" max="514" width="8.875" style="787"/>
    <col min="515" max="517" width="12.875" style="787" customWidth="1"/>
    <col min="518" max="518" width="47.5" style="787" customWidth="1"/>
    <col min="519" max="519" width="13" style="787" customWidth="1"/>
    <col min="520" max="521" width="8.875" style="787"/>
    <col min="522" max="522" width="5.75" style="787" customWidth="1"/>
    <col min="523" max="523" width="11.75" style="787" customWidth="1"/>
    <col min="524" max="525" width="10.75" style="787" customWidth="1"/>
    <col min="526" max="526" width="10" style="787" customWidth="1"/>
    <col min="527" max="528" width="10.5" style="787" customWidth="1"/>
    <col min="529" max="529" width="10" style="787" customWidth="1"/>
    <col min="530" max="530" width="10.125" style="787" customWidth="1"/>
    <col min="531" max="531" width="10" style="787" customWidth="1"/>
    <col min="532" max="532" width="26.125" style="787" customWidth="1"/>
    <col min="533" max="768" width="8.875" style="787"/>
    <col min="769" max="769" width="9.5" style="787" customWidth="1"/>
    <col min="770" max="770" width="8.875" style="787"/>
    <col min="771" max="773" width="12.875" style="787" customWidth="1"/>
    <col min="774" max="774" width="47.5" style="787" customWidth="1"/>
    <col min="775" max="775" width="13" style="787" customWidth="1"/>
    <col min="776" max="777" width="8.875" style="787"/>
    <col min="778" max="778" width="5.75" style="787" customWidth="1"/>
    <col min="779" max="779" width="11.75" style="787" customWidth="1"/>
    <col min="780" max="781" width="10.75" style="787" customWidth="1"/>
    <col min="782" max="782" width="10" style="787" customWidth="1"/>
    <col min="783" max="784" width="10.5" style="787" customWidth="1"/>
    <col min="785" max="785" width="10" style="787" customWidth="1"/>
    <col min="786" max="786" width="10.125" style="787" customWidth="1"/>
    <col min="787" max="787" width="10" style="787" customWidth="1"/>
    <col min="788" max="788" width="26.125" style="787" customWidth="1"/>
    <col min="789" max="1024" width="8.875" style="787"/>
    <col min="1025" max="1025" width="9.5" style="787" customWidth="1"/>
    <col min="1026" max="1026" width="8.875" style="787"/>
    <col min="1027" max="1029" width="12.875" style="787" customWidth="1"/>
    <col min="1030" max="1030" width="47.5" style="787" customWidth="1"/>
    <col min="1031" max="1031" width="13" style="787" customWidth="1"/>
    <col min="1032" max="1033" width="8.875" style="787"/>
    <col min="1034" max="1034" width="5.75" style="787" customWidth="1"/>
    <col min="1035" max="1035" width="11.75" style="787" customWidth="1"/>
    <col min="1036" max="1037" width="10.75" style="787" customWidth="1"/>
    <col min="1038" max="1038" width="10" style="787" customWidth="1"/>
    <col min="1039" max="1040" width="10.5" style="787" customWidth="1"/>
    <col min="1041" max="1041" width="10" style="787" customWidth="1"/>
    <col min="1042" max="1042" width="10.125" style="787" customWidth="1"/>
    <col min="1043" max="1043" width="10" style="787" customWidth="1"/>
    <col min="1044" max="1044" width="26.125" style="787" customWidth="1"/>
    <col min="1045" max="1280" width="8.875" style="787"/>
    <col min="1281" max="1281" width="9.5" style="787" customWidth="1"/>
    <col min="1282" max="1282" width="8.875" style="787"/>
    <col min="1283" max="1285" width="12.875" style="787" customWidth="1"/>
    <col min="1286" max="1286" width="47.5" style="787" customWidth="1"/>
    <col min="1287" max="1287" width="13" style="787" customWidth="1"/>
    <col min="1288" max="1289" width="8.875" style="787"/>
    <col min="1290" max="1290" width="5.75" style="787" customWidth="1"/>
    <col min="1291" max="1291" width="11.75" style="787" customWidth="1"/>
    <col min="1292" max="1293" width="10.75" style="787" customWidth="1"/>
    <col min="1294" max="1294" width="10" style="787" customWidth="1"/>
    <col min="1295" max="1296" width="10.5" style="787" customWidth="1"/>
    <col min="1297" max="1297" width="10" style="787" customWidth="1"/>
    <col min="1298" max="1298" width="10.125" style="787" customWidth="1"/>
    <col min="1299" max="1299" width="10" style="787" customWidth="1"/>
    <col min="1300" max="1300" width="26.125" style="787" customWidth="1"/>
    <col min="1301" max="1536" width="8.875" style="787"/>
    <col min="1537" max="1537" width="9.5" style="787" customWidth="1"/>
    <col min="1538" max="1538" width="8.875" style="787"/>
    <col min="1539" max="1541" width="12.875" style="787" customWidth="1"/>
    <col min="1542" max="1542" width="47.5" style="787" customWidth="1"/>
    <col min="1543" max="1543" width="13" style="787" customWidth="1"/>
    <col min="1544" max="1545" width="8.875" style="787"/>
    <col min="1546" max="1546" width="5.75" style="787" customWidth="1"/>
    <col min="1547" max="1547" width="11.75" style="787" customWidth="1"/>
    <col min="1548" max="1549" width="10.75" style="787" customWidth="1"/>
    <col min="1550" max="1550" width="10" style="787" customWidth="1"/>
    <col min="1551" max="1552" width="10.5" style="787" customWidth="1"/>
    <col min="1553" max="1553" width="10" style="787" customWidth="1"/>
    <col min="1554" max="1554" width="10.125" style="787" customWidth="1"/>
    <col min="1555" max="1555" width="10" style="787" customWidth="1"/>
    <col min="1556" max="1556" width="26.125" style="787" customWidth="1"/>
    <col min="1557" max="1792" width="8.875" style="787"/>
    <col min="1793" max="1793" width="9.5" style="787" customWidth="1"/>
    <col min="1794" max="1794" width="8.875" style="787"/>
    <col min="1795" max="1797" width="12.875" style="787" customWidth="1"/>
    <col min="1798" max="1798" width="47.5" style="787" customWidth="1"/>
    <col min="1799" max="1799" width="13" style="787" customWidth="1"/>
    <col min="1800" max="1801" width="8.875" style="787"/>
    <col min="1802" max="1802" width="5.75" style="787" customWidth="1"/>
    <col min="1803" max="1803" width="11.75" style="787" customWidth="1"/>
    <col min="1804" max="1805" width="10.75" style="787" customWidth="1"/>
    <col min="1806" max="1806" width="10" style="787" customWidth="1"/>
    <col min="1807" max="1808" width="10.5" style="787" customWidth="1"/>
    <col min="1809" max="1809" width="10" style="787" customWidth="1"/>
    <col min="1810" max="1810" width="10.125" style="787" customWidth="1"/>
    <col min="1811" max="1811" width="10" style="787" customWidth="1"/>
    <col min="1812" max="1812" width="26.125" style="787" customWidth="1"/>
    <col min="1813" max="2048" width="8.875" style="787"/>
    <col min="2049" max="2049" width="9.5" style="787" customWidth="1"/>
    <col min="2050" max="2050" width="8.875" style="787"/>
    <col min="2051" max="2053" width="12.875" style="787" customWidth="1"/>
    <col min="2054" max="2054" width="47.5" style="787" customWidth="1"/>
    <col min="2055" max="2055" width="13" style="787" customWidth="1"/>
    <col min="2056" max="2057" width="8.875" style="787"/>
    <col min="2058" max="2058" width="5.75" style="787" customWidth="1"/>
    <col min="2059" max="2059" width="11.75" style="787" customWidth="1"/>
    <col min="2060" max="2061" width="10.75" style="787" customWidth="1"/>
    <col min="2062" max="2062" width="10" style="787" customWidth="1"/>
    <col min="2063" max="2064" width="10.5" style="787" customWidth="1"/>
    <col min="2065" max="2065" width="10" style="787" customWidth="1"/>
    <col min="2066" max="2066" width="10.125" style="787" customWidth="1"/>
    <col min="2067" max="2067" width="10" style="787" customWidth="1"/>
    <col min="2068" max="2068" width="26.125" style="787" customWidth="1"/>
    <col min="2069" max="2304" width="8.875" style="787"/>
    <col min="2305" max="2305" width="9.5" style="787" customWidth="1"/>
    <col min="2306" max="2306" width="8.875" style="787"/>
    <col min="2307" max="2309" width="12.875" style="787" customWidth="1"/>
    <col min="2310" max="2310" width="47.5" style="787" customWidth="1"/>
    <col min="2311" max="2311" width="13" style="787" customWidth="1"/>
    <col min="2312" max="2313" width="8.875" style="787"/>
    <col min="2314" max="2314" width="5.75" style="787" customWidth="1"/>
    <col min="2315" max="2315" width="11.75" style="787" customWidth="1"/>
    <col min="2316" max="2317" width="10.75" style="787" customWidth="1"/>
    <col min="2318" max="2318" width="10" style="787" customWidth="1"/>
    <col min="2319" max="2320" width="10.5" style="787" customWidth="1"/>
    <col min="2321" max="2321" width="10" style="787" customWidth="1"/>
    <col min="2322" max="2322" width="10.125" style="787" customWidth="1"/>
    <col min="2323" max="2323" width="10" style="787" customWidth="1"/>
    <col min="2324" max="2324" width="26.125" style="787" customWidth="1"/>
    <col min="2325" max="2560" width="8.875" style="787"/>
    <col min="2561" max="2561" width="9.5" style="787" customWidth="1"/>
    <col min="2562" max="2562" width="8.875" style="787"/>
    <col min="2563" max="2565" width="12.875" style="787" customWidth="1"/>
    <col min="2566" max="2566" width="47.5" style="787" customWidth="1"/>
    <col min="2567" max="2567" width="13" style="787" customWidth="1"/>
    <col min="2568" max="2569" width="8.875" style="787"/>
    <col min="2570" max="2570" width="5.75" style="787" customWidth="1"/>
    <col min="2571" max="2571" width="11.75" style="787" customWidth="1"/>
    <col min="2572" max="2573" width="10.75" style="787" customWidth="1"/>
    <col min="2574" max="2574" width="10" style="787" customWidth="1"/>
    <col min="2575" max="2576" width="10.5" style="787" customWidth="1"/>
    <col min="2577" max="2577" width="10" style="787" customWidth="1"/>
    <col min="2578" max="2578" width="10.125" style="787" customWidth="1"/>
    <col min="2579" max="2579" width="10" style="787" customWidth="1"/>
    <col min="2580" max="2580" width="26.125" style="787" customWidth="1"/>
    <col min="2581" max="2816" width="8.875" style="787"/>
    <col min="2817" max="2817" width="9.5" style="787" customWidth="1"/>
    <col min="2818" max="2818" width="8.875" style="787"/>
    <col min="2819" max="2821" width="12.875" style="787" customWidth="1"/>
    <col min="2822" max="2822" width="47.5" style="787" customWidth="1"/>
    <col min="2823" max="2823" width="13" style="787" customWidth="1"/>
    <col min="2824" max="2825" width="8.875" style="787"/>
    <col min="2826" max="2826" width="5.75" style="787" customWidth="1"/>
    <col min="2827" max="2827" width="11.75" style="787" customWidth="1"/>
    <col min="2828" max="2829" width="10.75" style="787" customWidth="1"/>
    <col min="2830" max="2830" width="10" style="787" customWidth="1"/>
    <col min="2831" max="2832" width="10.5" style="787" customWidth="1"/>
    <col min="2833" max="2833" width="10" style="787" customWidth="1"/>
    <col min="2834" max="2834" width="10.125" style="787" customWidth="1"/>
    <col min="2835" max="2835" width="10" style="787" customWidth="1"/>
    <col min="2836" max="2836" width="26.125" style="787" customWidth="1"/>
    <col min="2837" max="3072" width="8.875" style="787"/>
    <col min="3073" max="3073" width="9.5" style="787" customWidth="1"/>
    <col min="3074" max="3074" width="8.875" style="787"/>
    <col min="3075" max="3077" width="12.875" style="787" customWidth="1"/>
    <col min="3078" max="3078" width="47.5" style="787" customWidth="1"/>
    <col min="3079" max="3079" width="13" style="787" customWidth="1"/>
    <col min="3080" max="3081" width="8.875" style="787"/>
    <col min="3082" max="3082" width="5.75" style="787" customWidth="1"/>
    <col min="3083" max="3083" width="11.75" style="787" customWidth="1"/>
    <col min="3084" max="3085" width="10.75" style="787" customWidth="1"/>
    <col min="3086" max="3086" width="10" style="787" customWidth="1"/>
    <col min="3087" max="3088" width="10.5" style="787" customWidth="1"/>
    <col min="3089" max="3089" width="10" style="787" customWidth="1"/>
    <col min="3090" max="3090" width="10.125" style="787" customWidth="1"/>
    <col min="3091" max="3091" width="10" style="787" customWidth="1"/>
    <col min="3092" max="3092" width="26.125" style="787" customWidth="1"/>
    <col min="3093" max="3328" width="8.875" style="787"/>
    <col min="3329" max="3329" width="9.5" style="787" customWidth="1"/>
    <col min="3330" max="3330" width="8.875" style="787"/>
    <col min="3331" max="3333" width="12.875" style="787" customWidth="1"/>
    <col min="3334" max="3334" width="47.5" style="787" customWidth="1"/>
    <col min="3335" max="3335" width="13" style="787" customWidth="1"/>
    <col min="3336" max="3337" width="8.875" style="787"/>
    <col min="3338" max="3338" width="5.75" style="787" customWidth="1"/>
    <col min="3339" max="3339" width="11.75" style="787" customWidth="1"/>
    <col min="3340" max="3341" width="10.75" style="787" customWidth="1"/>
    <col min="3342" max="3342" width="10" style="787" customWidth="1"/>
    <col min="3343" max="3344" width="10.5" style="787" customWidth="1"/>
    <col min="3345" max="3345" width="10" style="787" customWidth="1"/>
    <col min="3346" max="3346" width="10.125" style="787" customWidth="1"/>
    <col min="3347" max="3347" width="10" style="787" customWidth="1"/>
    <col min="3348" max="3348" width="26.125" style="787" customWidth="1"/>
    <col min="3349" max="3584" width="8.875" style="787"/>
    <col min="3585" max="3585" width="9.5" style="787" customWidth="1"/>
    <col min="3586" max="3586" width="8.875" style="787"/>
    <col min="3587" max="3589" width="12.875" style="787" customWidth="1"/>
    <col min="3590" max="3590" width="47.5" style="787" customWidth="1"/>
    <col min="3591" max="3591" width="13" style="787" customWidth="1"/>
    <col min="3592" max="3593" width="8.875" style="787"/>
    <col min="3594" max="3594" width="5.75" style="787" customWidth="1"/>
    <col min="3595" max="3595" width="11.75" style="787" customWidth="1"/>
    <col min="3596" max="3597" width="10.75" style="787" customWidth="1"/>
    <col min="3598" max="3598" width="10" style="787" customWidth="1"/>
    <col min="3599" max="3600" width="10.5" style="787" customWidth="1"/>
    <col min="3601" max="3601" width="10" style="787" customWidth="1"/>
    <col min="3602" max="3602" width="10.125" style="787" customWidth="1"/>
    <col min="3603" max="3603" width="10" style="787" customWidth="1"/>
    <col min="3604" max="3604" width="26.125" style="787" customWidth="1"/>
    <col min="3605" max="3840" width="8.875" style="787"/>
    <col min="3841" max="3841" width="9.5" style="787" customWidth="1"/>
    <col min="3842" max="3842" width="8.875" style="787"/>
    <col min="3843" max="3845" width="12.875" style="787" customWidth="1"/>
    <col min="3846" max="3846" width="47.5" style="787" customWidth="1"/>
    <col min="3847" max="3847" width="13" style="787" customWidth="1"/>
    <col min="3848" max="3849" width="8.875" style="787"/>
    <col min="3850" max="3850" width="5.75" style="787" customWidth="1"/>
    <col min="3851" max="3851" width="11.75" style="787" customWidth="1"/>
    <col min="3852" max="3853" width="10.75" style="787" customWidth="1"/>
    <col min="3854" max="3854" width="10" style="787" customWidth="1"/>
    <col min="3855" max="3856" width="10.5" style="787" customWidth="1"/>
    <col min="3857" max="3857" width="10" style="787" customWidth="1"/>
    <col min="3858" max="3858" width="10.125" style="787" customWidth="1"/>
    <col min="3859" max="3859" width="10" style="787" customWidth="1"/>
    <col min="3860" max="3860" width="26.125" style="787" customWidth="1"/>
    <col min="3861" max="4096" width="8.875" style="787"/>
    <col min="4097" max="4097" width="9.5" style="787" customWidth="1"/>
    <col min="4098" max="4098" width="8.875" style="787"/>
    <col min="4099" max="4101" width="12.875" style="787" customWidth="1"/>
    <col min="4102" max="4102" width="47.5" style="787" customWidth="1"/>
    <col min="4103" max="4103" width="13" style="787" customWidth="1"/>
    <col min="4104" max="4105" width="8.875" style="787"/>
    <col min="4106" max="4106" width="5.75" style="787" customWidth="1"/>
    <col min="4107" max="4107" width="11.75" style="787" customWidth="1"/>
    <col min="4108" max="4109" width="10.75" style="787" customWidth="1"/>
    <col min="4110" max="4110" width="10" style="787" customWidth="1"/>
    <col min="4111" max="4112" width="10.5" style="787" customWidth="1"/>
    <col min="4113" max="4113" width="10" style="787" customWidth="1"/>
    <col min="4114" max="4114" width="10.125" style="787" customWidth="1"/>
    <col min="4115" max="4115" width="10" style="787" customWidth="1"/>
    <col min="4116" max="4116" width="26.125" style="787" customWidth="1"/>
    <col min="4117" max="4352" width="8.875" style="787"/>
    <col min="4353" max="4353" width="9.5" style="787" customWidth="1"/>
    <col min="4354" max="4354" width="8.875" style="787"/>
    <col min="4355" max="4357" width="12.875" style="787" customWidth="1"/>
    <col min="4358" max="4358" width="47.5" style="787" customWidth="1"/>
    <col min="4359" max="4359" width="13" style="787" customWidth="1"/>
    <col min="4360" max="4361" width="8.875" style="787"/>
    <col min="4362" max="4362" width="5.75" style="787" customWidth="1"/>
    <col min="4363" max="4363" width="11.75" style="787" customWidth="1"/>
    <col min="4364" max="4365" width="10.75" style="787" customWidth="1"/>
    <col min="4366" max="4366" width="10" style="787" customWidth="1"/>
    <col min="4367" max="4368" width="10.5" style="787" customWidth="1"/>
    <col min="4369" max="4369" width="10" style="787" customWidth="1"/>
    <col min="4370" max="4370" width="10.125" style="787" customWidth="1"/>
    <col min="4371" max="4371" width="10" style="787" customWidth="1"/>
    <col min="4372" max="4372" width="26.125" style="787" customWidth="1"/>
    <col min="4373" max="4608" width="8.875" style="787"/>
    <col min="4609" max="4609" width="9.5" style="787" customWidth="1"/>
    <col min="4610" max="4610" width="8.875" style="787"/>
    <col min="4611" max="4613" width="12.875" style="787" customWidth="1"/>
    <col min="4614" max="4614" width="47.5" style="787" customWidth="1"/>
    <col min="4615" max="4615" width="13" style="787" customWidth="1"/>
    <col min="4616" max="4617" width="8.875" style="787"/>
    <col min="4618" max="4618" width="5.75" style="787" customWidth="1"/>
    <col min="4619" max="4619" width="11.75" style="787" customWidth="1"/>
    <col min="4620" max="4621" width="10.75" style="787" customWidth="1"/>
    <col min="4622" max="4622" width="10" style="787" customWidth="1"/>
    <col min="4623" max="4624" width="10.5" style="787" customWidth="1"/>
    <col min="4625" max="4625" width="10" style="787" customWidth="1"/>
    <col min="4626" max="4626" width="10.125" style="787" customWidth="1"/>
    <col min="4627" max="4627" width="10" style="787" customWidth="1"/>
    <col min="4628" max="4628" width="26.125" style="787" customWidth="1"/>
    <col min="4629" max="4864" width="8.875" style="787"/>
    <col min="4865" max="4865" width="9.5" style="787" customWidth="1"/>
    <col min="4866" max="4866" width="8.875" style="787"/>
    <col min="4867" max="4869" width="12.875" style="787" customWidth="1"/>
    <col min="4870" max="4870" width="47.5" style="787" customWidth="1"/>
    <col min="4871" max="4871" width="13" style="787" customWidth="1"/>
    <col min="4872" max="4873" width="8.875" style="787"/>
    <col min="4874" max="4874" width="5.75" style="787" customWidth="1"/>
    <col min="4875" max="4875" width="11.75" style="787" customWidth="1"/>
    <col min="4876" max="4877" width="10.75" style="787" customWidth="1"/>
    <col min="4878" max="4878" width="10" style="787" customWidth="1"/>
    <col min="4879" max="4880" width="10.5" style="787" customWidth="1"/>
    <col min="4881" max="4881" width="10" style="787" customWidth="1"/>
    <col min="4882" max="4882" width="10.125" style="787" customWidth="1"/>
    <col min="4883" max="4883" width="10" style="787" customWidth="1"/>
    <col min="4884" max="4884" width="26.125" style="787" customWidth="1"/>
    <col min="4885" max="5120" width="8.875" style="787"/>
    <col min="5121" max="5121" width="9.5" style="787" customWidth="1"/>
    <col min="5122" max="5122" width="8.875" style="787"/>
    <col min="5123" max="5125" width="12.875" style="787" customWidth="1"/>
    <col min="5126" max="5126" width="47.5" style="787" customWidth="1"/>
    <col min="5127" max="5127" width="13" style="787" customWidth="1"/>
    <col min="5128" max="5129" width="8.875" style="787"/>
    <col min="5130" max="5130" width="5.75" style="787" customWidth="1"/>
    <col min="5131" max="5131" width="11.75" style="787" customWidth="1"/>
    <col min="5132" max="5133" width="10.75" style="787" customWidth="1"/>
    <col min="5134" max="5134" width="10" style="787" customWidth="1"/>
    <col min="5135" max="5136" width="10.5" style="787" customWidth="1"/>
    <col min="5137" max="5137" width="10" style="787" customWidth="1"/>
    <col min="5138" max="5138" width="10.125" style="787" customWidth="1"/>
    <col min="5139" max="5139" width="10" style="787" customWidth="1"/>
    <col min="5140" max="5140" width="26.125" style="787" customWidth="1"/>
    <col min="5141" max="5376" width="8.875" style="787"/>
    <col min="5377" max="5377" width="9.5" style="787" customWidth="1"/>
    <col min="5378" max="5378" width="8.875" style="787"/>
    <col min="5379" max="5381" width="12.875" style="787" customWidth="1"/>
    <col min="5382" max="5382" width="47.5" style="787" customWidth="1"/>
    <col min="5383" max="5383" width="13" style="787" customWidth="1"/>
    <col min="5384" max="5385" width="8.875" style="787"/>
    <col min="5386" max="5386" width="5.75" style="787" customWidth="1"/>
    <col min="5387" max="5387" width="11.75" style="787" customWidth="1"/>
    <col min="5388" max="5389" width="10.75" style="787" customWidth="1"/>
    <col min="5390" max="5390" width="10" style="787" customWidth="1"/>
    <col min="5391" max="5392" width="10.5" style="787" customWidth="1"/>
    <col min="5393" max="5393" width="10" style="787" customWidth="1"/>
    <col min="5394" max="5394" width="10.125" style="787" customWidth="1"/>
    <col min="5395" max="5395" width="10" style="787" customWidth="1"/>
    <col min="5396" max="5396" width="26.125" style="787" customWidth="1"/>
    <col min="5397" max="5632" width="8.875" style="787"/>
    <col min="5633" max="5633" width="9.5" style="787" customWidth="1"/>
    <col min="5634" max="5634" width="8.875" style="787"/>
    <col min="5635" max="5637" width="12.875" style="787" customWidth="1"/>
    <col min="5638" max="5638" width="47.5" style="787" customWidth="1"/>
    <col min="5639" max="5639" width="13" style="787" customWidth="1"/>
    <col min="5640" max="5641" width="8.875" style="787"/>
    <col min="5642" max="5642" width="5.75" style="787" customWidth="1"/>
    <col min="5643" max="5643" width="11.75" style="787" customWidth="1"/>
    <col min="5644" max="5645" width="10.75" style="787" customWidth="1"/>
    <col min="5646" max="5646" width="10" style="787" customWidth="1"/>
    <col min="5647" max="5648" width="10.5" style="787" customWidth="1"/>
    <col min="5649" max="5649" width="10" style="787" customWidth="1"/>
    <col min="5650" max="5650" width="10.125" style="787" customWidth="1"/>
    <col min="5651" max="5651" width="10" style="787" customWidth="1"/>
    <col min="5652" max="5652" width="26.125" style="787" customWidth="1"/>
    <col min="5653" max="5888" width="8.875" style="787"/>
    <col min="5889" max="5889" width="9.5" style="787" customWidth="1"/>
    <col min="5890" max="5890" width="8.875" style="787"/>
    <col min="5891" max="5893" width="12.875" style="787" customWidth="1"/>
    <col min="5894" max="5894" width="47.5" style="787" customWidth="1"/>
    <col min="5895" max="5895" width="13" style="787" customWidth="1"/>
    <col min="5896" max="5897" width="8.875" style="787"/>
    <col min="5898" max="5898" width="5.75" style="787" customWidth="1"/>
    <col min="5899" max="5899" width="11.75" style="787" customWidth="1"/>
    <col min="5900" max="5901" width="10.75" style="787" customWidth="1"/>
    <col min="5902" max="5902" width="10" style="787" customWidth="1"/>
    <col min="5903" max="5904" width="10.5" style="787" customWidth="1"/>
    <col min="5905" max="5905" width="10" style="787" customWidth="1"/>
    <col min="5906" max="5906" width="10.125" style="787" customWidth="1"/>
    <col min="5907" max="5907" width="10" style="787" customWidth="1"/>
    <col min="5908" max="5908" width="26.125" style="787" customWidth="1"/>
    <col min="5909" max="6144" width="8.875" style="787"/>
    <col min="6145" max="6145" width="9.5" style="787" customWidth="1"/>
    <col min="6146" max="6146" width="8.875" style="787"/>
    <col min="6147" max="6149" width="12.875" style="787" customWidth="1"/>
    <col min="6150" max="6150" width="47.5" style="787" customWidth="1"/>
    <col min="6151" max="6151" width="13" style="787" customWidth="1"/>
    <col min="6152" max="6153" width="8.875" style="787"/>
    <col min="6154" max="6154" width="5.75" style="787" customWidth="1"/>
    <col min="6155" max="6155" width="11.75" style="787" customWidth="1"/>
    <col min="6156" max="6157" width="10.75" style="787" customWidth="1"/>
    <col min="6158" max="6158" width="10" style="787" customWidth="1"/>
    <col min="6159" max="6160" width="10.5" style="787" customWidth="1"/>
    <col min="6161" max="6161" width="10" style="787" customWidth="1"/>
    <col min="6162" max="6162" width="10.125" style="787" customWidth="1"/>
    <col min="6163" max="6163" width="10" style="787" customWidth="1"/>
    <col min="6164" max="6164" width="26.125" style="787" customWidth="1"/>
    <col min="6165" max="6400" width="8.875" style="787"/>
    <col min="6401" max="6401" width="9.5" style="787" customWidth="1"/>
    <col min="6402" max="6402" width="8.875" style="787"/>
    <col min="6403" max="6405" width="12.875" style="787" customWidth="1"/>
    <col min="6406" max="6406" width="47.5" style="787" customWidth="1"/>
    <col min="6407" max="6407" width="13" style="787" customWidth="1"/>
    <col min="6408" max="6409" width="8.875" style="787"/>
    <col min="6410" max="6410" width="5.75" style="787" customWidth="1"/>
    <col min="6411" max="6411" width="11.75" style="787" customWidth="1"/>
    <col min="6412" max="6413" width="10.75" style="787" customWidth="1"/>
    <col min="6414" max="6414" width="10" style="787" customWidth="1"/>
    <col min="6415" max="6416" width="10.5" style="787" customWidth="1"/>
    <col min="6417" max="6417" width="10" style="787" customWidth="1"/>
    <col min="6418" max="6418" width="10.125" style="787" customWidth="1"/>
    <col min="6419" max="6419" width="10" style="787" customWidth="1"/>
    <col min="6420" max="6420" width="26.125" style="787" customWidth="1"/>
    <col min="6421" max="6656" width="8.875" style="787"/>
    <col min="6657" max="6657" width="9.5" style="787" customWidth="1"/>
    <col min="6658" max="6658" width="8.875" style="787"/>
    <col min="6659" max="6661" width="12.875" style="787" customWidth="1"/>
    <col min="6662" max="6662" width="47.5" style="787" customWidth="1"/>
    <col min="6663" max="6663" width="13" style="787" customWidth="1"/>
    <col min="6664" max="6665" width="8.875" style="787"/>
    <col min="6666" max="6666" width="5.75" style="787" customWidth="1"/>
    <col min="6667" max="6667" width="11.75" style="787" customWidth="1"/>
    <col min="6668" max="6669" width="10.75" style="787" customWidth="1"/>
    <col min="6670" max="6670" width="10" style="787" customWidth="1"/>
    <col min="6671" max="6672" width="10.5" style="787" customWidth="1"/>
    <col min="6673" max="6673" width="10" style="787" customWidth="1"/>
    <col min="6674" max="6674" width="10.125" style="787" customWidth="1"/>
    <col min="6675" max="6675" width="10" style="787" customWidth="1"/>
    <col min="6676" max="6676" width="26.125" style="787" customWidth="1"/>
    <col min="6677" max="6912" width="8.875" style="787"/>
    <col min="6913" max="6913" width="9.5" style="787" customWidth="1"/>
    <col min="6914" max="6914" width="8.875" style="787"/>
    <col min="6915" max="6917" width="12.875" style="787" customWidth="1"/>
    <col min="6918" max="6918" width="47.5" style="787" customWidth="1"/>
    <col min="6919" max="6919" width="13" style="787" customWidth="1"/>
    <col min="6920" max="6921" width="8.875" style="787"/>
    <col min="6922" max="6922" width="5.75" style="787" customWidth="1"/>
    <col min="6923" max="6923" width="11.75" style="787" customWidth="1"/>
    <col min="6924" max="6925" width="10.75" style="787" customWidth="1"/>
    <col min="6926" max="6926" width="10" style="787" customWidth="1"/>
    <col min="6927" max="6928" width="10.5" style="787" customWidth="1"/>
    <col min="6929" max="6929" width="10" style="787" customWidth="1"/>
    <col min="6930" max="6930" width="10.125" style="787" customWidth="1"/>
    <col min="6931" max="6931" width="10" style="787" customWidth="1"/>
    <col min="6932" max="6932" width="26.125" style="787" customWidth="1"/>
    <col min="6933" max="7168" width="8.875" style="787"/>
    <col min="7169" max="7169" width="9.5" style="787" customWidth="1"/>
    <col min="7170" max="7170" width="8.875" style="787"/>
    <col min="7171" max="7173" width="12.875" style="787" customWidth="1"/>
    <col min="7174" max="7174" width="47.5" style="787" customWidth="1"/>
    <col min="7175" max="7175" width="13" style="787" customWidth="1"/>
    <col min="7176" max="7177" width="8.875" style="787"/>
    <col min="7178" max="7178" width="5.75" style="787" customWidth="1"/>
    <col min="7179" max="7179" width="11.75" style="787" customWidth="1"/>
    <col min="7180" max="7181" width="10.75" style="787" customWidth="1"/>
    <col min="7182" max="7182" width="10" style="787" customWidth="1"/>
    <col min="7183" max="7184" width="10.5" style="787" customWidth="1"/>
    <col min="7185" max="7185" width="10" style="787" customWidth="1"/>
    <col min="7186" max="7186" width="10.125" style="787" customWidth="1"/>
    <col min="7187" max="7187" width="10" style="787" customWidth="1"/>
    <col min="7188" max="7188" width="26.125" style="787" customWidth="1"/>
    <col min="7189" max="7424" width="8.875" style="787"/>
    <col min="7425" max="7425" width="9.5" style="787" customWidth="1"/>
    <col min="7426" max="7426" width="8.875" style="787"/>
    <col min="7427" max="7429" width="12.875" style="787" customWidth="1"/>
    <col min="7430" max="7430" width="47.5" style="787" customWidth="1"/>
    <col min="7431" max="7431" width="13" style="787" customWidth="1"/>
    <col min="7432" max="7433" width="8.875" style="787"/>
    <col min="7434" max="7434" width="5.75" style="787" customWidth="1"/>
    <col min="7435" max="7435" width="11.75" style="787" customWidth="1"/>
    <col min="7436" max="7437" width="10.75" style="787" customWidth="1"/>
    <col min="7438" max="7438" width="10" style="787" customWidth="1"/>
    <col min="7439" max="7440" width="10.5" style="787" customWidth="1"/>
    <col min="7441" max="7441" width="10" style="787" customWidth="1"/>
    <col min="7442" max="7442" width="10.125" style="787" customWidth="1"/>
    <col min="7443" max="7443" width="10" style="787" customWidth="1"/>
    <col min="7444" max="7444" width="26.125" style="787" customWidth="1"/>
    <col min="7445" max="7680" width="8.875" style="787"/>
    <col min="7681" max="7681" width="9.5" style="787" customWidth="1"/>
    <col min="7682" max="7682" width="8.875" style="787"/>
    <col min="7683" max="7685" width="12.875" style="787" customWidth="1"/>
    <col min="7686" max="7686" width="47.5" style="787" customWidth="1"/>
    <col min="7687" max="7687" width="13" style="787" customWidth="1"/>
    <col min="7688" max="7689" width="8.875" style="787"/>
    <col min="7690" max="7690" width="5.75" style="787" customWidth="1"/>
    <col min="7691" max="7691" width="11.75" style="787" customWidth="1"/>
    <col min="7692" max="7693" width="10.75" style="787" customWidth="1"/>
    <col min="7694" max="7694" width="10" style="787" customWidth="1"/>
    <col min="7695" max="7696" width="10.5" style="787" customWidth="1"/>
    <col min="7697" max="7697" width="10" style="787" customWidth="1"/>
    <col min="7698" max="7698" width="10.125" style="787" customWidth="1"/>
    <col min="7699" max="7699" width="10" style="787" customWidth="1"/>
    <col min="7700" max="7700" width="26.125" style="787" customWidth="1"/>
    <col min="7701" max="7936" width="8.875" style="787"/>
    <col min="7937" max="7937" width="9.5" style="787" customWidth="1"/>
    <col min="7938" max="7938" width="8.875" style="787"/>
    <col min="7939" max="7941" width="12.875" style="787" customWidth="1"/>
    <col min="7942" max="7942" width="47.5" style="787" customWidth="1"/>
    <col min="7943" max="7943" width="13" style="787" customWidth="1"/>
    <col min="7944" max="7945" width="8.875" style="787"/>
    <col min="7946" max="7946" width="5.75" style="787" customWidth="1"/>
    <col min="7947" max="7947" width="11.75" style="787" customWidth="1"/>
    <col min="7948" max="7949" width="10.75" style="787" customWidth="1"/>
    <col min="7950" max="7950" width="10" style="787" customWidth="1"/>
    <col min="7951" max="7952" width="10.5" style="787" customWidth="1"/>
    <col min="7953" max="7953" width="10" style="787" customWidth="1"/>
    <col min="7954" max="7954" width="10.125" style="787" customWidth="1"/>
    <col min="7955" max="7955" width="10" style="787" customWidth="1"/>
    <col min="7956" max="7956" width="26.125" style="787" customWidth="1"/>
    <col min="7957" max="8192" width="8.875" style="787"/>
    <col min="8193" max="8193" width="9.5" style="787" customWidth="1"/>
    <col min="8194" max="8194" width="8.875" style="787"/>
    <col min="8195" max="8197" width="12.875" style="787" customWidth="1"/>
    <col min="8198" max="8198" width="47.5" style="787" customWidth="1"/>
    <col min="8199" max="8199" width="13" style="787" customWidth="1"/>
    <col min="8200" max="8201" width="8.875" style="787"/>
    <col min="8202" max="8202" width="5.75" style="787" customWidth="1"/>
    <col min="8203" max="8203" width="11.75" style="787" customWidth="1"/>
    <col min="8204" max="8205" width="10.75" style="787" customWidth="1"/>
    <col min="8206" max="8206" width="10" style="787" customWidth="1"/>
    <col min="8207" max="8208" width="10.5" style="787" customWidth="1"/>
    <col min="8209" max="8209" width="10" style="787" customWidth="1"/>
    <col min="8210" max="8210" width="10.125" style="787" customWidth="1"/>
    <col min="8211" max="8211" width="10" style="787" customWidth="1"/>
    <col min="8212" max="8212" width="26.125" style="787" customWidth="1"/>
    <col min="8213" max="8448" width="8.875" style="787"/>
    <col min="8449" max="8449" width="9.5" style="787" customWidth="1"/>
    <col min="8450" max="8450" width="8.875" style="787"/>
    <col min="8451" max="8453" width="12.875" style="787" customWidth="1"/>
    <col min="8454" max="8454" width="47.5" style="787" customWidth="1"/>
    <col min="8455" max="8455" width="13" style="787" customWidth="1"/>
    <col min="8456" max="8457" width="8.875" style="787"/>
    <col min="8458" max="8458" width="5.75" style="787" customWidth="1"/>
    <col min="8459" max="8459" width="11.75" style="787" customWidth="1"/>
    <col min="8460" max="8461" width="10.75" style="787" customWidth="1"/>
    <col min="8462" max="8462" width="10" style="787" customWidth="1"/>
    <col min="8463" max="8464" width="10.5" style="787" customWidth="1"/>
    <col min="8465" max="8465" width="10" style="787" customWidth="1"/>
    <col min="8466" max="8466" width="10.125" style="787" customWidth="1"/>
    <col min="8467" max="8467" width="10" style="787" customWidth="1"/>
    <col min="8468" max="8468" width="26.125" style="787" customWidth="1"/>
    <col min="8469" max="8704" width="8.875" style="787"/>
    <col min="8705" max="8705" width="9.5" style="787" customWidth="1"/>
    <col min="8706" max="8706" width="8.875" style="787"/>
    <col min="8707" max="8709" width="12.875" style="787" customWidth="1"/>
    <col min="8710" max="8710" width="47.5" style="787" customWidth="1"/>
    <col min="8711" max="8711" width="13" style="787" customWidth="1"/>
    <col min="8712" max="8713" width="8.875" style="787"/>
    <col min="8714" max="8714" width="5.75" style="787" customWidth="1"/>
    <col min="8715" max="8715" width="11.75" style="787" customWidth="1"/>
    <col min="8716" max="8717" width="10.75" style="787" customWidth="1"/>
    <col min="8718" max="8718" width="10" style="787" customWidth="1"/>
    <col min="8719" max="8720" width="10.5" style="787" customWidth="1"/>
    <col min="8721" max="8721" width="10" style="787" customWidth="1"/>
    <col min="8722" max="8722" width="10.125" style="787" customWidth="1"/>
    <col min="8723" max="8723" width="10" style="787" customWidth="1"/>
    <col min="8724" max="8724" width="26.125" style="787" customWidth="1"/>
    <col min="8725" max="8960" width="8.875" style="787"/>
    <col min="8961" max="8961" width="9.5" style="787" customWidth="1"/>
    <col min="8962" max="8962" width="8.875" style="787"/>
    <col min="8963" max="8965" width="12.875" style="787" customWidth="1"/>
    <col min="8966" max="8966" width="47.5" style="787" customWidth="1"/>
    <col min="8967" max="8967" width="13" style="787" customWidth="1"/>
    <col min="8968" max="8969" width="8.875" style="787"/>
    <col min="8970" max="8970" width="5.75" style="787" customWidth="1"/>
    <col min="8971" max="8971" width="11.75" style="787" customWidth="1"/>
    <col min="8972" max="8973" width="10.75" style="787" customWidth="1"/>
    <col min="8974" max="8974" width="10" style="787" customWidth="1"/>
    <col min="8975" max="8976" width="10.5" style="787" customWidth="1"/>
    <col min="8977" max="8977" width="10" style="787" customWidth="1"/>
    <col min="8978" max="8978" width="10.125" style="787" customWidth="1"/>
    <col min="8979" max="8979" width="10" style="787" customWidth="1"/>
    <col min="8980" max="8980" width="26.125" style="787" customWidth="1"/>
    <col min="8981" max="9216" width="8.875" style="787"/>
    <col min="9217" max="9217" width="9.5" style="787" customWidth="1"/>
    <col min="9218" max="9218" width="8.875" style="787"/>
    <col min="9219" max="9221" width="12.875" style="787" customWidth="1"/>
    <col min="9222" max="9222" width="47.5" style="787" customWidth="1"/>
    <col min="9223" max="9223" width="13" style="787" customWidth="1"/>
    <col min="9224" max="9225" width="8.875" style="787"/>
    <col min="9226" max="9226" width="5.75" style="787" customWidth="1"/>
    <col min="9227" max="9227" width="11.75" style="787" customWidth="1"/>
    <col min="9228" max="9229" width="10.75" style="787" customWidth="1"/>
    <col min="9230" max="9230" width="10" style="787" customWidth="1"/>
    <col min="9231" max="9232" width="10.5" style="787" customWidth="1"/>
    <col min="9233" max="9233" width="10" style="787" customWidth="1"/>
    <col min="9234" max="9234" width="10.125" style="787" customWidth="1"/>
    <col min="9235" max="9235" width="10" style="787" customWidth="1"/>
    <col min="9236" max="9236" width="26.125" style="787" customWidth="1"/>
    <col min="9237" max="9472" width="8.875" style="787"/>
    <col min="9473" max="9473" width="9.5" style="787" customWidth="1"/>
    <col min="9474" max="9474" width="8.875" style="787"/>
    <col min="9475" max="9477" width="12.875" style="787" customWidth="1"/>
    <col min="9478" max="9478" width="47.5" style="787" customWidth="1"/>
    <col min="9479" max="9479" width="13" style="787" customWidth="1"/>
    <col min="9480" max="9481" width="8.875" style="787"/>
    <col min="9482" max="9482" width="5.75" style="787" customWidth="1"/>
    <col min="9483" max="9483" width="11.75" style="787" customWidth="1"/>
    <col min="9484" max="9485" width="10.75" style="787" customWidth="1"/>
    <col min="9486" max="9486" width="10" style="787" customWidth="1"/>
    <col min="9487" max="9488" width="10.5" style="787" customWidth="1"/>
    <col min="9489" max="9489" width="10" style="787" customWidth="1"/>
    <col min="9490" max="9490" width="10.125" style="787" customWidth="1"/>
    <col min="9491" max="9491" width="10" style="787" customWidth="1"/>
    <col min="9492" max="9492" width="26.125" style="787" customWidth="1"/>
    <col min="9493" max="9728" width="8.875" style="787"/>
    <col min="9729" max="9729" width="9.5" style="787" customWidth="1"/>
    <col min="9730" max="9730" width="8.875" style="787"/>
    <col min="9731" max="9733" width="12.875" style="787" customWidth="1"/>
    <col min="9734" max="9734" width="47.5" style="787" customWidth="1"/>
    <col min="9735" max="9735" width="13" style="787" customWidth="1"/>
    <col min="9736" max="9737" width="8.875" style="787"/>
    <col min="9738" max="9738" width="5.75" style="787" customWidth="1"/>
    <col min="9739" max="9739" width="11.75" style="787" customWidth="1"/>
    <col min="9740" max="9741" width="10.75" style="787" customWidth="1"/>
    <col min="9742" max="9742" width="10" style="787" customWidth="1"/>
    <col min="9743" max="9744" width="10.5" style="787" customWidth="1"/>
    <col min="9745" max="9745" width="10" style="787" customWidth="1"/>
    <col min="9746" max="9746" width="10.125" style="787" customWidth="1"/>
    <col min="9747" max="9747" width="10" style="787" customWidth="1"/>
    <col min="9748" max="9748" width="26.125" style="787" customWidth="1"/>
    <col min="9749" max="9984" width="8.875" style="787"/>
    <col min="9985" max="9985" width="9.5" style="787" customWidth="1"/>
    <col min="9986" max="9986" width="8.875" style="787"/>
    <col min="9987" max="9989" width="12.875" style="787" customWidth="1"/>
    <col min="9990" max="9990" width="47.5" style="787" customWidth="1"/>
    <col min="9991" max="9991" width="13" style="787" customWidth="1"/>
    <col min="9992" max="9993" width="8.875" style="787"/>
    <col min="9994" max="9994" width="5.75" style="787" customWidth="1"/>
    <col min="9995" max="9995" width="11.75" style="787" customWidth="1"/>
    <col min="9996" max="9997" width="10.75" style="787" customWidth="1"/>
    <col min="9998" max="9998" width="10" style="787" customWidth="1"/>
    <col min="9999" max="10000" width="10.5" style="787" customWidth="1"/>
    <col min="10001" max="10001" width="10" style="787" customWidth="1"/>
    <col min="10002" max="10002" width="10.125" style="787" customWidth="1"/>
    <col min="10003" max="10003" width="10" style="787" customWidth="1"/>
    <col min="10004" max="10004" width="26.125" style="787" customWidth="1"/>
    <col min="10005" max="10240" width="8.875" style="787"/>
    <col min="10241" max="10241" width="9.5" style="787" customWidth="1"/>
    <col min="10242" max="10242" width="8.875" style="787"/>
    <col min="10243" max="10245" width="12.875" style="787" customWidth="1"/>
    <col min="10246" max="10246" width="47.5" style="787" customWidth="1"/>
    <col min="10247" max="10247" width="13" style="787" customWidth="1"/>
    <col min="10248" max="10249" width="8.875" style="787"/>
    <col min="10250" max="10250" width="5.75" style="787" customWidth="1"/>
    <col min="10251" max="10251" width="11.75" style="787" customWidth="1"/>
    <col min="10252" max="10253" width="10.75" style="787" customWidth="1"/>
    <col min="10254" max="10254" width="10" style="787" customWidth="1"/>
    <col min="10255" max="10256" width="10.5" style="787" customWidth="1"/>
    <col min="10257" max="10257" width="10" style="787" customWidth="1"/>
    <col min="10258" max="10258" width="10.125" style="787" customWidth="1"/>
    <col min="10259" max="10259" width="10" style="787" customWidth="1"/>
    <col min="10260" max="10260" width="26.125" style="787" customWidth="1"/>
    <col min="10261" max="10496" width="8.875" style="787"/>
    <col min="10497" max="10497" width="9.5" style="787" customWidth="1"/>
    <col min="10498" max="10498" width="8.875" style="787"/>
    <col min="10499" max="10501" width="12.875" style="787" customWidth="1"/>
    <col min="10502" max="10502" width="47.5" style="787" customWidth="1"/>
    <col min="10503" max="10503" width="13" style="787" customWidth="1"/>
    <col min="10504" max="10505" width="8.875" style="787"/>
    <col min="10506" max="10506" width="5.75" style="787" customWidth="1"/>
    <col min="10507" max="10507" width="11.75" style="787" customWidth="1"/>
    <col min="10508" max="10509" width="10.75" style="787" customWidth="1"/>
    <col min="10510" max="10510" width="10" style="787" customWidth="1"/>
    <col min="10511" max="10512" width="10.5" style="787" customWidth="1"/>
    <col min="10513" max="10513" width="10" style="787" customWidth="1"/>
    <col min="10514" max="10514" width="10.125" style="787" customWidth="1"/>
    <col min="10515" max="10515" width="10" style="787" customWidth="1"/>
    <col min="10516" max="10516" width="26.125" style="787" customWidth="1"/>
    <col min="10517" max="10752" width="8.875" style="787"/>
    <col min="10753" max="10753" width="9.5" style="787" customWidth="1"/>
    <col min="10754" max="10754" width="8.875" style="787"/>
    <col min="10755" max="10757" width="12.875" style="787" customWidth="1"/>
    <col min="10758" max="10758" width="47.5" style="787" customWidth="1"/>
    <col min="10759" max="10759" width="13" style="787" customWidth="1"/>
    <col min="10760" max="10761" width="8.875" style="787"/>
    <col min="10762" max="10762" width="5.75" style="787" customWidth="1"/>
    <col min="10763" max="10763" width="11.75" style="787" customWidth="1"/>
    <col min="10764" max="10765" width="10.75" style="787" customWidth="1"/>
    <col min="10766" max="10766" width="10" style="787" customWidth="1"/>
    <col min="10767" max="10768" width="10.5" style="787" customWidth="1"/>
    <col min="10769" max="10769" width="10" style="787" customWidth="1"/>
    <col min="10770" max="10770" width="10.125" style="787" customWidth="1"/>
    <col min="10771" max="10771" width="10" style="787" customWidth="1"/>
    <col min="10772" max="10772" width="26.125" style="787" customWidth="1"/>
    <col min="10773" max="11008" width="8.875" style="787"/>
    <col min="11009" max="11009" width="9.5" style="787" customWidth="1"/>
    <col min="11010" max="11010" width="8.875" style="787"/>
    <col min="11011" max="11013" width="12.875" style="787" customWidth="1"/>
    <col min="11014" max="11014" width="47.5" style="787" customWidth="1"/>
    <col min="11015" max="11015" width="13" style="787" customWidth="1"/>
    <col min="11016" max="11017" width="8.875" style="787"/>
    <col min="11018" max="11018" width="5.75" style="787" customWidth="1"/>
    <col min="11019" max="11019" width="11.75" style="787" customWidth="1"/>
    <col min="11020" max="11021" width="10.75" style="787" customWidth="1"/>
    <col min="11022" max="11022" width="10" style="787" customWidth="1"/>
    <col min="11023" max="11024" width="10.5" style="787" customWidth="1"/>
    <col min="11025" max="11025" width="10" style="787" customWidth="1"/>
    <col min="11026" max="11026" width="10.125" style="787" customWidth="1"/>
    <col min="11027" max="11027" width="10" style="787" customWidth="1"/>
    <col min="11028" max="11028" width="26.125" style="787" customWidth="1"/>
    <col min="11029" max="11264" width="8.875" style="787"/>
    <col min="11265" max="11265" width="9.5" style="787" customWidth="1"/>
    <col min="11266" max="11266" width="8.875" style="787"/>
    <col min="11267" max="11269" width="12.875" style="787" customWidth="1"/>
    <col min="11270" max="11270" width="47.5" style="787" customWidth="1"/>
    <col min="11271" max="11271" width="13" style="787" customWidth="1"/>
    <col min="11272" max="11273" width="8.875" style="787"/>
    <col min="11274" max="11274" width="5.75" style="787" customWidth="1"/>
    <col min="11275" max="11275" width="11.75" style="787" customWidth="1"/>
    <col min="11276" max="11277" width="10.75" style="787" customWidth="1"/>
    <col min="11278" max="11278" width="10" style="787" customWidth="1"/>
    <col min="11279" max="11280" width="10.5" style="787" customWidth="1"/>
    <col min="11281" max="11281" width="10" style="787" customWidth="1"/>
    <col min="11282" max="11282" width="10.125" style="787" customWidth="1"/>
    <col min="11283" max="11283" width="10" style="787" customWidth="1"/>
    <col min="11284" max="11284" width="26.125" style="787" customWidth="1"/>
    <col min="11285" max="11520" width="8.875" style="787"/>
    <col min="11521" max="11521" width="9.5" style="787" customWidth="1"/>
    <col min="11522" max="11522" width="8.875" style="787"/>
    <col min="11523" max="11525" width="12.875" style="787" customWidth="1"/>
    <col min="11526" max="11526" width="47.5" style="787" customWidth="1"/>
    <col min="11527" max="11527" width="13" style="787" customWidth="1"/>
    <col min="11528" max="11529" width="8.875" style="787"/>
    <col min="11530" max="11530" width="5.75" style="787" customWidth="1"/>
    <col min="11531" max="11531" width="11.75" style="787" customWidth="1"/>
    <col min="11532" max="11533" width="10.75" style="787" customWidth="1"/>
    <col min="11534" max="11534" width="10" style="787" customWidth="1"/>
    <col min="11535" max="11536" width="10.5" style="787" customWidth="1"/>
    <col min="11537" max="11537" width="10" style="787" customWidth="1"/>
    <col min="11538" max="11538" width="10.125" style="787" customWidth="1"/>
    <col min="11539" max="11539" width="10" style="787" customWidth="1"/>
    <col min="11540" max="11540" width="26.125" style="787" customWidth="1"/>
    <col min="11541" max="11776" width="8.875" style="787"/>
    <col min="11777" max="11777" width="9.5" style="787" customWidth="1"/>
    <col min="11778" max="11778" width="8.875" style="787"/>
    <col min="11779" max="11781" width="12.875" style="787" customWidth="1"/>
    <col min="11782" max="11782" width="47.5" style="787" customWidth="1"/>
    <col min="11783" max="11783" width="13" style="787" customWidth="1"/>
    <col min="11784" max="11785" width="8.875" style="787"/>
    <col min="11786" max="11786" width="5.75" style="787" customWidth="1"/>
    <col min="11787" max="11787" width="11.75" style="787" customWidth="1"/>
    <col min="11788" max="11789" width="10.75" style="787" customWidth="1"/>
    <col min="11790" max="11790" width="10" style="787" customWidth="1"/>
    <col min="11791" max="11792" width="10.5" style="787" customWidth="1"/>
    <col min="11793" max="11793" width="10" style="787" customWidth="1"/>
    <col min="11794" max="11794" width="10.125" style="787" customWidth="1"/>
    <col min="11795" max="11795" width="10" style="787" customWidth="1"/>
    <col min="11796" max="11796" width="26.125" style="787" customWidth="1"/>
    <col min="11797" max="12032" width="8.875" style="787"/>
    <col min="12033" max="12033" width="9.5" style="787" customWidth="1"/>
    <col min="12034" max="12034" width="8.875" style="787"/>
    <col min="12035" max="12037" width="12.875" style="787" customWidth="1"/>
    <col min="12038" max="12038" width="47.5" style="787" customWidth="1"/>
    <col min="12039" max="12039" width="13" style="787" customWidth="1"/>
    <col min="12040" max="12041" width="8.875" style="787"/>
    <col min="12042" max="12042" width="5.75" style="787" customWidth="1"/>
    <col min="12043" max="12043" width="11.75" style="787" customWidth="1"/>
    <col min="12044" max="12045" width="10.75" style="787" customWidth="1"/>
    <col min="12046" max="12046" width="10" style="787" customWidth="1"/>
    <col min="12047" max="12048" width="10.5" style="787" customWidth="1"/>
    <col min="12049" max="12049" width="10" style="787" customWidth="1"/>
    <col min="12050" max="12050" width="10.125" style="787" customWidth="1"/>
    <col min="12051" max="12051" width="10" style="787" customWidth="1"/>
    <col min="12052" max="12052" width="26.125" style="787" customWidth="1"/>
    <col min="12053" max="12288" width="8.875" style="787"/>
    <col min="12289" max="12289" width="9.5" style="787" customWidth="1"/>
    <col min="12290" max="12290" width="8.875" style="787"/>
    <col min="12291" max="12293" width="12.875" style="787" customWidth="1"/>
    <col min="12294" max="12294" width="47.5" style="787" customWidth="1"/>
    <col min="12295" max="12295" width="13" style="787" customWidth="1"/>
    <col min="12296" max="12297" width="8.875" style="787"/>
    <col min="12298" max="12298" width="5.75" style="787" customWidth="1"/>
    <col min="12299" max="12299" width="11.75" style="787" customWidth="1"/>
    <col min="12300" max="12301" width="10.75" style="787" customWidth="1"/>
    <col min="12302" max="12302" width="10" style="787" customWidth="1"/>
    <col min="12303" max="12304" width="10.5" style="787" customWidth="1"/>
    <col min="12305" max="12305" width="10" style="787" customWidth="1"/>
    <col min="12306" max="12306" width="10.125" style="787" customWidth="1"/>
    <col min="12307" max="12307" width="10" style="787" customWidth="1"/>
    <col min="12308" max="12308" width="26.125" style="787" customWidth="1"/>
    <col min="12309" max="12544" width="8.875" style="787"/>
    <col min="12545" max="12545" width="9.5" style="787" customWidth="1"/>
    <col min="12546" max="12546" width="8.875" style="787"/>
    <col min="12547" max="12549" width="12.875" style="787" customWidth="1"/>
    <col min="12550" max="12550" width="47.5" style="787" customWidth="1"/>
    <col min="12551" max="12551" width="13" style="787" customWidth="1"/>
    <col min="12552" max="12553" width="8.875" style="787"/>
    <col min="12554" max="12554" width="5.75" style="787" customWidth="1"/>
    <col min="12555" max="12555" width="11.75" style="787" customWidth="1"/>
    <col min="12556" max="12557" width="10.75" style="787" customWidth="1"/>
    <col min="12558" max="12558" width="10" style="787" customWidth="1"/>
    <col min="12559" max="12560" width="10.5" style="787" customWidth="1"/>
    <col min="12561" max="12561" width="10" style="787" customWidth="1"/>
    <col min="12562" max="12562" width="10.125" style="787" customWidth="1"/>
    <col min="12563" max="12563" width="10" style="787" customWidth="1"/>
    <col min="12564" max="12564" width="26.125" style="787" customWidth="1"/>
    <col min="12565" max="12800" width="8.875" style="787"/>
    <col min="12801" max="12801" width="9.5" style="787" customWidth="1"/>
    <col min="12802" max="12802" width="8.875" style="787"/>
    <col min="12803" max="12805" width="12.875" style="787" customWidth="1"/>
    <col min="12806" max="12806" width="47.5" style="787" customWidth="1"/>
    <col min="12807" max="12807" width="13" style="787" customWidth="1"/>
    <col min="12808" max="12809" width="8.875" style="787"/>
    <col min="12810" max="12810" width="5.75" style="787" customWidth="1"/>
    <col min="12811" max="12811" width="11.75" style="787" customWidth="1"/>
    <col min="12812" max="12813" width="10.75" style="787" customWidth="1"/>
    <col min="12814" max="12814" width="10" style="787" customWidth="1"/>
    <col min="12815" max="12816" width="10.5" style="787" customWidth="1"/>
    <col min="12817" max="12817" width="10" style="787" customWidth="1"/>
    <col min="12818" max="12818" width="10.125" style="787" customWidth="1"/>
    <col min="12819" max="12819" width="10" style="787" customWidth="1"/>
    <col min="12820" max="12820" width="26.125" style="787" customWidth="1"/>
    <col min="12821" max="13056" width="8.875" style="787"/>
    <col min="13057" max="13057" width="9.5" style="787" customWidth="1"/>
    <col min="13058" max="13058" width="8.875" style="787"/>
    <col min="13059" max="13061" width="12.875" style="787" customWidth="1"/>
    <col min="13062" max="13062" width="47.5" style="787" customWidth="1"/>
    <col min="13063" max="13063" width="13" style="787" customWidth="1"/>
    <col min="13064" max="13065" width="8.875" style="787"/>
    <col min="13066" max="13066" width="5.75" style="787" customWidth="1"/>
    <col min="13067" max="13067" width="11.75" style="787" customWidth="1"/>
    <col min="13068" max="13069" width="10.75" style="787" customWidth="1"/>
    <col min="13070" max="13070" width="10" style="787" customWidth="1"/>
    <col min="13071" max="13072" width="10.5" style="787" customWidth="1"/>
    <col min="13073" max="13073" width="10" style="787" customWidth="1"/>
    <col min="13074" max="13074" width="10.125" style="787" customWidth="1"/>
    <col min="13075" max="13075" width="10" style="787" customWidth="1"/>
    <col min="13076" max="13076" width="26.125" style="787" customWidth="1"/>
    <col min="13077" max="13312" width="8.875" style="787"/>
    <col min="13313" max="13313" width="9.5" style="787" customWidth="1"/>
    <col min="13314" max="13314" width="8.875" style="787"/>
    <col min="13315" max="13317" width="12.875" style="787" customWidth="1"/>
    <col min="13318" max="13318" width="47.5" style="787" customWidth="1"/>
    <col min="13319" max="13319" width="13" style="787" customWidth="1"/>
    <col min="13320" max="13321" width="8.875" style="787"/>
    <col min="13322" max="13322" width="5.75" style="787" customWidth="1"/>
    <col min="13323" max="13323" width="11.75" style="787" customWidth="1"/>
    <col min="13324" max="13325" width="10.75" style="787" customWidth="1"/>
    <col min="13326" max="13326" width="10" style="787" customWidth="1"/>
    <col min="13327" max="13328" width="10.5" style="787" customWidth="1"/>
    <col min="13329" max="13329" width="10" style="787" customWidth="1"/>
    <col min="13330" max="13330" width="10.125" style="787" customWidth="1"/>
    <col min="13331" max="13331" width="10" style="787" customWidth="1"/>
    <col min="13332" max="13332" width="26.125" style="787" customWidth="1"/>
    <col min="13333" max="13568" width="8.875" style="787"/>
    <col min="13569" max="13569" width="9.5" style="787" customWidth="1"/>
    <col min="13570" max="13570" width="8.875" style="787"/>
    <col min="13571" max="13573" width="12.875" style="787" customWidth="1"/>
    <col min="13574" max="13574" width="47.5" style="787" customWidth="1"/>
    <col min="13575" max="13575" width="13" style="787" customWidth="1"/>
    <col min="13576" max="13577" width="8.875" style="787"/>
    <col min="13578" max="13578" width="5.75" style="787" customWidth="1"/>
    <col min="13579" max="13579" width="11.75" style="787" customWidth="1"/>
    <col min="13580" max="13581" width="10.75" style="787" customWidth="1"/>
    <col min="13582" max="13582" width="10" style="787" customWidth="1"/>
    <col min="13583" max="13584" width="10.5" style="787" customWidth="1"/>
    <col min="13585" max="13585" width="10" style="787" customWidth="1"/>
    <col min="13586" max="13586" width="10.125" style="787" customWidth="1"/>
    <col min="13587" max="13587" width="10" style="787" customWidth="1"/>
    <col min="13588" max="13588" width="26.125" style="787" customWidth="1"/>
    <col min="13589" max="13824" width="8.875" style="787"/>
    <col min="13825" max="13825" width="9.5" style="787" customWidth="1"/>
    <col min="13826" max="13826" width="8.875" style="787"/>
    <col min="13827" max="13829" width="12.875" style="787" customWidth="1"/>
    <col min="13830" max="13830" width="47.5" style="787" customWidth="1"/>
    <col min="13831" max="13831" width="13" style="787" customWidth="1"/>
    <col min="13832" max="13833" width="8.875" style="787"/>
    <col min="13834" max="13834" width="5.75" style="787" customWidth="1"/>
    <col min="13835" max="13835" width="11.75" style="787" customWidth="1"/>
    <col min="13836" max="13837" width="10.75" style="787" customWidth="1"/>
    <col min="13838" max="13838" width="10" style="787" customWidth="1"/>
    <col min="13839" max="13840" width="10.5" style="787" customWidth="1"/>
    <col min="13841" max="13841" width="10" style="787" customWidth="1"/>
    <col min="13842" max="13842" width="10.125" style="787" customWidth="1"/>
    <col min="13843" max="13843" width="10" style="787" customWidth="1"/>
    <col min="13844" max="13844" width="26.125" style="787" customWidth="1"/>
    <col min="13845" max="14080" width="8.875" style="787"/>
    <col min="14081" max="14081" width="9.5" style="787" customWidth="1"/>
    <col min="14082" max="14082" width="8.875" style="787"/>
    <col min="14083" max="14085" width="12.875" style="787" customWidth="1"/>
    <col min="14086" max="14086" width="47.5" style="787" customWidth="1"/>
    <col min="14087" max="14087" width="13" style="787" customWidth="1"/>
    <col min="14088" max="14089" width="8.875" style="787"/>
    <col min="14090" max="14090" width="5.75" style="787" customWidth="1"/>
    <col min="14091" max="14091" width="11.75" style="787" customWidth="1"/>
    <col min="14092" max="14093" width="10.75" style="787" customWidth="1"/>
    <col min="14094" max="14094" width="10" style="787" customWidth="1"/>
    <col min="14095" max="14096" width="10.5" style="787" customWidth="1"/>
    <col min="14097" max="14097" width="10" style="787" customWidth="1"/>
    <col min="14098" max="14098" width="10.125" style="787" customWidth="1"/>
    <col min="14099" max="14099" width="10" style="787" customWidth="1"/>
    <col min="14100" max="14100" width="26.125" style="787" customWidth="1"/>
    <col min="14101" max="14336" width="8.875" style="787"/>
    <col min="14337" max="14337" width="9.5" style="787" customWidth="1"/>
    <col min="14338" max="14338" width="8.875" style="787"/>
    <col min="14339" max="14341" width="12.875" style="787" customWidth="1"/>
    <col min="14342" max="14342" width="47.5" style="787" customWidth="1"/>
    <col min="14343" max="14343" width="13" style="787" customWidth="1"/>
    <col min="14344" max="14345" width="8.875" style="787"/>
    <col min="14346" max="14346" width="5.75" style="787" customWidth="1"/>
    <col min="14347" max="14347" width="11.75" style="787" customWidth="1"/>
    <col min="14348" max="14349" width="10.75" style="787" customWidth="1"/>
    <col min="14350" max="14350" width="10" style="787" customWidth="1"/>
    <col min="14351" max="14352" width="10.5" style="787" customWidth="1"/>
    <col min="14353" max="14353" width="10" style="787" customWidth="1"/>
    <col min="14354" max="14354" width="10.125" style="787" customWidth="1"/>
    <col min="14355" max="14355" width="10" style="787" customWidth="1"/>
    <col min="14356" max="14356" width="26.125" style="787" customWidth="1"/>
    <col min="14357" max="14592" width="8.875" style="787"/>
    <col min="14593" max="14593" width="9.5" style="787" customWidth="1"/>
    <col min="14594" max="14594" width="8.875" style="787"/>
    <col min="14595" max="14597" width="12.875" style="787" customWidth="1"/>
    <col min="14598" max="14598" width="47.5" style="787" customWidth="1"/>
    <col min="14599" max="14599" width="13" style="787" customWidth="1"/>
    <col min="14600" max="14601" width="8.875" style="787"/>
    <col min="14602" max="14602" width="5.75" style="787" customWidth="1"/>
    <col min="14603" max="14603" width="11.75" style="787" customWidth="1"/>
    <col min="14604" max="14605" width="10.75" style="787" customWidth="1"/>
    <col min="14606" max="14606" width="10" style="787" customWidth="1"/>
    <col min="14607" max="14608" width="10.5" style="787" customWidth="1"/>
    <col min="14609" max="14609" width="10" style="787" customWidth="1"/>
    <col min="14610" max="14610" width="10.125" style="787" customWidth="1"/>
    <col min="14611" max="14611" width="10" style="787" customWidth="1"/>
    <col min="14612" max="14612" width="26.125" style="787" customWidth="1"/>
    <col min="14613" max="14848" width="8.875" style="787"/>
    <col min="14849" max="14849" width="9.5" style="787" customWidth="1"/>
    <col min="14850" max="14850" width="8.875" style="787"/>
    <col min="14851" max="14853" width="12.875" style="787" customWidth="1"/>
    <col min="14854" max="14854" width="47.5" style="787" customWidth="1"/>
    <col min="14855" max="14855" width="13" style="787" customWidth="1"/>
    <col min="14856" max="14857" width="8.875" style="787"/>
    <col min="14858" max="14858" width="5.75" style="787" customWidth="1"/>
    <col min="14859" max="14859" width="11.75" style="787" customWidth="1"/>
    <col min="14860" max="14861" width="10.75" style="787" customWidth="1"/>
    <col min="14862" max="14862" width="10" style="787" customWidth="1"/>
    <col min="14863" max="14864" width="10.5" style="787" customWidth="1"/>
    <col min="14865" max="14865" width="10" style="787" customWidth="1"/>
    <col min="14866" max="14866" width="10.125" style="787" customWidth="1"/>
    <col min="14867" max="14867" width="10" style="787" customWidth="1"/>
    <col min="14868" max="14868" width="26.125" style="787" customWidth="1"/>
    <col min="14869" max="15104" width="8.875" style="787"/>
    <col min="15105" max="15105" width="9.5" style="787" customWidth="1"/>
    <col min="15106" max="15106" width="8.875" style="787"/>
    <col min="15107" max="15109" width="12.875" style="787" customWidth="1"/>
    <col min="15110" max="15110" width="47.5" style="787" customWidth="1"/>
    <col min="15111" max="15111" width="13" style="787" customWidth="1"/>
    <col min="15112" max="15113" width="8.875" style="787"/>
    <col min="15114" max="15114" width="5.75" style="787" customWidth="1"/>
    <col min="15115" max="15115" width="11.75" style="787" customWidth="1"/>
    <col min="15116" max="15117" width="10.75" style="787" customWidth="1"/>
    <col min="15118" max="15118" width="10" style="787" customWidth="1"/>
    <col min="15119" max="15120" width="10.5" style="787" customWidth="1"/>
    <col min="15121" max="15121" width="10" style="787" customWidth="1"/>
    <col min="15122" max="15122" width="10.125" style="787" customWidth="1"/>
    <col min="15123" max="15123" width="10" style="787" customWidth="1"/>
    <col min="15124" max="15124" width="26.125" style="787" customWidth="1"/>
    <col min="15125" max="15360" width="8.875" style="787"/>
    <col min="15361" max="15361" width="9.5" style="787" customWidth="1"/>
    <col min="15362" max="15362" width="8.875" style="787"/>
    <col min="15363" max="15365" width="12.875" style="787" customWidth="1"/>
    <col min="15366" max="15366" width="47.5" style="787" customWidth="1"/>
    <col min="15367" max="15367" width="13" style="787" customWidth="1"/>
    <col min="15368" max="15369" width="8.875" style="787"/>
    <col min="15370" max="15370" width="5.75" style="787" customWidth="1"/>
    <col min="15371" max="15371" width="11.75" style="787" customWidth="1"/>
    <col min="15372" max="15373" width="10.75" style="787" customWidth="1"/>
    <col min="15374" max="15374" width="10" style="787" customWidth="1"/>
    <col min="15375" max="15376" width="10.5" style="787" customWidth="1"/>
    <col min="15377" max="15377" width="10" style="787" customWidth="1"/>
    <col min="15378" max="15378" width="10.125" style="787" customWidth="1"/>
    <col min="15379" max="15379" width="10" style="787" customWidth="1"/>
    <col min="15380" max="15380" width="26.125" style="787" customWidth="1"/>
    <col min="15381" max="15616" width="8.875" style="787"/>
    <col min="15617" max="15617" width="9.5" style="787" customWidth="1"/>
    <col min="15618" max="15618" width="8.875" style="787"/>
    <col min="15619" max="15621" width="12.875" style="787" customWidth="1"/>
    <col min="15622" max="15622" width="47.5" style="787" customWidth="1"/>
    <col min="15623" max="15623" width="13" style="787" customWidth="1"/>
    <col min="15624" max="15625" width="8.875" style="787"/>
    <col min="15626" max="15626" width="5.75" style="787" customWidth="1"/>
    <col min="15627" max="15627" width="11.75" style="787" customWidth="1"/>
    <col min="15628" max="15629" width="10.75" style="787" customWidth="1"/>
    <col min="15630" max="15630" width="10" style="787" customWidth="1"/>
    <col min="15631" max="15632" width="10.5" style="787" customWidth="1"/>
    <col min="15633" max="15633" width="10" style="787" customWidth="1"/>
    <col min="15634" max="15634" width="10.125" style="787" customWidth="1"/>
    <col min="15635" max="15635" width="10" style="787" customWidth="1"/>
    <col min="15636" max="15636" width="26.125" style="787" customWidth="1"/>
    <col min="15637" max="15872" width="8.875" style="787"/>
    <col min="15873" max="15873" width="9.5" style="787" customWidth="1"/>
    <col min="15874" max="15874" width="8.875" style="787"/>
    <col min="15875" max="15877" width="12.875" style="787" customWidth="1"/>
    <col min="15878" max="15878" width="47.5" style="787" customWidth="1"/>
    <col min="15879" max="15879" width="13" style="787" customWidth="1"/>
    <col min="15880" max="15881" width="8.875" style="787"/>
    <col min="15882" max="15882" width="5.75" style="787" customWidth="1"/>
    <col min="15883" max="15883" width="11.75" style="787" customWidth="1"/>
    <col min="15884" max="15885" width="10.75" style="787" customWidth="1"/>
    <col min="15886" max="15886" width="10" style="787" customWidth="1"/>
    <col min="15887" max="15888" width="10.5" style="787" customWidth="1"/>
    <col min="15889" max="15889" width="10" style="787" customWidth="1"/>
    <col min="15890" max="15890" width="10.125" style="787" customWidth="1"/>
    <col min="15891" max="15891" width="10" style="787" customWidth="1"/>
    <col min="15892" max="15892" width="26.125" style="787" customWidth="1"/>
    <col min="15893" max="16128" width="8.875" style="787"/>
    <col min="16129" max="16129" width="9.5" style="787" customWidth="1"/>
    <col min="16130" max="16130" width="8.875" style="787"/>
    <col min="16131" max="16133" width="12.875" style="787" customWidth="1"/>
    <col min="16134" max="16134" width="47.5" style="787" customWidth="1"/>
    <col min="16135" max="16135" width="13" style="787" customWidth="1"/>
    <col min="16136" max="16137" width="8.875" style="787"/>
    <col min="16138" max="16138" width="5.75" style="787" customWidth="1"/>
    <col min="16139" max="16139" width="11.75" style="787" customWidth="1"/>
    <col min="16140" max="16141" width="10.75" style="787" customWidth="1"/>
    <col min="16142" max="16142" width="10" style="787" customWidth="1"/>
    <col min="16143" max="16144" width="10.5" style="787" customWidth="1"/>
    <col min="16145" max="16145" width="10" style="787" customWidth="1"/>
    <col min="16146" max="16146" width="10.125" style="787" customWidth="1"/>
    <col min="16147" max="16147" width="10" style="787" customWidth="1"/>
    <col min="16148" max="16148" width="26.125" style="787" customWidth="1"/>
    <col min="16149" max="16384" width="8.875" style="787"/>
  </cols>
  <sheetData>
    <row r="1" spans="1:22" ht="21" customHeight="1">
      <c r="A1" s="792" t="s">
        <v>2257</v>
      </c>
      <c r="B1" s="793"/>
      <c r="C1" s="794"/>
      <c r="D1" s="794"/>
      <c r="E1" s="795"/>
      <c r="F1" s="796"/>
      <c r="G1" s="797"/>
      <c r="J1" s="897" t="s">
        <v>2258</v>
      </c>
      <c r="K1" s="898"/>
      <c r="L1" s="898"/>
      <c r="M1" s="898"/>
      <c r="N1" s="898"/>
      <c r="O1" s="898"/>
      <c r="P1" s="898"/>
      <c r="Q1" s="898"/>
      <c r="R1" s="937"/>
      <c r="S1" s="938"/>
      <c r="T1" s="938"/>
      <c r="U1" s="938"/>
    </row>
    <row r="2" spans="1:22" s="785" customFormat="1" ht="13.15" customHeight="1">
      <c r="A2" s="798" t="s">
        <v>2259</v>
      </c>
      <c r="B2" s="799" t="e">
        <f>C40</f>
        <v>#DIV/0!</v>
      </c>
      <c r="C2" s="794" t="s">
        <v>2260</v>
      </c>
      <c r="D2" s="794"/>
      <c r="E2" s="800"/>
      <c r="F2" s="801"/>
      <c r="G2" s="802"/>
      <c r="H2" s="803"/>
      <c r="I2" s="899"/>
      <c r="J2" s="3930" t="s">
        <v>2261</v>
      </c>
      <c r="K2" s="3931"/>
      <c r="L2" s="900" t="s">
        <v>2262</v>
      </c>
      <c r="M2" s="900" t="s">
        <v>2263</v>
      </c>
      <c r="N2" s="900" t="s">
        <v>2264</v>
      </c>
      <c r="O2" s="900" t="s">
        <v>2265</v>
      </c>
      <c r="P2" s="900" t="s">
        <v>2266</v>
      </c>
      <c r="Q2" s="939" t="s">
        <v>2267</v>
      </c>
      <c r="R2" s="940" t="s">
        <v>2268</v>
      </c>
      <c r="S2" s="938"/>
      <c r="T2" s="938"/>
      <c r="U2" s="938"/>
      <c r="V2" s="899"/>
    </row>
    <row r="3" spans="1:22" s="785" customFormat="1" ht="13.15" customHeight="1">
      <c r="A3" s="804" t="s">
        <v>2269</v>
      </c>
      <c r="B3" s="805" t="e">
        <f>ROUND(B2*10000/B4,0)</f>
        <v>#DIV/0!</v>
      </c>
      <c r="C3" s="794" t="s">
        <v>2270</v>
      </c>
      <c r="D3" s="794"/>
      <c r="E3" s="800"/>
      <c r="F3" s="801"/>
      <c r="G3" s="802"/>
      <c r="H3" s="803"/>
      <c r="I3" s="899"/>
      <c r="J3" s="3932" t="s">
        <v>2271</v>
      </c>
      <c r="K3" s="3933"/>
      <c r="L3" s="901"/>
      <c r="M3" s="901"/>
      <c r="N3" s="901"/>
      <c r="O3" s="901"/>
      <c r="P3" s="901"/>
      <c r="Q3" s="941"/>
      <c r="R3" s="942">
        <f>SUM(L3:Q3)</f>
        <v>0</v>
      </c>
      <c r="S3" s="938"/>
      <c r="T3" s="938"/>
      <c r="U3" s="938"/>
      <c r="V3" s="899"/>
    </row>
    <row r="4" spans="1:22" s="785" customFormat="1" ht="13.15" customHeight="1">
      <c r="A4" s="806" t="s">
        <v>446</v>
      </c>
      <c r="B4" s="807"/>
      <c r="C4" s="794"/>
      <c r="D4" s="794"/>
      <c r="E4" s="800"/>
      <c r="F4" s="801"/>
      <c r="G4" s="802"/>
      <c r="H4" s="803"/>
      <c r="I4" s="899"/>
      <c r="J4" s="3932" t="s">
        <v>2272</v>
      </c>
      <c r="K4" s="3933"/>
      <c r="L4" s="902"/>
      <c r="M4" s="902"/>
      <c r="N4" s="902"/>
      <c r="O4" s="902"/>
      <c r="P4" s="902"/>
      <c r="Q4" s="943"/>
      <c r="R4" s="944">
        <f>SUM(L4:Q4)</f>
        <v>0</v>
      </c>
      <c r="S4" s="938"/>
      <c r="T4" s="938"/>
      <c r="U4" s="938"/>
      <c r="V4" s="899"/>
    </row>
    <row r="5" spans="1:22" s="785" customFormat="1" ht="13.15" customHeight="1">
      <c r="A5" s="808" t="s">
        <v>449</v>
      </c>
      <c r="B5" s="809"/>
      <c r="C5" s="794"/>
      <c r="D5" s="810"/>
      <c r="E5" s="801"/>
      <c r="F5" s="801"/>
      <c r="G5" s="802"/>
      <c r="H5" s="803"/>
      <c r="I5" s="899"/>
      <c r="J5" s="903" t="s">
        <v>2273</v>
      </c>
      <c r="K5" s="904"/>
      <c r="L5" s="904"/>
      <c r="M5" s="905"/>
      <c r="N5" s="905"/>
      <c r="O5" s="905"/>
      <c r="P5" s="905"/>
      <c r="Q5" s="905"/>
      <c r="R5" s="940">
        <f>SUM(R14,R19,R24,R25,R27,R28)</f>
        <v>0</v>
      </c>
      <c r="S5" s="938"/>
      <c r="T5" s="938" t="s">
        <v>2274</v>
      </c>
      <c r="U5" s="938" t="e">
        <f>ROUND(R5*10000/365/R3,1)</f>
        <v>#DIV/0!</v>
      </c>
      <c r="V5" s="899"/>
    </row>
    <row r="6" spans="1:22" s="785" customFormat="1" ht="13.15" customHeight="1">
      <c r="A6" s="3934" t="s">
        <v>2275</v>
      </c>
      <c r="B6" s="3935"/>
      <c r="C6" s="3936"/>
      <c r="D6" s="811"/>
      <c r="E6" s="812"/>
      <c r="F6" s="813"/>
      <c r="G6" s="814"/>
      <c r="H6" s="803"/>
      <c r="I6" s="899"/>
      <c r="J6" s="3943">
        <v>1</v>
      </c>
      <c r="K6" s="3946" t="s">
        <v>2276</v>
      </c>
      <c r="L6" s="907" t="s">
        <v>2277</v>
      </c>
      <c r="M6" s="908" t="s">
        <v>2278</v>
      </c>
      <c r="N6" s="908" t="s">
        <v>2279</v>
      </c>
      <c r="O6" s="908" t="s">
        <v>2280</v>
      </c>
      <c r="P6" s="908" t="s">
        <v>2281</v>
      </c>
      <c r="Q6" s="908" t="s">
        <v>2282</v>
      </c>
      <c r="R6" s="942" t="s">
        <v>2283</v>
      </c>
      <c r="S6" s="938"/>
      <c r="T6" s="938" t="s">
        <v>2284</v>
      </c>
      <c r="U6" s="938"/>
      <c r="V6" s="899"/>
    </row>
    <row r="7" spans="1:22" s="785" customFormat="1" ht="13.15" customHeight="1">
      <c r="A7" s="815" t="s">
        <v>2285</v>
      </c>
      <c r="B7" s="816"/>
      <c r="C7" s="817"/>
      <c r="D7" s="818">
        <f>SUM(D9,D10,D11,D17,0)</f>
        <v>0</v>
      </c>
      <c r="E7" s="819" t="e">
        <f>E9+E10+E11+E17</f>
        <v>#DIV/0!</v>
      </c>
      <c r="F7" s="820"/>
      <c r="G7" s="821"/>
      <c r="H7" s="803"/>
      <c r="I7" s="899"/>
      <c r="J7" s="3943"/>
      <c r="K7" s="3947"/>
      <c r="L7" s="909" t="s">
        <v>2286</v>
      </c>
      <c r="M7" s="910"/>
      <c r="N7" s="807"/>
      <c r="O7" s="911"/>
      <c r="P7" s="911"/>
      <c r="Q7" s="840">
        <v>365</v>
      </c>
      <c r="R7" s="945">
        <f>ROUND(M7*N7*O7*P7*Q7/10000,0)</f>
        <v>0</v>
      </c>
      <c r="S7" s="938"/>
      <c r="T7" s="938" t="s">
        <v>2287</v>
      </c>
      <c r="U7" s="938"/>
      <c r="V7" s="899"/>
    </row>
    <row r="8" spans="1:22" s="785" customFormat="1" ht="13.15" customHeight="1">
      <c r="A8" s="822" t="s">
        <v>2288</v>
      </c>
      <c r="B8" s="3937" t="s">
        <v>2289</v>
      </c>
      <c r="C8" s="3938"/>
      <c r="D8" s="825" t="s">
        <v>2290</v>
      </c>
      <c r="E8" s="826" t="s">
        <v>2291</v>
      </c>
      <c r="F8" s="827" t="s">
        <v>2292</v>
      </c>
      <c r="G8" s="828"/>
      <c r="H8" s="803"/>
      <c r="I8" s="899"/>
      <c r="J8" s="3943"/>
      <c r="K8" s="3947"/>
      <c r="L8" s="909" t="s">
        <v>2293</v>
      </c>
      <c r="M8" s="910"/>
      <c r="N8" s="807"/>
      <c r="O8" s="911"/>
      <c r="P8" s="911"/>
      <c r="Q8" s="840">
        <v>365</v>
      </c>
      <c r="R8" s="945">
        <f t="shared" ref="R8:R13" si="0">ROUND(M8*N8*O8*P8*Q8/10000,0)</f>
        <v>0</v>
      </c>
      <c r="S8" s="938"/>
      <c r="T8" s="938" t="s">
        <v>2294</v>
      </c>
      <c r="U8" s="938"/>
      <c r="V8" s="899"/>
    </row>
    <row r="9" spans="1:22" s="785" customFormat="1" ht="13.15" customHeight="1">
      <c r="A9" s="822">
        <v>1</v>
      </c>
      <c r="B9" s="3937" t="s">
        <v>2295</v>
      </c>
      <c r="C9" s="3938"/>
      <c r="D9" s="825">
        <f>ROUND(D6*E9,0)</f>
        <v>0</v>
      </c>
      <c r="E9" s="829"/>
      <c r="F9" s="830" t="s">
        <v>2296</v>
      </c>
      <c r="G9" s="814"/>
      <c r="H9" s="803"/>
      <c r="I9" s="899"/>
      <c r="J9" s="3943"/>
      <c r="K9" s="3947"/>
      <c r="L9" s="909" t="s">
        <v>2297</v>
      </c>
      <c r="M9" s="910"/>
      <c r="N9" s="807"/>
      <c r="O9" s="911"/>
      <c r="P9" s="911"/>
      <c r="Q9" s="840">
        <v>365</v>
      </c>
      <c r="R9" s="945">
        <f t="shared" si="0"/>
        <v>0</v>
      </c>
      <c r="S9" s="938"/>
      <c r="T9" s="938"/>
      <c r="U9" s="938"/>
      <c r="V9" s="899"/>
    </row>
    <row r="10" spans="1:22" s="785" customFormat="1" ht="13.15" customHeight="1">
      <c r="A10" s="822">
        <v>2</v>
      </c>
      <c r="B10" s="3937" t="s">
        <v>2298</v>
      </c>
      <c r="C10" s="3938"/>
      <c r="D10" s="825">
        <f>ROUND(D6*E10,0)</f>
        <v>0</v>
      </c>
      <c r="E10" s="829"/>
      <c r="F10" s="830" t="s">
        <v>2299</v>
      </c>
      <c r="G10" s="814"/>
      <c r="H10" s="803"/>
      <c r="I10" s="899"/>
      <c r="J10" s="3943"/>
      <c r="K10" s="3947"/>
      <c r="L10" s="909" t="s">
        <v>2300</v>
      </c>
      <c r="M10" s="910"/>
      <c r="N10" s="807"/>
      <c r="O10" s="911"/>
      <c r="P10" s="911"/>
      <c r="Q10" s="840">
        <v>365</v>
      </c>
      <c r="R10" s="945">
        <f t="shared" si="0"/>
        <v>0</v>
      </c>
      <c r="S10" s="938"/>
      <c r="T10" s="938"/>
      <c r="U10" s="938"/>
      <c r="V10" s="899"/>
    </row>
    <row r="11" spans="1:22" s="785" customFormat="1" ht="13.15" customHeight="1">
      <c r="A11" s="822">
        <v>3</v>
      </c>
      <c r="B11" s="3937" t="s">
        <v>2301</v>
      </c>
      <c r="C11" s="3938"/>
      <c r="D11" s="825">
        <f>D12+D14+D15+D16</f>
        <v>0</v>
      </c>
      <c r="E11" s="831" t="e">
        <f>D11/D6</f>
        <v>#DIV/0!</v>
      </c>
      <c r="F11" s="827"/>
      <c r="G11" s="828"/>
      <c r="H11" s="803"/>
      <c r="I11" s="899"/>
      <c r="J11" s="3943"/>
      <c r="K11" s="3947"/>
      <c r="L11" s="909" t="s">
        <v>2302</v>
      </c>
      <c r="M11" s="910"/>
      <c r="N11" s="807"/>
      <c r="O11" s="911"/>
      <c r="P11" s="911"/>
      <c r="Q11" s="840">
        <v>365</v>
      </c>
      <c r="R11" s="945">
        <f t="shared" si="0"/>
        <v>0</v>
      </c>
      <c r="S11" s="938"/>
      <c r="T11" s="938"/>
      <c r="U11" s="938"/>
      <c r="V11" s="899"/>
    </row>
    <row r="12" spans="1:22" s="785" customFormat="1" ht="13.15" customHeight="1">
      <c r="A12" s="832" t="s">
        <v>2303</v>
      </c>
      <c r="B12" s="3939" t="s">
        <v>2304</v>
      </c>
      <c r="C12" s="3940"/>
      <c r="D12" s="835">
        <f>ROUND(D13*1.2%*(1-30%),0)</f>
        <v>0</v>
      </c>
      <c r="E12" s="836">
        <v>1.2E-2</v>
      </c>
      <c r="F12" s="827" t="s">
        <v>2305</v>
      </c>
      <c r="G12" s="828"/>
      <c r="H12" s="803"/>
      <c r="I12" s="899"/>
      <c r="J12" s="3943"/>
      <c r="K12" s="3947"/>
      <c r="L12" s="909" t="s">
        <v>2306</v>
      </c>
      <c r="M12" s="910"/>
      <c r="N12" s="807"/>
      <c r="O12" s="911"/>
      <c r="P12" s="911"/>
      <c r="Q12" s="840">
        <v>365</v>
      </c>
      <c r="R12" s="945">
        <f t="shared" si="0"/>
        <v>0</v>
      </c>
      <c r="S12" s="938"/>
      <c r="T12" s="938"/>
      <c r="U12" s="938"/>
      <c r="V12" s="899"/>
    </row>
    <row r="13" spans="1:22" s="785" customFormat="1" ht="13.15" customHeight="1">
      <c r="A13" s="832"/>
      <c r="B13" s="833"/>
      <c r="C13" s="837" t="s">
        <v>2307</v>
      </c>
      <c r="D13" s="838"/>
      <c r="E13" s="839"/>
      <c r="F13" s="827"/>
      <c r="G13" s="828"/>
      <c r="H13" s="803"/>
      <c r="I13" s="899"/>
      <c r="J13" s="3943"/>
      <c r="K13" s="3947"/>
      <c r="L13" s="909" t="s">
        <v>2308</v>
      </c>
      <c r="M13" s="910"/>
      <c r="N13" s="807"/>
      <c r="O13" s="911"/>
      <c r="P13" s="911"/>
      <c r="Q13" s="840">
        <v>365</v>
      </c>
      <c r="R13" s="945">
        <f t="shared" si="0"/>
        <v>0</v>
      </c>
      <c r="S13" s="938"/>
      <c r="T13" s="938"/>
      <c r="U13" s="938"/>
      <c r="V13" s="899"/>
    </row>
    <row r="14" spans="1:22" s="785" customFormat="1" ht="13.15" customHeight="1">
      <c r="A14" s="832" t="s">
        <v>2309</v>
      </c>
      <c r="B14" s="3939" t="s">
        <v>2310</v>
      </c>
      <c r="C14" s="3940"/>
      <c r="D14" s="835">
        <f>ROUND(E14*B5/10000,0)</f>
        <v>0</v>
      </c>
      <c r="E14" s="840"/>
      <c r="F14" s="827" t="s">
        <v>2311</v>
      </c>
      <c r="G14" s="828"/>
      <c r="H14" s="803"/>
      <c r="I14" s="899"/>
      <c r="J14" s="3943"/>
      <c r="K14" s="3948"/>
      <c r="L14" s="912" t="s">
        <v>2312</v>
      </c>
      <c r="M14" s="913">
        <f>SUM(M7:M13)</f>
        <v>0</v>
      </c>
      <c r="N14" s="913" t="e">
        <f>ROUND((N7*M7+N8*M8+N9*M9+N10*M10+N11*M11+N12*M12+N13*M13)/M14,0)</f>
        <v>#DIV/0!</v>
      </c>
      <c r="O14" s="914"/>
      <c r="P14" s="914"/>
      <c r="Q14" s="946"/>
      <c r="R14" s="940">
        <f>SUM(R7:R13)</f>
        <v>0</v>
      </c>
      <c r="S14" s="938"/>
      <c r="T14" s="938"/>
      <c r="U14" s="938"/>
      <c r="V14" s="899"/>
    </row>
    <row r="15" spans="1:22" s="785" customFormat="1" ht="13.15" customHeight="1">
      <c r="A15" s="832" t="s">
        <v>2313</v>
      </c>
      <c r="B15" s="3939" t="s">
        <v>2314</v>
      </c>
      <c r="C15" s="3940"/>
      <c r="D15" s="835">
        <f>ROUND(D6*E15,0)</f>
        <v>0</v>
      </c>
      <c r="E15" s="836">
        <v>5.5E-2</v>
      </c>
      <c r="F15" s="827" t="s">
        <v>2315</v>
      </c>
      <c r="G15" s="814"/>
      <c r="H15" s="803"/>
      <c r="I15" s="899"/>
      <c r="J15" s="3943">
        <v>2</v>
      </c>
      <c r="K15" s="3946" t="s">
        <v>2316</v>
      </c>
      <c r="L15" s="909" t="s">
        <v>2317</v>
      </c>
      <c r="M15" s="910" t="s">
        <v>2318</v>
      </c>
      <c r="N15" s="910" t="s">
        <v>2319</v>
      </c>
      <c r="O15" s="911" t="s">
        <v>2320</v>
      </c>
      <c r="P15" s="911" t="s">
        <v>2282</v>
      </c>
      <c r="Q15" s="807" t="s">
        <v>138</v>
      </c>
      <c r="R15" s="947" t="s">
        <v>2283</v>
      </c>
      <c r="S15" s="938"/>
      <c r="T15" s="938"/>
      <c r="U15" s="938"/>
      <c r="V15" s="899"/>
    </row>
    <row r="16" spans="1:22" s="785" customFormat="1" ht="13.15" customHeight="1">
      <c r="A16" s="832" t="s">
        <v>2321</v>
      </c>
      <c r="B16" s="3939" t="s">
        <v>2322</v>
      </c>
      <c r="C16" s="3940"/>
      <c r="D16" s="841">
        <f>D6*E16</f>
        <v>0</v>
      </c>
      <c r="E16" s="842"/>
      <c r="F16" s="830" t="s">
        <v>2323</v>
      </c>
      <c r="G16" s="814"/>
      <c r="H16" s="803"/>
      <c r="I16" s="899"/>
      <c r="J16" s="3943"/>
      <c r="K16" s="3947"/>
      <c r="L16" s="909" t="s">
        <v>2324</v>
      </c>
      <c r="M16" s="910"/>
      <c r="N16" s="910"/>
      <c r="O16" s="911"/>
      <c r="P16" s="840">
        <v>365</v>
      </c>
      <c r="Q16" s="807"/>
      <c r="R16" s="947">
        <f>ROUND(M16*N16*O16*P16/10000,0)</f>
        <v>0</v>
      </c>
      <c r="S16" s="938"/>
      <c r="T16" s="938"/>
      <c r="U16" s="938"/>
      <c r="V16" s="899"/>
    </row>
    <row r="17" spans="1:22" s="785" customFormat="1" ht="13.15" customHeight="1">
      <c r="A17" s="843">
        <v>4</v>
      </c>
      <c r="B17" s="3941" t="s">
        <v>2325</v>
      </c>
      <c r="C17" s="3942"/>
      <c r="D17" s="844">
        <f>ROUND(D6*E17,0)</f>
        <v>0</v>
      </c>
      <c r="E17" s="845"/>
      <c r="F17" s="846" t="s">
        <v>2326</v>
      </c>
      <c r="G17" s="814"/>
      <c r="H17" s="803"/>
      <c r="I17" s="899"/>
      <c r="J17" s="3943"/>
      <c r="K17" s="3947"/>
      <c r="L17" s="909" t="s">
        <v>2327</v>
      </c>
      <c r="M17" s="910"/>
      <c r="N17" s="910"/>
      <c r="O17" s="911"/>
      <c r="P17" s="840">
        <v>365</v>
      </c>
      <c r="Q17" s="807"/>
      <c r="R17" s="947">
        <f>ROUND(M17*N17*O17*P17/10000,0)</f>
        <v>0</v>
      </c>
      <c r="S17" s="938"/>
      <c r="T17" s="938"/>
      <c r="U17" s="938"/>
      <c r="V17" s="899"/>
    </row>
    <row r="18" spans="1:22" s="785" customFormat="1" ht="13.15" customHeight="1">
      <c r="A18" s="815" t="s">
        <v>2328</v>
      </c>
      <c r="B18" s="816"/>
      <c r="C18" s="816"/>
      <c r="D18" s="847">
        <f>ROUND(D6*E18,0)</f>
        <v>0</v>
      </c>
      <c r="E18" s="848"/>
      <c r="F18" s="849" t="s">
        <v>2329</v>
      </c>
      <c r="G18" s="814"/>
      <c r="H18" s="803"/>
      <c r="I18" s="899"/>
      <c r="J18" s="3943"/>
      <c r="K18" s="3947"/>
      <c r="L18" s="909" t="s">
        <v>2330</v>
      </c>
      <c r="M18" s="910"/>
      <c r="N18" s="910"/>
      <c r="O18" s="911"/>
      <c r="P18" s="840">
        <v>365</v>
      </c>
      <c r="Q18" s="807"/>
      <c r="R18" s="947">
        <f>ROUND(M18*N18*O18*P18/10000,0)</f>
        <v>0</v>
      </c>
      <c r="S18" s="938"/>
      <c r="T18" s="938"/>
      <c r="U18" s="938"/>
      <c r="V18" s="899"/>
    </row>
    <row r="19" spans="1:22" s="785" customFormat="1" ht="13.15" customHeight="1">
      <c r="A19" s="850" t="s">
        <v>2331</v>
      </c>
      <c r="B19" s="812"/>
      <c r="C19" s="812"/>
      <c r="D19" s="812"/>
      <c r="E19" s="812"/>
      <c r="F19" s="813"/>
      <c r="G19" s="828"/>
      <c r="H19" s="803"/>
      <c r="I19" s="899"/>
      <c r="J19" s="3943"/>
      <c r="K19" s="3948"/>
      <c r="L19" s="912" t="s">
        <v>2312</v>
      </c>
      <c r="M19" s="913"/>
      <c r="N19" s="913">
        <f>SUM(N16:N18)</f>
        <v>0</v>
      </c>
      <c r="O19" s="914"/>
      <c r="P19" s="915" t="s">
        <v>2332</v>
      </c>
      <c r="Q19" s="911"/>
      <c r="R19" s="948">
        <f>ROUND(IF(P19="按比例",R14*Q19,SUM(R16:R18)),0)</f>
        <v>0</v>
      </c>
      <c r="S19" s="938"/>
      <c r="T19" s="938"/>
      <c r="U19" s="938"/>
      <c r="V19" s="899"/>
    </row>
    <row r="20" spans="1:22" s="785" customFormat="1" ht="13.15" customHeight="1">
      <c r="A20" s="815"/>
      <c r="B20" s="816"/>
      <c r="C20" s="816"/>
      <c r="D20" s="816"/>
      <c r="E20" s="816"/>
      <c r="F20" s="851"/>
      <c r="G20" s="828"/>
      <c r="H20" s="803"/>
      <c r="I20" s="899"/>
      <c r="J20" s="3943">
        <v>3</v>
      </c>
      <c r="K20" s="3946" t="s">
        <v>2333</v>
      </c>
      <c r="L20" s="909" t="s">
        <v>2334</v>
      </c>
      <c r="M20" s="910" t="s">
        <v>2335</v>
      </c>
      <c r="N20" s="916" t="s">
        <v>2336</v>
      </c>
      <c r="O20" s="911" t="s">
        <v>2337</v>
      </c>
      <c r="P20" s="840" t="s">
        <v>2282</v>
      </c>
      <c r="Q20" s="807" t="s">
        <v>138</v>
      </c>
      <c r="R20" s="947" t="s">
        <v>2283</v>
      </c>
      <c r="S20" s="935"/>
      <c r="T20" s="935"/>
      <c r="U20" s="935"/>
      <c r="V20" s="899"/>
    </row>
    <row r="21" spans="1:22" s="785" customFormat="1" ht="13.15" customHeight="1">
      <c r="A21" s="815"/>
      <c r="B21" s="816"/>
      <c r="C21" s="823" t="s">
        <v>2338</v>
      </c>
      <c r="D21" s="852" t="s">
        <v>2339</v>
      </c>
      <c r="E21" s="824" t="s">
        <v>2340</v>
      </c>
      <c r="F21" s="851"/>
      <c r="G21" s="828"/>
      <c r="H21" s="803"/>
      <c r="I21" s="899"/>
      <c r="J21" s="3943"/>
      <c r="K21" s="3947"/>
      <c r="L21" s="909" t="s">
        <v>2341</v>
      </c>
      <c r="M21" s="910"/>
      <c r="N21" s="910"/>
      <c r="O21" s="911"/>
      <c r="P21" s="840">
        <v>365</v>
      </c>
      <c r="Q21" s="807"/>
      <c r="R21" s="949">
        <f>ROUND(M21*N21*O21*P21/10000,0)</f>
        <v>0</v>
      </c>
      <c r="S21" s="935"/>
      <c r="T21" s="935"/>
      <c r="U21" s="935"/>
      <c r="V21" s="899"/>
    </row>
    <row r="22" spans="1:22" s="785" customFormat="1" ht="13.15" customHeight="1">
      <c r="A22" s="815"/>
      <c r="B22" s="816"/>
      <c r="C22" s="853" t="s">
        <v>2342</v>
      </c>
      <c r="D22" s="854" t="s">
        <v>2343</v>
      </c>
      <c r="E22" s="855" t="s">
        <v>2344</v>
      </c>
      <c r="F22" s="851"/>
      <c r="G22" s="856"/>
      <c r="H22" s="803"/>
      <c r="I22" s="899"/>
      <c r="J22" s="3943"/>
      <c r="K22" s="3947"/>
      <c r="L22" s="909" t="s">
        <v>2345</v>
      </c>
      <c r="M22" s="910"/>
      <c r="N22" s="910"/>
      <c r="O22" s="911"/>
      <c r="P22" s="840">
        <v>365</v>
      </c>
      <c r="Q22" s="807"/>
      <c r="R22" s="949">
        <f>ROUND(M22*N22*O22*P22/10000,0)</f>
        <v>0</v>
      </c>
      <c r="S22" s="935"/>
      <c r="T22" s="935"/>
      <c r="U22" s="935"/>
      <c r="V22" s="899"/>
    </row>
    <row r="23" spans="1:22" s="785" customFormat="1" ht="13.15" customHeight="1">
      <c r="A23" s="857">
        <v>1</v>
      </c>
      <c r="B23" s="858" t="s">
        <v>2346</v>
      </c>
      <c r="C23" s="859">
        <f>D6</f>
        <v>0</v>
      </c>
      <c r="D23" s="860">
        <f>C23*(1+D24)</f>
        <v>0</v>
      </c>
      <c r="E23" s="861">
        <f>D23*(1+E24)</f>
        <v>0</v>
      </c>
      <c r="F23" s="862"/>
      <c r="G23" s="863"/>
      <c r="H23" s="803"/>
      <c r="I23" s="899"/>
      <c r="J23" s="3943"/>
      <c r="K23" s="3947"/>
      <c r="L23" s="909" t="s">
        <v>2347</v>
      </c>
      <c r="M23" s="910"/>
      <c r="N23" s="910"/>
      <c r="O23" s="911"/>
      <c r="P23" s="840">
        <v>365</v>
      </c>
      <c r="Q23" s="807"/>
      <c r="R23" s="949">
        <f>ROUND(M23*N23*O23*P23/10000,0)</f>
        <v>0</v>
      </c>
      <c r="S23" s="938"/>
      <c r="T23" s="938"/>
      <c r="U23" s="938"/>
      <c r="V23" s="899"/>
    </row>
    <row r="24" spans="1:22" s="785" customFormat="1" ht="13.15" customHeight="1">
      <c r="A24" s="864"/>
      <c r="B24" s="865" t="s">
        <v>2348</v>
      </c>
      <c r="C24" s="866"/>
      <c r="D24" s="867"/>
      <c r="E24" s="868"/>
      <c r="F24" s="869"/>
      <c r="G24" s="863"/>
      <c r="H24" s="803"/>
      <c r="I24" s="899"/>
      <c r="J24" s="3943"/>
      <c r="K24" s="3948"/>
      <c r="L24" s="912" t="s">
        <v>2312</v>
      </c>
      <c r="M24" s="913">
        <f>SUM(M21:M23)</f>
        <v>0</v>
      </c>
      <c r="N24" s="913"/>
      <c r="O24" s="914"/>
      <c r="P24" s="915" t="s">
        <v>2332</v>
      </c>
      <c r="Q24" s="911"/>
      <c r="R24" s="948">
        <f>ROUND(IF(P24="按比例",R14*Q24,SUM(R21:R23)),0)</f>
        <v>0</v>
      </c>
      <c r="S24" s="938"/>
      <c r="T24" s="938"/>
      <c r="U24" s="938"/>
      <c r="V24" s="899"/>
    </row>
    <row r="25" spans="1:22" s="786" customFormat="1" ht="13.15" customHeight="1">
      <c r="A25" s="864"/>
      <c r="B25" s="865"/>
      <c r="C25" s="866"/>
      <c r="D25" s="867"/>
      <c r="E25" s="868"/>
      <c r="F25" s="869"/>
      <c r="G25" s="856"/>
      <c r="H25" s="803"/>
      <c r="I25" s="899"/>
      <c r="J25" s="906">
        <v>4</v>
      </c>
      <c r="K25" s="917" t="s">
        <v>2349</v>
      </c>
      <c r="L25" s="918"/>
      <c r="M25" s="918"/>
      <c r="N25" s="918"/>
      <c r="O25" s="918"/>
      <c r="P25" s="919"/>
      <c r="Q25" s="950"/>
      <c r="R25" s="948">
        <f>ROUND(R14*Q25,0)</f>
        <v>0</v>
      </c>
      <c r="S25" s="938"/>
      <c r="T25" s="938"/>
      <c r="U25" s="938"/>
      <c r="V25" s="925"/>
    </row>
    <row r="26" spans="1:22" s="786" customFormat="1" ht="13.15" customHeight="1">
      <c r="A26" s="857">
        <v>2</v>
      </c>
      <c r="B26" s="858" t="s">
        <v>2350</v>
      </c>
      <c r="C26" s="859">
        <f>D7</f>
        <v>0</v>
      </c>
      <c r="D26" s="860">
        <f>D23*D27</f>
        <v>0</v>
      </c>
      <c r="E26" s="861">
        <f>E23*E27</f>
        <v>0</v>
      </c>
      <c r="F26" s="862"/>
      <c r="G26" s="863"/>
      <c r="H26" s="803"/>
      <c r="I26" s="899"/>
      <c r="J26" s="3944">
        <v>5</v>
      </c>
      <c r="K26" s="920" t="s">
        <v>2351</v>
      </c>
      <c r="L26" s="921"/>
      <c r="M26" s="922"/>
      <c r="N26" s="923" t="s">
        <v>2352</v>
      </c>
      <c r="O26" s="923" t="s">
        <v>2353</v>
      </c>
      <c r="P26" s="924" t="s">
        <v>2354</v>
      </c>
      <c r="Q26" s="924" t="s">
        <v>2355</v>
      </c>
      <c r="R26" s="942" t="s">
        <v>2283</v>
      </c>
      <c r="S26" s="951"/>
      <c r="T26" s="951"/>
      <c r="U26" s="951"/>
      <c r="V26" s="925"/>
    </row>
    <row r="27" spans="1:22" s="785" customFormat="1" ht="13.15" customHeight="1">
      <c r="A27" s="864"/>
      <c r="B27" s="865" t="s">
        <v>2356</v>
      </c>
      <c r="C27" s="870" t="e">
        <f>E7</f>
        <v>#DIV/0!</v>
      </c>
      <c r="D27" s="867"/>
      <c r="E27" s="868"/>
      <c r="F27" s="869"/>
      <c r="G27" s="863"/>
      <c r="H27" s="871"/>
      <c r="I27" s="925"/>
      <c r="J27" s="3945"/>
      <c r="K27" s="926"/>
      <c r="L27" s="927"/>
      <c r="M27" s="928"/>
      <c r="N27" s="929"/>
      <c r="O27" s="929"/>
      <c r="P27" s="929"/>
      <c r="Q27" s="952"/>
      <c r="R27" s="948">
        <f>ROUND(O27*N27*P27*(1-Q27)/10000,0)</f>
        <v>0</v>
      </c>
      <c r="S27" s="938"/>
      <c r="T27" s="938"/>
      <c r="U27" s="938"/>
      <c r="V27" s="899"/>
    </row>
    <row r="28" spans="1:22" s="786" customFormat="1" ht="13.15" customHeight="1">
      <c r="A28" s="864"/>
      <c r="B28" s="865"/>
      <c r="C28" s="870"/>
      <c r="D28" s="867"/>
      <c r="E28" s="868" t="s">
        <v>2034</v>
      </c>
      <c r="F28" s="869"/>
      <c r="G28" s="856"/>
      <c r="H28" s="871"/>
      <c r="I28" s="925"/>
      <c r="J28" s="930">
        <v>6</v>
      </c>
      <c r="K28" s="931" t="s">
        <v>2056</v>
      </c>
      <c r="L28" s="932" t="s">
        <v>2357</v>
      </c>
      <c r="M28" s="933"/>
      <c r="N28" s="932" t="s">
        <v>2058</v>
      </c>
      <c r="O28" s="934"/>
      <c r="P28" s="932" t="s">
        <v>2358</v>
      </c>
      <c r="Q28" s="953">
        <v>1.4999999999999999E-2</v>
      </c>
      <c r="R28" s="954"/>
      <c r="S28" s="935"/>
      <c r="T28" s="935"/>
      <c r="U28" s="935"/>
      <c r="V28" s="925"/>
    </row>
    <row r="29" spans="1:22" s="786" customFormat="1" ht="13.15" customHeight="1">
      <c r="A29" s="857">
        <v>3</v>
      </c>
      <c r="B29" s="858" t="s">
        <v>2359</v>
      </c>
      <c r="C29" s="859">
        <f>C23*C30</f>
        <v>0</v>
      </c>
      <c r="D29" s="860">
        <f>D23*C30</f>
        <v>0</v>
      </c>
      <c r="E29" s="861">
        <f>E23*C30</f>
        <v>0</v>
      </c>
      <c r="F29" s="862"/>
      <c r="G29" s="863"/>
      <c r="H29" s="803"/>
      <c r="I29" s="899"/>
      <c r="J29" s="935"/>
      <c r="K29" s="935"/>
      <c r="L29" s="935"/>
      <c r="M29" s="935"/>
      <c r="N29" s="935"/>
      <c r="O29" s="935"/>
      <c r="P29" s="935"/>
      <c r="Q29" s="935"/>
      <c r="R29" s="935"/>
      <c r="S29" s="935"/>
      <c r="T29" s="935"/>
      <c r="U29" s="935"/>
      <c r="V29" s="925"/>
    </row>
    <row r="30" spans="1:22" s="785" customFormat="1" ht="13.15" customHeight="1">
      <c r="A30" s="864"/>
      <c r="B30" s="865" t="s">
        <v>2356</v>
      </c>
      <c r="C30" s="870">
        <f>E18</f>
        <v>0</v>
      </c>
      <c r="D30" s="872"/>
      <c r="E30" s="839"/>
      <c r="F30" s="869"/>
      <c r="G30" s="863"/>
      <c r="H30" s="871"/>
      <c r="I30" s="925"/>
      <c r="J30" s="935"/>
      <c r="K30" s="935"/>
      <c r="L30" s="935"/>
      <c r="M30" s="935"/>
      <c r="N30" s="935"/>
      <c r="O30" s="935"/>
      <c r="P30" s="935"/>
      <c r="Q30" s="935"/>
      <c r="R30" s="935"/>
      <c r="S30" s="935"/>
      <c r="T30" s="935"/>
      <c r="U30" s="938"/>
      <c r="V30" s="899"/>
    </row>
    <row r="31" spans="1:22" s="786" customFormat="1" ht="13.15" customHeight="1">
      <c r="A31" s="864"/>
      <c r="B31" s="865"/>
      <c r="C31" s="873"/>
      <c r="D31" s="872"/>
      <c r="E31" s="839"/>
      <c r="F31" s="869"/>
      <c r="G31" s="856"/>
      <c r="H31" s="871"/>
      <c r="I31" s="925"/>
      <c r="J31" s="897" t="s">
        <v>2360</v>
      </c>
      <c r="K31" s="898"/>
      <c r="L31" s="898"/>
      <c r="M31" s="898"/>
      <c r="N31" s="898"/>
      <c r="O31" s="898"/>
      <c r="P31" s="898"/>
      <c r="Q31" s="898"/>
      <c r="R31" s="937"/>
      <c r="S31" s="935"/>
      <c r="T31" s="938"/>
      <c r="U31" s="938"/>
      <c r="V31" s="925"/>
    </row>
    <row r="32" spans="1:22" s="786" customFormat="1" ht="13.15" customHeight="1">
      <c r="A32" s="857">
        <v>4</v>
      </c>
      <c r="B32" s="858" t="s">
        <v>2361</v>
      </c>
      <c r="C32" s="859">
        <f>C23-C26-C29</f>
        <v>0</v>
      </c>
      <c r="D32" s="860">
        <f>D23-D26-D29</f>
        <v>0</v>
      </c>
      <c r="E32" s="861">
        <f>E23-E26-E29</f>
        <v>0</v>
      </c>
      <c r="F32" s="862"/>
      <c r="G32" s="856"/>
      <c r="H32" s="803"/>
      <c r="I32" s="899"/>
      <c r="J32" s="3930" t="s">
        <v>2261</v>
      </c>
      <c r="K32" s="3931"/>
      <c r="L32" s="900" t="s">
        <v>2262</v>
      </c>
      <c r="M32" s="900" t="s">
        <v>2263</v>
      </c>
      <c r="N32" s="900" t="s">
        <v>2264</v>
      </c>
      <c r="O32" s="900" t="s">
        <v>2265</v>
      </c>
      <c r="P32" s="900" t="s">
        <v>2266</v>
      </c>
      <c r="Q32" s="939" t="s">
        <v>2267</v>
      </c>
      <c r="R32" s="955" t="s">
        <v>2268</v>
      </c>
      <c r="S32" s="935"/>
      <c r="T32" s="938"/>
      <c r="U32" s="938"/>
      <c r="V32" s="925"/>
    </row>
    <row r="33" spans="1:23" s="785" customFormat="1" ht="13.15" customHeight="1">
      <c r="A33" s="857"/>
      <c r="B33" s="858"/>
      <c r="C33" s="859"/>
      <c r="D33" s="874"/>
      <c r="E33" s="834"/>
      <c r="F33" s="862"/>
      <c r="G33" s="856"/>
      <c r="H33" s="871"/>
      <c r="I33" s="925"/>
      <c r="J33" s="3932" t="s">
        <v>2271</v>
      </c>
      <c r="K33" s="3933"/>
      <c r="L33" s="901"/>
      <c r="M33" s="901"/>
      <c r="N33" s="901"/>
      <c r="O33" s="901"/>
      <c r="P33" s="901"/>
      <c r="Q33" s="941"/>
      <c r="R33" s="956">
        <f>SUM(L33:Q33)</f>
        <v>0</v>
      </c>
      <c r="S33" s="935"/>
      <c r="T33" s="938"/>
      <c r="U33" s="938"/>
      <c r="V33" s="899"/>
    </row>
    <row r="34" spans="1:23" s="785" customFormat="1" ht="13.15" customHeight="1">
      <c r="A34" s="857">
        <v>5</v>
      </c>
      <c r="B34" s="858" t="s">
        <v>2362</v>
      </c>
      <c r="C34" s="875"/>
      <c r="D34" s="876"/>
      <c r="E34" s="877"/>
      <c r="F34" s="862"/>
      <c r="G34" s="856"/>
      <c r="H34" s="871"/>
      <c r="I34" s="925"/>
      <c r="J34" s="3932" t="s">
        <v>2272</v>
      </c>
      <c r="K34" s="3933"/>
      <c r="L34" s="902"/>
      <c r="M34" s="902"/>
      <c r="N34" s="902"/>
      <c r="O34" s="902"/>
      <c r="P34" s="902"/>
      <c r="Q34" s="943"/>
      <c r="R34" s="957">
        <f>SUM(L34:Q34)</f>
        <v>0</v>
      </c>
      <c r="S34" s="935"/>
      <c r="T34" s="938"/>
      <c r="U34" s="938" t="e">
        <f>ROUND(R35*10000/365/R33,1)</f>
        <v>#DIV/0!</v>
      </c>
      <c r="V34" s="899"/>
    </row>
    <row r="35" spans="1:23" s="785" customFormat="1" ht="13.15" customHeight="1">
      <c r="A35" s="857">
        <v>6</v>
      </c>
      <c r="B35" s="858" t="s">
        <v>2363</v>
      </c>
      <c r="C35" s="878"/>
      <c r="D35" s="879"/>
      <c r="E35" s="880"/>
      <c r="F35" s="862"/>
      <c r="G35" s="881"/>
      <c r="H35" s="803"/>
      <c r="I35" s="925"/>
      <c r="J35" s="903" t="s">
        <v>2273</v>
      </c>
      <c r="K35" s="904"/>
      <c r="L35" s="904"/>
      <c r="M35" s="905"/>
      <c r="N35" s="905"/>
      <c r="O35" s="905"/>
      <c r="P35" s="905"/>
      <c r="Q35" s="905"/>
      <c r="R35" s="958">
        <f>R40+R41+R43</f>
        <v>0</v>
      </c>
      <c r="S35" s="935"/>
      <c r="T35" s="938" t="s">
        <v>2274</v>
      </c>
      <c r="U35" s="938"/>
      <c r="V35" s="899"/>
    </row>
    <row r="36" spans="1:23" s="785" customFormat="1" ht="13.15" customHeight="1">
      <c r="A36" s="857">
        <v>7</v>
      </c>
      <c r="B36" s="882" t="s">
        <v>2364</v>
      </c>
      <c r="C36" s="883"/>
      <c r="D36" s="884"/>
      <c r="E36" s="885"/>
      <c r="F36" s="886">
        <f>C36+D36+E36</f>
        <v>0</v>
      </c>
      <c r="G36" s="856"/>
      <c r="H36" s="803"/>
      <c r="I36" s="899"/>
      <c r="J36" s="3943">
        <v>1</v>
      </c>
      <c r="K36" s="3946" t="s">
        <v>2365</v>
      </c>
      <c r="L36" s="907"/>
      <c r="M36" s="908"/>
      <c r="N36" s="908"/>
      <c r="O36" s="908"/>
      <c r="P36" s="908"/>
      <c r="Q36" s="908"/>
      <c r="R36" s="942" t="s">
        <v>2283</v>
      </c>
      <c r="S36" s="935"/>
      <c r="T36" s="938" t="s">
        <v>2284</v>
      </c>
      <c r="U36" s="938"/>
      <c r="V36" s="899"/>
    </row>
    <row r="37" spans="1:23" s="785" customFormat="1" ht="13.15" customHeight="1">
      <c r="A37" s="857"/>
      <c r="B37" s="858"/>
      <c r="C37" s="858"/>
      <c r="D37" s="858"/>
      <c r="E37" s="858"/>
      <c r="F37" s="862"/>
      <c r="G37" s="856"/>
      <c r="H37" s="803"/>
      <c r="I37" s="899"/>
      <c r="J37" s="3943"/>
      <c r="K37" s="3947"/>
      <c r="L37" s="909"/>
      <c r="M37" s="910"/>
      <c r="N37" s="807"/>
      <c r="O37" s="911"/>
      <c r="P37" s="911"/>
      <c r="Q37" s="840"/>
      <c r="R37" s="945"/>
      <c r="S37" s="935"/>
      <c r="T37" s="938" t="s">
        <v>2287</v>
      </c>
      <c r="U37" s="938"/>
      <c r="V37" s="899"/>
    </row>
    <row r="38" spans="1:23" s="785" customFormat="1" ht="13.15" customHeight="1">
      <c r="A38" s="857">
        <v>8</v>
      </c>
      <c r="B38" s="858"/>
      <c r="C38" s="825" t="e">
        <f>ROUND(C32*(1-((1+C35)/(1+C34))^C36)/(C34-C35),0)</f>
        <v>#DIV/0!</v>
      </c>
      <c r="D38" s="825">
        <f>IF(D23=0,0,ROUND(D32*(1-((1+D35)/(1+D34))^D36)/(D34-D35),0))</f>
        <v>0</v>
      </c>
      <c r="E38" s="825">
        <f>IF(E23=0,0,ROUND(E32*(1-((1+E35)/(1+E34))^E36)/(E34-E35),0))</f>
        <v>0</v>
      </c>
      <c r="F38" s="862"/>
      <c r="G38" s="856"/>
      <c r="H38" s="803"/>
      <c r="I38" s="899"/>
      <c r="J38" s="3943"/>
      <c r="K38" s="3947"/>
      <c r="L38" s="909"/>
      <c r="M38" s="910"/>
      <c r="N38" s="807"/>
      <c r="O38" s="911"/>
      <c r="P38" s="911"/>
      <c r="Q38" s="840"/>
      <c r="R38" s="945"/>
      <c r="S38" s="935"/>
      <c r="T38" s="938" t="s">
        <v>2294</v>
      </c>
      <c r="U38" s="938"/>
      <c r="V38" s="899"/>
    </row>
    <row r="39" spans="1:23" s="785" customFormat="1" ht="13.15" customHeight="1">
      <c r="A39" s="857">
        <v>9</v>
      </c>
      <c r="B39" s="858" t="s">
        <v>2366</v>
      </c>
      <c r="C39" s="835" t="e">
        <f>C38</f>
        <v>#DIV/0!</v>
      </c>
      <c r="D39" s="858">
        <f>D38/(1+D34)^C36</f>
        <v>0</v>
      </c>
      <c r="E39" s="858">
        <f>E38/(1+E34)^(C36+D36)</f>
        <v>0</v>
      </c>
      <c r="F39" s="862"/>
      <c r="G39" s="887"/>
      <c r="H39" s="803"/>
      <c r="I39" s="899"/>
      <c r="J39" s="3943"/>
      <c r="K39" s="3947"/>
      <c r="L39" s="909"/>
      <c r="M39" s="910"/>
      <c r="N39" s="807"/>
      <c r="O39" s="911"/>
      <c r="P39" s="911"/>
      <c r="Q39" s="840"/>
      <c r="R39" s="945"/>
      <c r="S39" s="935"/>
      <c r="T39" s="938"/>
      <c r="U39" s="938"/>
      <c r="V39" s="899"/>
    </row>
    <row r="40" spans="1:23" s="785" customFormat="1" ht="13.15" customHeight="1">
      <c r="A40" s="888">
        <v>10</v>
      </c>
      <c r="B40" s="858" t="s">
        <v>2367</v>
      </c>
      <c r="C40" s="889" t="e">
        <f>C39+D39+E39</f>
        <v>#DIV/0!</v>
      </c>
      <c r="D40" s="890"/>
      <c r="E40" s="890"/>
      <c r="F40" s="891"/>
      <c r="G40" s="856"/>
      <c r="H40" s="803"/>
      <c r="I40" s="899"/>
      <c r="J40" s="3943"/>
      <c r="K40" s="3948"/>
      <c r="L40" s="912" t="s">
        <v>2312</v>
      </c>
      <c r="M40" s="913"/>
      <c r="N40" s="913"/>
      <c r="O40" s="914"/>
      <c r="P40" s="914"/>
      <c r="Q40" s="946"/>
      <c r="R40" s="940">
        <f>SUM(R37:R39)</f>
        <v>0</v>
      </c>
      <c r="S40" s="935"/>
      <c r="T40" s="938"/>
      <c r="U40" s="938"/>
      <c r="V40" s="899"/>
    </row>
    <row r="41" spans="1:23" s="785" customFormat="1" ht="13.15" customHeight="1">
      <c r="A41" s="892">
        <v>11</v>
      </c>
      <c r="B41" s="893" t="s">
        <v>2368</v>
      </c>
      <c r="C41" s="893" t="e">
        <f>ROUND(C40*10000/B4,0)</f>
        <v>#DIV/0!</v>
      </c>
      <c r="D41" s="894"/>
      <c r="E41" s="894"/>
      <c r="F41" s="895"/>
      <c r="G41" s="896"/>
      <c r="H41" s="803"/>
      <c r="I41" s="899"/>
      <c r="J41" s="906">
        <v>2</v>
      </c>
      <c r="K41" s="917" t="s">
        <v>2349</v>
      </c>
      <c r="L41" s="918"/>
      <c r="M41" s="918"/>
      <c r="N41" s="918"/>
      <c r="O41" s="918"/>
      <c r="P41" s="919"/>
      <c r="Q41" s="950"/>
      <c r="R41" s="948">
        <f>ROUND(R40*Q41,0)</f>
        <v>0</v>
      </c>
      <c r="S41" s="935"/>
      <c r="T41" s="938"/>
      <c r="U41" s="951"/>
      <c r="V41" s="899"/>
    </row>
    <row r="42" spans="1:23" s="785" customFormat="1" ht="13.15" customHeight="1">
      <c r="G42" s="896"/>
      <c r="H42" s="803"/>
      <c r="I42" s="899"/>
      <c r="J42" s="3944">
        <v>3</v>
      </c>
      <c r="K42" s="920" t="s">
        <v>2351</v>
      </c>
      <c r="L42" s="921"/>
      <c r="M42" s="922"/>
      <c r="N42" s="923" t="s">
        <v>2352</v>
      </c>
      <c r="O42" s="923" t="s">
        <v>2353</v>
      </c>
      <c r="P42" s="924" t="s">
        <v>2354</v>
      </c>
      <c r="Q42" s="924" t="s">
        <v>2355</v>
      </c>
      <c r="R42" s="942" t="s">
        <v>2283</v>
      </c>
      <c r="S42" s="951"/>
      <c r="T42" s="951"/>
      <c r="U42" s="938"/>
      <c r="V42" s="899"/>
    </row>
    <row r="43" spans="1:23" ht="13.15" customHeight="1">
      <c r="A43" s="785"/>
      <c r="B43" s="785"/>
      <c r="C43" s="785"/>
      <c r="D43" s="785"/>
      <c r="E43" s="785"/>
      <c r="F43" s="785"/>
      <c r="I43" s="789"/>
      <c r="J43" s="3945"/>
      <c r="K43" s="926"/>
      <c r="L43" s="927"/>
      <c r="M43" s="928"/>
      <c r="N43" s="910"/>
      <c r="O43" s="910"/>
      <c r="P43" s="910"/>
      <c r="Q43" s="950"/>
      <c r="R43" s="948">
        <f>ROUND(O43*N43*P43*(1-Q43)/10000,0)</f>
        <v>0</v>
      </c>
      <c r="S43" s="935"/>
      <c r="T43" s="938"/>
      <c r="V43" s="791"/>
      <c r="W43" s="959"/>
    </row>
    <row r="44" spans="1:23" ht="13.15" customHeight="1">
      <c r="J44" s="930">
        <v>6</v>
      </c>
      <c r="K44" s="931" t="s">
        <v>2056</v>
      </c>
      <c r="L44" s="936" t="s">
        <v>2357</v>
      </c>
      <c r="M44" s="933"/>
      <c r="N44" s="936" t="s">
        <v>2058</v>
      </c>
      <c r="O44" s="933"/>
      <c r="P44" s="936" t="s">
        <v>2358</v>
      </c>
      <c r="Q44" s="953">
        <v>1.4999999999999999E-2</v>
      </c>
      <c r="R44" s="954"/>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54" type="noConversion"/>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workbookViewId="0">
      <selection activeCell="T45" sqref="T45"/>
    </sheetView>
  </sheetViews>
  <sheetFormatPr defaultColWidth="8.375" defaultRowHeight="12.75"/>
  <cols>
    <col min="1" max="1" width="9.375" style="723" customWidth="1"/>
    <col min="2" max="2" width="26.625" style="724" customWidth="1"/>
    <col min="3" max="3" width="11.125" style="724" customWidth="1"/>
    <col min="4" max="5" width="11.125" style="725" customWidth="1"/>
    <col min="6" max="6" width="9.5" style="724" customWidth="1"/>
    <col min="7" max="7" width="31.875" style="724" customWidth="1"/>
    <col min="8" max="25" width="9" style="726" customWidth="1"/>
    <col min="26" max="254" width="9" style="724" customWidth="1"/>
    <col min="255" max="16384" width="8.375" style="724"/>
  </cols>
  <sheetData>
    <row r="1" spans="1:25" s="719" customFormat="1" ht="20.25">
      <c r="A1" s="727" t="s">
        <v>2369</v>
      </c>
      <c r="B1" s="728"/>
      <c r="C1" s="729"/>
      <c r="D1" s="729"/>
      <c r="E1" s="729"/>
      <c r="F1" s="729"/>
      <c r="G1" s="730"/>
    </row>
    <row r="2" spans="1:25" s="719" customFormat="1" ht="18" customHeight="1">
      <c r="A2" s="225" t="s">
        <v>945</v>
      </c>
      <c r="B2" s="731">
        <f ca="1">C23</f>
        <v>0</v>
      </c>
      <c r="C2" s="732"/>
      <c r="D2" s="732"/>
      <c r="E2" s="732"/>
      <c r="F2" s="732"/>
      <c r="G2" s="732"/>
    </row>
    <row r="3" spans="1:25" s="719" customFormat="1" ht="18" customHeight="1">
      <c r="A3" s="733" t="s">
        <v>946</v>
      </c>
      <c r="B3" s="731">
        <f ca="1">ROUND(B2*10000/'数据-汇总表'!E3,0)</f>
        <v>0</v>
      </c>
      <c r="C3" s="732"/>
      <c r="D3" s="732"/>
      <c r="E3" s="732"/>
      <c r="F3" s="732"/>
      <c r="G3" s="732"/>
    </row>
    <row r="4" spans="1:25" s="719" customFormat="1" ht="18" customHeight="1">
      <c r="A4" s="734" t="s">
        <v>947</v>
      </c>
      <c r="B4" s="735">
        <f ca="1">ROUND(B2*10000/'数据-汇总表'!D3,0)</f>
        <v>0</v>
      </c>
      <c r="C4" s="736"/>
      <c r="D4" s="732"/>
      <c r="E4" s="732"/>
      <c r="F4" s="732"/>
      <c r="G4" s="732"/>
    </row>
    <row r="5" spans="1:25" s="719" customFormat="1" ht="18" customHeight="1">
      <c r="A5" s="737"/>
      <c r="B5" s="738">
        <f ca="1">ROUND(B2/('数据-汇总表'!D3/666.67),0)</f>
        <v>0</v>
      </c>
      <c r="C5" s="739" t="s">
        <v>948</v>
      </c>
      <c r="D5" s="732"/>
      <c r="E5" s="732"/>
      <c r="F5" s="732"/>
      <c r="G5" s="732"/>
    </row>
    <row r="6" spans="1:25" s="720" customFormat="1" ht="13.5" customHeight="1">
      <c r="A6" s="740"/>
      <c r="B6" s="741" t="s">
        <v>877</v>
      </c>
      <c r="C6" s="742" t="s">
        <v>2370</v>
      </c>
      <c r="D6" s="742" t="s">
        <v>2371</v>
      </c>
      <c r="E6" s="743" t="s">
        <v>2372</v>
      </c>
      <c r="F6" s="743" t="s">
        <v>878</v>
      </c>
      <c r="G6" s="744" t="s">
        <v>2373</v>
      </c>
    </row>
    <row r="7" spans="1:25" s="720" customFormat="1" ht="13.5" customHeight="1">
      <c r="A7" s="745">
        <v>1</v>
      </c>
      <c r="B7" s="746" t="s">
        <v>2374</v>
      </c>
      <c r="C7" s="747">
        <f>C8+C9</f>
        <v>0</v>
      </c>
      <c r="D7" s="747"/>
      <c r="E7" s="748"/>
      <c r="F7" s="748"/>
      <c r="G7" s="749"/>
    </row>
    <row r="8" spans="1:25" s="720" customFormat="1" ht="13.5" customHeight="1">
      <c r="A8" s="745" t="s">
        <v>2375</v>
      </c>
      <c r="B8" s="750" t="s">
        <v>2376</v>
      </c>
      <c r="C8" s="751">
        <f>ROUND(D8*E8/10000,0)</f>
        <v>0</v>
      </c>
      <c r="D8" s="751">
        <v>0</v>
      </c>
      <c r="E8" s="752">
        <v>0</v>
      </c>
      <c r="F8" s="748"/>
      <c r="G8" s="753"/>
    </row>
    <row r="9" spans="1:25" s="720" customFormat="1" ht="13.5" customHeight="1">
      <c r="A9" s="745" t="s">
        <v>2377</v>
      </c>
      <c r="B9" s="750" t="s">
        <v>2378</v>
      </c>
      <c r="C9" s="751">
        <f>ROUND(D9*E9/10000,0)</f>
        <v>0</v>
      </c>
      <c r="D9" s="751">
        <v>0</v>
      </c>
      <c r="E9" s="752">
        <v>0</v>
      </c>
      <c r="F9" s="748"/>
      <c r="G9" s="753"/>
    </row>
    <row r="10" spans="1:25" s="720" customFormat="1" ht="36">
      <c r="A10" s="745">
        <v>2</v>
      </c>
      <c r="B10" s="746" t="s">
        <v>2379</v>
      </c>
      <c r="C10" s="747">
        <f>C11+C14+C15</f>
        <v>0</v>
      </c>
      <c r="D10" s="754"/>
      <c r="E10" s="747"/>
      <c r="F10" s="755"/>
      <c r="G10" s="756" t="s">
        <v>2380</v>
      </c>
    </row>
    <row r="11" spans="1:25" s="720" customFormat="1" ht="13.5" customHeight="1">
      <c r="A11" s="745" t="s">
        <v>2375</v>
      </c>
      <c r="B11" s="757" t="s">
        <v>2381</v>
      </c>
      <c r="C11" s="758">
        <f>'数据-取费表'!B29</f>
        <v>0</v>
      </c>
      <c r="D11" s="759"/>
      <c r="E11" s="758"/>
      <c r="F11" s="760"/>
      <c r="G11" s="761" t="s">
        <v>2382</v>
      </c>
    </row>
    <row r="12" spans="1:25" s="720" customFormat="1" ht="13.5" customHeight="1">
      <c r="A12" s="762" t="s">
        <v>2383</v>
      </c>
      <c r="B12" s="763" t="s">
        <v>2384</v>
      </c>
      <c r="C12" s="764">
        <f>ROUND(D12*E12/10000,0)</f>
        <v>0</v>
      </c>
      <c r="D12" s="751">
        <f>'数据-汇总表'!E5</f>
        <v>0</v>
      </c>
      <c r="E12" s="751">
        <f>'数据-取费表'!B27</f>
        <v>0</v>
      </c>
      <c r="F12" s="760"/>
      <c r="G12" s="756"/>
    </row>
    <row r="13" spans="1:25" s="720" customFormat="1" ht="13.5" customHeight="1">
      <c r="A13" s="762" t="s">
        <v>2385</v>
      </c>
      <c r="B13" s="763" t="s">
        <v>2386</v>
      </c>
      <c r="C13" s="764">
        <f>ROUND(D13*E13/10000,0)</f>
        <v>883</v>
      </c>
      <c r="D13" s="751">
        <f>'数据-汇总表'!E6</f>
        <v>74800</v>
      </c>
      <c r="E13" s="751">
        <f>'数据-取费表'!B28</f>
        <v>118</v>
      </c>
      <c r="F13" s="760"/>
      <c r="G13" s="756"/>
    </row>
    <row r="14" spans="1:25" s="720" customFormat="1" ht="13.5" customHeight="1">
      <c r="A14" s="745" t="s">
        <v>2377</v>
      </c>
      <c r="B14" s="765" t="s">
        <v>2387</v>
      </c>
      <c r="C14" s="766">
        <f>ROUND(D14*E14/10000,0)</f>
        <v>0</v>
      </c>
      <c r="D14" s="751">
        <v>0</v>
      </c>
      <c r="E14" s="752">
        <v>0</v>
      </c>
      <c r="F14" s="767"/>
      <c r="G14" s="768" t="s">
        <v>2388</v>
      </c>
    </row>
    <row r="15" spans="1:25" s="720" customFormat="1" ht="13.5" customHeight="1">
      <c r="A15" s="745" t="s">
        <v>2389</v>
      </c>
      <c r="B15" s="765" t="s">
        <v>2390</v>
      </c>
      <c r="C15" s="766">
        <f>ROUND(D15*E15/10000,0)</f>
        <v>0</v>
      </c>
      <c r="D15" s="751">
        <v>0</v>
      </c>
      <c r="E15" s="752">
        <v>0</v>
      </c>
      <c r="F15" s="767"/>
      <c r="G15" s="768" t="s">
        <v>2391</v>
      </c>
    </row>
    <row r="16" spans="1:25" s="721" customFormat="1" ht="48">
      <c r="A16" s="745">
        <v>3</v>
      </c>
      <c r="B16" s="746" t="s">
        <v>2392</v>
      </c>
      <c r="C16" s="766">
        <f>ROUND(D16*E16/10000,0)</f>
        <v>0</v>
      </c>
      <c r="D16" s="751">
        <v>0</v>
      </c>
      <c r="E16" s="752">
        <v>0</v>
      </c>
      <c r="F16" s="755"/>
      <c r="G16" s="756" t="s">
        <v>2393</v>
      </c>
      <c r="H16" s="720"/>
      <c r="I16" s="720"/>
      <c r="J16" s="720"/>
      <c r="K16" s="720"/>
      <c r="L16" s="720"/>
      <c r="M16" s="720"/>
      <c r="N16" s="720"/>
      <c r="O16" s="720"/>
      <c r="P16" s="720"/>
      <c r="Q16" s="720"/>
      <c r="R16" s="720"/>
      <c r="S16" s="720"/>
      <c r="T16" s="720"/>
      <c r="U16" s="720"/>
      <c r="V16" s="720"/>
      <c r="W16" s="720"/>
      <c r="X16" s="720"/>
      <c r="Y16" s="720"/>
    </row>
    <row r="17" spans="1:25" s="721" customFormat="1" ht="25.5">
      <c r="A17" s="769">
        <v>4</v>
      </c>
      <c r="B17" s="746" t="s">
        <v>2394</v>
      </c>
      <c r="C17" s="770">
        <f ca="1">ROUND(IF('数据-取费表'!B19&lt;=1,((C7+C16)*'数据-取费表'!B19+C10*'数据-取费表'!B19/2)*F17,((C7+C16)*(POWER((1+F17),'数据-取费表'!B19)-1)+C10*(POWER((1+F17),'数据-取费表'!B19/2)-1))),0)</f>
        <v>0</v>
      </c>
      <c r="D17" s="771"/>
      <c r="E17" s="772"/>
      <c r="F17" s="773">
        <f ca="1">存贷款利率!E3</f>
        <v>0</v>
      </c>
      <c r="G17" s="774" t="str">
        <f>IF('数据-取费表'!B19&lt;=1,"((１＋３)×土地开发期+２×(土地开发期÷２))×利率","((１＋３)×((1+利率)^土地开发期-1)+２×((1+利率)^(土地开发期÷２)-1)")</f>
        <v>((１＋３)×土地开发期+２×(土地开发期÷２))×利率</v>
      </c>
      <c r="H17" s="775"/>
      <c r="I17" s="720"/>
      <c r="J17" s="720"/>
      <c r="K17" s="720"/>
      <c r="L17" s="720"/>
      <c r="M17" s="720"/>
      <c r="N17" s="720"/>
      <c r="O17" s="720"/>
      <c r="P17" s="720"/>
      <c r="Q17" s="720"/>
      <c r="R17" s="720"/>
      <c r="S17" s="720"/>
      <c r="T17" s="720"/>
      <c r="U17" s="720"/>
      <c r="V17" s="720"/>
      <c r="W17" s="720"/>
      <c r="X17" s="720"/>
      <c r="Y17" s="720"/>
    </row>
    <row r="18" spans="1:25" s="721" customFormat="1" ht="13.5" customHeight="1">
      <c r="A18" s="769">
        <v>5</v>
      </c>
      <c r="B18" s="746" t="s">
        <v>2395</v>
      </c>
      <c r="C18" s="747">
        <f>ROUND((C7+C10+C16)*F18,0)</f>
        <v>0</v>
      </c>
      <c r="D18" s="771"/>
      <c r="E18" s="772"/>
      <c r="F18" s="776"/>
      <c r="G18" s="774" t="s">
        <v>2396</v>
      </c>
      <c r="H18" s="720"/>
      <c r="I18" s="720"/>
      <c r="J18" s="720"/>
      <c r="K18" s="720"/>
      <c r="L18" s="720"/>
      <c r="M18" s="720"/>
      <c r="N18" s="720"/>
      <c r="O18" s="720"/>
      <c r="P18" s="720"/>
      <c r="Q18" s="720"/>
      <c r="R18" s="720"/>
      <c r="S18" s="720"/>
      <c r="T18" s="720"/>
      <c r="U18" s="720"/>
      <c r="V18" s="720"/>
      <c r="W18" s="720"/>
      <c r="X18" s="720"/>
      <c r="Y18" s="720"/>
    </row>
    <row r="19" spans="1:25" s="721" customFormat="1" ht="13.5" customHeight="1">
      <c r="A19" s="745">
        <v>6</v>
      </c>
      <c r="B19" s="746" t="s">
        <v>2397</v>
      </c>
      <c r="C19" s="747">
        <f ca="1">C7+C10+C16+C17+C18</f>
        <v>0</v>
      </c>
      <c r="D19" s="754"/>
      <c r="E19" s="747"/>
      <c r="F19" s="755"/>
      <c r="G19" s="774" t="s">
        <v>2398</v>
      </c>
      <c r="H19" s="720"/>
      <c r="I19" s="720"/>
      <c r="J19" s="720"/>
      <c r="K19" s="720"/>
      <c r="L19" s="720"/>
      <c r="M19" s="720"/>
      <c r="N19" s="720"/>
      <c r="O19" s="720"/>
      <c r="P19" s="720"/>
      <c r="Q19" s="720"/>
      <c r="R19" s="720"/>
      <c r="S19" s="720"/>
      <c r="T19" s="720"/>
      <c r="U19" s="720"/>
      <c r="V19" s="720"/>
      <c r="W19" s="720"/>
      <c r="X19" s="720"/>
      <c r="Y19" s="720"/>
    </row>
    <row r="20" spans="1:25" s="721" customFormat="1">
      <c r="A20" s="745">
        <v>7</v>
      </c>
      <c r="B20" s="746" t="s">
        <v>2399</v>
      </c>
      <c r="C20" s="747">
        <f ca="1">ROUND(C19*F20,0)</f>
        <v>0</v>
      </c>
      <c r="D20" s="754"/>
      <c r="E20" s="747"/>
      <c r="F20" s="776"/>
      <c r="G20" s="774" t="s">
        <v>2400</v>
      </c>
      <c r="H20" s="720"/>
      <c r="I20" s="720"/>
      <c r="J20" s="720"/>
      <c r="K20" s="720"/>
      <c r="L20" s="720"/>
      <c r="M20" s="720"/>
      <c r="N20" s="720"/>
      <c r="O20" s="720"/>
      <c r="P20" s="720"/>
      <c r="Q20" s="720"/>
      <c r="R20" s="720"/>
      <c r="S20" s="720"/>
      <c r="T20" s="720"/>
      <c r="U20" s="720"/>
      <c r="V20" s="720"/>
      <c r="W20" s="720"/>
      <c r="X20" s="720"/>
      <c r="Y20" s="720"/>
    </row>
    <row r="21" spans="1:25" s="721" customFormat="1">
      <c r="A21" s="745">
        <v>8</v>
      </c>
      <c r="B21" s="746" t="s">
        <v>2401</v>
      </c>
      <c r="C21" s="747">
        <f ca="1">C19+C20</f>
        <v>0</v>
      </c>
      <c r="D21" s="754"/>
      <c r="E21" s="747"/>
      <c r="F21" s="755"/>
      <c r="G21" s="774" t="s">
        <v>2402</v>
      </c>
      <c r="H21" s="720"/>
      <c r="I21" s="720"/>
      <c r="J21" s="720"/>
      <c r="K21" s="720"/>
      <c r="L21" s="720"/>
      <c r="M21" s="720"/>
      <c r="N21" s="720"/>
      <c r="O21" s="720"/>
      <c r="P21" s="720"/>
      <c r="Q21" s="720"/>
      <c r="R21" s="720"/>
      <c r="S21" s="720"/>
      <c r="T21" s="720"/>
      <c r="U21" s="720"/>
      <c r="V21" s="720"/>
      <c r="W21" s="720"/>
      <c r="X21" s="720"/>
      <c r="Y21" s="720"/>
    </row>
    <row r="22" spans="1:25" s="721" customFormat="1" ht="13.5" customHeight="1">
      <c r="A22" s="745">
        <v>9</v>
      </c>
      <c r="B22" s="746" t="s">
        <v>2403</v>
      </c>
      <c r="C22" s="747">
        <f ca="1">ROUND(C21*F22,0)</f>
        <v>0</v>
      </c>
      <c r="D22" s="754"/>
      <c r="E22" s="747"/>
      <c r="F22" s="777">
        <f>'数据-取费表'!AP16</f>
        <v>0.876</v>
      </c>
      <c r="G22" s="774" t="s">
        <v>2404</v>
      </c>
      <c r="H22" s="720"/>
      <c r="I22" s="720"/>
      <c r="J22" s="720"/>
      <c r="K22" s="720"/>
      <c r="L22" s="720"/>
      <c r="M22" s="720"/>
      <c r="N22" s="720"/>
      <c r="O22" s="720"/>
      <c r="P22" s="720"/>
      <c r="Q22" s="720"/>
      <c r="R22" s="720"/>
      <c r="S22" s="720"/>
      <c r="T22" s="720"/>
      <c r="U22" s="720"/>
      <c r="V22" s="720"/>
      <c r="W22" s="720"/>
      <c r="X22" s="720"/>
      <c r="Y22" s="720"/>
    </row>
    <row r="23" spans="1:25" s="721" customFormat="1" ht="13.15" customHeight="1">
      <c r="A23" s="778">
        <v>10</v>
      </c>
      <c r="B23" s="779" t="s">
        <v>2405</v>
      </c>
      <c r="C23" s="780">
        <f ca="1">C22</f>
        <v>0</v>
      </c>
      <c r="D23" s="781"/>
      <c r="E23" s="780"/>
      <c r="F23" s="782"/>
      <c r="G23" s="783"/>
      <c r="H23" s="720"/>
      <c r="I23" s="720"/>
      <c r="J23" s="720"/>
      <c r="K23" s="720"/>
      <c r="L23" s="720"/>
      <c r="M23" s="720"/>
      <c r="N23" s="720"/>
      <c r="O23" s="720"/>
      <c r="P23" s="720"/>
      <c r="Q23" s="720"/>
      <c r="R23" s="720"/>
      <c r="S23" s="720"/>
      <c r="T23" s="720"/>
      <c r="U23" s="720"/>
      <c r="V23" s="720"/>
      <c r="W23" s="720"/>
      <c r="X23" s="720"/>
      <c r="Y23" s="720"/>
    </row>
    <row r="24" spans="1:25" s="722" customFormat="1">
      <c r="A24" s="784"/>
      <c r="D24" s="87"/>
      <c r="E24" s="87"/>
    </row>
    <row r="25" spans="1:25" s="722" customFormat="1">
      <c r="A25" s="784"/>
      <c r="D25" s="87"/>
      <c r="E25" s="87"/>
    </row>
    <row r="26" spans="1:25" s="722" customFormat="1">
      <c r="A26" s="784"/>
      <c r="D26" s="87"/>
      <c r="E26" s="87"/>
    </row>
    <row r="27" spans="1:25" s="722" customFormat="1">
      <c r="A27" s="784"/>
      <c r="D27" s="87"/>
      <c r="E27" s="87"/>
    </row>
    <row r="28" spans="1:25" s="722" customFormat="1">
      <c r="A28" s="784"/>
      <c r="D28" s="87"/>
      <c r="E28" s="87"/>
    </row>
    <row r="29" spans="1:25" s="722" customFormat="1">
      <c r="A29" s="784"/>
      <c r="D29" s="87"/>
      <c r="E29" s="87"/>
    </row>
    <row r="30" spans="1:25" s="722" customFormat="1">
      <c r="A30" s="784"/>
      <c r="D30" s="87"/>
      <c r="E30" s="87"/>
    </row>
    <row r="31" spans="1:25" s="722" customFormat="1">
      <c r="A31" s="784"/>
      <c r="D31" s="87"/>
      <c r="E31" s="87"/>
    </row>
    <row r="32" spans="1:25" s="722" customFormat="1">
      <c r="A32" s="784"/>
      <c r="D32" s="87"/>
      <c r="E32" s="87"/>
    </row>
    <row r="33" spans="1:5" s="722" customFormat="1">
      <c r="A33" s="784"/>
      <c r="D33" s="87"/>
      <c r="E33" s="87"/>
    </row>
    <row r="34" spans="1:5" s="722" customFormat="1">
      <c r="A34" s="784"/>
      <c r="D34" s="87"/>
      <c r="E34" s="87"/>
    </row>
    <row r="35" spans="1:5" s="722" customFormat="1">
      <c r="A35" s="784"/>
      <c r="D35" s="87"/>
      <c r="E35" s="87"/>
    </row>
    <row r="36" spans="1:5" s="722" customFormat="1">
      <c r="A36" s="784"/>
      <c r="D36" s="87"/>
      <c r="E36" s="87"/>
    </row>
    <row r="37" spans="1:5" s="722" customFormat="1">
      <c r="A37" s="784"/>
      <c r="D37" s="87"/>
      <c r="E37" s="87"/>
    </row>
    <row r="38" spans="1:5" s="722" customFormat="1">
      <c r="A38" s="784"/>
      <c r="D38" s="87"/>
      <c r="E38" s="87"/>
    </row>
    <row r="39" spans="1:5" s="722" customFormat="1">
      <c r="A39" s="784"/>
      <c r="D39" s="87"/>
      <c r="E39" s="87"/>
    </row>
    <row r="40" spans="1:5" s="722" customFormat="1">
      <c r="A40" s="784"/>
      <c r="D40" s="87"/>
      <c r="E40" s="87"/>
    </row>
    <row r="41" spans="1:5" s="722" customFormat="1">
      <c r="A41" s="784"/>
      <c r="D41" s="87"/>
      <c r="E41" s="87"/>
    </row>
    <row r="42" spans="1:5" s="722" customFormat="1">
      <c r="A42" s="784"/>
      <c r="D42" s="87"/>
      <c r="E42" s="87"/>
    </row>
    <row r="43" spans="1:5" s="722" customFormat="1">
      <c r="A43" s="784"/>
      <c r="D43" s="87"/>
      <c r="E43" s="87"/>
    </row>
    <row r="44" spans="1:5" s="722" customFormat="1">
      <c r="A44" s="784"/>
      <c r="D44" s="87"/>
      <c r="E44" s="87"/>
    </row>
    <row r="45" spans="1:5" s="722" customFormat="1">
      <c r="A45" s="784"/>
      <c r="D45" s="87"/>
      <c r="E45" s="87"/>
    </row>
    <row r="46" spans="1:5" s="722" customFormat="1">
      <c r="A46" s="784"/>
      <c r="D46" s="87"/>
      <c r="E46" s="87"/>
    </row>
    <row r="47" spans="1:5" s="722" customFormat="1">
      <c r="A47" s="784"/>
      <c r="D47" s="87"/>
      <c r="E47" s="87"/>
    </row>
    <row r="48" spans="1:5" s="722" customFormat="1">
      <c r="A48" s="784"/>
      <c r="D48" s="87"/>
      <c r="E48" s="87"/>
    </row>
    <row r="49" spans="1:5" s="722" customFormat="1">
      <c r="A49" s="784"/>
      <c r="D49" s="87"/>
      <c r="E49" s="87"/>
    </row>
    <row r="50" spans="1:5" s="722" customFormat="1">
      <c r="A50" s="784"/>
      <c r="D50" s="87"/>
      <c r="E50" s="87"/>
    </row>
    <row r="51" spans="1:5" s="722" customFormat="1">
      <c r="A51" s="784"/>
      <c r="D51" s="87"/>
      <c r="E51" s="87"/>
    </row>
    <row r="52" spans="1:5" s="722" customFormat="1">
      <c r="A52" s="784"/>
      <c r="D52" s="87"/>
      <c r="E52" s="87"/>
    </row>
    <row r="53" spans="1:5" s="722" customFormat="1">
      <c r="A53" s="784"/>
      <c r="D53" s="87"/>
      <c r="E53" s="87"/>
    </row>
    <row r="54" spans="1:5" s="722" customFormat="1">
      <c r="A54" s="784"/>
      <c r="D54" s="87"/>
      <c r="E54" s="87"/>
    </row>
    <row r="55" spans="1:5" s="722" customFormat="1">
      <c r="A55" s="784"/>
      <c r="D55" s="87"/>
      <c r="E55" s="87"/>
    </row>
    <row r="56" spans="1:5" s="722" customFormat="1">
      <c r="A56" s="784"/>
      <c r="D56" s="87"/>
      <c r="E56" s="87"/>
    </row>
    <row r="57" spans="1:5" s="722" customFormat="1">
      <c r="A57" s="784"/>
      <c r="D57" s="87"/>
      <c r="E57" s="87"/>
    </row>
    <row r="58" spans="1:5" s="722" customFormat="1">
      <c r="A58" s="784"/>
      <c r="D58" s="87"/>
      <c r="E58" s="87"/>
    </row>
    <row r="59" spans="1:5" s="722" customFormat="1">
      <c r="A59" s="784"/>
      <c r="D59" s="87"/>
      <c r="E59" s="87"/>
    </row>
    <row r="60" spans="1:5" s="722" customFormat="1">
      <c r="A60" s="784"/>
      <c r="D60" s="87"/>
      <c r="E60" s="87"/>
    </row>
    <row r="61" spans="1:5" s="722" customFormat="1">
      <c r="A61" s="784"/>
      <c r="D61" s="87"/>
      <c r="E61" s="87"/>
    </row>
    <row r="62" spans="1:5" s="722" customFormat="1">
      <c r="A62" s="784"/>
      <c r="D62" s="87"/>
      <c r="E62" s="87"/>
    </row>
    <row r="63" spans="1:5" s="722" customFormat="1">
      <c r="A63" s="784"/>
      <c r="D63" s="87"/>
      <c r="E63" s="87"/>
    </row>
  </sheetData>
  <sheetProtection password="CEE9" sheet="1" objects="1" scenarios="1" formatCells="0" formatColumns="0" formatRows="0"/>
  <phoneticPr fontId="254"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topLeftCell="A25" zoomScale="60" zoomScaleNormal="60" workbookViewId="0">
      <selection activeCell="T45" sqref="T45"/>
    </sheetView>
  </sheetViews>
  <sheetFormatPr defaultColWidth="9" defaultRowHeight="14.25"/>
  <cols>
    <col min="1" max="1" width="10.5" style="215" customWidth="1"/>
    <col min="2" max="2" width="15.75" style="215" customWidth="1"/>
    <col min="3" max="3" width="15.125" style="215" customWidth="1"/>
    <col min="4" max="4" width="12.25" style="215" customWidth="1"/>
    <col min="5" max="5" width="14.375" style="215" customWidth="1"/>
    <col min="6" max="6" width="12.25" style="215" customWidth="1"/>
    <col min="7" max="7" width="14.5" style="215" customWidth="1"/>
    <col min="8" max="8" width="12.25" style="215" customWidth="1"/>
    <col min="9" max="9" width="14.5" style="215" customWidth="1"/>
    <col min="10" max="10" width="12.25" style="215" customWidth="1"/>
    <col min="11" max="11" width="12.25" style="216" customWidth="1"/>
    <col min="12" max="12" width="12.25" style="217" customWidth="1"/>
    <col min="13" max="15" width="12.25" style="215" customWidth="1"/>
    <col min="16" max="16" width="4.75" style="215" customWidth="1"/>
    <col min="17" max="17" width="19.5" style="215" customWidth="1"/>
    <col min="18" max="22" width="6.125" style="215" customWidth="1"/>
    <col min="23" max="23" width="5.75" style="215" customWidth="1"/>
    <col min="24" max="24" width="4.25" style="215" customWidth="1"/>
    <col min="25" max="25" width="3.5" style="215" customWidth="1"/>
    <col min="26" max="26" width="19.75" style="215" customWidth="1"/>
    <col min="27" max="28" width="9.375" style="215" customWidth="1"/>
    <col min="29" max="16384" width="9" style="215"/>
  </cols>
  <sheetData>
    <row r="1" spans="1:29" s="209" customFormat="1" ht="28.5" customHeight="1">
      <c r="A1" s="218" t="s">
        <v>2406</v>
      </c>
      <c r="B1" s="633" t="s">
        <v>2407</v>
      </c>
      <c r="C1" s="634" t="s">
        <v>2408</v>
      </c>
      <c r="D1" s="635"/>
      <c r="E1" s="227"/>
      <c r="F1" s="223"/>
      <c r="G1" s="224" t="s">
        <v>2409</v>
      </c>
      <c r="H1" s="222"/>
      <c r="I1" s="222"/>
      <c r="J1" s="222"/>
      <c r="K1" s="393"/>
      <c r="L1" s="394"/>
      <c r="M1" s="395"/>
      <c r="N1" s="395"/>
      <c r="O1" s="395"/>
      <c r="P1" s="645"/>
      <c r="Q1" s="645"/>
      <c r="R1" s="645"/>
      <c r="S1" s="645"/>
      <c r="T1" s="645"/>
      <c r="U1" s="645"/>
      <c r="V1" s="645"/>
      <c r="W1" s="645"/>
      <c r="X1" s="645"/>
      <c r="Y1" s="645"/>
      <c r="Z1" s="645"/>
      <c r="AA1" s="645"/>
      <c r="AB1" s="645"/>
      <c r="AC1" s="662"/>
    </row>
    <row r="2" spans="1:29" s="632" customFormat="1" ht="28.5" customHeight="1">
      <c r="A2" s="225" t="s">
        <v>945</v>
      </c>
      <c r="B2" s="636" t="e">
        <f>ROUND(B3*D3/10000,0)</f>
        <v>#DIV/0!</v>
      </c>
      <c r="C2" s="227"/>
      <c r="D2" s="227"/>
      <c r="E2" s="227"/>
      <c r="F2" s="637"/>
      <c r="G2" s="227"/>
      <c r="H2" s="227"/>
      <c r="I2" s="227"/>
      <c r="J2" s="227"/>
      <c r="K2" s="646"/>
      <c r="L2" s="647"/>
      <c r="M2" s="648"/>
      <c r="N2" s="648"/>
      <c r="O2" s="648"/>
      <c r="P2" s="649"/>
      <c r="Q2" s="649"/>
      <c r="R2" s="649"/>
      <c r="S2" s="649"/>
      <c r="T2" s="649"/>
      <c r="U2" s="649"/>
      <c r="V2" s="649"/>
      <c r="W2" s="649"/>
      <c r="X2" s="649"/>
      <c r="Y2" s="649"/>
      <c r="Z2" s="649"/>
      <c r="AA2" s="649"/>
      <c r="AB2" s="649"/>
      <c r="AC2" s="663"/>
    </row>
    <row r="3" spans="1:29" s="632" customFormat="1" ht="28.5" customHeight="1">
      <c r="A3" s="230" t="s">
        <v>2219</v>
      </c>
      <c r="B3" s="233" t="e">
        <f>C49</f>
        <v>#DIV/0!</v>
      </c>
      <c r="C3" s="232" t="s">
        <v>2410</v>
      </c>
      <c r="D3" s="233">
        <f>SUMIF('数据-汇总表'!$C19:$C33,D1,'数据-汇总表'!$E19:$E33)</f>
        <v>0</v>
      </c>
      <c r="E3" s="227"/>
      <c r="F3" s="637"/>
      <c r="G3" s="227"/>
      <c r="H3" s="227"/>
      <c r="I3" s="227"/>
      <c r="J3" s="227"/>
      <c r="K3" s="646"/>
      <c r="L3" s="647"/>
      <c r="M3" s="648"/>
      <c r="N3" s="648"/>
      <c r="O3" s="648"/>
      <c r="P3" s="649"/>
      <c r="Q3" s="649"/>
      <c r="R3" s="649"/>
      <c r="S3" s="649"/>
      <c r="T3" s="649"/>
      <c r="U3" s="649"/>
      <c r="V3" s="649"/>
      <c r="W3" s="649"/>
      <c r="X3" s="649"/>
      <c r="Y3" s="649"/>
      <c r="Z3" s="649"/>
      <c r="AA3" s="649"/>
      <c r="AB3" s="649"/>
      <c r="AC3" s="664"/>
    </row>
    <row r="4" spans="1:29" ht="15">
      <c r="A4" s="234" t="s">
        <v>1030</v>
      </c>
      <c r="B4" s="235"/>
      <c r="C4" s="3823" t="s">
        <v>1031</v>
      </c>
      <c r="D4" s="3824"/>
      <c r="E4" s="3863" t="s">
        <v>1032</v>
      </c>
      <c r="F4" s="3864"/>
      <c r="G4" s="3823" t="s">
        <v>1033</v>
      </c>
      <c r="H4" s="3824"/>
      <c r="I4" s="3823" t="s">
        <v>1034</v>
      </c>
      <c r="J4" s="3824"/>
      <c r="K4" s="650" t="s">
        <v>1035</v>
      </c>
      <c r="L4" s="400"/>
      <c r="M4" s="401"/>
      <c r="N4" s="401"/>
      <c r="O4" s="401"/>
      <c r="P4" s="3847" t="s">
        <v>1036</v>
      </c>
      <c r="Q4" s="3848"/>
      <c r="R4" s="3853" t="s">
        <v>1032</v>
      </c>
      <c r="S4" s="3854"/>
      <c r="T4" s="3853" t="s">
        <v>1033</v>
      </c>
      <c r="U4" s="3854"/>
      <c r="V4" s="3835" t="s">
        <v>1034</v>
      </c>
      <c r="W4" s="3835"/>
      <c r="X4" s="471"/>
      <c r="Y4" s="3853" t="s">
        <v>1036</v>
      </c>
      <c r="Z4" s="3854"/>
      <c r="AA4" s="3844" t="s">
        <v>1032</v>
      </c>
      <c r="AB4" s="3844" t="s">
        <v>1033</v>
      </c>
      <c r="AC4" s="3844" t="s">
        <v>1034</v>
      </c>
    </row>
    <row r="5" spans="1:29" ht="15">
      <c r="A5" s="236"/>
      <c r="B5" s="237"/>
      <c r="C5" s="3825" t="s">
        <v>1037</v>
      </c>
      <c r="D5" s="3826"/>
      <c r="E5" s="3865" t="s">
        <v>1038</v>
      </c>
      <c r="F5" s="3866"/>
      <c r="G5" s="3825" t="s">
        <v>1039</v>
      </c>
      <c r="H5" s="3826"/>
      <c r="I5" s="3825" t="s">
        <v>1040</v>
      </c>
      <c r="J5" s="3826"/>
      <c r="K5" s="651"/>
      <c r="L5" s="400"/>
      <c r="M5" s="401"/>
      <c r="N5" s="401"/>
      <c r="O5" s="401"/>
      <c r="P5" s="3849"/>
      <c r="Q5" s="3850"/>
      <c r="R5" s="3855"/>
      <c r="S5" s="3856"/>
      <c r="T5" s="3855"/>
      <c r="U5" s="3856"/>
      <c r="V5" s="3835"/>
      <c r="W5" s="3835"/>
      <c r="X5" s="471"/>
      <c r="Y5" s="3855"/>
      <c r="Z5" s="3856"/>
      <c r="AA5" s="3845"/>
      <c r="AB5" s="3845"/>
      <c r="AC5" s="3845"/>
    </row>
    <row r="6" spans="1:29" ht="15">
      <c r="A6" s="238"/>
      <c r="B6" s="239"/>
      <c r="C6" s="3829" t="s">
        <v>1041</v>
      </c>
      <c r="D6" s="3830"/>
      <c r="E6" s="3867" t="s">
        <v>1041</v>
      </c>
      <c r="F6" s="3868"/>
      <c r="G6" s="3829" t="s">
        <v>1041</v>
      </c>
      <c r="H6" s="3830"/>
      <c r="I6" s="3829" t="s">
        <v>1041</v>
      </c>
      <c r="J6" s="3830"/>
      <c r="K6" s="651" t="s">
        <v>1042</v>
      </c>
      <c r="L6" s="400"/>
      <c r="M6" s="401"/>
      <c r="N6" s="401"/>
      <c r="O6" s="401"/>
      <c r="P6" s="3851"/>
      <c r="Q6" s="3852"/>
      <c r="R6" s="3855"/>
      <c r="S6" s="3856"/>
      <c r="T6" s="3857"/>
      <c r="U6" s="3858"/>
      <c r="V6" s="3835"/>
      <c r="W6" s="3835"/>
      <c r="X6" s="471"/>
      <c r="Y6" s="3857"/>
      <c r="Z6" s="3858"/>
      <c r="AA6" s="3846"/>
      <c r="AB6" s="3846"/>
      <c r="AC6" s="3846"/>
    </row>
    <row r="7" spans="1:29" s="210" customFormat="1" ht="15">
      <c r="A7" s="240"/>
      <c r="B7" s="241" t="s">
        <v>1043</v>
      </c>
      <c r="C7" s="242">
        <f>'数据-取费表'!B2</f>
        <v>45260</v>
      </c>
      <c r="D7" s="243">
        <v>100</v>
      </c>
      <c r="E7" s="244"/>
      <c r="F7" s="245">
        <f>SUMIF(58:58,YEAR(E7)&amp;"-"&amp;MONTH(E7),59:59)</f>
        <v>0</v>
      </c>
      <c r="G7" s="246"/>
      <c r="H7" s="243">
        <f>SUMIF(58:58,YEAR(G7)&amp;"-"&amp;MONTH(G7),59:59)</f>
        <v>0</v>
      </c>
      <c r="I7" s="246"/>
      <c r="J7" s="243">
        <f>SUMIF(58:58,YEAR(I7)&amp;"-"&amp;MONTH(I7),59:59)</f>
        <v>0</v>
      </c>
      <c r="K7" s="652"/>
      <c r="L7" s="403"/>
      <c r="M7" s="404"/>
      <c r="N7" s="404"/>
      <c r="O7" s="404"/>
      <c r="P7" s="3831" t="s">
        <v>1044</v>
      </c>
      <c r="Q7" s="3832"/>
      <c r="R7" s="472" t="s">
        <v>1045</v>
      </c>
      <c r="S7" s="473">
        <f t="shared" ref="S7:S15" si="0">F7</f>
        <v>0</v>
      </c>
      <c r="T7" s="472" t="s">
        <v>1045</v>
      </c>
      <c r="U7" s="473">
        <f t="shared" ref="U7:U15" si="1">H7</f>
        <v>0</v>
      </c>
      <c r="V7" s="472" t="s">
        <v>1045</v>
      </c>
      <c r="W7" s="473">
        <f t="shared" ref="W7:W15" si="2">J7</f>
        <v>0</v>
      </c>
      <c r="X7" s="474"/>
      <c r="Y7" s="3831" t="s">
        <v>1044</v>
      </c>
      <c r="Z7" s="3833"/>
      <c r="AA7" s="491" t="e">
        <f>D7/F7</f>
        <v>#DIV/0!</v>
      </c>
      <c r="AB7" s="491" t="e">
        <f>D7/H7</f>
        <v>#DIV/0!</v>
      </c>
      <c r="AC7" s="491" t="e">
        <f>D7/J7</f>
        <v>#DIV/0!</v>
      </c>
    </row>
    <row r="8" spans="1:29" s="210" customFormat="1" ht="15">
      <c r="A8" s="247"/>
      <c r="B8" s="248" t="s">
        <v>1046</v>
      </c>
      <c r="C8" s="249" t="s">
        <v>1047</v>
      </c>
      <c r="D8" s="243">
        <v>100</v>
      </c>
      <c r="E8" s="638"/>
      <c r="F8" s="245">
        <f>SUMIF(61:61,E8,62:62)-SUMIF(61:61,C8,62:62)+100</f>
        <v>0</v>
      </c>
      <c r="G8" s="249"/>
      <c r="H8" s="243">
        <f>SUMIF(61:61,G8,62:62)-SUMIF(61:61,C8,62:62)+100</f>
        <v>0</v>
      </c>
      <c r="I8" s="638"/>
      <c r="J8" s="243">
        <f>SUMIF(61:61,I8,62:62)-SUMIF(61:61,C8,62:62)+100</f>
        <v>0</v>
      </c>
      <c r="K8" s="652"/>
      <c r="L8" s="403"/>
      <c r="M8" s="404"/>
      <c r="N8" s="404"/>
      <c r="O8" s="404"/>
      <c r="P8" s="3831" t="s">
        <v>1048</v>
      </c>
      <c r="Q8" s="3833"/>
      <c r="R8" s="472" t="s">
        <v>1045</v>
      </c>
      <c r="S8" s="473">
        <f t="shared" si="0"/>
        <v>0</v>
      </c>
      <c r="T8" s="472" t="s">
        <v>1045</v>
      </c>
      <c r="U8" s="473">
        <f t="shared" si="1"/>
        <v>0</v>
      </c>
      <c r="V8" s="472" t="s">
        <v>1045</v>
      </c>
      <c r="W8" s="473">
        <f t="shared" si="2"/>
        <v>0</v>
      </c>
      <c r="X8" s="474"/>
      <c r="Y8" s="3831" t="s">
        <v>1048</v>
      </c>
      <c r="Z8" s="3833"/>
      <c r="AA8" s="491" t="e">
        <f t="shared" ref="AA8:AA46" si="3">D8/F8</f>
        <v>#DIV/0!</v>
      </c>
      <c r="AB8" s="491" t="e">
        <f t="shared" ref="AB8:AB46" si="4">D8/H8</f>
        <v>#DIV/0!</v>
      </c>
      <c r="AC8" s="491" t="e">
        <f t="shared" ref="AC8:AC46" si="5">D8/J8</f>
        <v>#DIV/0!</v>
      </c>
    </row>
    <row r="9" spans="1:29" s="210" customFormat="1" ht="15">
      <c r="A9" s="250"/>
      <c r="B9" s="251" t="s">
        <v>1049</v>
      </c>
      <c r="C9" s="252"/>
      <c r="D9" s="253">
        <v>100</v>
      </c>
      <c r="E9" s="521"/>
      <c r="F9" s="639">
        <f>SUMIF(63:63,E9,64:64)-SUMIF(63:63,C9,64:64)+100</f>
        <v>100</v>
      </c>
      <c r="G9" s="254"/>
      <c r="H9" s="253">
        <f>SUMIF(63:63,G9,64:64)-SUMIF(63:63,C9,64:64)+100</f>
        <v>100</v>
      </c>
      <c r="I9" s="254"/>
      <c r="J9" s="253">
        <f>SUMIF(63:63,I9,64:64)-SUMIF(63:63,C9,64:64)+100</f>
        <v>100</v>
      </c>
      <c r="K9" s="652"/>
      <c r="L9" s="403"/>
      <c r="M9" s="404"/>
      <c r="N9" s="404"/>
      <c r="O9" s="405"/>
      <c r="P9" s="3834" t="s">
        <v>1050</v>
      </c>
      <c r="Q9" s="475" t="str">
        <f t="shared" ref="Q9:Q15" si="6">B9</f>
        <v>用途</v>
      </c>
      <c r="R9" s="472" t="s">
        <v>1045</v>
      </c>
      <c r="S9" s="473">
        <f t="shared" si="0"/>
        <v>100</v>
      </c>
      <c r="T9" s="472" t="s">
        <v>1045</v>
      </c>
      <c r="U9" s="473">
        <f t="shared" si="1"/>
        <v>100</v>
      </c>
      <c r="V9" s="472" t="s">
        <v>1045</v>
      </c>
      <c r="W9" s="473">
        <f t="shared" si="2"/>
        <v>100</v>
      </c>
      <c r="X9" s="474"/>
      <c r="Y9" s="3802" t="s">
        <v>1051</v>
      </c>
      <c r="Z9" s="492" t="str">
        <f t="shared" ref="Z9:Z15" si="7">Q9</f>
        <v>用途</v>
      </c>
      <c r="AA9" s="491">
        <f t="shared" si="3"/>
        <v>1</v>
      </c>
      <c r="AB9" s="491">
        <f t="shared" si="4"/>
        <v>1</v>
      </c>
      <c r="AC9" s="491">
        <f t="shared" si="5"/>
        <v>1</v>
      </c>
    </row>
    <row r="10" spans="1:29" s="211" customFormat="1" ht="27">
      <c r="A10" s="255"/>
      <c r="B10" s="248" t="s">
        <v>1052</v>
      </c>
      <c r="C10" s="256"/>
      <c r="D10" s="257">
        <v>100</v>
      </c>
      <c r="E10" s="258"/>
      <c r="F10" s="567">
        <f>SUMIF(65:65,E10,66:66)-SUMIF(65:65,C10,66:66)+100</f>
        <v>100</v>
      </c>
      <c r="G10" s="256"/>
      <c r="H10" s="257">
        <f>SUMIF(65:65,G10,66:66)-SUMIF(65:65,C10,66:66)+100</f>
        <v>100</v>
      </c>
      <c r="I10" s="256"/>
      <c r="J10" s="257">
        <f>SUMIF(65:65,I10,66:66)-SUMIF(65:65,C10,66:66)+100</f>
        <v>100</v>
      </c>
      <c r="K10" s="652"/>
      <c r="L10" s="407"/>
      <c r="M10" s="408"/>
      <c r="N10" s="408"/>
      <c r="O10" s="409"/>
      <c r="P10" s="3834"/>
      <c r="Q10" s="475" t="str">
        <f t="shared" si="6"/>
        <v>土地使用年限（年）</v>
      </c>
      <c r="R10" s="472" t="s">
        <v>1045</v>
      </c>
      <c r="S10" s="473">
        <f t="shared" si="0"/>
        <v>100</v>
      </c>
      <c r="T10" s="472" t="s">
        <v>1045</v>
      </c>
      <c r="U10" s="473">
        <f t="shared" si="1"/>
        <v>100</v>
      </c>
      <c r="V10" s="472" t="s">
        <v>1045</v>
      </c>
      <c r="W10" s="473">
        <f t="shared" si="2"/>
        <v>100</v>
      </c>
      <c r="X10" s="474"/>
      <c r="Y10" s="3802"/>
      <c r="Z10" s="492" t="str">
        <f t="shared" si="7"/>
        <v>土地使用年限（年）</v>
      </c>
      <c r="AA10" s="491">
        <f t="shared" si="3"/>
        <v>1</v>
      </c>
      <c r="AB10" s="491">
        <f t="shared" si="4"/>
        <v>1</v>
      </c>
      <c r="AC10" s="491">
        <f t="shared" si="5"/>
        <v>1</v>
      </c>
    </row>
    <row r="11" spans="1:29" ht="15">
      <c r="A11" s="554"/>
      <c r="B11" s="248" t="s">
        <v>1053</v>
      </c>
      <c r="C11" s="555"/>
      <c r="D11" s="257">
        <v>100</v>
      </c>
      <c r="E11" s="556"/>
      <c r="F11" s="567" t="e">
        <f>LOOKUP(E11,68:68,69:69)-LOOKUP(C11,68:68,69:69)+100</f>
        <v>#N/A</v>
      </c>
      <c r="G11" s="555"/>
      <c r="H11" s="257" t="e">
        <f>LOOKUP(G11,68:68,69:69)-LOOKUP(C11,68:68,69:69)+100</f>
        <v>#N/A</v>
      </c>
      <c r="I11" s="555"/>
      <c r="J11" s="257" t="e">
        <f>LOOKUP(I11,68:68,69:69)-LOOKUP(C11,68:68,69:69)+100</f>
        <v>#N/A</v>
      </c>
      <c r="K11" s="653"/>
      <c r="L11" s="411"/>
      <c r="M11" s="401"/>
      <c r="N11" s="401"/>
      <c r="O11" s="412"/>
      <c r="P11" s="3834"/>
      <c r="Q11" s="475" t="str">
        <f t="shared" si="6"/>
        <v>容积率</v>
      </c>
      <c r="R11" s="472" t="s">
        <v>1045</v>
      </c>
      <c r="S11" s="473" t="e">
        <f t="shared" si="0"/>
        <v>#N/A</v>
      </c>
      <c r="T11" s="472" t="s">
        <v>1045</v>
      </c>
      <c r="U11" s="473" t="e">
        <f t="shared" si="1"/>
        <v>#N/A</v>
      </c>
      <c r="V11" s="472" t="s">
        <v>1045</v>
      </c>
      <c r="W11" s="473" t="e">
        <f t="shared" si="2"/>
        <v>#N/A</v>
      </c>
      <c r="X11" s="474"/>
      <c r="Y11" s="3802"/>
      <c r="Z11" s="492" t="str">
        <f t="shared" si="7"/>
        <v>容积率</v>
      </c>
      <c r="AA11" s="491" t="e">
        <f t="shared" si="3"/>
        <v>#N/A</v>
      </c>
      <c r="AB11" s="491" t="e">
        <f t="shared" si="4"/>
        <v>#N/A</v>
      </c>
      <c r="AC11" s="491" t="e">
        <f t="shared" si="5"/>
        <v>#N/A</v>
      </c>
    </row>
    <row r="12" spans="1:29" s="210" customFormat="1" ht="15">
      <c r="A12" s="259"/>
      <c r="B12" s="260">
        <v>111</v>
      </c>
      <c r="C12" s="261"/>
      <c r="D12" s="263">
        <v>100</v>
      </c>
      <c r="E12" s="261"/>
      <c r="F12" s="567">
        <f>SUMIF(70:70,E12,71:71)-SUMIF(70:70,C12,71:71)+100</f>
        <v>100</v>
      </c>
      <c r="G12" s="261"/>
      <c r="H12" s="257">
        <f>SUMIF(70:70,G12,71:71)-SUMIF(70:70,C12,71:71)+100</f>
        <v>100</v>
      </c>
      <c r="I12" s="261"/>
      <c r="J12" s="257">
        <f>SUMIF(70:70,I12,71:71)-SUMIF(70:70,C12,71:71)+100</f>
        <v>100</v>
      </c>
      <c r="K12" s="654"/>
      <c r="L12" s="403"/>
      <c r="M12" s="404"/>
      <c r="N12" s="404"/>
      <c r="O12" s="405"/>
      <c r="P12" s="3834"/>
      <c r="Q12" s="475">
        <f t="shared" si="6"/>
        <v>111</v>
      </c>
      <c r="R12" s="472" t="s">
        <v>1045</v>
      </c>
      <c r="S12" s="473">
        <f t="shared" si="0"/>
        <v>100</v>
      </c>
      <c r="T12" s="472" t="s">
        <v>1045</v>
      </c>
      <c r="U12" s="473">
        <f t="shared" si="1"/>
        <v>100</v>
      </c>
      <c r="V12" s="472" t="s">
        <v>1045</v>
      </c>
      <c r="W12" s="473">
        <f t="shared" si="2"/>
        <v>100</v>
      </c>
      <c r="X12" s="474"/>
      <c r="Y12" s="3802"/>
      <c r="Z12" s="492">
        <f t="shared" si="7"/>
        <v>111</v>
      </c>
      <c r="AA12" s="491">
        <f t="shared" si="3"/>
        <v>1</v>
      </c>
      <c r="AB12" s="491">
        <f t="shared" si="4"/>
        <v>1</v>
      </c>
      <c r="AC12" s="491">
        <f t="shared" si="5"/>
        <v>1</v>
      </c>
    </row>
    <row r="13" spans="1:29" ht="15">
      <c r="A13" s="259"/>
      <c r="B13" s="260">
        <v>111</v>
      </c>
      <c r="C13" s="266"/>
      <c r="D13" s="267">
        <v>100</v>
      </c>
      <c r="E13" s="266"/>
      <c r="F13" s="567">
        <f>SUMIF(72:72,E13,73:73)-SUMIF(72:72,C13,73:73)+100</f>
        <v>100</v>
      </c>
      <c r="G13" s="266"/>
      <c r="H13" s="267">
        <f>SUMIF(72:72,G13,73:73)-SUMIF(72:72,C13,73:73)+100</f>
        <v>100</v>
      </c>
      <c r="I13" s="266"/>
      <c r="J13" s="267">
        <f>SUMIF(72:72,I13,73:73)-SUMIF(72:72,C13,73:73)+100</f>
        <v>100</v>
      </c>
      <c r="K13" s="654"/>
      <c r="L13" s="413"/>
      <c r="M13" s="401"/>
      <c r="N13" s="401"/>
      <c r="O13" s="412"/>
      <c r="P13" s="3834"/>
      <c r="Q13" s="475">
        <f t="shared" si="6"/>
        <v>111</v>
      </c>
      <c r="R13" s="472" t="s">
        <v>1045</v>
      </c>
      <c r="S13" s="473">
        <f t="shared" si="0"/>
        <v>100</v>
      </c>
      <c r="T13" s="472" t="s">
        <v>1045</v>
      </c>
      <c r="U13" s="473">
        <f t="shared" si="1"/>
        <v>100</v>
      </c>
      <c r="V13" s="472" t="s">
        <v>1045</v>
      </c>
      <c r="W13" s="473">
        <f t="shared" si="2"/>
        <v>100</v>
      </c>
      <c r="X13" s="474"/>
      <c r="Y13" s="3802"/>
      <c r="Z13" s="492">
        <f t="shared" si="7"/>
        <v>111</v>
      </c>
      <c r="AA13" s="491">
        <f t="shared" si="3"/>
        <v>1</v>
      </c>
      <c r="AB13" s="491">
        <f t="shared" si="4"/>
        <v>1</v>
      </c>
      <c r="AC13" s="491">
        <f t="shared" si="5"/>
        <v>1</v>
      </c>
    </row>
    <row r="14" spans="1:29" ht="15">
      <c r="A14" s="264"/>
      <c r="B14" s="265">
        <v>111</v>
      </c>
      <c r="C14" s="319"/>
      <c r="D14" s="320">
        <v>100</v>
      </c>
      <c r="E14" s="319"/>
      <c r="F14" s="322">
        <f>SUMIF(74:74,E14,75:75)-SUMIF(74:74,C14,75:75)+100</f>
        <v>100</v>
      </c>
      <c r="G14" s="319"/>
      <c r="H14" s="320">
        <f>SUMIF(74:74,G14,75:75)-SUMIF(74:74,C14,75:75)+100</f>
        <v>100</v>
      </c>
      <c r="I14" s="319"/>
      <c r="J14" s="320">
        <f>SUMIF(74:74,I14,75:75)-SUMIF(74:74,C14,75:75)+100</f>
        <v>100</v>
      </c>
      <c r="K14" s="654"/>
      <c r="L14" s="413"/>
      <c r="M14" s="401"/>
      <c r="N14" s="401"/>
      <c r="O14" s="412"/>
      <c r="P14" s="3834"/>
      <c r="Q14" s="475">
        <f t="shared" si="6"/>
        <v>111</v>
      </c>
      <c r="R14" s="472" t="s">
        <v>1045</v>
      </c>
      <c r="S14" s="473">
        <f t="shared" si="0"/>
        <v>100</v>
      </c>
      <c r="T14" s="472" t="s">
        <v>1045</v>
      </c>
      <c r="U14" s="473">
        <f t="shared" si="1"/>
        <v>100</v>
      </c>
      <c r="V14" s="472" t="s">
        <v>1045</v>
      </c>
      <c r="W14" s="473">
        <f t="shared" si="2"/>
        <v>100</v>
      </c>
      <c r="X14" s="474"/>
      <c r="Y14" s="3802"/>
      <c r="Z14" s="492">
        <f t="shared" si="7"/>
        <v>111</v>
      </c>
      <c r="AA14" s="491">
        <f t="shared" si="3"/>
        <v>1</v>
      </c>
      <c r="AB14" s="491">
        <f t="shared" si="4"/>
        <v>1</v>
      </c>
      <c r="AC14" s="491">
        <f t="shared" si="5"/>
        <v>1</v>
      </c>
    </row>
    <row r="15" spans="1:29" ht="99.75">
      <c r="A15" s="268" t="s">
        <v>1055</v>
      </c>
      <c r="B15" s="269" t="s">
        <v>223</v>
      </c>
      <c r="C15" s="621" t="str">
        <f>估价对象房地状况!C3</f>
        <v>估价对象周边居住用地比例、居住小区规模和社区发展完善程度，综合评价居住社区成熟度一般</v>
      </c>
      <c r="D15" s="271">
        <v>100</v>
      </c>
      <c r="E15" s="272"/>
      <c r="F15" s="273">
        <f>SUMIF(76:76,E16,77:77)-SUMIF(76:76,C16,77:77)+100</f>
        <v>100</v>
      </c>
      <c r="G15" s="274"/>
      <c r="H15" s="271">
        <f>SUMIF(76:76,G16,77:77)-SUMIF(76:76,C16,77:77)+100</f>
        <v>100</v>
      </c>
      <c r="I15" s="272"/>
      <c r="J15" s="271">
        <f>SUMIF(76:76,I16,77:77)-SUMIF(76:76,C16,77:77)+100</f>
        <v>100</v>
      </c>
      <c r="K15" s="655"/>
      <c r="L15" s="413"/>
      <c r="M15" s="401"/>
      <c r="N15" s="401"/>
      <c r="O15" s="412"/>
      <c r="P15" s="3840" t="s">
        <v>1056</v>
      </c>
      <c r="Q15" s="406" t="str">
        <f t="shared" si="6"/>
        <v>居住社区成熟度</v>
      </c>
      <c r="R15" s="476" t="s">
        <v>1045</v>
      </c>
      <c r="S15" s="477">
        <f t="shared" si="0"/>
        <v>100</v>
      </c>
      <c r="T15" s="476" t="s">
        <v>1045</v>
      </c>
      <c r="U15" s="477">
        <f t="shared" si="1"/>
        <v>100</v>
      </c>
      <c r="V15" s="476" t="s">
        <v>1045</v>
      </c>
      <c r="W15" s="477">
        <f t="shared" si="2"/>
        <v>100</v>
      </c>
      <c r="X15" s="471"/>
      <c r="Y15" s="3840" t="s">
        <v>1056</v>
      </c>
      <c r="Z15" s="470" t="str">
        <f t="shared" si="7"/>
        <v>居住社区成熟度</v>
      </c>
      <c r="AA15" s="482">
        <f t="shared" si="3"/>
        <v>1</v>
      </c>
      <c r="AB15" s="482">
        <f t="shared" si="4"/>
        <v>1</v>
      </c>
      <c r="AC15" s="482">
        <f t="shared" si="5"/>
        <v>1</v>
      </c>
    </row>
    <row r="16" spans="1:29" ht="15">
      <c r="A16" s="275"/>
      <c r="B16" s="276"/>
      <c r="C16" s="277"/>
      <c r="D16" s="278"/>
      <c r="E16" s="560"/>
      <c r="F16" s="279"/>
      <c r="G16" s="561"/>
      <c r="H16" s="280"/>
      <c r="I16" s="560"/>
      <c r="J16" s="278"/>
      <c r="K16" s="656"/>
      <c r="L16" s="413"/>
      <c r="M16" s="401"/>
      <c r="N16" s="401"/>
      <c r="O16" s="412"/>
      <c r="P16" s="3841"/>
      <c r="Q16" s="406"/>
      <c r="R16" s="476"/>
      <c r="S16" s="477"/>
      <c r="T16" s="476"/>
      <c r="U16" s="477"/>
      <c r="V16" s="476"/>
      <c r="W16" s="477"/>
      <c r="X16" s="471"/>
      <c r="Y16" s="3841"/>
      <c r="Z16" s="470"/>
      <c r="AA16" s="482">
        <v>1</v>
      </c>
      <c r="AB16" s="482">
        <v>1</v>
      </c>
      <c r="AC16" s="482">
        <v>1</v>
      </c>
    </row>
    <row r="17" spans="1:29" ht="85.5">
      <c r="A17" s="275"/>
      <c r="B17" s="294" t="s">
        <v>227</v>
      </c>
      <c r="C17" s="282" t="str">
        <f>估价对象房地状况!C6</f>
        <v>估价对象周边道路状况、公共交通通达情况、停车便捷程度，综合评价交通便捷度较好</v>
      </c>
      <c r="D17" s="280">
        <v>100</v>
      </c>
      <c r="E17" s="290"/>
      <c r="F17" s="291">
        <f>SUMIF(78:78,E18,79:79)-SUMIF(78:78,C18,79:79)+100</f>
        <v>100</v>
      </c>
      <c r="G17" s="292"/>
      <c r="H17" s="283">
        <f>SUMIF(78:78,G18,79:79)-SUMIF(78:78,C18,79:79)+100</f>
        <v>100</v>
      </c>
      <c r="I17" s="290"/>
      <c r="J17" s="283">
        <f>SUMIF(78:78,I18,79:79)-SUMIF(78:78,C18,79:79)+100</f>
        <v>100</v>
      </c>
      <c r="K17" s="655"/>
      <c r="L17" s="413"/>
      <c r="M17" s="401"/>
      <c r="N17" s="401"/>
      <c r="O17" s="412"/>
      <c r="P17" s="3841"/>
      <c r="Q17" s="406" t="str">
        <f>B17</f>
        <v>交通便捷度</v>
      </c>
      <c r="R17" s="476" t="s">
        <v>1045</v>
      </c>
      <c r="S17" s="477">
        <f>F17</f>
        <v>100</v>
      </c>
      <c r="T17" s="476" t="s">
        <v>1045</v>
      </c>
      <c r="U17" s="477">
        <f>H17</f>
        <v>100</v>
      </c>
      <c r="V17" s="476" t="s">
        <v>1045</v>
      </c>
      <c r="W17" s="477">
        <f>J17</f>
        <v>100</v>
      </c>
      <c r="X17" s="471"/>
      <c r="Y17" s="3841"/>
      <c r="Z17" s="470" t="str">
        <f>Q17</f>
        <v>交通便捷度</v>
      </c>
      <c r="AA17" s="482">
        <f t="shared" si="3"/>
        <v>1</v>
      </c>
      <c r="AB17" s="482">
        <f t="shared" si="4"/>
        <v>1</v>
      </c>
      <c r="AC17" s="482">
        <f t="shared" si="5"/>
        <v>1</v>
      </c>
    </row>
    <row r="18" spans="1:29" ht="15">
      <c r="A18" s="275"/>
      <c r="B18" s="295"/>
      <c r="C18" s="288"/>
      <c r="D18" s="280"/>
      <c r="E18" s="558"/>
      <c r="F18" s="291"/>
      <c r="G18" s="559"/>
      <c r="H18" s="278"/>
      <c r="I18" s="558"/>
      <c r="J18" s="278"/>
      <c r="K18" s="656"/>
      <c r="L18" s="413"/>
      <c r="M18" s="401"/>
      <c r="N18" s="401"/>
      <c r="O18" s="412"/>
      <c r="P18" s="3841"/>
      <c r="Q18" s="406"/>
      <c r="R18" s="476"/>
      <c r="S18" s="477"/>
      <c r="T18" s="476"/>
      <c r="U18" s="477"/>
      <c r="V18" s="476"/>
      <c r="W18" s="477"/>
      <c r="X18" s="471"/>
      <c r="Y18" s="3841"/>
      <c r="Z18" s="470"/>
      <c r="AA18" s="482">
        <v>1</v>
      </c>
      <c r="AB18" s="482">
        <v>1</v>
      </c>
      <c r="AC18" s="482">
        <v>1</v>
      </c>
    </row>
    <row r="19" spans="1:29" ht="42.75">
      <c r="A19" s="275"/>
      <c r="B19" s="622" t="s">
        <v>229</v>
      </c>
      <c r="C19" s="282" t="str">
        <f>估价对象房地状况!C7</f>
        <v>估价对象所在区域公共配套设施齐备情况</v>
      </c>
      <c r="D19" s="283">
        <v>100</v>
      </c>
      <c r="E19" s="284"/>
      <c r="F19" s="285">
        <f>SUMIF(80:80,E20,81:81)-SUMIF(80:80,C20,81:81)+100</f>
        <v>100</v>
      </c>
      <c r="G19" s="286"/>
      <c r="H19" s="280">
        <f>SUMIF(80:80,G20,81:81)-SUMIF(80:80,C20,81:81)+100</f>
        <v>100</v>
      </c>
      <c r="I19" s="284"/>
      <c r="J19" s="280">
        <f>SUMIF(80:80,I20,81:81)-SUMIF(80:80,C20,81:81)+100</f>
        <v>100</v>
      </c>
      <c r="K19" s="655"/>
      <c r="L19" s="413"/>
      <c r="M19" s="401"/>
      <c r="N19" s="401"/>
      <c r="O19" s="412"/>
      <c r="P19" s="3841"/>
      <c r="Q19" s="406" t="str">
        <f>B19</f>
        <v>公共配套设施</v>
      </c>
      <c r="R19" s="476" t="s">
        <v>1045</v>
      </c>
      <c r="S19" s="477">
        <f>F19</f>
        <v>100</v>
      </c>
      <c r="T19" s="476" t="s">
        <v>1045</v>
      </c>
      <c r="U19" s="477">
        <f>H19</f>
        <v>100</v>
      </c>
      <c r="V19" s="476" t="s">
        <v>1045</v>
      </c>
      <c r="W19" s="477">
        <f>J19</f>
        <v>100</v>
      </c>
      <c r="X19" s="471"/>
      <c r="Y19" s="3841"/>
      <c r="Z19" s="470" t="str">
        <f>Q19</f>
        <v>公共配套设施</v>
      </c>
      <c r="AA19" s="482">
        <f t="shared" si="3"/>
        <v>1</v>
      </c>
      <c r="AB19" s="482">
        <f t="shared" si="4"/>
        <v>1</v>
      </c>
      <c r="AC19" s="482">
        <f t="shared" si="5"/>
        <v>1</v>
      </c>
    </row>
    <row r="20" spans="1:29" ht="15">
      <c r="A20" s="275"/>
      <c r="B20" s="295"/>
      <c r="C20" s="277"/>
      <c r="D20" s="278"/>
      <c r="E20" s="560"/>
      <c r="F20" s="279"/>
      <c r="G20" s="561"/>
      <c r="H20" s="278"/>
      <c r="I20" s="560"/>
      <c r="J20" s="278"/>
      <c r="K20" s="656"/>
      <c r="L20" s="413"/>
      <c r="M20" s="401"/>
      <c r="N20" s="401"/>
      <c r="O20" s="412"/>
      <c r="P20" s="3841"/>
      <c r="Q20" s="406"/>
      <c r="R20" s="476"/>
      <c r="S20" s="477"/>
      <c r="T20" s="476"/>
      <c r="U20" s="477"/>
      <c r="V20" s="476"/>
      <c r="W20" s="477"/>
      <c r="X20" s="471"/>
      <c r="Y20" s="3841"/>
      <c r="Z20" s="470"/>
      <c r="AA20" s="482">
        <v>1</v>
      </c>
      <c r="AB20" s="482">
        <v>1</v>
      </c>
      <c r="AC20" s="482">
        <v>1</v>
      </c>
    </row>
    <row r="21" spans="1:29" ht="28.5">
      <c r="A21" s="275"/>
      <c r="B21" s="623" t="s">
        <v>230</v>
      </c>
      <c r="C21" s="282" t="str">
        <f>估价对象房地状况!C8</f>
        <v>估价对象所在区域基础设施水平</v>
      </c>
      <c r="D21" s="283">
        <v>100</v>
      </c>
      <c r="E21" s="286"/>
      <c r="F21" s="285">
        <f>SUMIF(82:82,E22,83:83)-SUMIF(82:82,C22,83:83)+100</f>
        <v>100</v>
      </c>
      <c r="G21" s="286"/>
      <c r="H21" s="283">
        <f>SUMIF(82:82,G22,83:83)-SUMIF(82:82,C22,83:83)+100</f>
        <v>100</v>
      </c>
      <c r="I21" s="284"/>
      <c r="J21" s="283">
        <f>SUMIF(82:82,I22,83:83)-SUMIF(82:82,C22,83:83)+100</f>
        <v>100</v>
      </c>
      <c r="K21" s="655"/>
      <c r="L21" s="413"/>
      <c r="M21" s="401"/>
      <c r="N21" s="401"/>
      <c r="O21" s="412"/>
      <c r="P21" s="3841"/>
      <c r="Q21" s="406" t="str">
        <f>B21</f>
        <v>基础设施水平</v>
      </c>
      <c r="R21" s="476" t="s">
        <v>1045</v>
      </c>
      <c r="S21" s="477">
        <f>F21</f>
        <v>100</v>
      </c>
      <c r="T21" s="476" t="s">
        <v>1045</v>
      </c>
      <c r="U21" s="477">
        <f>H21</f>
        <v>100</v>
      </c>
      <c r="V21" s="476" t="s">
        <v>1045</v>
      </c>
      <c r="W21" s="477">
        <f>J21</f>
        <v>100</v>
      </c>
      <c r="X21" s="471"/>
      <c r="Y21" s="3841"/>
      <c r="Z21" s="470" t="str">
        <f>Q21</f>
        <v>基础设施水平</v>
      </c>
      <c r="AA21" s="482">
        <f>D21/F21</f>
        <v>1</v>
      </c>
      <c r="AB21" s="482">
        <f>D21/H21</f>
        <v>1</v>
      </c>
      <c r="AC21" s="482">
        <f>D21/J21</f>
        <v>1</v>
      </c>
    </row>
    <row r="22" spans="1:29" ht="15">
      <c r="A22" s="275"/>
      <c r="B22" s="562"/>
      <c r="C22" s="288"/>
      <c r="D22" s="278"/>
      <c r="E22" s="277"/>
      <c r="F22" s="279"/>
      <c r="G22" s="277"/>
      <c r="H22" s="278"/>
      <c r="I22" s="277"/>
      <c r="J22" s="278"/>
      <c r="K22" s="657"/>
      <c r="L22" s="413"/>
      <c r="M22" s="401"/>
      <c r="N22" s="401"/>
      <c r="O22" s="412"/>
      <c r="P22" s="3841"/>
      <c r="Q22" s="406"/>
      <c r="R22" s="476"/>
      <c r="S22" s="477"/>
      <c r="T22" s="476"/>
      <c r="U22" s="477"/>
      <c r="V22" s="476"/>
      <c r="W22" s="477"/>
      <c r="X22" s="471"/>
      <c r="Y22" s="3841"/>
      <c r="Z22" s="470"/>
      <c r="AA22" s="482">
        <v>1</v>
      </c>
      <c r="AB22" s="482">
        <v>1</v>
      </c>
      <c r="AC22" s="482">
        <v>1</v>
      </c>
    </row>
    <row r="23" spans="1:29" ht="57">
      <c r="A23" s="275"/>
      <c r="B23" s="294" t="s">
        <v>2411</v>
      </c>
      <c r="C23" s="282" t="str">
        <f>估价对象房地状况!C9</f>
        <v>区域自然环境：；人文环境；综合评价环境状况一般</v>
      </c>
      <c r="D23" s="280">
        <v>100</v>
      </c>
      <c r="E23" s="290"/>
      <c r="F23" s="291">
        <f>SUMIF(84:84,E24,85:85)-SUMIF(84:84,C24,85:85)+100</f>
        <v>100</v>
      </c>
      <c r="G23" s="292"/>
      <c r="H23" s="280">
        <f>SUMIF(84:84,G24,85:85)-SUMIF(84:84,C24,85:85)+100</f>
        <v>100</v>
      </c>
      <c r="I23" s="290"/>
      <c r="J23" s="280">
        <f>SUMIF(84:84,I24,85:85)-SUMIF(84:84,C24,85:85)+100</f>
        <v>100</v>
      </c>
      <c r="K23" s="655"/>
      <c r="L23" s="413"/>
      <c r="M23" s="401"/>
      <c r="N23" s="401"/>
      <c r="O23" s="412"/>
      <c r="P23" s="3841"/>
      <c r="Q23" s="406" t="str">
        <f>B23</f>
        <v>自然及人文环境</v>
      </c>
      <c r="R23" s="476" t="s">
        <v>1045</v>
      </c>
      <c r="S23" s="477">
        <f>F23</f>
        <v>100</v>
      </c>
      <c r="T23" s="476" t="s">
        <v>1045</v>
      </c>
      <c r="U23" s="477">
        <f>H23</f>
        <v>100</v>
      </c>
      <c r="V23" s="476" t="s">
        <v>1045</v>
      </c>
      <c r="W23" s="477">
        <f>J23</f>
        <v>100</v>
      </c>
      <c r="X23" s="471"/>
      <c r="Y23" s="3841"/>
      <c r="Z23" s="470" t="str">
        <f>Q23</f>
        <v>自然及人文环境</v>
      </c>
      <c r="AA23" s="482">
        <f t="shared" si="3"/>
        <v>1</v>
      </c>
      <c r="AB23" s="482">
        <f t="shared" si="4"/>
        <v>1</v>
      </c>
      <c r="AC23" s="482">
        <f t="shared" si="5"/>
        <v>1</v>
      </c>
    </row>
    <row r="24" spans="1:29" ht="15">
      <c r="A24" s="275"/>
      <c r="B24" s="295"/>
      <c r="C24" s="277"/>
      <c r="D24" s="278"/>
      <c r="E24" s="560"/>
      <c r="F24" s="279"/>
      <c r="G24" s="561"/>
      <c r="H24" s="278"/>
      <c r="I24" s="560"/>
      <c r="J24" s="278"/>
      <c r="K24" s="656"/>
      <c r="L24" s="413"/>
      <c r="M24" s="401"/>
      <c r="N24" s="401"/>
      <c r="O24" s="412"/>
      <c r="P24" s="3841"/>
      <c r="Q24" s="406"/>
      <c r="R24" s="476"/>
      <c r="S24" s="477"/>
      <c r="T24" s="476"/>
      <c r="U24" s="477"/>
      <c r="V24" s="476"/>
      <c r="W24" s="477"/>
      <c r="X24" s="471"/>
      <c r="Y24" s="3841"/>
      <c r="Z24" s="470"/>
      <c r="AA24" s="482">
        <v>1</v>
      </c>
      <c r="AB24" s="482">
        <v>1</v>
      </c>
      <c r="AC24" s="482">
        <v>1</v>
      </c>
    </row>
    <row r="25" spans="1:29" ht="15">
      <c r="A25" s="275"/>
      <c r="B25" s="568" t="s">
        <v>2412</v>
      </c>
      <c r="C25" s="314"/>
      <c r="D25" s="267">
        <v>100</v>
      </c>
      <c r="E25" s="640"/>
      <c r="F25" s="297">
        <f>SUMIF(86:86,E25,87:87)-SUMIF(86:86,C25,87:87)+100</f>
        <v>100</v>
      </c>
      <c r="G25" s="601"/>
      <c r="H25" s="267">
        <f>SUMIF(86:86,G25,87:87)-SUMIF(86:86,C25,87:87)+100</f>
        <v>100</v>
      </c>
      <c r="I25" s="640"/>
      <c r="J25" s="267">
        <f>SUMIF(86:86,I25,87:87)-SUMIF(86:86,C25,87:87)+100</f>
        <v>100</v>
      </c>
      <c r="K25" s="653"/>
      <c r="L25" s="413"/>
      <c r="M25" s="401"/>
      <c r="N25" s="401"/>
      <c r="O25" s="412"/>
      <c r="P25" s="3841"/>
      <c r="Q25" s="406" t="str">
        <f t="shared" ref="Q25:Q46" si="8">B25</f>
        <v>楼层-1</v>
      </c>
      <c r="R25" s="476" t="s">
        <v>1045</v>
      </c>
      <c r="S25" s="477">
        <f>F25</f>
        <v>100</v>
      </c>
      <c r="T25" s="476" t="s">
        <v>1045</v>
      </c>
      <c r="U25" s="477">
        <f>H25</f>
        <v>100</v>
      </c>
      <c r="V25" s="476" t="s">
        <v>1045</v>
      </c>
      <c r="W25" s="477">
        <f>J25</f>
        <v>100</v>
      </c>
      <c r="X25" s="471"/>
      <c r="Y25" s="3841"/>
      <c r="Z25" s="470" t="str">
        <f>Q25</f>
        <v>楼层-1</v>
      </c>
      <c r="AA25" s="482">
        <f t="shared" si="3"/>
        <v>1</v>
      </c>
      <c r="AB25" s="482">
        <f t="shared" si="4"/>
        <v>1</v>
      </c>
      <c r="AC25" s="482">
        <f t="shared" si="5"/>
        <v>1</v>
      </c>
    </row>
    <row r="26" spans="1:29" ht="15">
      <c r="A26" s="275"/>
      <c r="B26" s="309" t="s">
        <v>2413</v>
      </c>
      <c r="C26" s="314"/>
      <c r="D26" s="267">
        <v>100</v>
      </c>
      <c r="E26" s="640"/>
      <c r="F26" s="297">
        <f>SUMIF(88:88,E26,89:89)-SUMIF(88:88,C26,89:89)+100</f>
        <v>100</v>
      </c>
      <c r="G26" s="601"/>
      <c r="H26" s="267">
        <f>SUMIF(88:88,G26,89:89)-SUMIF(88:88,C26,89:89)+100</f>
        <v>100</v>
      </c>
      <c r="I26" s="640"/>
      <c r="J26" s="267">
        <f>SUMIF(88:88,I26,89:89)-SUMIF(88:88,C26,89:89)+100</f>
        <v>100</v>
      </c>
      <c r="K26" s="653"/>
      <c r="L26" s="413"/>
      <c r="M26" s="401"/>
      <c r="N26" s="401"/>
      <c r="O26" s="412"/>
      <c r="P26" s="3841"/>
      <c r="Q26" s="406" t="str">
        <f t="shared" si="8"/>
        <v>朝向</v>
      </c>
      <c r="R26" s="476" t="s">
        <v>1045</v>
      </c>
      <c r="S26" s="477">
        <f>F26</f>
        <v>100</v>
      </c>
      <c r="T26" s="476" t="s">
        <v>1045</v>
      </c>
      <c r="U26" s="477">
        <f>H26</f>
        <v>100</v>
      </c>
      <c r="V26" s="476" t="s">
        <v>1045</v>
      </c>
      <c r="W26" s="477">
        <f>J26</f>
        <v>100</v>
      </c>
      <c r="X26" s="471"/>
      <c r="Y26" s="3841"/>
      <c r="Z26" s="470" t="str">
        <f>Q26</f>
        <v>朝向</v>
      </c>
      <c r="AA26" s="482">
        <f t="shared" si="3"/>
        <v>1</v>
      </c>
      <c r="AB26" s="482">
        <f t="shared" si="4"/>
        <v>1</v>
      </c>
      <c r="AC26" s="482">
        <f t="shared" si="5"/>
        <v>1</v>
      </c>
    </row>
    <row r="27" spans="1:29" s="210" customFormat="1" ht="15">
      <c r="A27" s="299"/>
      <c r="B27" s="298" t="s">
        <v>2414</v>
      </c>
      <c r="C27" s="261"/>
      <c r="D27" s="564">
        <v>100</v>
      </c>
      <c r="E27" s="641"/>
      <c r="F27" s="565">
        <f>SUMIF(90:90,E27,91:91)-SUMIF(90:90,C27,91:91)+100</f>
        <v>100</v>
      </c>
      <c r="G27" s="642"/>
      <c r="H27" s="564">
        <f>SUMIF(90:90,G27,91:91)-SUMIF(90:90,C27,91:91)+100</f>
        <v>100</v>
      </c>
      <c r="I27" s="641"/>
      <c r="J27" s="564">
        <f>SUMIF(90:90,I27,91:91)-SUMIF(90:90,C27,91:91)+100</f>
        <v>100</v>
      </c>
      <c r="K27" s="654"/>
      <c r="L27" s="403"/>
      <c r="M27" s="404"/>
      <c r="N27" s="404"/>
      <c r="O27" s="405"/>
      <c r="P27" s="3841"/>
      <c r="Q27" s="475" t="str">
        <f t="shared" si="8"/>
        <v>道路级别</v>
      </c>
      <c r="R27" s="472" t="s">
        <v>1045</v>
      </c>
      <c r="S27" s="473">
        <f>F27</f>
        <v>100</v>
      </c>
      <c r="T27" s="472" t="s">
        <v>1045</v>
      </c>
      <c r="U27" s="473">
        <f>H27</f>
        <v>100</v>
      </c>
      <c r="V27" s="472" t="s">
        <v>1045</v>
      </c>
      <c r="W27" s="473">
        <f>J27</f>
        <v>100</v>
      </c>
      <c r="X27" s="474"/>
      <c r="Y27" s="3841"/>
      <c r="Z27" s="492" t="str">
        <f>Q27</f>
        <v>道路级别</v>
      </c>
      <c r="AA27" s="482">
        <f t="shared" si="3"/>
        <v>1</v>
      </c>
      <c r="AB27" s="482">
        <f t="shared" si="4"/>
        <v>1</v>
      </c>
      <c r="AC27" s="482">
        <f t="shared" si="5"/>
        <v>1</v>
      </c>
    </row>
    <row r="28" spans="1:29" ht="15">
      <c r="A28" s="275"/>
      <c r="B28" s="563">
        <v>111</v>
      </c>
      <c r="C28" s="266"/>
      <c r="D28" s="267">
        <v>100</v>
      </c>
      <c r="E28" s="266"/>
      <c r="F28" s="297">
        <f>SUMIF(92:92,E28,93:93)-SUMIF(92:92,C28,93:93)+100</f>
        <v>100</v>
      </c>
      <c r="G28" s="266"/>
      <c r="H28" s="267">
        <f>SUMIF(92:92,G28,93:93)-SUMIF(92:92,C28,93:93)+100</f>
        <v>100</v>
      </c>
      <c r="I28" s="266"/>
      <c r="J28" s="267">
        <f>SUMIF(92:92,I28,93:93)-SUMIF(92:92,C28,93:93)+100</f>
        <v>100</v>
      </c>
      <c r="K28" s="654"/>
      <c r="L28" s="413"/>
      <c r="M28" s="401"/>
      <c r="N28" s="401"/>
      <c r="O28" s="412"/>
      <c r="P28" s="3841"/>
      <c r="Q28" s="406">
        <f t="shared" si="8"/>
        <v>111</v>
      </c>
      <c r="R28" s="476" t="s">
        <v>1045</v>
      </c>
      <c r="S28" s="477">
        <f t="shared" ref="S28:S46" si="9">F28</f>
        <v>100</v>
      </c>
      <c r="T28" s="476" t="s">
        <v>1045</v>
      </c>
      <c r="U28" s="477">
        <f t="shared" ref="U28:U46" si="10">H28</f>
        <v>100</v>
      </c>
      <c r="V28" s="476" t="s">
        <v>1045</v>
      </c>
      <c r="W28" s="477">
        <f t="shared" ref="W28:W46" si="11">J28</f>
        <v>100</v>
      </c>
      <c r="X28" s="471"/>
      <c r="Y28" s="3841"/>
      <c r="Z28" s="470">
        <f t="shared" ref="Z28:Z46" si="12">Q28</f>
        <v>111</v>
      </c>
      <c r="AA28" s="482">
        <f t="shared" si="3"/>
        <v>1</v>
      </c>
      <c r="AB28" s="482">
        <f t="shared" si="4"/>
        <v>1</v>
      </c>
      <c r="AC28" s="482">
        <f t="shared" si="5"/>
        <v>1</v>
      </c>
    </row>
    <row r="29" spans="1:29" ht="15">
      <c r="A29" s="275"/>
      <c r="B29" s="563">
        <v>111</v>
      </c>
      <c r="C29" s="266"/>
      <c r="D29" s="267">
        <v>100</v>
      </c>
      <c r="E29" s="266"/>
      <c r="F29" s="297">
        <f>SUMIF(94:94,E29,95:95)-SUMIF(94:94,C29,95:95)+100</f>
        <v>100</v>
      </c>
      <c r="G29" s="266"/>
      <c r="H29" s="267">
        <f>SUMIF(94:94,G29,95:95)-SUMIF(94:94,C29,95:95)+100</f>
        <v>100</v>
      </c>
      <c r="I29" s="266"/>
      <c r="J29" s="267">
        <f>SUMIF(94:94,I29,95:95)-SUMIF(94:94,C29,95:95)+100</f>
        <v>100</v>
      </c>
      <c r="K29" s="654"/>
      <c r="L29" s="413"/>
      <c r="M29" s="401"/>
      <c r="N29" s="401"/>
      <c r="O29" s="412"/>
      <c r="P29" s="3841"/>
      <c r="Q29" s="406">
        <f t="shared" si="8"/>
        <v>111</v>
      </c>
      <c r="R29" s="476" t="s">
        <v>1045</v>
      </c>
      <c r="S29" s="477">
        <f t="shared" si="9"/>
        <v>100</v>
      </c>
      <c r="T29" s="476" t="s">
        <v>1045</v>
      </c>
      <c r="U29" s="477">
        <f t="shared" si="10"/>
        <v>100</v>
      </c>
      <c r="V29" s="476" t="s">
        <v>1045</v>
      </c>
      <c r="W29" s="477">
        <f t="shared" si="11"/>
        <v>100</v>
      </c>
      <c r="X29" s="471"/>
      <c r="Y29" s="3841"/>
      <c r="Z29" s="470">
        <f t="shared" si="12"/>
        <v>111</v>
      </c>
      <c r="AA29" s="482">
        <f t="shared" si="3"/>
        <v>1</v>
      </c>
      <c r="AB29" s="482">
        <f t="shared" si="4"/>
        <v>1</v>
      </c>
      <c r="AC29" s="482">
        <f t="shared" si="5"/>
        <v>1</v>
      </c>
    </row>
    <row r="30" spans="1:29" ht="15">
      <c r="A30" s="275"/>
      <c r="B30" s="563">
        <v>111</v>
      </c>
      <c r="C30" s="266"/>
      <c r="D30" s="267">
        <v>100</v>
      </c>
      <c r="E30" s="266"/>
      <c r="F30" s="297">
        <f>SUMIF(96:96,E30,97:97)-SUMIF(96:96,C30,97:97)+100</f>
        <v>100</v>
      </c>
      <c r="G30" s="266"/>
      <c r="H30" s="267">
        <f>SUMIF(96:96,G30,97:97)-SUMIF(96:96,C30,97:97)+100</f>
        <v>100</v>
      </c>
      <c r="I30" s="266"/>
      <c r="J30" s="267">
        <f>SUMIF(96:96,I30,97:97)-SUMIF(96:96,C30,97:97)+100</f>
        <v>100</v>
      </c>
      <c r="K30" s="654"/>
      <c r="L30" s="413"/>
      <c r="M30" s="401"/>
      <c r="N30" s="401"/>
      <c r="O30" s="412"/>
      <c r="P30" s="3841"/>
      <c r="Q30" s="406">
        <f t="shared" si="8"/>
        <v>111</v>
      </c>
      <c r="R30" s="476" t="s">
        <v>1045</v>
      </c>
      <c r="S30" s="477">
        <f t="shared" si="9"/>
        <v>100</v>
      </c>
      <c r="T30" s="476" t="s">
        <v>1045</v>
      </c>
      <c r="U30" s="477">
        <f t="shared" si="10"/>
        <v>100</v>
      </c>
      <c r="V30" s="476" t="s">
        <v>1045</v>
      </c>
      <c r="W30" s="477">
        <f t="shared" si="11"/>
        <v>100</v>
      </c>
      <c r="X30" s="471"/>
      <c r="Y30" s="3841"/>
      <c r="Z30" s="470">
        <f t="shared" si="12"/>
        <v>111</v>
      </c>
      <c r="AA30" s="482">
        <f t="shared" si="3"/>
        <v>1</v>
      </c>
      <c r="AB30" s="482">
        <f t="shared" si="4"/>
        <v>1</v>
      </c>
      <c r="AC30" s="482">
        <f t="shared" si="5"/>
        <v>1</v>
      </c>
    </row>
    <row r="31" spans="1:29" ht="15">
      <c r="A31" s="566"/>
      <c r="B31" s="563">
        <v>111</v>
      </c>
      <c r="C31" s="319"/>
      <c r="D31" s="320">
        <v>100</v>
      </c>
      <c r="E31" s="319"/>
      <c r="F31" s="322">
        <f>SUMIF(98:98,E31,99:99)-SUMIF(98:98,C31,99:99)+100</f>
        <v>100</v>
      </c>
      <c r="G31" s="319"/>
      <c r="H31" s="320">
        <f>SUMIF(98:98,G31,99:99)-SUMIF(98:98,C31,99:99)+100</f>
        <v>100</v>
      </c>
      <c r="I31" s="319"/>
      <c r="J31" s="320">
        <f>SUMIF(98:98,I31,99:99)-SUMIF(98:98,C31,99:99)+100</f>
        <v>100</v>
      </c>
      <c r="K31" s="654"/>
      <c r="L31" s="413"/>
      <c r="M31" s="401"/>
      <c r="N31" s="401"/>
      <c r="O31" s="412"/>
      <c r="P31" s="3841"/>
      <c r="Q31" s="406">
        <f t="shared" si="8"/>
        <v>111</v>
      </c>
      <c r="R31" s="476" t="s">
        <v>1045</v>
      </c>
      <c r="S31" s="477">
        <f t="shared" si="9"/>
        <v>100</v>
      </c>
      <c r="T31" s="476" t="s">
        <v>1045</v>
      </c>
      <c r="U31" s="477">
        <f t="shared" si="10"/>
        <v>100</v>
      </c>
      <c r="V31" s="476" t="s">
        <v>1045</v>
      </c>
      <c r="W31" s="477">
        <f t="shared" si="11"/>
        <v>100</v>
      </c>
      <c r="X31" s="471"/>
      <c r="Y31" s="3841"/>
      <c r="Z31" s="470">
        <f t="shared" si="12"/>
        <v>111</v>
      </c>
      <c r="AA31" s="482">
        <f t="shared" si="3"/>
        <v>1</v>
      </c>
      <c r="AB31" s="482">
        <f t="shared" si="4"/>
        <v>1</v>
      </c>
      <c r="AC31" s="482">
        <f t="shared" si="5"/>
        <v>1</v>
      </c>
    </row>
    <row r="32" spans="1:29" ht="15">
      <c r="A32" s="303" t="s">
        <v>1061</v>
      </c>
      <c r="B32" s="304" t="s">
        <v>2415</v>
      </c>
      <c r="C32" s="625"/>
      <c r="D32" s="306">
        <v>100</v>
      </c>
      <c r="E32" s="643"/>
      <c r="F32" s="297">
        <f>SUMIF(100:100,E32,101:101)-SUMIF(100:100,C32,101:101)+100</f>
        <v>100</v>
      </c>
      <c r="G32" s="625"/>
      <c r="H32" s="306">
        <f>SUMIF(100:100,G32,101:101)-SUMIF(100:100,C32,101:101)+100</f>
        <v>100</v>
      </c>
      <c r="I32" s="643"/>
      <c r="J32" s="267">
        <f>SUMIF(100:100,I32,101:101)-SUMIF(100:100,C32,101:101)+100</f>
        <v>100</v>
      </c>
      <c r="K32" s="653"/>
      <c r="L32" s="413"/>
      <c r="M32" s="401"/>
      <c r="N32" s="401"/>
      <c r="O32" s="412"/>
      <c r="P32" s="3842" t="s">
        <v>1060</v>
      </c>
      <c r="Q32" s="406" t="str">
        <f t="shared" si="8"/>
        <v>建筑类型</v>
      </c>
      <c r="R32" s="476" t="s">
        <v>1045</v>
      </c>
      <c r="S32" s="477">
        <f t="shared" si="9"/>
        <v>100</v>
      </c>
      <c r="T32" s="476" t="s">
        <v>1045</v>
      </c>
      <c r="U32" s="477">
        <f t="shared" si="10"/>
        <v>100</v>
      </c>
      <c r="V32" s="476" t="s">
        <v>1045</v>
      </c>
      <c r="W32" s="477">
        <f t="shared" si="11"/>
        <v>100</v>
      </c>
      <c r="X32" s="471"/>
      <c r="Y32" s="3843" t="s">
        <v>1060</v>
      </c>
      <c r="Z32" s="470" t="str">
        <f t="shared" si="12"/>
        <v>建筑类型</v>
      </c>
      <c r="AA32" s="482">
        <f t="shared" si="3"/>
        <v>1</v>
      </c>
      <c r="AB32" s="482">
        <f t="shared" si="4"/>
        <v>1</v>
      </c>
      <c r="AC32" s="482">
        <f t="shared" si="5"/>
        <v>1</v>
      </c>
    </row>
    <row r="33" spans="1:29" s="212" customFormat="1" ht="15">
      <c r="A33" s="308"/>
      <c r="B33" s="309" t="s">
        <v>2416</v>
      </c>
      <c r="C33" s="262"/>
      <c r="D33" s="257">
        <v>100</v>
      </c>
      <c r="E33" s="556"/>
      <c r="F33" s="567" t="e">
        <f>LOOKUP(E33,103:103,104:104)-LOOKUP(C33,103:103,104:104)+100</f>
        <v>#N/A</v>
      </c>
      <c r="G33" s="555"/>
      <c r="H33" s="257" t="e">
        <f>LOOKUP(G33,103:103,104:104)-LOOKUP(C33,103:103,104:104)+100</f>
        <v>#N/A</v>
      </c>
      <c r="I33" s="556"/>
      <c r="J33" s="257" t="e">
        <f>LOOKUP(I33,103:103,104:104)-LOOKUP(C33,103:103,104:104)+100</f>
        <v>#N/A</v>
      </c>
      <c r="K33" s="654"/>
      <c r="L33" s="411"/>
      <c r="M33" s="418"/>
      <c r="N33" s="418"/>
      <c r="O33" s="419"/>
      <c r="P33" s="3843"/>
      <c r="Q33" s="478" t="str">
        <f t="shared" si="8"/>
        <v>项目建筑规模</v>
      </c>
      <c r="R33" s="479" t="s">
        <v>1045</v>
      </c>
      <c r="S33" s="480" t="e">
        <f t="shared" si="9"/>
        <v>#N/A</v>
      </c>
      <c r="T33" s="479" t="s">
        <v>1045</v>
      </c>
      <c r="U33" s="480" t="e">
        <f t="shared" si="10"/>
        <v>#N/A</v>
      </c>
      <c r="V33" s="479" t="s">
        <v>1045</v>
      </c>
      <c r="W33" s="480" t="e">
        <f t="shared" si="11"/>
        <v>#N/A</v>
      </c>
      <c r="X33" s="481"/>
      <c r="Y33" s="3843"/>
      <c r="Z33" s="493" t="str">
        <f t="shared" si="12"/>
        <v>项目建筑规模</v>
      </c>
      <c r="AA33" s="482" t="e">
        <f t="shared" si="3"/>
        <v>#N/A</v>
      </c>
      <c r="AB33" s="482" t="e">
        <f t="shared" si="4"/>
        <v>#N/A</v>
      </c>
      <c r="AC33" s="482" t="e">
        <f t="shared" si="5"/>
        <v>#N/A</v>
      </c>
    </row>
    <row r="34" spans="1:29" ht="15">
      <c r="A34" s="313"/>
      <c r="B34" s="309" t="s">
        <v>2417</v>
      </c>
      <c r="C34" s="626"/>
      <c r="D34" s="267">
        <v>100</v>
      </c>
      <c r="E34" s="627"/>
      <c r="F34" s="297">
        <f>SUMIF(105:105,E34,106:106)-SUMIF(105:105,C34,106:106)+100</f>
        <v>100</v>
      </c>
      <c r="G34" s="626"/>
      <c r="H34" s="267">
        <f>SUMIF(105:105,G34,106:106)-SUMIF(105:105,C34,106:106)+100</f>
        <v>100</v>
      </c>
      <c r="I34" s="627"/>
      <c r="J34" s="267">
        <f>SUMIF(105:105,I34,106:106)-SUMIF(105:105,C34,106:106)+100</f>
        <v>100</v>
      </c>
      <c r="K34" s="653"/>
      <c r="L34" s="413"/>
      <c r="M34" s="401"/>
      <c r="N34" s="401"/>
      <c r="O34" s="412"/>
      <c r="P34" s="3843"/>
      <c r="Q34" s="406" t="str">
        <f t="shared" si="8"/>
        <v>建筑结构</v>
      </c>
      <c r="R34" s="476" t="s">
        <v>1045</v>
      </c>
      <c r="S34" s="477">
        <f t="shared" si="9"/>
        <v>100</v>
      </c>
      <c r="T34" s="476" t="s">
        <v>1045</v>
      </c>
      <c r="U34" s="477">
        <f t="shared" si="10"/>
        <v>100</v>
      </c>
      <c r="V34" s="476" t="s">
        <v>1045</v>
      </c>
      <c r="W34" s="477">
        <f t="shared" si="11"/>
        <v>100</v>
      </c>
      <c r="X34" s="471"/>
      <c r="Y34" s="3843"/>
      <c r="Z34" s="470" t="str">
        <f t="shared" si="12"/>
        <v>建筑结构</v>
      </c>
      <c r="AA34" s="482">
        <f t="shared" si="3"/>
        <v>1</v>
      </c>
      <c r="AB34" s="482">
        <f t="shared" si="4"/>
        <v>1</v>
      </c>
      <c r="AC34" s="482">
        <f t="shared" si="5"/>
        <v>1</v>
      </c>
    </row>
    <row r="35" spans="1:29" ht="15">
      <c r="A35" s="313"/>
      <c r="B35" s="309" t="s">
        <v>2418</v>
      </c>
      <c r="C35" s="601"/>
      <c r="D35" s="267">
        <v>100</v>
      </c>
      <c r="E35" s="640"/>
      <c r="F35" s="297">
        <f>SUMIF(107:107,E35,108:108)-SUMIF(107:107,C35,108:108)+100</f>
        <v>100</v>
      </c>
      <c r="G35" s="601"/>
      <c r="H35" s="267">
        <f>SUMIF(107:107,G35,108:108)-SUMIF(107:107,C35,108:108)+100</f>
        <v>100</v>
      </c>
      <c r="I35" s="640"/>
      <c r="J35" s="267">
        <f>SUMIF(107:107,I35,108:108)-SUMIF(107:107,C35,108:108)+100</f>
        <v>100</v>
      </c>
      <c r="K35" s="653"/>
      <c r="L35" s="413"/>
      <c r="M35" s="401"/>
      <c r="N35" s="401"/>
      <c r="O35" s="412"/>
      <c r="P35" s="3843"/>
      <c r="Q35" s="406" t="str">
        <f t="shared" si="8"/>
        <v>建筑品质</v>
      </c>
      <c r="R35" s="476" t="s">
        <v>1045</v>
      </c>
      <c r="S35" s="477">
        <f t="shared" si="9"/>
        <v>100</v>
      </c>
      <c r="T35" s="476" t="s">
        <v>1045</v>
      </c>
      <c r="U35" s="477">
        <f t="shared" si="10"/>
        <v>100</v>
      </c>
      <c r="V35" s="476" t="s">
        <v>1045</v>
      </c>
      <c r="W35" s="477">
        <f t="shared" si="11"/>
        <v>100</v>
      </c>
      <c r="X35" s="471"/>
      <c r="Y35" s="3843"/>
      <c r="Z35" s="470" t="str">
        <f t="shared" si="12"/>
        <v>建筑品质</v>
      </c>
      <c r="AA35" s="482">
        <f t="shared" si="3"/>
        <v>1</v>
      </c>
      <c r="AB35" s="482">
        <f t="shared" si="4"/>
        <v>1</v>
      </c>
      <c r="AC35" s="482">
        <f t="shared" si="5"/>
        <v>1</v>
      </c>
    </row>
    <row r="36" spans="1:29" ht="15">
      <c r="A36" s="313"/>
      <c r="B36" s="309" t="s">
        <v>2419</v>
      </c>
      <c r="C36" s="601"/>
      <c r="D36" s="267">
        <v>100</v>
      </c>
      <c r="E36" s="640"/>
      <c r="F36" s="297">
        <f>SUMIF(109:109,E36,110:110)-SUMIF(109:109,C36,110:110)+100</f>
        <v>100</v>
      </c>
      <c r="G36" s="601"/>
      <c r="H36" s="267">
        <f>SUMIF(109:109,G36,110:110)-SUMIF(109:109,C36,110:110)+100</f>
        <v>100</v>
      </c>
      <c r="I36" s="640"/>
      <c r="J36" s="267">
        <f>SUMIF(109:109,I36,110:110)-SUMIF(109:109,C36,110:110)+100</f>
        <v>100</v>
      </c>
      <c r="K36" s="653"/>
      <c r="L36" s="413"/>
      <c r="M36" s="401"/>
      <c r="N36" s="401"/>
      <c r="O36" s="412"/>
      <c r="P36" s="3843"/>
      <c r="Q36" s="406" t="str">
        <f t="shared" si="8"/>
        <v>公共部分装修</v>
      </c>
      <c r="R36" s="476" t="s">
        <v>1045</v>
      </c>
      <c r="S36" s="477">
        <f t="shared" si="9"/>
        <v>100</v>
      </c>
      <c r="T36" s="476" t="s">
        <v>1045</v>
      </c>
      <c r="U36" s="477">
        <f t="shared" si="10"/>
        <v>100</v>
      </c>
      <c r="V36" s="476" t="s">
        <v>1045</v>
      </c>
      <c r="W36" s="477">
        <f t="shared" si="11"/>
        <v>100</v>
      </c>
      <c r="X36" s="471"/>
      <c r="Y36" s="3843"/>
      <c r="Z36" s="470" t="str">
        <f t="shared" si="12"/>
        <v>公共部分装修</v>
      </c>
      <c r="AA36" s="482">
        <f t="shared" si="3"/>
        <v>1</v>
      </c>
      <c r="AB36" s="482">
        <f t="shared" si="4"/>
        <v>1</v>
      </c>
      <c r="AC36" s="482">
        <f t="shared" si="5"/>
        <v>1</v>
      </c>
    </row>
    <row r="37" spans="1:29" s="210" customFormat="1" ht="15">
      <c r="A37" s="316"/>
      <c r="B37" s="309" t="s">
        <v>2420</v>
      </c>
      <c r="C37" s="310"/>
      <c r="D37" s="257">
        <v>100</v>
      </c>
      <c r="E37" s="311"/>
      <c r="F37" s="567" t="e">
        <f>LOOKUP(E37,112:112,113:113)-LOOKUP(C37,112:112,113:113)+100</f>
        <v>#N/A</v>
      </c>
      <c r="G37" s="312"/>
      <c r="H37" s="257" t="e">
        <f>LOOKUP(G37,112:112,113:113)-LOOKUP(C37,112:112,113:113)+100</f>
        <v>#N/A</v>
      </c>
      <c r="I37" s="311"/>
      <c r="J37" s="257" t="e">
        <f>LOOKUP(I37,112:112,113:113)-LOOKUP(C37,112:112,113:113)+100</f>
        <v>#N/A</v>
      </c>
      <c r="K37" s="653"/>
      <c r="L37" s="403"/>
      <c r="M37" s="404"/>
      <c r="N37" s="404"/>
      <c r="O37" s="405"/>
      <c r="P37" s="3843"/>
      <c r="Q37" s="475" t="str">
        <f t="shared" si="8"/>
        <v>成新度</v>
      </c>
      <c r="R37" s="472" t="s">
        <v>1045</v>
      </c>
      <c r="S37" s="473" t="e">
        <f t="shared" si="9"/>
        <v>#N/A</v>
      </c>
      <c r="T37" s="472" t="s">
        <v>1045</v>
      </c>
      <c r="U37" s="473" t="e">
        <f t="shared" si="10"/>
        <v>#N/A</v>
      </c>
      <c r="V37" s="472" t="s">
        <v>1045</v>
      </c>
      <c r="W37" s="473" t="e">
        <f t="shared" si="11"/>
        <v>#N/A</v>
      </c>
      <c r="X37" s="474"/>
      <c r="Y37" s="3843"/>
      <c r="Z37" s="492" t="str">
        <f t="shared" si="12"/>
        <v>成新度</v>
      </c>
      <c r="AA37" s="491" t="e">
        <f t="shared" si="3"/>
        <v>#N/A</v>
      </c>
      <c r="AB37" s="491" t="e">
        <f t="shared" si="4"/>
        <v>#N/A</v>
      </c>
      <c r="AC37" s="491" t="e">
        <f t="shared" si="5"/>
        <v>#N/A</v>
      </c>
    </row>
    <row r="38" spans="1:29" ht="15">
      <c r="A38" s="313"/>
      <c r="B38" s="309" t="s">
        <v>2421</v>
      </c>
      <c r="C38" s="601"/>
      <c r="D38" s="267">
        <v>100</v>
      </c>
      <c r="E38" s="640"/>
      <c r="F38" s="297">
        <f>SUMIF(114:114,E38,115:115)-SUMIF(114:114,C38,115:115)+100</f>
        <v>100</v>
      </c>
      <c r="G38" s="601"/>
      <c r="H38" s="267">
        <f>SUMIF(114:114,G38,115:115)-SUMIF(114:114,C38,115:115)+100</f>
        <v>100</v>
      </c>
      <c r="I38" s="640"/>
      <c r="J38" s="267">
        <f>SUMIF(114:114,I38,115:115)-SUMIF(114:114,C38,115:115)+100</f>
        <v>100</v>
      </c>
      <c r="K38" s="653"/>
      <c r="L38" s="413"/>
      <c r="M38" s="401"/>
      <c r="N38" s="401"/>
      <c r="O38" s="412"/>
      <c r="P38" s="3843" t="s">
        <v>1060</v>
      </c>
      <c r="Q38" s="406" t="str">
        <f t="shared" si="8"/>
        <v>物业管理</v>
      </c>
      <c r="R38" s="476" t="s">
        <v>1045</v>
      </c>
      <c r="S38" s="477">
        <f t="shared" si="9"/>
        <v>100</v>
      </c>
      <c r="T38" s="476" t="s">
        <v>1045</v>
      </c>
      <c r="U38" s="477">
        <f t="shared" si="10"/>
        <v>100</v>
      </c>
      <c r="V38" s="476" t="s">
        <v>1045</v>
      </c>
      <c r="W38" s="477">
        <f t="shared" si="11"/>
        <v>100</v>
      </c>
      <c r="X38" s="471"/>
      <c r="Y38" s="3843" t="s">
        <v>1060</v>
      </c>
      <c r="Z38" s="470" t="str">
        <f t="shared" si="12"/>
        <v>物业管理</v>
      </c>
      <c r="AA38" s="482">
        <f t="shared" si="3"/>
        <v>1</v>
      </c>
      <c r="AB38" s="482">
        <f t="shared" si="4"/>
        <v>1</v>
      </c>
      <c r="AC38" s="482">
        <f t="shared" si="5"/>
        <v>1</v>
      </c>
    </row>
    <row r="39" spans="1:29" ht="15">
      <c r="A39" s="313"/>
      <c r="B39" s="568" t="s">
        <v>2422</v>
      </c>
      <c r="C39" s="601"/>
      <c r="D39" s="267">
        <v>100</v>
      </c>
      <c r="E39" s="640"/>
      <c r="F39" s="297">
        <f>SUMIF(116:116,E39,117:117)-SUMIF(116:116,C39,117:117)+100</f>
        <v>100</v>
      </c>
      <c r="G39" s="601"/>
      <c r="H39" s="267">
        <f>SUMIF(116:116,G39,117:117)-SUMIF(116:116,C39,117:117)+100</f>
        <v>100</v>
      </c>
      <c r="I39" s="640"/>
      <c r="J39" s="267">
        <f>SUMIF(116:116,I39,117:117)-SUMIF(116:116,C39,117:117)+100</f>
        <v>100</v>
      </c>
      <c r="K39" s="653"/>
      <c r="L39" s="413"/>
      <c r="M39" s="401"/>
      <c r="N39" s="401"/>
      <c r="O39" s="412"/>
      <c r="P39" s="3843"/>
      <c r="Q39" s="406" t="str">
        <f t="shared" si="8"/>
        <v>市政基础设施</v>
      </c>
      <c r="R39" s="476" t="s">
        <v>1045</v>
      </c>
      <c r="S39" s="477">
        <f t="shared" si="9"/>
        <v>100</v>
      </c>
      <c r="T39" s="476" t="s">
        <v>1045</v>
      </c>
      <c r="U39" s="477">
        <f t="shared" si="10"/>
        <v>100</v>
      </c>
      <c r="V39" s="476" t="s">
        <v>1045</v>
      </c>
      <c r="W39" s="477">
        <f t="shared" si="11"/>
        <v>100</v>
      </c>
      <c r="X39" s="471"/>
      <c r="Y39" s="3843"/>
      <c r="Z39" s="470" t="str">
        <f t="shared" si="12"/>
        <v>市政基础设施</v>
      </c>
      <c r="AA39" s="482">
        <f t="shared" si="3"/>
        <v>1</v>
      </c>
      <c r="AB39" s="482">
        <f t="shared" si="4"/>
        <v>1</v>
      </c>
      <c r="AC39" s="482">
        <f t="shared" si="5"/>
        <v>1</v>
      </c>
    </row>
    <row r="40" spans="1:29" ht="15">
      <c r="A40" s="313"/>
      <c r="B40" s="309" t="s">
        <v>2423</v>
      </c>
      <c r="C40" s="601"/>
      <c r="D40" s="267">
        <v>100</v>
      </c>
      <c r="E40" s="640"/>
      <c r="F40" s="297">
        <f>SUMIF(118:118,E40,119:119)-SUMIF(118:118,C40,119:119)+100</f>
        <v>100</v>
      </c>
      <c r="G40" s="601"/>
      <c r="H40" s="267">
        <f>SUMIF(118:118,G40,119:119)-SUMIF(118:118,C40,119:119)+100</f>
        <v>100</v>
      </c>
      <c r="I40" s="640"/>
      <c r="J40" s="267">
        <f>SUMIF(118:118,I40,119:119)-SUMIF(118:118,C40,119:119)+100</f>
        <v>100</v>
      </c>
      <c r="K40" s="653"/>
      <c r="L40" s="413"/>
      <c r="M40" s="401"/>
      <c r="N40" s="401"/>
      <c r="O40" s="412"/>
      <c r="P40" s="3843"/>
      <c r="Q40" s="406" t="str">
        <f t="shared" si="8"/>
        <v>房型</v>
      </c>
      <c r="R40" s="476" t="s">
        <v>1045</v>
      </c>
      <c r="S40" s="477">
        <f t="shared" si="9"/>
        <v>100</v>
      </c>
      <c r="T40" s="476" t="s">
        <v>1045</v>
      </c>
      <c r="U40" s="477">
        <f t="shared" si="10"/>
        <v>100</v>
      </c>
      <c r="V40" s="476" t="s">
        <v>1045</v>
      </c>
      <c r="W40" s="477">
        <f t="shared" si="11"/>
        <v>100</v>
      </c>
      <c r="X40" s="471"/>
      <c r="Y40" s="3843"/>
      <c r="Z40" s="470" t="str">
        <f t="shared" si="12"/>
        <v>房型</v>
      </c>
      <c r="AA40" s="482">
        <f t="shared" si="3"/>
        <v>1</v>
      </c>
      <c r="AB40" s="482">
        <f t="shared" si="4"/>
        <v>1</v>
      </c>
      <c r="AC40" s="482">
        <f t="shared" si="5"/>
        <v>1</v>
      </c>
    </row>
    <row r="41" spans="1:29" s="212" customFormat="1" ht="28.5">
      <c r="A41" s="308"/>
      <c r="B41" s="309" t="s">
        <v>2424</v>
      </c>
      <c r="C41" s="262"/>
      <c r="D41" s="257">
        <v>100</v>
      </c>
      <c r="E41" s="556"/>
      <c r="F41" s="567">
        <f>SUMIF(120:120,E41,121:121)-SUMIF(120:120,C41,121:121)+100</f>
        <v>100</v>
      </c>
      <c r="G41" s="555"/>
      <c r="H41" s="257">
        <f>SUMIF(120:120,G41,121:121)-SUMIF(120:120,C41,121:121)+100</f>
        <v>100</v>
      </c>
      <c r="I41" s="658"/>
      <c r="J41" s="267">
        <f>SUMIF(120:120,I41,121:121)-SUMIF(120:120,C41,121:121)+100</f>
        <v>100</v>
      </c>
      <c r="K41" s="654"/>
      <c r="L41" s="411"/>
      <c r="M41" s="418"/>
      <c r="N41" s="418"/>
      <c r="O41" s="419"/>
      <c r="P41" s="3843"/>
      <c r="Q41" s="478" t="str">
        <f t="shared" si="8"/>
        <v>单套/主力户型建筑面积</v>
      </c>
      <c r="R41" s="479" t="s">
        <v>1045</v>
      </c>
      <c r="S41" s="480">
        <f t="shared" si="9"/>
        <v>100</v>
      </c>
      <c r="T41" s="479" t="s">
        <v>1045</v>
      </c>
      <c r="U41" s="480">
        <f t="shared" si="10"/>
        <v>100</v>
      </c>
      <c r="V41" s="479" t="s">
        <v>1045</v>
      </c>
      <c r="W41" s="480">
        <f t="shared" si="11"/>
        <v>100</v>
      </c>
      <c r="X41" s="481"/>
      <c r="Y41" s="3843"/>
      <c r="Z41" s="493" t="str">
        <f t="shared" si="12"/>
        <v>单套/主力户型建筑面积</v>
      </c>
      <c r="AA41" s="482">
        <f t="shared" si="3"/>
        <v>1</v>
      </c>
      <c r="AB41" s="482">
        <f t="shared" si="4"/>
        <v>1</v>
      </c>
      <c r="AC41" s="482">
        <f t="shared" si="5"/>
        <v>1</v>
      </c>
    </row>
    <row r="42" spans="1:29" ht="15">
      <c r="A42" s="313"/>
      <c r="B42" s="309" t="s">
        <v>2425</v>
      </c>
      <c r="C42" s="601"/>
      <c r="D42" s="267">
        <v>100</v>
      </c>
      <c r="E42" s="640"/>
      <c r="F42" s="297">
        <f>SUMIF(122:122,E42,123:123)-SUMIF(122:122,C42,123:123)+100</f>
        <v>100</v>
      </c>
      <c r="G42" s="601"/>
      <c r="H42" s="267">
        <f>SUMIF(122:122,G42,123:123)-SUMIF(122:122,C42,123:123)+100</f>
        <v>100</v>
      </c>
      <c r="I42" s="640"/>
      <c r="J42" s="267">
        <f>SUMIF(122:122,I42,123:123)-SUMIF(122:122,C42,123:123)+100</f>
        <v>100</v>
      </c>
      <c r="K42" s="653"/>
      <c r="L42" s="413"/>
      <c r="M42" s="401"/>
      <c r="N42" s="401"/>
      <c r="O42" s="412"/>
      <c r="P42" s="3843"/>
      <c r="Q42" s="406" t="str">
        <f t="shared" si="8"/>
        <v>内部装修</v>
      </c>
      <c r="R42" s="476" t="s">
        <v>1045</v>
      </c>
      <c r="S42" s="477">
        <f t="shared" si="9"/>
        <v>100</v>
      </c>
      <c r="T42" s="476" t="s">
        <v>1045</v>
      </c>
      <c r="U42" s="477">
        <f t="shared" si="10"/>
        <v>100</v>
      </c>
      <c r="V42" s="476" t="s">
        <v>1045</v>
      </c>
      <c r="W42" s="477">
        <f t="shared" si="11"/>
        <v>100</v>
      </c>
      <c r="X42" s="471"/>
      <c r="Y42" s="3843"/>
      <c r="Z42" s="470" t="str">
        <f t="shared" si="12"/>
        <v>内部装修</v>
      </c>
      <c r="AA42" s="482">
        <f t="shared" si="3"/>
        <v>1</v>
      </c>
      <c r="AB42" s="482">
        <f t="shared" si="4"/>
        <v>1</v>
      </c>
      <c r="AC42" s="482">
        <f t="shared" si="5"/>
        <v>1</v>
      </c>
    </row>
    <row r="43" spans="1:29" ht="15">
      <c r="A43" s="313"/>
      <c r="B43" s="309" t="s">
        <v>233</v>
      </c>
      <c r="C43" s="601"/>
      <c r="D43" s="267">
        <v>100</v>
      </c>
      <c r="E43" s="640"/>
      <c r="F43" s="297">
        <f>SUMIF(124:124,E43,125:125)-SUMIF(124:124,C43,125:125)+100</f>
        <v>100</v>
      </c>
      <c r="G43" s="601"/>
      <c r="H43" s="267">
        <f>SUMIF(124:124,G43,125:125)-SUMIF(124:124,C43,125:125)+100</f>
        <v>100</v>
      </c>
      <c r="I43" s="640"/>
      <c r="J43" s="267">
        <f>SUMIF(124:124,I43,125:125)-SUMIF(124:124,C43,125:125)+100</f>
        <v>100</v>
      </c>
      <c r="K43" s="653"/>
      <c r="L43" s="413"/>
      <c r="M43" s="401"/>
      <c r="N43" s="401"/>
      <c r="O43" s="412"/>
      <c r="P43" s="3843"/>
      <c r="Q43" s="406" t="str">
        <f t="shared" si="8"/>
        <v>内部装修维护情况</v>
      </c>
      <c r="R43" s="476" t="s">
        <v>1045</v>
      </c>
      <c r="S43" s="477">
        <f t="shared" si="9"/>
        <v>100</v>
      </c>
      <c r="T43" s="476" t="s">
        <v>1045</v>
      </c>
      <c r="U43" s="477">
        <f t="shared" si="10"/>
        <v>100</v>
      </c>
      <c r="V43" s="476" t="s">
        <v>1045</v>
      </c>
      <c r="W43" s="477">
        <f t="shared" si="11"/>
        <v>100</v>
      </c>
      <c r="X43" s="471"/>
      <c r="Y43" s="3843"/>
      <c r="Z43" s="470" t="str">
        <f t="shared" si="12"/>
        <v>内部装修维护情况</v>
      </c>
      <c r="AA43" s="482">
        <f t="shared" si="3"/>
        <v>1</v>
      </c>
      <c r="AB43" s="482">
        <f t="shared" si="4"/>
        <v>1</v>
      </c>
      <c r="AC43" s="482">
        <f t="shared" si="5"/>
        <v>1</v>
      </c>
    </row>
    <row r="44" spans="1:29" s="210" customFormat="1" ht="15">
      <c r="A44" s="316"/>
      <c r="B44" s="563">
        <v>111</v>
      </c>
      <c r="C44" s="262"/>
      <c r="D44" s="257">
        <v>100</v>
      </c>
      <c r="E44" s="262"/>
      <c r="F44" s="567">
        <f>SUMIF(126:126,E44,127:127)-SUMIF(126:126,C44,127:127)+100</f>
        <v>100</v>
      </c>
      <c r="G44" s="262"/>
      <c r="H44" s="257">
        <f>SUMIF(126:126,G44,127:127)-SUMIF(126:126,C44,127:127)+100</f>
        <v>100</v>
      </c>
      <c r="I44" s="262"/>
      <c r="J44" s="257">
        <f>SUMIF(126:126,I44,127:127)-SUMIF(126:126,C44,127:127)+100</f>
        <v>100</v>
      </c>
      <c r="K44" s="654"/>
      <c r="L44" s="403"/>
      <c r="M44" s="404"/>
      <c r="N44" s="404"/>
      <c r="O44" s="405"/>
      <c r="P44" s="3843"/>
      <c r="Q44" s="475">
        <f t="shared" si="8"/>
        <v>111</v>
      </c>
      <c r="R44" s="472" t="s">
        <v>1045</v>
      </c>
      <c r="S44" s="473">
        <f t="shared" si="9"/>
        <v>100</v>
      </c>
      <c r="T44" s="472" t="s">
        <v>1045</v>
      </c>
      <c r="U44" s="473">
        <f t="shared" si="10"/>
        <v>100</v>
      </c>
      <c r="V44" s="472" t="s">
        <v>1045</v>
      </c>
      <c r="W44" s="473">
        <f t="shared" si="11"/>
        <v>100</v>
      </c>
      <c r="X44" s="474"/>
      <c r="Y44" s="3843"/>
      <c r="Z44" s="492">
        <f t="shared" si="12"/>
        <v>111</v>
      </c>
      <c r="AA44" s="491">
        <f t="shared" si="3"/>
        <v>1</v>
      </c>
      <c r="AB44" s="491">
        <f t="shared" si="4"/>
        <v>1</v>
      </c>
      <c r="AC44" s="491">
        <f t="shared" si="5"/>
        <v>1</v>
      </c>
    </row>
    <row r="45" spans="1:29" ht="15">
      <c r="A45" s="313"/>
      <c r="B45" s="563">
        <v>111</v>
      </c>
      <c r="C45" s="266"/>
      <c r="D45" s="267">
        <v>100</v>
      </c>
      <c r="E45" s="266"/>
      <c r="F45" s="297">
        <f>SUMIF(128:128,E45,129:129)-SUMIF(128:128,C45,129:129)+100</f>
        <v>100</v>
      </c>
      <c r="G45" s="266"/>
      <c r="H45" s="267">
        <f>SUMIF(128:128,G45,129:129)-SUMIF(128:128,C45,129:129)+100</f>
        <v>100</v>
      </c>
      <c r="I45" s="266"/>
      <c r="J45" s="267">
        <f>SUMIF(128:128,I45,129:129)-SUMIF(128:128,C45,129:129)+100</f>
        <v>100</v>
      </c>
      <c r="K45" s="654"/>
      <c r="L45" s="413"/>
      <c r="M45" s="401"/>
      <c r="N45" s="401"/>
      <c r="O45" s="412"/>
      <c r="P45" s="3843"/>
      <c r="Q45" s="406">
        <f t="shared" si="8"/>
        <v>111</v>
      </c>
      <c r="R45" s="476" t="s">
        <v>1045</v>
      </c>
      <c r="S45" s="477">
        <f t="shared" si="9"/>
        <v>100</v>
      </c>
      <c r="T45" s="476" t="s">
        <v>1045</v>
      </c>
      <c r="U45" s="477">
        <f t="shared" si="10"/>
        <v>100</v>
      </c>
      <c r="V45" s="476" t="s">
        <v>1045</v>
      </c>
      <c r="W45" s="477">
        <f t="shared" si="11"/>
        <v>100</v>
      </c>
      <c r="X45" s="471"/>
      <c r="Y45" s="3843"/>
      <c r="Z45" s="470">
        <f t="shared" si="12"/>
        <v>111</v>
      </c>
      <c r="AA45" s="482">
        <f t="shared" si="3"/>
        <v>1</v>
      </c>
      <c r="AB45" s="482">
        <f t="shared" si="4"/>
        <v>1</v>
      </c>
      <c r="AC45" s="482">
        <f t="shared" si="5"/>
        <v>1</v>
      </c>
    </row>
    <row r="46" spans="1:29" ht="15">
      <c r="A46" s="317"/>
      <c r="B46" s="318">
        <v>111</v>
      </c>
      <c r="C46" s="319"/>
      <c r="D46" s="320">
        <v>100</v>
      </c>
      <c r="E46" s="319"/>
      <c r="F46" s="322">
        <f>SUMIF(130:130,E46,131:131)-SUMIF(130:130,C46,131:131)+100</f>
        <v>100</v>
      </c>
      <c r="G46" s="319"/>
      <c r="H46" s="320">
        <f>SUMIF(130:130,G46,131:131)-SUMIF(130:130,C46,131:131)+100</f>
        <v>100</v>
      </c>
      <c r="I46" s="319"/>
      <c r="J46" s="320">
        <f>SUMIF(130:130,I46,131:131)-SUMIF(130:130,C46,131:131)+100</f>
        <v>100</v>
      </c>
      <c r="K46" s="654"/>
      <c r="L46" s="413"/>
      <c r="M46" s="401"/>
      <c r="N46" s="401"/>
      <c r="O46" s="412"/>
      <c r="P46" s="3951"/>
      <c r="Q46" s="406">
        <f t="shared" si="8"/>
        <v>111</v>
      </c>
      <c r="R46" s="476" t="s">
        <v>1045</v>
      </c>
      <c r="S46" s="477">
        <f t="shared" si="9"/>
        <v>100</v>
      </c>
      <c r="T46" s="476" t="s">
        <v>1045</v>
      </c>
      <c r="U46" s="477">
        <f t="shared" si="10"/>
        <v>100</v>
      </c>
      <c r="V46" s="476" t="s">
        <v>1045</v>
      </c>
      <c r="W46" s="477">
        <f t="shared" si="11"/>
        <v>100</v>
      </c>
      <c r="X46" s="471"/>
      <c r="Y46" s="3951"/>
      <c r="Z46" s="470">
        <f t="shared" si="12"/>
        <v>111</v>
      </c>
      <c r="AA46" s="482">
        <f t="shared" si="3"/>
        <v>1</v>
      </c>
      <c r="AB46" s="482">
        <f t="shared" si="4"/>
        <v>1</v>
      </c>
      <c r="AC46" s="482">
        <f t="shared" si="5"/>
        <v>1</v>
      </c>
    </row>
    <row r="47" spans="1:29" ht="15">
      <c r="A47" s="323" t="s">
        <v>2426</v>
      </c>
      <c r="B47" s="324"/>
      <c r="C47" s="325" t="s">
        <v>138</v>
      </c>
      <c r="D47" s="326"/>
      <c r="E47" s="327"/>
      <c r="F47" s="328"/>
      <c r="G47" s="329"/>
      <c r="H47" s="330"/>
      <c r="I47" s="327"/>
      <c r="J47" s="330"/>
      <c r="K47" s="659"/>
      <c r="L47" s="421"/>
      <c r="M47" s="351"/>
      <c r="N47" s="401"/>
      <c r="O47" s="351"/>
      <c r="P47" s="3834" t="str">
        <f>A47</f>
        <v>成交单价（元/平方米）</v>
      </c>
      <c r="Q47" s="3834"/>
      <c r="R47" s="3949">
        <f>E47</f>
        <v>0</v>
      </c>
      <c r="S47" s="3949"/>
      <c r="T47" s="3949">
        <f>G47</f>
        <v>0</v>
      </c>
      <c r="U47" s="3949"/>
      <c r="V47" s="3949">
        <f>I47</f>
        <v>0</v>
      </c>
      <c r="W47" s="3949"/>
      <c r="X47" s="353"/>
      <c r="Y47" s="494"/>
      <c r="Z47" s="353"/>
      <c r="AA47" s="353"/>
      <c r="AB47" s="353"/>
      <c r="AC47" s="353"/>
    </row>
    <row r="48" spans="1:29" ht="15">
      <c r="A48" s="331" t="s">
        <v>1069</v>
      </c>
      <c r="B48" s="332"/>
      <c r="C48" s="333" t="e">
        <f>R49</f>
        <v>#DIV/0!</v>
      </c>
      <c r="D48" s="334" t="s">
        <v>1070</v>
      </c>
      <c r="E48" s="335" t="e">
        <f>R48</f>
        <v>#DIV/0!</v>
      </c>
      <c r="F48" s="336"/>
      <c r="G48" s="333" t="e">
        <f>T48</f>
        <v>#DIV/0!</v>
      </c>
      <c r="H48" s="336"/>
      <c r="I48" s="335" t="e">
        <f>V48</f>
        <v>#DIV/0!</v>
      </c>
      <c r="J48" s="336"/>
      <c r="K48" s="422">
        <f>F48+H48+J48</f>
        <v>0</v>
      </c>
      <c r="L48" s="421"/>
      <c r="M48" s="351"/>
      <c r="N48" s="351"/>
      <c r="O48" s="351"/>
      <c r="P48" s="3834" t="str">
        <f>A48</f>
        <v>比较价格（元/平方米）</v>
      </c>
      <c r="Q48" s="3834"/>
      <c r="R48" s="3949" t="e">
        <f>IF(F1="售价",ROUND(PRODUCT(R47,AA7:AA46),0),ROUND(PRODUCT(R47,AA7:AA46),1))</f>
        <v>#DIV/0!</v>
      </c>
      <c r="S48" s="3949"/>
      <c r="T48" s="3949" t="e">
        <f>IF(F1="售价",ROUND(PRODUCT(T47,AB7:AB46),0),ROUND(PRODUCT(T47,AB7:AB46),1))</f>
        <v>#DIV/0!</v>
      </c>
      <c r="U48" s="3949"/>
      <c r="V48" s="3949" t="e">
        <f>IF(F1="售价",ROUND(PRODUCT(V47,AC7:AC46),0),ROUND(PRODUCT(V47,AC7:AC46),1))</f>
        <v>#DIV/0!</v>
      </c>
      <c r="W48" s="3949"/>
      <c r="X48" s="353"/>
      <c r="Y48" s="353"/>
      <c r="Z48" s="353"/>
      <c r="AA48" s="353"/>
      <c r="AB48" s="353"/>
      <c r="AC48" s="353"/>
    </row>
    <row r="49" spans="1:29" ht="15">
      <c r="A49" s="337" t="s">
        <v>1071</v>
      </c>
      <c r="B49" s="338"/>
      <c r="C49" s="339" t="e">
        <f>R49</f>
        <v>#DIV/0!</v>
      </c>
      <c r="D49" s="339"/>
      <c r="E49" s="339"/>
      <c r="F49" s="339"/>
      <c r="G49" s="339"/>
      <c r="H49" s="339"/>
      <c r="I49" s="339"/>
      <c r="J49" s="339"/>
      <c r="K49" s="660"/>
      <c r="L49" s="421"/>
      <c r="M49" s="351"/>
      <c r="N49" s="351"/>
      <c r="O49" s="351"/>
      <c r="P49" s="3837" t="str">
        <f>A49</f>
        <v>估价对象XX用房的比较价格（楼面单价，元/平方米）</v>
      </c>
      <c r="Q49" s="3838"/>
      <c r="R49" s="3950" t="e">
        <f>IF(F1="售价",ROUND(IF(D48="简单平均",AVERAGE(R48:V48),R48*F48+T48*H48+V48*J48),0),ROUND(IF(D48="简单平均",AVERAGE(R48:V48),R48*F48+T48*H48+V48*J48),1))</f>
        <v>#DIV/0!</v>
      </c>
      <c r="S49" s="3950"/>
      <c r="T49" s="3950"/>
      <c r="U49" s="3950"/>
      <c r="V49" s="3950"/>
      <c r="W49" s="3950"/>
      <c r="X49" s="353"/>
      <c r="Y49" s="353"/>
      <c r="Z49" s="353"/>
      <c r="AA49" s="353"/>
      <c r="AB49" s="353"/>
      <c r="AC49" s="353"/>
    </row>
    <row r="50" spans="1:29">
      <c r="A50" s="340"/>
      <c r="B50" s="340"/>
      <c r="C50" s="340"/>
      <c r="D50" s="340"/>
      <c r="E50" s="340"/>
      <c r="F50" s="340"/>
      <c r="G50" s="341"/>
      <c r="H50" s="340"/>
      <c r="I50" s="340"/>
      <c r="J50" s="340"/>
      <c r="K50" s="425"/>
      <c r="L50" s="426"/>
      <c r="M50" s="351"/>
      <c r="N50" s="351"/>
      <c r="O50" s="351"/>
      <c r="P50" s="351"/>
      <c r="Q50" s="351"/>
      <c r="R50" s="351"/>
      <c r="S50" s="351"/>
      <c r="T50" s="351"/>
      <c r="U50" s="351"/>
      <c r="V50" s="351"/>
      <c r="W50" s="351"/>
      <c r="X50" s="351"/>
      <c r="Y50" s="351"/>
      <c r="Z50" s="351"/>
      <c r="AA50" s="351"/>
      <c r="AB50" s="351"/>
      <c r="AC50" s="351"/>
    </row>
    <row r="51" spans="1:29">
      <c r="A51" s="340"/>
      <c r="B51" s="340"/>
      <c r="C51" s="340"/>
      <c r="D51" s="340"/>
      <c r="E51" s="340"/>
      <c r="F51" s="340"/>
      <c r="G51" s="340"/>
      <c r="H51" s="340"/>
      <c r="I51" s="340"/>
      <c r="J51" s="340"/>
      <c r="K51" s="425"/>
      <c r="L51" s="426"/>
      <c r="M51" s="351"/>
      <c r="N51" s="351"/>
      <c r="O51" s="351"/>
      <c r="P51" s="351"/>
      <c r="Q51" s="351"/>
      <c r="R51" s="351"/>
      <c r="S51" s="351"/>
      <c r="T51" s="351"/>
      <c r="U51" s="351"/>
      <c r="V51" s="351"/>
      <c r="W51" s="351"/>
      <c r="X51" s="351"/>
      <c r="Y51" s="351"/>
      <c r="Z51" s="351"/>
      <c r="AA51" s="351"/>
      <c r="AB51" s="351"/>
      <c r="AC51" s="351"/>
    </row>
    <row r="52" spans="1:29" ht="13.5" customHeight="1">
      <c r="A52" s="340"/>
      <c r="B52" s="340"/>
      <c r="C52" s="342" t="s">
        <v>1072</v>
      </c>
      <c r="D52" s="343"/>
      <c r="E52" s="344" t="e">
        <f>IF(E47&lt;E48,E48/E47-1,E47/E48-1)</f>
        <v>#DIV/0!</v>
      </c>
      <c r="F52" s="345" t="e">
        <f>IF(OR(E52&gt;=0.3,E52&lt;=-0.3),"超过30%","")</f>
        <v>#DIV/0!</v>
      </c>
      <c r="G52" s="344" t="e">
        <f>IF(G47&lt;G48,G48/G47-1,G47/G48-1)</f>
        <v>#DIV/0!</v>
      </c>
      <c r="H52" s="345" t="e">
        <f>IF(OR(G52&gt;=0.3,G52&lt;=-0.3),"超过30%","")</f>
        <v>#DIV/0!</v>
      </c>
      <c r="I52" s="344" t="e">
        <f>IF(I47&lt;I48,I48/I47-1,I47/I48-1)</f>
        <v>#DIV/0!</v>
      </c>
      <c r="J52" s="345" t="e">
        <f>IF(OR(I52&gt;=0.3,I52&lt;=-0.3),"超过30%","")</f>
        <v>#DIV/0!</v>
      </c>
      <c r="K52" s="425"/>
      <c r="L52" s="426"/>
      <c r="M52" s="351"/>
      <c r="N52" s="351"/>
      <c r="O52" s="351"/>
      <c r="P52" s="351"/>
      <c r="Q52" s="351"/>
      <c r="R52" s="351"/>
      <c r="S52" s="351"/>
      <c r="T52" s="351"/>
      <c r="U52" s="351"/>
      <c r="V52" s="351"/>
      <c r="W52" s="351"/>
      <c r="X52" s="351"/>
      <c r="Y52" s="351"/>
      <c r="Z52" s="351"/>
      <c r="AA52" s="351"/>
      <c r="AB52" s="351"/>
      <c r="AC52" s="351"/>
    </row>
    <row r="53" spans="1:29" ht="13.5" customHeight="1">
      <c r="A53" s="340"/>
      <c r="B53" s="340"/>
      <c r="C53" s="342" t="s">
        <v>1073</v>
      </c>
      <c r="D53" s="346"/>
      <c r="E53" s="344" t="e">
        <f>IF(E48&lt;G48,G48/E48-1,E48/G48-1)</f>
        <v>#DIV/0!</v>
      </c>
      <c r="F53" s="345" t="e">
        <f>IF(OR(E53&gt;=0.2,E53&lt;=-0.2),"超过20%","")</f>
        <v>#DIV/0!</v>
      </c>
      <c r="G53" s="344" t="e">
        <f>IF(G48&lt;I48,I48/G48-1,G48/I48-1)</f>
        <v>#DIV/0!</v>
      </c>
      <c r="H53" s="345" t="e">
        <f>IF(OR(G53&gt;=0.2,G53&lt;=-0.2),"超过20%","")</f>
        <v>#DIV/0!</v>
      </c>
      <c r="I53" s="344" t="e">
        <f>IF(I48&lt;E48,E48/I48-1,I48/E48-1)</f>
        <v>#DIV/0!</v>
      </c>
      <c r="J53" s="345" t="e">
        <f>IF(OR(I53&gt;=0.2,I53&lt;=-0.2),"超过20%","")</f>
        <v>#DIV/0!</v>
      </c>
      <c r="K53" s="425"/>
      <c r="L53" s="426"/>
      <c r="M53" s="351"/>
      <c r="N53" s="351"/>
      <c r="O53" s="351"/>
      <c r="P53" s="351"/>
      <c r="Q53" s="351"/>
      <c r="R53" s="351"/>
      <c r="S53" s="351"/>
      <c r="T53" s="351"/>
      <c r="U53" s="351"/>
      <c r="V53" s="351"/>
      <c r="W53" s="351"/>
      <c r="X53" s="351"/>
      <c r="Y53" s="351"/>
      <c r="Z53" s="351"/>
      <c r="AA53" s="351"/>
      <c r="AB53" s="351"/>
      <c r="AC53" s="351"/>
    </row>
    <row r="54" spans="1:29" s="213" customFormat="1" ht="13.5" customHeight="1">
      <c r="A54" s="347"/>
      <c r="B54" s="347"/>
      <c r="C54" s="342" t="s">
        <v>1074</v>
      </c>
      <c r="D54" s="346"/>
      <c r="E54" s="344" t="e">
        <f>IF(E47&lt;G47,G47/E47-1,E47/G47-1)</f>
        <v>#DIV/0!</v>
      </c>
      <c r="F54" s="345" t="e">
        <f>IF(OR(E54&gt;=0.3,E54&lt;=-0.3),"超过30%","")</f>
        <v>#DIV/0!</v>
      </c>
      <c r="G54" s="344" t="e">
        <f>IF(G47&lt;I47,I47/G47-1,G47/I47-1)</f>
        <v>#DIV/0!</v>
      </c>
      <c r="H54" s="345" t="e">
        <f>IF(OR(G54&gt;=0.3,G54&lt;=-0.3),"超过30%","")</f>
        <v>#DIV/0!</v>
      </c>
      <c r="I54" s="344" t="e">
        <f>IF(I47&lt;E47,E47/I47-1,I47/E47-1)</f>
        <v>#DIV/0!</v>
      </c>
      <c r="J54" s="345" t="e">
        <f>IF(OR(I54&gt;=0.3,I54&lt;=-0.3),"超过30%","")</f>
        <v>#DIV/0!</v>
      </c>
      <c r="K54" s="427"/>
      <c r="L54" s="428"/>
      <c r="M54" s="348"/>
      <c r="N54" s="348"/>
      <c r="O54" s="348"/>
      <c r="P54" s="348"/>
      <c r="Q54" s="348"/>
      <c r="R54" s="348"/>
      <c r="S54" s="348"/>
      <c r="T54" s="348"/>
      <c r="U54" s="348"/>
      <c r="V54" s="348"/>
      <c r="W54" s="348"/>
      <c r="X54" s="348"/>
      <c r="Y54" s="348"/>
      <c r="Z54" s="348"/>
      <c r="AA54" s="348"/>
      <c r="AB54" s="348"/>
      <c r="AC54" s="348"/>
    </row>
    <row r="55" spans="1:29" s="213" customFormat="1">
      <c r="A55" s="348"/>
      <c r="B55" s="349"/>
      <c r="C55" s="350"/>
      <c r="D55" s="348"/>
      <c r="E55" s="348"/>
      <c r="F55" s="348"/>
      <c r="G55" s="348"/>
      <c r="H55" s="348"/>
      <c r="I55" s="348"/>
      <c r="J55" s="348"/>
      <c r="K55" s="429"/>
      <c r="L55" s="428"/>
      <c r="M55" s="348"/>
      <c r="N55" s="348"/>
      <c r="O55" s="348"/>
      <c r="P55" s="348"/>
      <c r="Q55" s="348"/>
      <c r="R55" s="348"/>
      <c r="S55" s="348"/>
      <c r="T55" s="348"/>
      <c r="U55" s="348"/>
      <c r="V55" s="348"/>
      <c r="W55" s="348"/>
      <c r="X55" s="348"/>
      <c r="Y55" s="348"/>
      <c r="Z55" s="348"/>
      <c r="AA55" s="348"/>
      <c r="AB55" s="348"/>
      <c r="AC55" s="348"/>
    </row>
    <row r="56" spans="1:29">
      <c r="A56" s="351"/>
      <c r="B56" s="349"/>
      <c r="C56" s="350"/>
      <c r="D56" s="349"/>
      <c r="E56" s="349"/>
      <c r="F56" s="349"/>
      <c r="G56" s="349"/>
      <c r="H56" s="349"/>
      <c r="I56" s="349"/>
      <c r="J56" s="349"/>
      <c r="K56" s="349"/>
      <c r="L56" s="349"/>
      <c r="M56" s="349"/>
      <c r="N56" s="349"/>
      <c r="O56" s="349"/>
      <c r="P56" s="351"/>
      <c r="Q56" s="351"/>
      <c r="R56" s="351"/>
      <c r="S56" s="351"/>
      <c r="T56" s="351"/>
      <c r="U56" s="351"/>
      <c r="V56" s="351"/>
      <c r="W56" s="351"/>
      <c r="X56" s="351"/>
      <c r="Y56" s="351"/>
      <c r="Z56" s="351"/>
      <c r="AA56" s="351"/>
      <c r="AB56" s="351"/>
      <c r="AC56" s="351"/>
    </row>
    <row r="57" spans="1:29" ht="21">
      <c r="A57" s="352" t="s">
        <v>1095</v>
      </c>
      <c r="B57" s="353"/>
      <c r="C57" s="354"/>
      <c r="D57" s="354"/>
      <c r="E57" s="354"/>
      <c r="F57" s="355"/>
      <c r="G57" s="355"/>
      <c r="H57" s="354"/>
      <c r="I57" s="354"/>
      <c r="J57" s="354"/>
      <c r="K57" s="431"/>
      <c r="L57" s="432"/>
      <c r="M57" s="354"/>
      <c r="N57" s="433"/>
      <c r="O57" s="433"/>
      <c r="P57" s="433"/>
      <c r="Q57" s="437"/>
      <c r="R57" s="351"/>
      <c r="S57" s="351"/>
      <c r="T57" s="351"/>
      <c r="U57" s="351"/>
      <c r="V57" s="351"/>
      <c r="W57" s="351"/>
      <c r="X57" s="351"/>
      <c r="Y57" s="351"/>
      <c r="Z57" s="351"/>
      <c r="AA57" s="351"/>
      <c r="AB57" s="351"/>
      <c r="AC57" s="351"/>
    </row>
    <row r="58" spans="1:29" s="214" customFormat="1" ht="15">
      <c r="A58" s="356" t="s">
        <v>1043</v>
      </c>
      <c r="B58" s="357"/>
      <c r="C58" s="359" t="str">
        <f>YEAR(C7)&amp;"-"&amp;MONTH(C7)</f>
        <v>2023-11</v>
      </c>
      <c r="D58" s="359">
        <f>EDATE(C58,-1)</f>
        <v>45200</v>
      </c>
      <c r="E58" s="359">
        <f t="shared" ref="E58:O58" si="13">EDATE(D58,-1)</f>
        <v>45170</v>
      </c>
      <c r="F58" s="359">
        <f t="shared" si="13"/>
        <v>45139</v>
      </c>
      <c r="G58" s="359">
        <f t="shared" si="13"/>
        <v>45108</v>
      </c>
      <c r="H58" s="359">
        <f t="shared" si="13"/>
        <v>45078</v>
      </c>
      <c r="I58" s="359">
        <f t="shared" si="13"/>
        <v>45047</v>
      </c>
      <c r="J58" s="359">
        <f t="shared" si="13"/>
        <v>45017</v>
      </c>
      <c r="K58" s="359">
        <f t="shared" si="13"/>
        <v>44986</v>
      </c>
      <c r="L58" s="359">
        <f t="shared" si="13"/>
        <v>44958</v>
      </c>
      <c r="M58" s="359">
        <f t="shared" si="13"/>
        <v>44927</v>
      </c>
      <c r="N58" s="359">
        <f t="shared" si="13"/>
        <v>44896</v>
      </c>
      <c r="O58" s="359">
        <f t="shared" si="13"/>
        <v>44866</v>
      </c>
      <c r="P58" s="434"/>
      <c r="Q58" s="483"/>
      <c r="R58" s="483"/>
      <c r="S58" s="483"/>
      <c r="T58" s="483"/>
      <c r="U58" s="483"/>
      <c r="V58" s="483"/>
      <c r="W58" s="483"/>
      <c r="X58" s="483"/>
      <c r="Y58" s="483"/>
      <c r="Z58" s="483"/>
      <c r="AA58" s="483"/>
      <c r="AB58" s="483"/>
      <c r="AC58" s="483"/>
    </row>
    <row r="59" spans="1:29" s="210" customFormat="1" ht="15">
      <c r="A59" s="360"/>
      <c r="B59" s="361"/>
      <c r="C59" s="362">
        <v>100</v>
      </c>
      <c r="D59" s="363"/>
      <c r="E59" s="363"/>
      <c r="F59" s="363"/>
      <c r="G59" s="363"/>
      <c r="H59" s="363"/>
      <c r="I59" s="363"/>
      <c r="J59" s="363"/>
      <c r="K59" s="363"/>
      <c r="L59" s="363"/>
      <c r="M59" s="363"/>
      <c r="N59" s="363"/>
      <c r="O59" s="363"/>
      <c r="P59" s="437"/>
      <c r="Q59" s="484"/>
      <c r="R59" s="484"/>
      <c r="S59" s="484"/>
      <c r="T59" s="484"/>
      <c r="U59" s="484"/>
      <c r="V59" s="484"/>
      <c r="W59" s="484"/>
      <c r="X59" s="484"/>
      <c r="Y59" s="484"/>
      <c r="Z59" s="484"/>
      <c r="AA59" s="484"/>
      <c r="AB59" s="484"/>
      <c r="AC59" s="484"/>
    </row>
    <row r="60" spans="1:29" s="210" customFormat="1" ht="15">
      <c r="A60" s="364" t="s">
        <v>1114</v>
      </c>
      <c r="B60" s="365"/>
      <c r="C60" s="366"/>
      <c r="D60" s="367"/>
      <c r="E60" s="367"/>
      <c r="F60" s="367"/>
      <c r="G60" s="367"/>
      <c r="H60" s="367"/>
      <c r="I60" s="367"/>
      <c r="J60" s="367"/>
      <c r="K60" s="367"/>
      <c r="L60" s="367"/>
      <c r="M60" s="438"/>
      <c r="N60" s="367"/>
      <c r="O60" s="439"/>
      <c r="P60" s="437"/>
      <c r="Q60" s="437"/>
      <c r="R60" s="484"/>
      <c r="S60" s="484"/>
      <c r="T60" s="484"/>
      <c r="U60" s="484"/>
      <c r="V60" s="484"/>
      <c r="W60" s="484"/>
      <c r="X60" s="484"/>
      <c r="Y60" s="484"/>
      <c r="Z60" s="484"/>
      <c r="AA60" s="484"/>
      <c r="AB60" s="484"/>
      <c r="AC60" s="484"/>
    </row>
    <row r="61" spans="1:29" s="210" customFormat="1" ht="15">
      <c r="A61" s="368" t="s">
        <v>1046</v>
      </c>
      <c r="B61" s="361"/>
      <c r="C61" s="369" t="s">
        <v>1047</v>
      </c>
      <c r="D61" s="370"/>
      <c r="E61" s="370"/>
      <c r="F61" s="370"/>
      <c r="G61" s="370"/>
      <c r="H61" s="370"/>
      <c r="I61" s="370"/>
      <c r="J61" s="370"/>
      <c r="K61" s="370"/>
      <c r="L61" s="440"/>
      <c r="M61" s="441"/>
      <c r="N61" s="442"/>
      <c r="O61" s="442"/>
      <c r="P61" s="443"/>
      <c r="Q61" s="437"/>
      <c r="R61" s="484"/>
      <c r="S61" s="484"/>
      <c r="T61" s="484"/>
      <c r="U61" s="484"/>
      <c r="V61" s="484"/>
      <c r="W61" s="484"/>
      <c r="X61" s="484"/>
      <c r="Y61" s="484"/>
      <c r="Z61" s="484"/>
      <c r="AA61" s="484"/>
      <c r="AB61" s="484"/>
      <c r="AC61" s="484"/>
    </row>
    <row r="62" spans="1:29" s="210" customFormat="1" ht="15">
      <c r="A62" s="368"/>
      <c r="B62" s="361"/>
      <c r="C62" s="602">
        <v>100</v>
      </c>
      <c r="D62" s="363"/>
      <c r="E62" s="363"/>
      <c r="F62" s="363"/>
      <c r="G62" s="363"/>
      <c r="H62" s="363"/>
      <c r="I62" s="363"/>
      <c r="J62" s="363"/>
      <c r="K62" s="363"/>
      <c r="L62" s="363"/>
      <c r="M62" s="436"/>
      <c r="N62" s="442"/>
      <c r="O62" s="442"/>
      <c r="P62" s="437"/>
      <c r="Q62" s="437"/>
      <c r="R62" s="484"/>
      <c r="S62" s="484"/>
      <c r="T62" s="484"/>
      <c r="U62" s="484"/>
      <c r="V62" s="484"/>
      <c r="W62" s="484"/>
      <c r="X62" s="484"/>
      <c r="Y62" s="484"/>
      <c r="Z62" s="484"/>
      <c r="AA62" s="484"/>
      <c r="AB62" s="484"/>
      <c r="AC62" s="484"/>
    </row>
    <row r="63" spans="1:29">
      <c r="A63" s="371" t="s">
        <v>1099</v>
      </c>
      <c r="B63" s="372" t="s">
        <v>1100</v>
      </c>
      <c r="C63" s="373">
        <f>C9</f>
        <v>0</v>
      </c>
      <c r="D63" s="374"/>
      <c r="E63" s="374"/>
      <c r="F63" s="374"/>
      <c r="G63" s="374"/>
      <c r="H63" s="374"/>
      <c r="I63" s="374"/>
      <c r="J63" s="374"/>
      <c r="K63" s="444"/>
      <c r="L63" s="445"/>
      <c r="M63" s="446"/>
      <c r="N63" s="447"/>
      <c r="O63" s="447"/>
      <c r="P63" s="448"/>
      <c r="Q63" s="437"/>
      <c r="R63" s="351"/>
      <c r="S63" s="351"/>
      <c r="T63" s="351"/>
      <c r="U63" s="351"/>
      <c r="V63" s="351"/>
      <c r="W63" s="351"/>
      <c r="X63" s="351"/>
      <c r="Y63" s="351"/>
      <c r="Z63" s="351"/>
      <c r="AA63" s="351"/>
      <c r="AB63" s="351"/>
      <c r="AC63" s="351"/>
    </row>
    <row r="64" spans="1:29" ht="15">
      <c r="A64" s="375"/>
      <c r="B64" s="376"/>
      <c r="C64" s="377"/>
      <c r="D64" s="377"/>
      <c r="E64" s="644"/>
      <c r="F64" s="644"/>
      <c r="G64" s="644"/>
      <c r="H64" s="644"/>
      <c r="I64" s="644"/>
      <c r="J64" s="644"/>
      <c r="K64" s="644"/>
      <c r="L64" s="644"/>
      <c r="M64" s="661"/>
      <c r="N64" s="450"/>
      <c r="O64" s="450"/>
      <c r="P64" s="448"/>
      <c r="Q64" s="437"/>
      <c r="R64" s="351"/>
      <c r="S64" s="351"/>
      <c r="T64" s="351"/>
      <c r="U64" s="351"/>
      <c r="V64" s="351"/>
      <c r="W64" s="351"/>
      <c r="X64" s="351"/>
      <c r="Y64" s="351"/>
      <c r="Z64" s="351"/>
      <c r="AA64" s="351"/>
      <c r="AB64" s="351"/>
      <c r="AC64" s="351"/>
    </row>
    <row r="65" spans="1:29" ht="27">
      <c r="A65" s="375"/>
      <c r="B65" s="378" t="s">
        <v>1101</v>
      </c>
      <c r="C65" s="379"/>
      <c r="D65" s="379"/>
      <c r="E65" s="379"/>
      <c r="F65" s="379"/>
      <c r="G65" s="379"/>
      <c r="H65" s="379"/>
      <c r="I65" s="379"/>
      <c r="J65" s="379"/>
      <c r="K65" s="451"/>
      <c r="L65" s="452"/>
      <c r="M65" s="453"/>
      <c r="N65" s="447"/>
      <c r="O65" s="447"/>
      <c r="P65" s="448"/>
      <c r="Q65" s="437"/>
      <c r="R65" s="351"/>
      <c r="S65" s="351"/>
      <c r="T65" s="351"/>
      <c r="U65" s="351"/>
      <c r="V65" s="351"/>
      <c r="W65" s="351"/>
      <c r="X65" s="351"/>
      <c r="Y65" s="351"/>
      <c r="Z65" s="351"/>
      <c r="AA65" s="351"/>
      <c r="AB65" s="351"/>
      <c r="AC65" s="351"/>
    </row>
    <row r="66" spans="1:29" ht="15">
      <c r="A66" s="375"/>
      <c r="B66" s="380"/>
      <c r="C66" s="377"/>
      <c r="D66" s="377"/>
      <c r="E66" s="377"/>
      <c r="F66" s="377"/>
      <c r="G66" s="377"/>
      <c r="H66" s="377"/>
      <c r="I66" s="377"/>
      <c r="J66" s="377"/>
      <c r="K66" s="377"/>
      <c r="L66" s="377"/>
      <c r="M66" s="449"/>
      <c r="N66" s="450"/>
      <c r="O66" s="450"/>
      <c r="P66" s="448"/>
      <c r="Q66" s="437"/>
      <c r="R66" s="351"/>
      <c r="S66" s="351"/>
      <c r="T66" s="351"/>
      <c r="U66" s="351"/>
      <c r="V66" s="351"/>
      <c r="W66" s="351"/>
      <c r="X66" s="351"/>
      <c r="Y66" s="351"/>
      <c r="Z66" s="351"/>
      <c r="AA66" s="351"/>
      <c r="AB66" s="351"/>
      <c r="AC66" s="351"/>
    </row>
    <row r="67" spans="1:29" ht="15">
      <c r="A67" s="375"/>
      <c r="B67" s="497" t="s">
        <v>1102</v>
      </c>
      <c r="C67" s="569" t="str">
        <f>C68&amp;"（含）"&amp;"-"&amp;D68</f>
        <v>（含）-</v>
      </c>
      <c r="D67" s="569" t="str">
        <f t="shared" ref="D67:L67" si="14">D68&amp;"（含）"&amp;"-"&amp;E68</f>
        <v>（含）-</v>
      </c>
      <c r="E67" s="569" t="str">
        <f t="shared" si="14"/>
        <v>（含）-</v>
      </c>
      <c r="F67" s="569" t="str">
        <f t="shared" si="14"/>
        <v>（含）-</v>
      </c>
      <c r="G67" s="569" t="str">
        <f t="shared" si="14"/>
        <v>（含）-</v>
      </c>
      <c r="H67" s="569" t="str">
        <f t="shared" si="14"/>
        <v>（含）-</v>
      </c>
      <c r="I67" s="569" t="str">
        <f t="shared" si="14"/>
        <v>（含）-</v>
      </c>
      <c r="J67" s="569" t="str">
        <f t="shared" si="14"/>
        <v>（含）-</v>
      </c>
      <c r="K67" s="569" t="str">
        <f t="shared" si="14"/>
        <v>（含）-</v>
      </c>
      <c r="L67" s="569" t="str">
        <f t="shared" si="14"/>
        <v>（含）-</v>
      </c>
      <c r="M67" s="278" t="str">
        <f>M68&amp;"（含）"&amp;"-"&amp;P68</f>
        <v>（含）-</v>
      </c>
      <c r="N67" s="450"/>
      <c r="O67" s="450"/>
      <c r="P67" s="448"/>
      <c r="Q67" s="437"/>
      <c r="R67" s="351"/>
      <c r="S67" s="351"/>
      <c r="T67" s="351"/>
      <c r="U67" s="351"/>
      <c r="V67" s="351"/>
      <c r="W67" s="351"/>
      <c r="X67" s="351"/>
      <c r="Y67" s="351"/>
      <c r="Z67" s="351"/>
      <c r="AA67" s="351"/>
      <c r="AB67" s="351"/>
      <c r="AC67" s="351"/>
    </row>
    <row r="68" spans="1:29" ht="15">
      <c r="A68" s="375"/>
      <c r="B68" s="570"/>
      <c r="C68" s="382"/>
      <c r="D68" s="382"/>
      <c r="E68" s="382"/>
      <c r="F68" s="382"/>
      <c r="G68" s="382"/>
      <c r="H68" s="382"/>
      <c r="I68" s="382"/>
      <c r="J68" s="382"/>
      <c r="K68" s="454"/>
      <c r="L68" s="455"/>
      <c r="M68" s="456"/>
      <c r="N68" s="447"/>
      <c r="O68" s="447"/>
      <c r="P68" s="448"/>
      <c r="Q68" s="437"/>
      <c r="R68" s="351"/>
      <c r="S68" s="351"/>
      <c r="T68" s="351"/>
      <c r="U68" s="351"/>
      <c r="V68" s="351"/>
      <c r="W68" s="351"/>
      <c r="X68" s="351"/>
      <c r="Y68" s="351"/>
      <c r="Z68" s="351"/>
      <c r="AA68" s="351"/>
      <c r="AB68" s="351"/>
      <c r="AC68" s="351"/>
    </row>
    <row r="69" spans="1:29" ht="15">
      <c r="A69" s="375"/>
      <c r="B69" s="376"/>
      <c r="C69" s="389">
        <v>100</v>
      </c>
      <c r="D69" s="389">
        <f t="shared" ref="D69:M69" si="15">C69-$K11</f>
        <v>100</v>
      </c>
      <c r="E69" s="389">
        <f t="shared" si="15"/>
        <v>100</v>
      </c>
      <c r="F69" s="389">
        <f t="shared" si="15"/>
        <v>100</v>
      </c>
      <c r="G69" s="389">
        <f t="shared" si="15"/>
        <v>100</v>
      </c>
      <c r="H69" s="389">
        <f t="shared" si="15"/>
        <v>100</v>
      </c>
      <c r="I69" s="389">
        <f t="shared" si="15"/>
        <v>100</v>
      </c>
      <c r="J69" s="389">
        <f t="shared" si="15"/>
        <v>100</v>
      </c>
      <c r="K69" s="389">
        <f t="shared" si="15"/>
        <v>100</v>
      </c>
      <c r="L69" s="389">
        <f t="shared" si="15"/>
        <v>100</v>
      </c>
      <c r="M69" s="466">
        <f t="shared" si="15"/>
        <v>100</v>
      </c>
      <c r="N69" s="450"/>
      <c r="O69" s="450"/>
      <c r="P69" s="448"/>
      <c r="Q69" s="437"/>
      <c r="R69" s="351"/>
      <c r="S69" s="351"/>
      <c r="T69" s="351"/>
      <c r="U69" s="351"/>
      <c r="V69" s="351"/>
      <c r="W69" s="351"/>
      <c r="X69" s="351"/>
      <c r="Y69" s="351"/>
      <c r="Z69" s="351"/>
      <c r="AA69" s="351"/>
      <c r="AB69" s="351"/>
      <c r="AC69" s="351"/>
    </row>
    <row r="70" spans="1:29" s="212" customFormat="1" ht="15">
      <c r="A70" s="384"/>
      <c r="B70" s="378">
        <f>B12</f>
        <v>111</v>
      </c>
      <c r="C70" s="385"/>
      <c r="D70" s="385"/>
      <c r="E70" s="385"/>
      <c r="F70" s="385"/>
      <c r="G70" s="385"/>
      <c r="H70" s="386"/>
      <c r="I70" s="386"/>
      <c r="J70" s="386"/>
      <c r="K70" s="386"/>
      <c r="L70" s="457"/>
      <c r="M70" s="458"/>
      <c r="N70" s="459"/>
      <c r="O70" s="459"/>
      <c r="P70" s="460"/>
      <c r="Q70" s="485"/>
      <c r="R70" s="486"/>
      <c r="S70" s="486"/>
      <c r="T70" s="486"/>
      <c r="U70" s="486"/>
      <c r="V70" s="486"/>
      <c r="W70" s="486"/>
      <c r="X70" s="486"/>
      <c r="Y70" s="486"/>
      <c r="Z70" s="486"/>
      <c r="AA70" s="486"/>
      <c r="AB70" s="486"/>
      <c r="AC70" s="486"/>
    </row>
    <row r="71" spans="1:29" s="212" customFormat="1" ht="15">
      <c r="A71" s="384"/>
      <c r="B71" s="380"/>
      <c r="C71" s="383"/>
      <c r="D71" s="377"/>
      <c r="E71" s="377"/>
      <c r="F71" s="377"/>
      <c r="G71" s="377"/>
      <c r="H71" s="377"/>
      <c r="I71" s="377"/>
      <c r="J71" s="377"/>
      <c r="K71" s="377"/>
      <c r="L71" s="377"/>
      <c r="M71" s="449"/>
      <c r="N71" s="450"/>
      <c r="O71" s="450"/>
      <c r="P71" s="460"/>
      <c r="Q71" s="485"/>
      <c r="R71" s="486"/>
      <c r="S71" s="486"/>
      <c r="T71" s="486"/>
      <c r="U71" s="486"/>
      <c r="V71" s="486"/>
      <c r="W71" s="486"/>
      <c r="X71" s="486"/>
      <c r="Y71" s="486"/>
      <c r="Z71" s="486"/>
      <c r="AA71" s="486"/>
      <c r="AB71" s="486"/>
      <c r="AC71" s="486"/>
    </row>
    <row r="72" spans="1:29" s="212" customFormat="1" ht="15">
      <c r="A72" s="384"/>
      <c r="B72" s="378">
        <f>B13</f>
        <v>111</v>
      </c>
      <c r="C72" s="385"/>
      <c r="D72" s="385"/>
      <c r="E72" s="385"/>
      <c r="F72" s="385"/>
      <c r="G72" s="385"/>
      <c r="H72" s="386"/>
      <c r="I72" s="386"/>
      <c r="J72" s="386"/>
      <c r="K72" s="386"/>
      <c r="L72" s="457"/>
      <c r="M72" s="458"/>
      <c r="N72" s="459"/>
      <c r="O72" s="459"/>
      <c r="P72" s="418"/>
      <c r="Q72" s="487"/>
      <c r="R72" s="486"/>
      <c r="S72" s="486"/>
      <c r="T72" s="486"/>
      <c r="U72" s="486"/>
      <c r="V72" s="486"/>
      <c r="W72" s="486"/>
      <c r="X72" s="486"/>
      <c r="Y72" s="486"/>
      <c r="Z72" s="486"/>
      <c r="AA72" s="486"/>
      <c r="AB72" s="486"/>
      <c r="AC72" s="486"/>
    </row>
    <row r="73" spans="1:29" s="212" customFormat="1" ht="15">
      <c r="A73" s="384"/>
      <c r="B73" s="380"/>
      <c r="C73" s="383"/>
      <c r="D73" s="383"/>
      <c r="E73" s="383"/>
      <c r="F73" s="383"/>
      <c r="G73" s="383"/>
      <c r="H73" s="387"/>
      <c r="I73" s="387"/>
      <c r="J73" s="387"/>
      <c r="K73" s="387"/>
      <c r="L73" s="387"/>
      <c r="M73" s="461"/>
      <c r="N73" s="459"/>
      <c r="O73" s="459"/>
      <c r="P73" s="460"/>
      <c r="Q73" s="485"/>
      <c r="R73" s="486"/>
      <c r="S73" s="486"/>
      <c r="T73" s="486"/>
      <c r="U73" s="486"/>
      <c r="V73" s="486"/>
      <c r="W73" s="486"/>
      <c r="X73" s="486"/>
      <c r="Y73" s="486"/>
      <c r="Z73" s="486"/>
      <c r="AA73" s="486"/>
      <c r="AB73" s="486"/>
      <c r="AC73" s="486"/>
    </row>
    <row r="74" spans="1:29" s="212" customFormat="1" ht="15">
      <c r="A74" s="384"/>
      <c r="B74" s="497">
        <f>B14</f>
        <v>111</v>
      </c>
      <c r="C74" s="385"/>
      <c r="D74" s="385"/>
      <c r="E74" s="385"/>
      <c r="F74" s="385"/>
      <c r="G74" s="370"/>
      <c r="H74" s="571"/>
      <c r="I74" s="571"/>
      <c r="J74" s="571"/>
      <c r="K74" s="571"/>
      <c r="L74" s="580"/>
      <c r="M74" s="581"/>
      <c r="N74" s="459"/>
      <c r="O74" s="459"/>
      <c r="P74" s="582"/>
      <c r="Q74" s="485"/>
      <c r="R74" s="486"/>
      <c r="S74" s="486"/>
      <c r="T74" s="486"/>
      <c r="U74" s="486"/>
      <c r="V74" s="486"/>
      <c r="W74" s="486"/>
      <c r="X74" s="486"/>
      <c r="Y74" s="486"/>
      <c r="Z74" s="486"/>
      <c r="AA74" s="486"/>
      <c r="AB74" s="486"/>
      <c r="AC74" s="486"/>
    </row>
    <row r="75" spans="1:29" s="212" customFormat="1" ht="15">
      <c r="A75" s="572"/>
      <c r="B75" s="573"/>
      <c r="C75" s="574"/>
      <c r="D75" s="574"/>
      <c r="E75" s="574"/>
      <c r="F75" s="574"/>
      <c r="G75" s="574"/>
      <c r="H75" s="575"/>
      <c r="I75" s="575"/>
      <c r="J75" s="575"/>
      <c r="K75" s="575"/>
      <c r="L75" s="575"/>
      <c r="M75" s="583"/>
      <c r="N75" s="459"/>
      <c r="O75" s="459"/>
      <c r="P75" s="460"/>
      <c r="Q75" s="485"/>
      <c r="R75" s="486"/>
      <c r="S75" s="486"/>
      <c r="T75" s="486"/>
      <c r="U75" s="486"/>
      <c r="V75" s="486"/>
      <c r="W75" s="486"/>
      <c r="X75" s="486"/>
      <c r="Y75" s="486"/>
      <c r="Z75" s="486"/>
      <c r="AA75" s="486"/>
      <c r="AB75" s="486"/>
      <c r="AC75" s="486"/>
    </row>
    <row r="76" spans="1:29">
      <c r="A76" s="371" t="s">
        <v>1103</v>
      </c>
      <c r="B76" s="372" t="s">
        <v>223</v>
      </c>
      <c r="C76" s="388" t="s">
        <v>244</v>
      </c>
      <c r="D76" s="388" t="s">
        <v>256</v>
      </c>
      <c r="E76" s="388" t="s">
        <v>267</v>
      </c>
      <c r="F76" s="388" t="s">
        <v>277</v>
      </c>
      <c r="G76" s="388" t="s">
        <v>285</v>
      </c>
      <c r="H76" s="373"/>
      <c r="I76" s="373"/>
      <c r="J76" s="373"/>
      <c r="K76" s="462"/>
      <c r="L76" s="463"/>
      <c r="M76" s="464"/>
      <c r="N76" s="447"/>
      <c r="O76" s="447"/>
      <c r="P76" s="465"/>
      <c r="Q76" s="437"/>
      <c r="R76" s="351"/>
      <c r="S76" s="351"/>
      <c r="T76" s="351"/>
      <c r="U76" s="351"/>
      <c r="V76" s="351"/>
      <c r="W76" s="351"/>
      <c r="X76" s="351"/>
      <c r="Y76" s="351"/>
      <c r="Z76" s="351"/>
      <c r="AA76" s="351"/>
      <c r="AB76" s="351"/>
      <c r="AC76" s="351"/>
    </row>
    <row r="77" spans="1:29" ht="15">
      <c r="A77" s="375"/>
      <c r="B77" s="380"/>
      <c r="C77" s="389">
        <v>100</v>
      </c>
      <c r="D77" s="389">
        <f>C77-$K15</f>
        <v>100</v>
      </c>
      <c r="E77" s="389">
        <f>D77-$K15</f>
        <v>100</v>
      </c>
      <c r="F77" s="389">
        <f>E77-$K15</f>
        <v>100</v>
      </c>
      <c r="G77" s="389">
        <f>F77-$K15</f>
        <v>100</v>
      </c>
      <c r="H77" s="389"/>
      <c r="I77" s="389"/>
      <c r="J77" s="389"/>
      <c r="K77" s="389"/>
      <c r="L77" s="389"/>
      <c r="M77" s="466"/>
      <c r="N77" s="450"/>
      <c r="O77" s="450"/>
      <c r="P77" s="448"/>
      <c r="Q77" s="437"/>
      <c r="R77" s="351"/>
      <c r="S77" s="351"/>
      <c r="T77" s="351"/>
      <c r="U77" s="351"/>
      <c r="V77" s="351"/>
      <c r="W77" s="351"/>
      <c r="X77" s="351"/>
      <c r="Y77" s="351"/>
      <c r="Z77" s="351"/>
      <c r="AA77" s="351"/>
      <c r="AB77" s="351"/>
      <c r="AC77" s="351"/>
    </row>
    <row r="78" spans="1:29" ht="15">
      <c r="A78" s="375"/>
      <c r="B78" s="378" t="s">
        <v>227</v>
      </c>
      <c r="C78" s="391" t="s">
        <v>244</v>
      </c>
      <c r="D78" s="391" t="s">
        <v>256</v>
      </c>
      <c r="E78" s="391" t="s">
        <v>267</v>
      </c>
      <c r="F78" s="391" t="s">
        <v>277</v>
      </c>
      <c r="G78" s="391" t="s">
        <v>285</v>
      </c>
      <c r="H78" s="392"/>
      <c r="I78" s="392"/>
      <c r="J78" s="392"/>
      <c r="K78" s="467"/>
      <c r="L78" s="468"/>
      <c r="M78" s="469"/>
      <c r="N78" s="447"/>
      <c r="O78" s="447"/>
      <c r="P78" s="448"/>
      <c r="Q78" s="437"/>
      <c r="R78" s="351"/>
      <c r="S78" s="351"/>
      <c r="T78" s="351"/>
      <c r="U78" s="351"/>
      <c r="V78" s="351"/>
      <c r="W78" s="351"/>
      <c r="X78" s="351"/>
      <c r="Y78" s="351"/>
      <c r="Z78" s="351"/>
      <c r="AA78" s="351"/>
      <c r="AB78" s="351"/>
      <c r="AC78" s="351"/>
    </row>
    <row r="79" spans="1:29" ht="15">
      <c r="A79" s="375"/>
      <c r="B79" s="380"/>
      <c r="C79" s="389">
        <v>100</v>
      </c>
      <c r="D79" s="389">
        <f>C79-$K17</f>
        <v>100</v>
      </c>
      <c r="E79" s="389">
        <f>D79-$K17</f>
        <v>100</v>
      </c>
      <c r="F79" s="389">
        <f>E79-$K17</f>
        <v>100</v>
      </c>
      <c r="G79" s="389">
        <f>F79-$K17</f>
        <v>100</v>
      </c>
      <c r="H79" s="389"/>
      <c r="I79" s="389"/>
      <c r="J79" s="389"/>
      <c r="K79" s="389"/>
      <c r="L79" s="389"/>
      <c r="M79" s="466"/>
      <c r="N79" s="450"/>
      <c r="O79" s="450"/>
      <c r="P79" s="448"/>
      <c r="Q79" s="437"/>
      <c r="R79" s="351"/>
      <c r="S79" s="351"/>
      <c r="T79" s="351"/>
      <c r="U79" s="351"/>
      <c r="V79" s="351"/>
      <c r="W79" s="351"/>
      <c r="X79" s="351"/>
      <c r="Y79" s="351"/>
      <c r="Z79" s="351"/>
      <c r="AA79" s="351"/>
      <c r="AB79" s="351"/>
      <c r="AC79" s="351"/>
    </row>
    <row r="80" spans="1:29" ht="15">
      <c r="A80" s="375"/>
      <c r="B80" s="390" t="s">
        <v>229</v>
      </c>
      <c r="C80" s="391" t="s">
        <v>244</v>
      </c>
      <c r="D80" s="391" t="s">
        <v>256</v>
      </c>
      <c r="E80" s="391" t="s">
        <v>267</v>
      </c>
      <c r="F80" s="391" t="s">
        <v>277</v>
      </c>
      <c r="G80" s="391" t="s">
        <v>285</v>
      </c>
      <c r="H80" s="392"/>
      <c r="I80" s="392"/>
      <c r="J80" s="392"/>
      <c r="K80" s="467"/>
      <c r="L80" s="468"/>
      <c r="M80" s="469"/>
      <c r="N80" s="447"/>
      <c r="O80" s="447"/>
      <c r="P80" s="448"/>
      <c r="Q80" s="437"/>
      <c r="R80" s="351"/>
      <c r="S80" s="351"/>
      <c r="T80" s="351"/>
      <c r="U80" s="351"/>
      <c r="V80" s="351"/>
      <c r="W80" s="351"/>
      <c r="X80" s="351"/>
      <c r="Y80" s="351"/>
      <c r="Z80" s="351"/>
      <c r="AA80" s="351"/>
      <c r="AB80" s="351"/>
      <c r="AC80" s="351"/>
    </row>
    <row r="81" spans="1:29" ht="15">
      <c r="A81" s="375"/>
      <c r="B81" s="380"/>
      <c r="C81" s="389">
        <v>100</v>
      </c>
      <c r="D81" s="389">
        <f>C81-$K19</f>
        <v>100</v>
      </c>
      <c r="E81" s="389">
        <f>D81-$K19</f>
        <v>100</v>
      </c>
      <c r="F81" s="389">
        <f>E81-$K19</f>
        <v>100</v>
      </c>
      <c r="G81" s="389">
        <f>F81-$K19</f>
        <v>100</v>
      </c>
      <c r="H81" s="389"/>
      <c r="I81" s="389"/>
      <c r="J81" s="389"/>
      <c r="K81" s="389"/>
      <c r="L81" s="389"/>
      <c r="M81" s="466"/>
      <c r="N81" s="450"/>
      <c r="O81" s="450"/>
      <c r="P81" s="448"/>
      <c r="Q81" s="437"/>
      <c r="R81" s="351"/>
      <c r="S81" s="351"/>
      <c r="T81" s="351"/>
      <c r="U81" s="351"/>
      <c r="V81" s="351"/>
      <c r="W81" s="351"/>
      <c r="X81" s="351"/>
      <c r="Y81" s="351"/>
      <c r="Z81" s="351"/>
      <c r="AA81" s="351"/>
      <c r="AB81" s="351"/>
      <c r="AC81" s="351"/>
    </row>
    <row r="82" spans="1:29" ht="15">
      <c r="A82" s="375"/>
      <c r="B82" s="495" t="s">
        <v>230</v>
      </c>
      <c r="C82" s="496" t="s">
        <v>245</v>
      </c>
      <c r="D82" s="496" t="s">
        <v>257</v>
      </c>
      <c r="E82" s="496" t="s">
        <v>268</v>
      </c>
      <c r="F82" s="496" t="s">
        <v>278</v>
      </c>
      <c r="G82" s="496" t="s">
        <v>286</v>
      </c>
      <c r="H82" s="392"/>
      <c r="I82" s="392"/>
      <c r="J82" s="392"/>
      <c r="K82" s="392"/>
      <c r="L82" s="392"/>
      <c r="M82" s="506"/>
      <c r="N82" s="450"/>
      <c r="O82" s="450"/>
      <c r="P82" s="448"/>
      <c r="Q82" s="437"/>
      <c r="R82" s="351"/>
      <c r="S82" s="351"/>
      <c r="T82" s="351"/>
      <c r="U82" s="351"/>
      <c r="V82" s="351"/>
      <c r="W82" s="351"/>
      <c r="X82" s="351"/>
      <c r="Y82" s="351"/>
      <c r="Z82" s="351"/>
      <c r="AA82" s="351"/>
      <c r="AB82" s="351"/>
      <c r="AC82" s="351"/>
    </row>
    <row r="83" spans="1:29" ht="15">
      <c r="A83" s="375"/>
      <c r="B83" s="497"/>
      <c r="C83" s="389">
        <v>100</v>
      </c>
      <c r="D83" s="389">
        <f>C83-$K21</f>
        <v>100</v>
      </c>
      <c r="E83" s="389">
        <f>D83-$K21</f>
        <v>100</v>
      </c>
      <c r="F83" s="389">
        <f>E83-$K21</f>
        <v>100</v>
      </c>
      <c r="G83" s="389">
        <f>F83-$K21</f>
        <v>100</v>
      </c>
      <c r="H83" s="381"/>
      <c r="I83" s="381"/>
      <c r="J83" s="381"/>
      <c r="K83" s="381"/>
      <c r="L83" s="381"/>
      <c r="M83" s="280"/>
      <c r="N83" s="450"/>
      <c r="O83" s="450"/>
      <c r="P83" s="448"/>
      <c r="Q83" s="437"/>
      <c r="R83" s="351"/>
      <c r="S83" s="351"/>
      <c r="T83" s="351"/>
      <c r="U83" s="351"/>
      <c r="V83" s="351"/>
      <c r="W83" s="351"/>
      <c r="X83" s="351"/>
      <c r="Y83" s="351"/>
      <c r="Z83" s="351"/>
      <c r="AA83" s="351"/>
      <c r="AB83" s="351"/>
      <c r="AC83" s="351"/>
    </row>
    <row r="84" spans="1:29" ht="15">
      <c r="A84" s="375"/>
      <c r="B84" s="378" t="s">
        <v>2411</v>
      </c>
      <c r="C84" s="391" t="s">
        <v>244</v>
      </c>
      <c r="D84" s="391" t="s">
        <v>256</v>
      </c>
      <c r="E84" s="391" t="s">
        <v>267</v>
      </c>
      <c r="F84" s="391" t="s">
        <v>277</v>
      </c>
      <c r="G84" s="391" t="s">
        <v>285</v>
      </c>
      <c r="H84" s="392"/>
      <c r="I84" s="392"/>
      <c r="J84" s="392"/>
      <c r="K84" s="467"/>
      <c r="L84" s="468"/>
      <c r="M84" s="469"/>
      <c r="N84" s="447"/>
      <c r="O84" s="447"/>
      <c r="P84" s="448"/>
      <c r="Q84" s="437"/>
      <c r="R84" s="351"/>
      <c r="S84" s="351"/>
      <c r="T84" s="351"/>
      <c r="U84" s="351"/>
      <c r="V84" s="351"/>
      <c r="W84" s="351"/>
      <c r="X84" s="351"/>
      <c r="Y84" s="351"/>
      <c r="Z84" s="351"/>
      <c r="AA84" s="351"/>
      <c r="AB84" s="351"/>
      <c r="AC84" s="351"/>
    </row>
    <row r="85" spans="1:29" ht="15">
      <c r="A85" s="375"/>
      <c r="B85" s="380"/>
      <c r="C85" s="389">
        <v>100</v>
      </c>
      <c r="D85" s="389">
        <f>C85-$K23</f>
        <v>100</v>
      </c>
      <c r="E85" s="389">
        <f>D85-$K23</f>
        <v>100</v>
      </c>
      <c r="F85" s="389">
        <f>E85-$K23</f>
        <v>100</v>
      </c>
      <c r="G85" s="389">
        <f>F85-$K23</f>
        <v>100</v>
      </c>
      <c r="H85" s="389"/>
      <c r="I85" s="389"/>
      <c r="J85" s="389"/>
      <c r="K85" s="389"/>
      <c r="L85" s="389"/>
      <c r="M85" s="466"/>
      <c r="N85" s="450"/>
      <c r="O85" s="450"/>
      <c r="P85" s="448"/>
      <c r="Q85" s="437"/>
      <c r="R85" s="351"/>
      <c r="S85" s="351"/>
      <c r="T85" s="351"/>
      <c r="U85" s="351"/>
      <c r="V85" s="351"/>
      <c r="W85" s="351"/>
      <c r="X85" s="351"/>
      <c r="Y85" s="351"/>
      <c r="Z85" s="351"/>
      <c r="AA85" s="351"/>
      <c r="AB85" s="351"/>
      <c r="AC85" s="351"/>
    </row>
    <row r="86" spans="1:29" s="210" customFormat="1" ht="15">
      <c r="A86" s="498"/>
      <c r="B86" s="390" t="s">
        <v>2412</v>
      </c>
      <c r="C86" s="385"/>
      <c r="D86" s="385"/>
      <c r="E86" s="385"/>
      <c r="F86" s="385"/>
      <c r="G86" s="385"/>
      <c r="H86" s="385"/>
      <c r="I86" s="385"/>
      <c r="J86" s="385"/>
      <c r="K86" s="385"/>
      <c r="L86" s="507"/>
      <c r="M86" s="508"/>
      <c r="N86" s="442"/>
      <c r="O86" s="442"/>
      <c r="P86" s="448"/>
      <c r="Q86" s="437"/>
      <c r="R86" s="484"/>
      <c r="S86" s="484"/>
      <c r="T86" s="484"/>
      <c r="U86" s="484"/>
      <c r="V86" s="484"/>
      <c r="W86" s="484"/>
      <c r="X86" s="484"/>
      <c r="Y86" s="484"/>
      <c r="Z86" s="484"/>
      <c r="AA86" s="484"/>
      <c r="AB86" s="484"/>
      <c r="AC86" s="484"/>
    </row>
    <row r="87" spans="1:29" s="210" customFormat="1" ht="15">
      <c r="A87" s="498"/>
      <c r="B87" s="380"/>
      <c r="C87" s="500">
        <v>100</v>
      </c>
      <c r="D87" s="389">
        <f>$C$87-($C$86-D86)*$K$25</f>
        <v>100</v>
      </c>
      <c r="E87" s="389">
        <f t="shared" ref="E87:M87" si="16">$C$87-($C$86-E86)*$K$25</f>
        <v>100</v>
      </c>
      <c r="F87" s="389">
        <f t="shared" si="16"/>
        <v>100</v>
      </c>
      <c r="G87" s="389">
        <f t="shared" si="16"/>
        <v>100</v>
      </c>
      <c r="H87" s="389">
        <f t="shared" si="16"/>
        <v>100</v>
      </c>
      <c r="I87" s="389">
        <f t="shared" si="16"/>
        <v>100</v>
      </c>
      <c r="J87" s="389">
        <f t="shared" si="16"/>
        <v>100</v>
      </c>
      <c r="K87" s="389">
        <f t="shared" si="16"/>
        <v>100</v>
      </c>
      <c r="L87" s="389">
        <f t="shared" si="16"/>
        <v>100</v>
      </c>
      <c r="M87" s="389">
        <f t="shared" si="16"/>
        <v>100</v>
      </c>
      <c r="N87" s="450"/>
      <c r="O87" s="450"/>
      <c r="P87" s="448"/>
      <c r="Q87" s="437"/>
      <c r="R87" s="484"/>
      <c r="S87" s="484"/>
      <c r="T87" s="484"/>
      <c r="U87" s="484"/>
      <c r="V87" s="484"/>
      <c r="W87" s="484"/>
      <c r="X87" s="484"/>
      <c r="Y87" s="484"/>
      <c r="Z87" s="484"/>
      <c r="AA87" s="484"/>
      <c r="AB87" s="484"/>
      <c r="AC87" s="484"/>
    </row>
    <row r="88" spans="1:29" s="210" customFormat="1" ht="15">
      <c r="A88" s="498"/>
      <c r="B88" s="378" t="s">
        <v>2413</v>
      </c>
      <c r="C88" s="385"/>
      <c r="D88" s="385"/>
      <c r="E88" s="385"/>
      <c r="F88" s="611"/>
      <c r="G88" s="385"/>
      <c r="H88" s="385"/>
      <c r="I88" s="385"/>
      <c r="J88" s="385"/>
      <c r="K88" s="385"/>
      <c r="L88" s="385"/>
      <c r="M88" s="508"/>
      <c r="N88" s="442"/>
      <c r="O88" s="442"/>
      <c r="P88" s="448"/>
      <c r="Q88" s="437"/>
      <c r="R88" s="484"/>
      <c r="S88" s="484"/>
      <c r="T88" s="484"/>
      <c r="U88" s="484"/>
      <c r="V88" s="484"/>
      <c r="W88" s="484"/>
      <c r="X88" s="484"/>
      <c r="Y88" s="484"/>
      <c r="Z88" s="484"/>
      <c r="AA88" s="484"/>
      <c r="AB88" s="484"/>
      <c r="AC88" s="484"/>
    </row>
    <row r="89" spans="1:29" s="210" customFormat="1" ht="15">
      <c r="A89" s="498"/>
      <c r="B89" s="380"/>
      <c r="C89" s="500">
        <v>100</v>
      </c>
      <c r="D89" s="389">
        <f t="shared" ref="D89:M89" si="17">C89-$K26</f>
        <v>100</v>
      </c>
      <c r="E89" s="389">
        <f t="shared" si="17"/>
        <v>100</v>
      </c>
      <c r="F89" s="389">
        <f t="shared" si="17"/>
        <v>100</v>
      </c>
      <c r="G89" s="389">
        <f t="shared" si="17"/>
        <v>100</v>
      </c>
      <c r="H89" s="389">
        <f t="shared" si="17"/>
        <v>100</v>
      </c>
      <c r="I89" s="389">
        <f t="shared" si="17"/>
        <v>100</v>
      </c>
      <c r="J89" s="389">
        <f t="shared" si="17"/>
        <v>100</v>
      </c>
      <c r="K89" s="389">
        <f t="shared" si="17"/>
        <v>100</v>
      </c>
      <c r="L89" s="389">
        <f t="shared" si="17"/>
        <v>100</v>
      </c>
      <c r="M89" s="389">
        <f t="shared" si="17"/>
        <v>100</v>
      </c>
      <c r="N89" s="450"/>
      <c r="O89" s="450"/>
      <c r="P89" s="448"/>
      <c r="Q89" s="437"/>
      <c r="R89" s="484"/>
      <c r="S89" s="484"/>
      <c r="T89" s="484"/>
      <c r="U89" s="484"/>
      <c r="V89" s="484"/>
      <c r="W89" s="484"/>
      <c r="X89" s="484"/>
      <c r="Y89" s="484"/>
      <c r="Z89" s="484"/>
      <c r="AA89" s="484"/>
      <c r="AB89" s="484"/>
      <c r="AC89" s="484"/>
    </row>
    <row r="90" spans="1:29" s="212" customFormat="1" ht="15">
      <c r="A90" s="384"/>
      <c r="B90" s="378" t="str">
        <f>B27</f>
        <v>道路级别</v>
      </c>
      <c r="C90" s="385"/>
      <c r="D90" s="385"/>
      <c r="E90" s="385"/>
      <c r="F90" s="385"/>
      <c r="G90" s="385"/>
      <c r="H90" s="386"/>
      <c r="I90" s="386"/>
      <c r="J90" s="386"/>
      <c r="K90" s="386"/>
      <c r="L90" s="457"/>
      <c r="M90" s="458"/>
      <c r="N90" s="459"/>
      <c r="O90" s="459"/>
      <c r="P90" s="460"/>
      <c r="Q90" s="485"/>
      <c r="R90" s="486"/>
      <c r="S90" s="486"/>
      <c r="T90" s="486"/>
      <c r="U90" s="486"/>
      <c r="V90" s="486"/>
      <c r="W90" s="486"/>
      <c r="X90" s="486"/>
      <c r="Y90" s="486"/>
      <c r="Z90" s="486"/>
      <c r="AA90" s="486"/>
      <c r="AB90" s="486"/>
      <c r="AC90" s="486"/>
    </row>
    <row r="91" spans="1:29" s="212" customFormat="1" ht="15">
      <c r="A91" s="384"/>
      <c r="B91" s="380"/>
      <c r="C91" s="383"/>
      <c r="D91" s="383"/>
      <c r="E91" s="383"/>
      <c r="F91" s="383"/>
      <c r="G91" s="383"/>
      <c r="H91" s="387"/>
      <c r="I91" s="387"/>
      <c r="J91" s="387"/>
      <c r="K91" s="387"/>
      <c r="L91" s="387"/>
      <c r="M91" s="461"/>
      <c r="N91" s="459"/>
      <c r="O91" s="459"/>
      <c r="P91" s="460"/>
      <c r="Q91" s="485"/>
      <c r="R91" s="486"/>
      <c r="S91" s="486"/>
      <c r="T91" s="486"/>
      <c r="U91" s="486"/>
      <c r="V91" s="486"/>
      <c r="W91" s="486"/>
      <c r="X91" s="486"/>
      <c r="Y91" s="486"/>
      <c r="Z91" s="486"/>
      <c r="AA91" s="486"/>
      <c r="AB91" s="486"/>
      <c r="AC91" s="486"/>
    </row>
    <row r="92" spans="1:29" ht="15">
      <c r="A92" s="375"/>
      <c r="B92" s="378">
        <f>B28</f>
        <v>111</v>
      </c>
      <c r="C92" s="385"/>
      <c r="D92" s="385"/>
      <c r="E92" s="385"/>
      <c r="F92" s="385"/>
      <c r="G92" s="379"/>
      <c r="H92" s="379"/>
      <c r="I92" s="379"/>
      <c r="J92" s="379"/>
      <c r="K92" s="451"/>
      <c r="L92" s="452"/>
      <c r="M92" s="453"/>
      <c r="N92" s="447"/>
      <c r="O92" s="447"/>
      <c r="P92" s="448"/>
      <c r="Q92" s="437"/>
      <c r="R92" s="351"/>
      <c r="S92" s="351"/>
      <c r="T92" s="351"/>
      <c r="U92" s="351"/>
      <c r="V92" s="351"/>
      <c r="W92" s="351"/>
      <c r="X92" s="351"/>
      <c r="Y92" s="351"/>
      <c r="Z92" s="351"/>
      <c r="AA92" s="351"/>
      <c r="AB92" s="351"/>
      <c r="AC92" s="351"/>
    </row>
    <row r="93" spans="1:29" ht="15">
      <c r="A93" s="375"/>
      <c r="B93" s="380"/>
      <c r="C93" s="383"/>
      <c r="D93" s="377"/>
      <c r="E93" s="377"/>
      <c r="F93" s="377"/>
      <c r="G93" s="377"/>
      <c r="H93" s="377"/>
      <c r="I93" s="377"/>
      <c r="J93" s="377"/>
      <c r="K93" s="377"/>
      <c r="L93" s="377"/>
      <c r="M93" s="449"/>
      <c r="N93" s="450"/>
      <c r="O93" s="450"/>
      <c r="P93" s="448"/>
      <c r="Q93" s="437"/>
      <c r="R93" s="351"/>
      <c r="S93" s="351"/>
      <c r="T93" s="351"/>
      <c r="U93" s="351"/>
      <c r="V93" s="351"/>
      <c r="W93" s="351"/>
      <c r="X93" s="351"/>
      <c r="Y93" s="351"/>
      <c r="Z93" s="351"/>
      <c r="AA93" s="351"/>
      <c r="AB93" s="351"/>
      <c r="AC93" s="351"/>
    </row>
    <row r="94" spans="1:29" ht="15">
      <c r="A94" s="375"/>
      <c r="B94" s="378">
        <f>B29</f>
        <v>111</v>
      </c>
      <c r="C94" s="385"/>
      <c r="D94" s="385"/>
      <c r="E94" s="385"/>
      <c r="F94" s="385"/>
      <c r="G94" s="379"/>
      <c r="H94" s="379"/>
      <c r="I94" s="379"/>
      <c r="J94" s="379"/>
      <c r="K94" s="451"/>
      <c r="L94" s="452"/>
      <c r="M94" s="453"/>
      <c r="N94" s="447"/>
      <c r="O94" s="447"/>
      <c r="P94" s="448"/>
      <c r="Q94" s="437"/>
      <c r="R94" s="351"/>
      <c r="S94" s="351"/>
      <c r="T94" s="351"/>
      <c r="U94" s="351"/>
      <c r="V94" s="351"/>
      <c r="W94" s="351"/>
      <c r="X94" s="351"/>
      <c r="Y94" s="351"/>
      <c r="Z94" s="351"/>
      <c r="AA94" s="351"/>
      <c r="AB94" s="351"/>
      <c r="AC94" s="351"/>
    </row>
    <row r="95" spans="1:29" ht="15">
      <c r="A95" s="375"/>
      <c r="B95" s="380"/>
      <c r="C95" s="383"/>
      <c r="D95" s="383"/>
      <c r="E95" s="383"/>
      <c r="F95" s="383"/>
      <c r="G95" s="377"/>
      <c r="H95" s="377"/>
      <c r="I95" s="377"/>
      <c r="J95" s="377"/>
      <c r="K95" s="377"/>
      <c r="L95" s="377"/>
      <c r="M95" s="449"/>
      <c r="N95" s="450"/>
      <c r="O95" s="450"/>
      <c r="P95" s="448"/>
      <c r="Q95" s="437"/>
      <c r="R95" s="351"/>
      <c r="S95" s="351"/>
      <c r="T95" s="351"/>
      <c r="U95" s="351"/>
      <c r="V95" s="351"/>
      <c r="W95" s="351"/>
      <c r="X95" s="351"/>
      <c r="Y95" s="351"/>
      <c r="Z95" s="351"/>
      <c r="AA95" s="351"/>
      <c r="AB95" s="351"/>
      <c r="AC95" s="351"/>
    </row>
    <row r="96" spans="1:29" ht="15">
      <c r="A96" s="375"/>
      <c r="B96" s="378">
        <f>B30</f>
        <v>111</v>
      </c>
      <c r="C96" s="385"/>
      <c r="D96" s="385"/>
      <c r="E96" s="385"/>
      <c r="F96" s="385"/>
      <c r="G96" s="379"/>
      <c r="H96" s="379"/>
      <c r="I96" s="379"/>
      <c r="J96" s="379"/>
      <c r="K96" s="451"/>
      <c r="L96" s="452"/>
      <c r="M96" s="453"/>
      <c r="N96" s="447"/>
      <c r="O96" s="447"/>
      <c r="P96" s="448"/>
      <c r="Q96" s="437"/>
      <c r="R96" s="351"/>
      <c r="S96" s="351"/>
      <c r="T96" s="351"/>
      <c r="U96" s="351"/>
      <c r="V96" s="351"/>
      <c r="W96" s="351"/>
      <c r="X96" s="351"/>
      <c r="Y96" s="351"/>
      <c r="Z96" s="351"/>
      <c r="AA96" s="351"/>
      <c r="AB96" s="351"/>
      <c r="AC96" s="351"/>
    </row>
    <row r="97" spans="1:29" ht="15">
      <c r="A97" s="375"/>
      <c r="B97" s="380"/>
      <c r="C97" s="574"/>
      <c r="D97" s="574"/>
      <c r="E97" s="574"/>
      <c r="F97" s="574"/>
      <c r="G97" s="377"/>
      <c r="H97" s="377"/>
      <c r="I97" s="377"/>
      <c r="J97" s="377"/>
      <c r="K97" s="377"/>
      <c r="L97" s="377"/>
      <c r="M97" s="449"/>
      <c r="N97" s="450"/>
      <c r="O97" s="450"/>
      <c r="P97" s="448"/>
      <c r="Q97" s="437"/>
      <c r="R97" s="351"/>
      <c r="S97" s="351"/>
      <c r="T97" s="351"/>
      <c r="U97" s="351"/>
      <c r="V97" s="351"/>
      <c r="W97" s="351"/>
      <c r="X97" s="351"/>
      <c r="Y97" s="351"/>
      <c r="Z97" s="351"/>
      <c r="AA97" s="351"/>
      <c r="AB97" s="351"/>
      <c r="AC97" s="351"/>
    </row>
    <row r="98" spans="1:29" ht="15">
      <c r="A98" s="375"/>
      <c r="B98" s="497">
        <f>B31</f>
        <v>111</v>
      </c>
      <c r="C98" s="576"/>
      <c r="D98" s="576"/>
      <c r="E98" s="576"/>
      <c r="F98" s="576"/>
      <c r="G98" s="576"/>
      <c r="H98" s="576"/>
      <c r="I98" s="576"/>
      <c r="J98" s="576"/>
      <c r="K98" s="584"/>
      <c r="L98" s="585"/>
      <c r="M98" s="586"/>
      <c r="N98" s="447"/>
      <c r="O98" s="447"/>
      <c r="P98" s="448"/>
      <c r="Q98" s="437"/>
      <c r="R98" s="351"/>
      <c r="S98" s="351"/>
      <c r="T98" s="351"/>
      <c r="U98" s="351"/>
      <c r="V98" s="351"/>
      <c r="W98" s="351"/>
      <c r="X98" s="351"/>
      <c r="Y98" s="351"/>
      <c r="Z98" s="351"/>
      <c r="AA98" s="351"/>
      <c r="AB98" s="351"/>
      <c r="AC98" s="351"/>
    </row>
    <row r="99" spans="1:29" ht="15">
      <c r="A99" s="577"/>
      <c r="B99" s="573"/>
      <c r="C99" s="578"/>
      <c r="D99" s="578"/>
      <c r="E99" s="578"/>
      <c r="F99" s="578"/>
      <c r="G99" s="578"/>
      <c r="H99" s="578"/>
      <c r="I99" s="578"/>
      <c r="J99" s="578"/>
      <c r="K99" s="578"/>
      <c r="L99" s="578"/>
      <c r="M99" s="587"/>
      <c r="N99" s="450"/>
      <c r="O99" s="450"/>
      <c r="P99" s="448"/>
      <c r="Q99" s="437"/>
      <c r="R99" s="351"/>
      <c r="S99" s="351"/>
      <c r="T99" s="351"/>
      <c r="U99" s="351"/>
      <c r="V99" s="351"/>
      <c r="W99" s="351"/>
      <c r="X99" s="351"/>
      <c r="Y99" s="351"/>
      <c r="Z99" s="351"/>
      <c r="AA99" s="351"/>
      <c r="AB99" s="351"/>
      <c r="AC99" s="351"/>
    </row>
    <row r="100" spans="1:29">
      <c r="A100" s="371" t="s">
        <v>1108</v>
      </c>
      <c r="B100" s="372" t="s">
        <v>2415</v>
      </c>
      <c r="C100" s="374"/>
      <c r="D100" s="374"/>
      <c r="E100" s="374"/>
      <c r="F100" s="374"/>
      <c r="G100" s="374"/>
      <c r="H100" s="374"/>
      <c r="I100" s="374"/>
      <c r="J100" s="374"/>
      <c r="K100" s="444"/>
      <c r="L100" s="445"/>
      <c r="M100" s="446"/>
      <c r="N100" s="447"/>
      <c r="O100" s="447"/>
      <c r="P100" s="448"/>
      <c r="Q100" s="437"/>
      <c r="R100" s="351"/>
      <c r="S100" s="351"/>
      <c r="T100" s="351"/>
      <c r="U100" s="351"/>
      <c r="V100" s="351"/>
      <c r="W100" s="351"/>
      <c r="X100" s="351"/>
      <c r="Y100" s="351"/>
      <c r="Z100" s="351"/>
      <c r="AA100" s="351"/>
      <c r="AB100" s="351"/>
      <c r="AC100" s="351"/>
    </row>
    <row r="101" spans="1:29" ht="15">
      <c r="A101" s="375"/>
      <c r="B101" s="380"/>
      <c r="C101" s="389">
        <v>100</v>
      </c>
      <c r="D101" s="389">
        <f t="shared" ref="D101:M101" si="18">C101-$K32</f>
        <v>100</v>
      </c>
      <c r="E101" s="389">
        <f t="shared" si="18"/>
        <v>100</v>
      </c>
      <c r="F101" s="389">
        <f t="shared" si="18"/>
        <v>100</v>
      </c>
      <c r="G101" s="389">
        <f t="shared" si="18"/>
        <v>100</v>
      </c>
      <c r="H101" s="389">
        <f t="shared" si="18"/>
        <v>100</v>
      </c>
      <c r="I101" s="389">
        <f t="shared" si="18"/>
        <v>100</v>
      </c>
      <c r="J101" s="389">
        <f t="shared" si="18"/>
        <v>100</v>
      </c>
      <c r="K101" s="389">
        <f t="shared" si="18"/>
        <v>100</v>
      </c>
      <c r="L101" s="389">
        <f t="shared" si="18"/>
        <v>100</v>
      </c>
      <c r="M101" s="389">
        <f t="shared" si="18"/>
        <v>100</v>
      </c>
      <c r="N101" s="450"/>
      <c r="O101" s="450"/>
      <c r="P101" s="448"/>
      <c r="Q101" s="437"/>
      <c r="R101" s="351"/>
      <c r="S101" s="351"/>
      <c r="T101" s="351"/>
      <c r="U101" s="351"/>
      <c r="V101" s="351"/>
      <c r="W101" s="351"/>
      <c r="X101" s="351"/>
      <c r="Y101" s="351"/>
      <c r="Z101" s="351"/>
      <c r="AA101" s="351"/>
      <c r="AB101" s="351"/>
      <c r="AC101" s="351"/>
    </row>
    <row r="102" spans="1:29" ht="15">
      <c r="A102" s="375"/>
      <c r="B102" s="378" t="s">
        <v>2416</v>
      </c>
      <c r="C102" s="391" t="str">
        <f>C103&amp;"(含)"&amp;"-"&amp;D103</f>
        <v>(含)-</v>
      </c>
      <c r="D102" s="391" t="str">
        <f t="shared" ref="D102:L102" si="19">D103&amp;"(含)"&amp;"-"&amp;E103</f>
        <v>(含)-</v>
      </c>
      <c r="E102" s="391" t="str">
        <f t="shared" si="19"/>
        <v>(含)-</v>
      </c>
      <c r="F102" s="391" t="str">
        <f t="shared" si="19"/>
        <v>(含)-</v>
      </c>
      <c r="G102" s="391" t="str">
        <f t="shared" si="19"/>
        <v>(含)-</v>
      </c>
      <c r="H102" s="391" t="str">
        <f t="shared" si="19"/>
        <v>(含)-</v>
      </c>
      <c r="I102" s="391" t="str">
        <f t="shared" si="19"/>
        <v>(含)-</v>
      </c>
      <c r="J102" s="391" t="str">
        <f t="shared" si="19"/>
        <v>(含)-</v>
      </c>
      <c r="K102" s="391" t="str">
        <f t="shared" si="19"/>
        <v>(含)-</v>
      </c>
      <c r="L102" s="391" t="str">
        <f t="shared" si="19"/>
        <v>(含)-</v>
      </c>
      <c r="M102" s="391" t="str">
        <f>M103&amp;"(含)"&amp;"-"&amp;P103</f>
        <v>(含)-</v>
      </c>
      <c r="N102" s="442"/>
      <c r="O102" s="442"/>
      <c r="P102" s="448"/>
      <c r="Q102" s="437"/>
      <c r="R102" s="351"/>
      <c r="S102" s="351"/>
      <c r="T102" s="351"/>
      <c r="U102" s="351"/>
      <c r="V102" s="351"/>
      <c r="W102" s="351"/>
      <c r="X102" s="351"/>
      <c r="Y102" s="351"/>
      <c r="Z102" s="351"/>
      <c r="AA102" s="351"/>
      <c r="AB102" s="351"/>
      <c r="AC102" s="351"/>
    </row>
    <row r="103" spans="1:29" s="212" customFormat="1">
      <c r="A103" s="503"/>
      <c r="B103" s="579"/>
      <c r="C103" s="502"/>
      <c r="D103" s="502"/>
      <c r="E103" s="502"/>
      <c r="F103" s="502"/>
      <c r="G103" s="502"/>
      <c r="H103" s="502"/>
      <c r="I103" s="502"/>
      <c r="J103" s="513"/>
      <c r="K103" s="513"/>
      <c r="L103" s="514"/>
      <c r="M103" s="515"/>
      <c r="N103" s="459"/>
      <c r="O103" s="459"/>
      <c r="P103" s="460"/>
      <c r="Q103" s="485"/>
      <c r="R103" s="486"/>
      <c r="S103" s="486"/>
      <c r="T103" s="486"/>
      <c r="U103" s="486"/>
      <c r="V103" s="486"/>
      <c r="W103" s="486"/>
      <c r="X103" s="486"/>
      <c r="Y103" s="486"/>
      <c r="Z103" s="486"/>
      <c r="AA103" s="486"/>
      <c r="AB103" s="486"/>
      <c r="AC103" s="486"/>
    </row>
    <row r="104" spans="1:29" s="212" customFormat="1" ht="15">
      <c r="A104" s="384"/>
      <c r="B104" s="380"/>
      <c r="C104" s="383"/>
      <c r="D104" s="377"/>
      <c r="E104" s="377"/>
      <c r="F104" s="377"/>
      <c r="G104" s="377"/>
      <c r="H104" s="377"/>
      <c r="I104" s="377"/>
      <c r="J104" s="377"/>
      <c r="K104" s="377"/>
      <c r="L104" s="377"/>
      <c r="M104" s="377"/>
      <c r="N104" s="450"/>
      <c r="O104" s="450"/>
      <c r="P104" s="460"/>
      <c r="Q104" s="485"/>
      <c r="R104" s="486"/>
      <c r="S104" s="486"/>
      <c r="T104" s="486"/>
      <c r="U104" s="486"/>
      <c r="V104" s="486"/>
      <c r="W104" s="486"/>
      <c r="X104" s="486"/>
      <c r="Y104" s="486"/>
      <c r="Z104" s="486"/>
      <c r="AA104" s="486"/>
      <c r="AB104" s="486"/>
      <c r="AC104" s="486"/>
    </row>
    <row r="105" spans="1:29">
      <c r="A105" s="501"/>
      <c r="B105" s="378" t="s">
        <v>2417</v>
      </c>
      <c r="C105" s="385"/>
      <c r="D105" s="385"/>
      <c r="E105" s="379"/>
      <c r="F105" s="379"/>
      <c r="G105" s="379"/>
      <c r="H105" s="379"/>
      <c r="I105" s="379"/>
      <c r="J105" s="379"/>
      <c r="K105" s="451"/>
      <c r="L105" s="452"/>
      <c r="M105" s="453"/>
      <c r="N105" s="447"/>
      <c r="O105" s="447"/>
      <c r="P105" s="448"/>
      <c r="Q105" s="437"/>
      <c r="R105" s="351"/>
      <c r="S105" s="351"/>
      <c r="T105" s="351"/>
      <c r="U105" s="351"/>
      <c r="V105" s="351"/>
      <c r="W105" s="351"/>
      <c r="X105" s="351"/>
      <c r="Y105" s="351"/>
      <c r="Z105" s="351"/>
      <c r="AA105" s="351"/>
      <c r="AB105" s="351"/>
      <c r="AC105" s="351"/>
    </row>
    <row r="106" spans="1:29" ht="15">
      <c r="A106" s="375"/>
      <c r="B106" s="380"/>
      <c r="C106" s="389">
        <v>100</v>
      </c>
      <c r="D106" s="389">
        <f t="shared" ref="D106:M106" si="20">C106-$K34</f>
        <v>100</v>
      </c>
      <c r="E106" s="389">
        <f t="shared" si="20"/>
        <v>100</v>
      </c>
      <c r="F106" s="389">
        <f t="shared" si="20"/>
        <v>100</v>
      </c>
      <c r="G106" s="389">
        <f t="shared" si="20"/>
        <v>100</v>
      </c>
      <c r="H106" s="389">
        <f t="shared" si="20"/>
        <v>100</v>
      </c>
      <c r="I106" s="389">
        <f t="shared" si="20"/>
        <v>100</v>
      </c>
      <c r="J106" s="389">
        <f t="shared" si="20"/>
        <v>100</v>
      </c>
      <c r="K106" s="389">
        <f t="shared" si="20"/>
        <v>100</v>
      </c>
      <c r="L106" s="389">
        <f t="shared" si="20"/>
        <v>100</v>
      </c>
      <c r="M106" s="389">
        <f t="shared" si="20"/>
        <v>100</v>
      </c>
      <c r="N106" s="450"/>
      <c r="O106" s="450"/>
      <c r="P106" s="448"/>
      <c r="Q106" s="437"/>
      <c r="R106" s="351"/>
      <c r="S106" s="351"/>
      <c r="T106" s="351"/>
      <c r="U106" s="351"/>
      <c r="V106" s="351"/>
      <c r="W106" s="351"/>
      <c r="X106" s="351"/>
      <c r="Y106" s="351"/>
      <c r="Z106" s="351"/>
      <c r="AA106" s="351"/>
      <c r="AB106" s="351"/>
      <c r="AC106" s="351"/>
    </row>
    <row r="107" spans="1:29">
      <c r="A107" s="501"/>
      <c r="B107" s="378" t="s">
        <v>2418</v>
      </c>
      <c r="C107" s="379"/>
      <c r="D107" s="379"/>
      <c r="E107" s="379"/>
      <c r="F107" s="379"/>
      <c r="G107" s="379"/>
      <c r="H107" s="379"/>
      <c r="I107" s="379"/>
      <c r="J107" s="379"/>
      <c r="K107" s="451"/>
      <c r="L107" s="452"/>
      <c r="M107" s="453"/>
      <c r="N107" s="447"/>
      <c r="O107" s="447"/>
      <c r="P107" s="448"/>
      <c r="Q107" s="437"/>
      <c r="R107" s="351"/>
      <c r="S107" s="351"/>
      <c r="T107" s="351"/>
      <c r="U107" s="351"/>
      <c r="V107" s="351"/>
      <c r="W107" s="351"/>
      <c r="X107" s="351"/>
      <c r="Y107" s="351"/>
      <c r="Z107" s="351"/>
      <c r="AA107" s="351"/>
      <c r="AB107" s="351"/>
      <c r="AC107" s="351"/>
    </row>
    <row r="108" spans="1:29" ht="15">
      <c r="A108" s="375"/>
      <c r="B108" s="380"/>
      <c r="C108" s="389">
        <v>100</v>
      </c>
      <c r="D108" s="389">
        <f t="shared" ref="D108:M108" si="21">C108-$K35</f>
        <v>100</v>
      </c>
      <c r="E108" s="389">
        <f t="shared" si="21"/>
        <v>100</v>
      </c>
      <c r="F108" s="389">
        <f t="shared" si="21"/>
        <v>100</v>
      </c>
      <c r="G108" s="389">
        <f t="shared" si="21"/>
        <v>100</v>
      </c>
      <c r="H108" s="389">
        <f t="shared" si="21"/>
        <v>100</v>
      </c>
      <c r="I108" s="389">
        <f t="shared" si="21"/>
        <v>100</v>
      </c>
      <c r="J108" s="389">
        <f t="shared" si="21"/>
        <v>100</v>
      </c>
      <c r="K108" s="389">
        <f t="shared" si="21"/>
        <v>100</v>
      </c>
      <c r="L108" s="389">
        <f t="shared" si="21"/>
        <v>100</v>
      </c>
      <c r="M108" s="389">
        <f t="shared" si="21"/>
        <v>100</v>
      </c>
      <c r="N108" s="450"/>
      <c r="O108" s="450"/>
      <c r="P108" s="448"/>
      <c r="Q108" s="437"/>
      <c r="R108" s="351"/>
      <c r="S108" s="351"/>
      <c r="T108" s="351"/>
      <c r="U108" s="351"/>
      <c r="V108" s="351"/>
      <c r="W108" s="351"/>
      <c r="X108" s="351"/>
      <c r="Y108" s="351"/>
      <c r="Z108" s="351"/>
      <c r="AA108" s="351"/>
      <c r="AB108" s="351"/>
      <c r="AC108" s="351"/>
    </row>
    <row r="109" spans="1:29">
      <c r="A109" s="501"/>
      <c r="B109" s="378" t="s">
        <v>2419</v>
      </c>
      <c r="C109" s="385"/>
      <c r="D109" s="385"/>
      <c r="E109" s="385"/>
      <c r="F109" s="379"/>
      <c r="G109" s="379"/>
      <c r="H109" s="379"/>
      <c r="I109" s="379"/>
      <c r="J109" s="379"/>
      <c r="K109" s="451"/>
      <c r="L109" s="452"/>
      <c r="M109" s="453"/>
      <c r="N109" s="447"/>
      <c r="O109" s="447"/>
      <c r="P109" s="448"/>
      <c r="Q109" s="437"/>
      <c r="R109" s="351"/>
      <c r="S109" s="351"/>
      <c r="T109" s="351"/>
      <c r="U109" s="351"/>
      <c r="V109" s="351"/>
      <c r="W109" s="351"/>
      <c r="X109" s="351"/>
      <c r="Y109" s="351"/>
      <c r="Z109" s="351"/>
      <c r="AA109" s="351"/>
      <c r="AB109" s="351"/>
      <c r="AC109" s="351"/>
    </row>
    <row r="110" spans="1:29" ht="15">
      <c r="A110" s="375"/>
      <c r="B110" s="380"/>
      <c r="C110" s="389">
        <v>100</v>
      </c>
      <c r="D110" s="389">
        <f t="shared" ref="D110:M110" si="22">C110-$K36</f>
        <v>100</v>
      </c>
      <c r="E110" s="389">
        <f t="shared" si="22"/>
        <v>100</v>
      </c>
      <c r="F110" s="389">
        <f t="shared" si="22"/>
        <v>100</v>
      </c>
      <c r="G110" s="389">
        <f t="shared" si="22"/>
        <v>100</v>
      </c>
      <c r="H110" s="389">
        <f t="shared" si="22"/>
        <v>100</v>
      </c>
      <c r="I110" s="389">
        <f t="shared" si="22"/>
        <v>100</v>
      </c>
      <c r="J110" s="389">
        <f t="shared" si="22"/>
        <v>100</v>
      </c>
      <c r="K110" s="389">
        <f t="shared" si="22"/>
        <v>100</v>
      </c>
      <c r="L110" s="389">
        <f t="shared" si="22"/>
        <v>100</v>
      </c>
      <c r="M110" s="389">
        <f t="shared" si="22"/>
        <v>100</v>
      </c>
      <c r="N110" s="450"/>
      <c r="O110" s="450"/>
      <c r="P110" s="448"/>
      <c r="Q110" s="437"/>
      <c r="R110" s="351"/>
      <c r="S110" s="351"/>
      <c r="T110" s="351"/>
      <c r="U110" s="351"/>
      <c r="V110" s="351"/>
      <c r="W110" s="351"/>
      <c r="X110" s="351"/>
      <c r="Y110" s="351"/>
      <c r="Z110" s="351"/>
      <c r="AA110" s="351"/>
      <c r="AB110" s="351"/>
      <c r="AC110" s="351"/>
    </row>
    <row r="111" spans="1:29" s="212" customFormat="1">
      <c r="A111" s="503"/>
      <c r="B111" s="378" t="s">
        <v>2420</v>
      </c>
      <c r="C111" s="391" t="str">
        <f>C112&amp;"(含)"&amp;"-"&amp;D112</f>
        <v>0.5(含)-0.6</v>
      </c>
      <c r="D111" s="391" t="str">
        <f>D112&amp;"(含)"&amp;"-"&amp;E112</f>
        <v>0.6(含)-0.7</v>
      </c>
      <c r="E111" s="391" t="str">
        <f>E112&amp;"(含)"&amp;"-"&amp;F112</f>
        <v>0.7(含)-0.8</v>
      </c>
      <c r="F111" s="391" t="str">
        <f>F112&amp;"(含)"&amp;"-"&amp;G112</f>
        <v>0.8(含)-0.9</v>
      </c>
      <c r="G111" s="391" t="str">
        <f>G112&amp;"(含)"&amp;"-"&amp;ROUND(H112,0)</f>
        <v>0.9(含)-1</v>
      </c>
      <c r="H111" s="391" t="str">
        <f>ROUND(H112,0)&amp;"(含)"&amp;"-"&amp;I112</f>
        <v>1(含)-</v>
      </c>
      <c r="I111" s="391"/>
      <c r="J111" s="665"/>
      <c r="K111" s="665"/>
      <c r="L111" s="666"/>
      <c r="M111" s="667"/>
      <c r="N111" s="459"/>
      <c r="O111" s="459"/>
      <c r="P111" s="460"/>
      <c r="Q111" s="485"/>
      <c r="R111" s="486"/>
      <c r="S111" s="486"/>
      <c r="T111" s="486"/>
      <c r="U111" s="486"/>
      <c r="V111" s="486"/>
      <c r="W111" s="486"/>
      <c r="X111" s="486"/>
      <c r="Y111" s="486"/>
      <c r="Z111" s="486"/>
      <c r="AA111" s="486"/>
      <c r="AB111" s="486"/>
      <c r="AC111" s="486"/>
    </row>
    <row r="112" spans="1:29" s="212" customFormat="1">
      <c r="A112" s="503"/>
      <c r="B112" s="497"/>
      <c r="C112" s="499">
        <v>0.5</v>
      </c>
      <c r="D112" s="499">
        <v>0.6</v>
      </c>
      <c r="E112" s="499">
        <v>0.7</v>
      </c>
      <c r="F112" s="499">
        <v>0.8</v>
      </c>
      <c r="G112" s="499">
        <v>0.9</v>
      </c>
      <c r="H112" s="499">
        <v>1.0001</v>
      </c>
      <c r="I112" s="499"/>
      <c r="J112" s="668"/>
      <c r="K112" s="668"/>
      <c r="L112" s="669"/>
      <c r="M112" s="670"/>
      <c r="N112" s="459"/>
      <c r="O112" s="459"/>
      <c r="P112" s="460"/>
      <c r="Q112" s="485"/>
      <c r="R112" s="486"/>
      <c r="S112" s="486"/>
      <c r="T112" s="486"/>
      <c r="U112" s="486"/>
      <c r="V112" s="486"/>
      <c r="W112" s="486"/>
      <c r="X112" s="486"/>
      <c r="Y112" s="486"/>
      <c r="Z112" s="486"/>
      <c r="AA112" s="486"/>
      <c r="AB112" s="486"/>
      <c r="AC112" s="486"/>
    </row>
    <row r="113" spans="1:29" s="212" customFormat="1" ht="15">
      <c r="A113" s="384"/>
      <c r="B113" s="380"/>
      <c r="C113" s="500">
        <v>100</v>
      </c>
      <c r="D113" s="389">
        <f>C113+$K37</f>
        <v>100</v>
      </c>
      <c r="E113" s="389">
        <f>D113+$K37</f>
        <v>100</v>
      </c>
      <c r="F113" s="389">
        <f>E113+$K37</f>
        <v>100</v>
      </c>
      <c r="G113" s="389">
        <f>F113+$K37</f>
        <v>100</v>
      </c>
      <c r="H113" s="389">
        <f>G113+$K37</f>
        <v>100</v>
      </c>
      <c r="I113" s="500"/>
      <c r="J113" s="671"/>
      <c r="K113" s="671"/>
      <c r="L113" s="671"/>
      <c r="M113" s="672"/>
      <c r="N113" s="459"/>
      <c r="O113" s="459"/>
      <c r="P113" s="460"/>
      <c r="Q113" s="485"/>
      <c r="R113" s="486"/>
      <c r="S113" s="486"/>
      <c r="T113" s="486"/>
      <c r="U113" s="486"/>
      <c r="V113" s="486"/>
      <c r="W113" s="486"/>
      <c r="X113" s="486"/>
      <c r="Y113" s="486"/>
      <c r="Z113" s="486"/>
      <c r="AA113" s="486"/>
      <c r="AB113" s="486"/>
      <c r="AC113" s="486"/>
    </row>
    <row r="114" spans="1:29">
      <c r="A114" s="501"/>
      <c r="B114" s="378" t="s">
        <v>2421</v>
      </c>
      <c r="C114" s="385"/>
      <c r="D114" s="385"/>
      <c r="E114" s="379"/>
      <c r="F114" s="379"/>
      <c r="G114" s="379"/>
      <c r="H114" s="379"/>
      <c r="I114" s="379"/>
      <c r="J114" s="379"/>
      <c r="K114" s="451"/>
      <c r="L114" s="452"/>
      <c r="M114" s="453"/>
      <c r="N114" s="447"/>
      <c r="O114" s="447"/>
      <c r="P114" s="448"/>
      <c r="Q114" s="437"/>
      <c r="R114" s="351"/>
      <c r="S114" s="351"/>
      <c r="T114" s="351"/>
      <c r="U114" s="351"/>
      <c r="V114" s="351"/>
      <c r="W114" s="351"/>
      <c r="X114" s="351"/>
      <c r="Y114" s="351"/>
      <c r="Z114" s="351"/>
      <c r="AA114" s="351"/>
      <c r="AB114" s="351"/>
      <c r="AC114" s="351"/>
    </row>
    <row r="115" spans="1:29" ht="15">
      <c r="A115" s="375"/>
      <c r="B115" s="380"/>
      <c r="C115" s="389">
        <v>100</v>
      </c>
      <c r="D115" s="389">
        <f t="shared" ref="D115:M115" si="23">C115-$K38</f>
        <v>100</v>
      </c>
      <c r="E115" s="389">
        <f t="shared" si="23"/>
        <v>100</v>
      </c>
      <c r="F115" s="389">
        <f t="shared" si="23"/>
        <v>100</v>
      </c>
      <c r="G115" s="389">
        <f t="shared" si="23"/>
        <v>100</v>
      </c>
      <c r="H115" s="389">
        <f t="shared" si="23"/>
        <v>100</v>
      </c>
      <c r="I115" s="389">
        <f t="shared" si="23"/>
        <v>100</v>
      </c>
      <c r="J115" s="389">
        <f t="shared" si="23"/>
        <v>100</v>
      </c>
      <c r="K115" s="389">
        <f t="shared" si="23"/>
        <v>100</v>
      </c>
      <c r="L115" s="389">
        <f t="shared" si="23"/>
        <v>100</v>
      </c>
      <c r="M115" s="389">
        <f t="shared" si="23"/>
        <v>100</v>
      </c>
      <c r="N115" s="450"/>
      <c r="O115" s="450"/>
      <c r="P115" s="448"/>
      <c r="Q115" s="437"/>
      <c r="R115" s="351"/>
      <c r="S115" s="351"/>
      <c r="T115" s="351"/>
      <c r="U115" s="351"/>
      <c r="V115" s="351"/>
      <c r="W115" s="351"/>
      <c r="X115" s="351"/>
      <c r="Y115" s="351"/>
      <c r="Z115" s="351"/>
      <c r="AA115" s="351"/>
      <c r="AB115" s="351"/>
      <c r="AC115" s="351"/>
    </row>
    <row r="116" spans="1:29">
      <c r="A116" s="501"/>
      <c r="B116" s="390" t="s">
        <v>2422</v>
      </c>
      <c r="C116" s="385"/>
      <c r="D116" s="385"/>
      <c r="E116" s="385"/>
      <c r="F116" s="385"/>
      <c r="G116" s="385"/>
      <c r="H116" s="379"/>
      <c r="I116" s="379"/>
      <c r="J116" s="379"/>
      <c r="K116" s="451"/>
      <c r="L116" s="452"/>
      <c r="M116" s="453"/>
      <c r="N116" s="447"/>
      <c r="O116" s="447"/>
      <c r="P116" s="448"/>
      <c r="Q116" s="437"/>
      <c r="R116" s="351"/>
      <c r="S116" s="351"/>
      <c r="T116" s="351"/>
      <c r="U116" s="351"/>
      <c r="V116" s="351"/>
      <c r="W116" s="351"/>
      <c r="X116" s="351"/>
      <c r="Y116" s="351"/>
      <c r="Z116" s="351"/>
      <c r="AA116" s="351"/>
      <c r="AB116" s="351"/>
      <c r="AC116" s="351"/>
    </row>
    <row r="117" spans="1:29" ht="15">
      <c r="A117" s="375"/>
      <c r="B117" s="380"/>
      <c r="C117" s="389">
        <v>100</v>
      </c>
      <c r="D117" s="389">
        <f>C117-$K39</f>
        <v>100</v>
      </c>
      <c r="E117" s="389">
        <f>D117-$K39</f>
        <v>100</v>
      </c>
      <c r="F117" s="389">
        <f>E117-$K39</f>
        <v>100</v>
      </c>
      <c r="G117" s="389">
        <f>F117-$K39</f>
        <v>100</v>
      </c>
      <c r="H117" s="389"/>
      <c r="I117" s="389"/>
      <c r="J117" s="389"/>
      <c r="K117" s="389"/>
      <c r="L117" s="389"/>
      <c r="M117" s="466"/>
      <c r="N117" s="450"/>
      <c r="O117" s="450"/>
      <c r="P117" s="448"/>
      <c r="Q117" s="437"/>
      <c r="R117" s="351"/>
      <c r="S117" s="351"/>
      <c r="T117" s="351"/>
      <c r="U117" s="351"/>
      <c r="V117" s="351"/>
      <c r="W117" s="351"/>
      <c r="X117" s="351"/>
      <c r="Y117" s="351"/>
      <c r="Z117" s="351"/>
      <c r="AA117" s="351"/>
      <c r="AB117" s="351"/>
      <c r="AC117" s="351"/>
    </row>
    <row r="118" spans="1:29">
      <c r="A118" s="501"/>
      <c r="B118" s="378" t="s">
        <v>2423</v>
      </c>
      <c r="C118" s="379"/>
      <c r="D118" s="379"/>
      <c r="E118" s="379"/>
      <c r="F118" s="379"/>
      <c r="G118" s="379"/>
      <c r="H118" s="379"/>
      <c r="I118" s="379"/>
      <c r="J118" s="379"/>
      <c r="K118" s="451"/>
      <c r="L118" s="452"/>
      <c r="M118" s="453"/>
      <c r="N118" s="447"/>
      <c r="O118" s="447"/>
      <c r="P118" s="448"/>
      <c r="Q118" s="437"/>
      <c r="R118" s="351"/>
      <c r="S118" s="351"/>
      <c r="T118" s="351"/>
      <c r="U118" s="351"/>
      <c r="V118" s="351"/>
      <c r="W118" s="351"/>
      <c r="X118" s="351"/>
      <c r="Y118" s="351"/>
      <c r="Z118" s="351"/>
      <c r="AA118" s="351"/>
      <c r="AB118" s="351"/>
      <c r="AC118" s="351"/>
    </row>
    <row r="119" spans="1:29" ht="15">
      <c r="A119" s="375"/>
      <c r="B119" s="380"/>
      <c r="C119" s="389">
        <v>100</v>
      </c>
      <c r="D119" s="389">
        <f t="shared" ref="D119:M119" si="24">C119-$K40</f>
        <v>100</v>
      </c>
      <c r="E119" s="389">
        <f t="shared" si="24"/>
        <v>100</v>
      </c>
      <c r="F119" s="389">
        <f t="shared" si="24"/>
        <v>100</v>
      </c>
      <c r="G119" s="389">
        <f t="shared" si="24"/>
        <v>100</v>
      </c>
      <c r="H119" s="389">
        <f t="shared" si="24"/>
        <v>100</v>
      </c>
      <c r="I119" s="389">
        <f t="shared" si="24"/>
        <v>100</v>
      </c>
      <c r="J119" s="389">
        <f t="shared" si="24"/>
        <v>100</v>
      </c>
      <c r="K119" s="389">
        <f t="shared" si="24"/>
        <v>100</v>
      </c>
      <c r="L119" s="389">
        <f t="shared" si="24"/>
        <v>100</v>
      </c>
      <c r="M119" s="389">
        <f t="shared" si="24"/>
        <v>100</v>
      </c>
      <c r="N119" s="450"/>
      <c r="O119" s="450"/>
      <c r="P119" s="448"/>
      <c r="Q119" s="437"/>
      <c r="R119" s="351"/>
      <c r="S119" s="351"/>
      <c r="T119" s="351"/>
      <c r="U119" s="351"/>
      <c r="V119" s="351"/>
      <c r="W119" s="351"/>
      <c r="X119" s="351"/>
      <c r="Y119" s="351"/>
      <c r="Z119" s="351"/>
      <c r="AA119" s="351"/>
      <c r="AB119" s="351"/>
      <c r="AC119" s="351"/>
    </row>
    <row r="120" spans="1:29" s="212" customFormat="1" ht="27.75">
      <c r="A120" s="503"/>
      <c r="B120" s="378" t="s">
        <v>2424</v>
      </c>
      <c r="C120" s="385"/>
      <c r="D120" s="385"/>
      <c r="E120" s="385"/>
      <c r="F120" s="385"/>
      <c r="G120" s="385"/>
      <c r="H120" s="385"/>
      <c r="I120" s="385"/>
      <c r="J120" s="385"/>
      <c r="K120" s="385"/>
      <c r="L120" s="507"/>
      <c r="M120" s="508"/>
      <c r="N120" s="459"/>
      <c r="O120" s="459"/>
      <c r="P120" s="460"/>
      <c r="Q120" s="485"/>
      <c r="R120" s="486"/>
      <c r="S120" s="486"/>
      <c r="T120" s="486"/>
      <c r="U120" s="486"/>
      <c r="V120" s="486"/>
      <c r="W120" s="486"/>
      <c r="X120" s="486"/>
      <c r="Y120" s="486"/>
      <c r="Z120" s="486"/>
      <c r="AA120" s="486"/>
      <c r="AB120" s="486"/>
      <c r="AC120" s="486"/>
    </row>
    <row r="121" spans="1:29" s="212" customFormat="1" ht="15">
      <c r="A121" s="384"/>
      <c r="B121" s="376"/>
      <c r="C121" s="383"/>
      <c r="D121" s="377"/>
      <c r="E121" s="377"/>
      <c r="F121" s="377"/>
      <c r="G121" s="377"/>
      <c r="H121" s="377"/>
      <c r="I121" s="377"/>
      <c r="J121" s="377"/>
      <c r="K121" s="377"/>
      <c r="L121" s="377"/>
      <c r="M121" s="377"/>
      <c r="N121" s="459"/>
      <c r="O121" s="459"/>
      <c r="P121" s="460"/>
      <c r="Q121" s="485"/>
      <c r="R121" s="486"/>
      <c r="S121" s="486"/>
      <c r="T121" s="486"/>
      <c r="U121" s="486"/>
      <c r="V121" s="486"/>
      <c r="W121" s="486"/>
      <c r="X121" s="486"/>
      <c r="Y121" s="486"/>
      <c r="Z121" s="486"/>
      <c r="AA121" s="486"/>
      <c r="AB121" s="486"/>
      <c r="AC121" s="486"/>
    </row>
    <row r="122" spans="1:29">
      <c r="A122" s="501"/>
      <c r="B122" s="378" t="s">
        <v>2425</v>
      </c>
      <c r="C122" s="385"/>
      <c r="D122" s="385"/>
      <c r="E122" s="385"/>
      <c r="F122" s="379"/>
      <c r="G122" s="379"/>
      <c r="H122" s="379"/>
      <c r="I122" s="379"/>
      <c r="J122" s="379"/>
      <c r="K122" s="451"/>
      <c r="L122" s="452"/>
      <c r="M122" s="453"/>
      <c r="N122" s="447"/>
      <c r="O122" s="447"/>
      <c r="P122" s="448"/>
      <c r="Q122" s="437"/>
      <c r="R122" s="351"/>
      <c r="S122" s="351"/>
      <c r="T122" s="351"/>
      <c r="U122" s="351"/>
      <c r="V122" s="351"/>
      <c r="W122" s="351"/>
      <c r="X122" s="351"/>
      <c r="Y122" s="351"/>
      <c r="Z122" s="351"/>
      <c r="AA122" s="351"/>
      <c r="AB122" s="351"/>
      <c r="AC122" s="351"/>
    </row>
    <row r="123" spans="1:29" ht="15">
      <c r="A123" s="375"/>
      <c r="B123" s="380"/>
      <c r="C123" s="389">
        <v>100</v>
      </c>
      <c r="D123" s="389">
        <f t="shared" ref="D123:M123" si="25">C123-$K42</f>
        <v>100</v>
      </c>
      <c r="E123" s="389">
        <f t="shared" si="25"/>
        <v>100</v>
      </c>
      <c r="F123" s="389">
        <f t="shared" si="25"/>
        <v>100</v>
      </c>
      <c r="G123" s="389">
        <f t="shared" si="25"/>
        <v>100</v>
      </c>
      <c r="H123" s="389">
        <f t="shared" si="25"/>
        <v>100</v>
      </c>
      <c r="I123" s="389">
        <f t="shared" si="25"/>
        <v>100</v>
      </c>
      <c r="J123" s="389">
        <f t="shared" si="25"/>
        <v>100</v>
      </c>
      <c r="K123" s="389">
        <f t="shared" si="25"/>
        <v>100</v>
      </c>
      <c r="L123" s="389">
        <f t="shared" si="25"/>
        <v>100</v>
      </c>
      <c r="M123" s="389">
        <f t="shared" si="25"/>
        <v>100</v>
      </c>
      <c r="N123" s="450"/>
      <c r="O123" s="450"/>
      <c r="P123" s="448"/>
      <c r="Q123" s="437"/>
      <c r="R123" s="351"/>
      <c r="S123" s="351"/>
      <c r="T123" s="351"/>
      <c r="U123" s="351"/>
      <c r="V123" s="351"/>
      <c r="W123" s="351"/>
      <c r="X123" s="351"/>
      <c r="Y123" s="351"/>
      <c r="Z123" s="351"/>
      <c r="AA123" s="351"/>
      <c r="AB123" s="351"/>
      <c r="AC123" s="351"/>
    </row>
    <row r="124" spans="1:29">
      <c r="A124" s="501"/>
      <c r="B124" s="378" t="s">
        <v>233</v>
      </c>
      <c r="C124" s="391" t="s">
        <v>244</v>
      </c>
      <c r="D124" s="391" t="s">
        <v>256</v>
      </c>
      <c r="E124" s="391" t="s">
        <v>267</v>
      </c>
      <c r="F124" s="391" t="s">
        <v>277</v>
      </c>
      <c r="G124" s="391" t="s">
        <v>285</v>
      </c>
      <c r="H124" s="392"/>
      <c r="I124" s="392"/>
      <c r="J124" s="392"/>
      <c r="K124" s="467"/>
      <c r="L124" s="468"/>
      <c r="M124" s="469"/>
      <c r="N124" s="447"/>
      <c r="O124" s="447"/>
      <c r="P124" s="460"/>
      <c r="Q124" s="437"/>
      <c r="R124" s="351"/>
      <c r="S124" s="351"/>
      <c r="T124" s="351"/>
      <c r="U124" s="351"/>
      <c r="V124" s="351"/>
      <c r="W124" s="351"/>
      <c r="X124" s="351"/>
      <c r="Y124" s="351"/>
      <c r="Z124" s="351"/>
      <c r="AA124" s="351"/>
      <c r="AB124" s="351"/>
      <c r="AC124" s="351"/>
    </row>
    <row r="125" spans="1:29" ht="15">
      <c r="A125" s="375"/>
      <c r="B125" s="380"/>
      <c r="C125" s="389">
        <v>100</v>
      </c>
      <c r="D125" s="389">
        <f>C125-$K43</f>
        <v>100</v>
      </c>
      <c r="E125" s="389">
        <f>D125-$K43</f>
        <v>100</v>
      </c>
      <c r="F125" s="389">
        <f>E125-$K43</f>
        <v>100</v>
      </c>
      <c r="G125" s="389">
        <f>F125-$K43</f>
        <v>100</v>
      </c>
      <c r="H125" s="389"/>
      <c r="I125" s="389"/>
      <c r="J125" s="389"/>
      <c r="K125" s="389"/>
      <c r="L125" s="389"/>
      <c r="M125" s="466"/>
      <c r="N125" s="450"/>
      <c r="O125" s="450"/>
      <c r="P125" s="448"/>
      <c r="Q125" s="437"/>
      <c r="R125" s="351"/>
      <c r="S125" s="351"/>
      <c r="T125" s="351"/>
      <c r="U125" s="351"/>
      <c r="V125" s="351"/>
      <c r="W125" s="351"/>
      <c r="X125" s="351"/>
      <c r="Y125" s="351"/>
      <c r="Z125" s="351"/>
      <c r="AA125" s="351"/>
      <c r="AB125" s="351"/>
      <c r="AC125" s="351"/>
    </row>
    <row r="126" spans="1:29" s="212" customFormat="1">
      <c r="A126" s="503"/>
      <c r="B126" s="378">
        <f>B44</f>
        <v>111</v>
      </c>
      <c r="C126" s="385"/>
      <c r="D126" s="385"/>
      <c r="E126" s="385"/>
      <c r="F126" s="385"/>
      <c r="G126" s="385"/>
      <c r="H126" s="386"/>
      <c r="I126" s="386"/>
      <c r="J126" s="386"/>
      <c r="K126" s="386"/>
      <c r="L126" s="457"/>
      <c r="M126" s="458"/>
      <c r="N126" s="459"/>
      <c r="O126" s="459"/>
      <c r="P126" s="460"/>
      <c r="Q126" s="485"/>
      <c r="R126" s="486"/>
      <c r="S126" s="486"/>
      <c r="T126" s="486"/>
      <c r="U126" s="486"/>
      <c r="V126" s="486"/>
      <c r="W126" s="486"/>
      <c r="X126" s="486"/>
      <c r="Y126" s="486"/>
      <c r="Z126" s="486"/>
      <c r="AA126" s="486"/>
      <c r="AB126" s="486"/>
      <c r="AC126" s="486"/>
    </row>
    <row r="127" spans="1:29" s="212" customFormat="1" ht="15">
      <c r="A127" s="384"/>
      <c r="B127" s="380"/>
      <c r="C127" s="383"/>
      <c r="D127" s="377"/>
      <c r="E127" s="377"/>
      <c r="F127" s="377"/>
      <c r="G127" s="383"/>
      <c r="H127" s="387"/>
      <c r="I127" s="387"/>
      <c r="J127" s="387"/>
      <c r="K127" s="387"/>
      <c r="L127" s="387"/>
      <c r="M127" s="461"/>
      <c r="N127" s="459"/>
      <c r="O127" s="459"/>
      <c r="P127" s="460"/>
      <c r="Q127" s="485"/>
      <c r="R127" s="486"/>
      <c r="S127" s="486"/>
      <c r="T127" s="486"/>
      <c r="U127" s="486"/>
      <c r="V127" s="486"/>
      <c r="W127" s="486"/>
      <c r="X127" s="486"/>
      <c r="Y127" s="486"/>
      <c r="Z127" s="486"/>
      <c r="AA127" s="486"/>
      <c r="AB127" s="486"/>
      <c r="AC127" s="486"/>
    </row>
    <row r="128" spans="1:29">
      <c r="A128" s="501"/>
      <c r="B128" s="378">
        <f>B45</f>
        <v>111</v>
      </c>
      <c r="C128" s="385"/>
      <c r="D128" s="385"/>
      <c r="E128" s="385"/>
      <c r="F128" s="385"/>
      <c r="G128" s="379"/>
      <c r="H128" s="379"/>
      <c r="I128" s="379"/>
      <c r="J128" s="379"/>
      <c r="K128" s="451"/>
      <c r="L128" s="452"/>
      <c r="M128" s="453"/>
      <c r="N128" s="447"/>
      <c r="O128" s="447"/>
      <c r="P128" s="448"/>
      <c r="Q128" s="437"/>
      <c r="R128" s="351"/>
      <c r="S128" s="351"/>
      <c r="T128" s="351"/>
      <c r="U128" s="351"/>
      <c r="V128" s="351"/>
      <c r="W128" s="351"/>
      <c r="X128" s="351"/>
      <c r="Y128" s="351"/>
      <c r="Z128" s="351"/>
      <c r="AA128" s="351"/>
      <c r="AB128" s="351"/>
      <c r="AC128" s="351"/>
    </row>
    <row r="129" spans="1:29" ht="15">
      <c r="A129" s="375"/>
      <c r="B129" s="380"/>
      <c r="C129" s="383"/>
      <c r="D129" s="383"/>
      <c r="E129" s="383"/>
      <c r="F129" s="383"/>
      <c r="G129" s="377"/>
      <c r="H129" s="377"/>
      <c r="I129" s="377"/>
      <c r="J129" s="377"/>
      <c r="K129" s="377"/>
      <c r="L129" s="377"/>
      <c r="M129" s="449"/>
      <c r="N129" s="450"/>
      <c r="O129" s="450"/>
      <c r="P129" s="448"/>
      <c r="Q129" s="437"/>
      <c r="R129" s="351"/>
      <c r="S129" s="351"/>
      <c r="T129" s="351"/>
      <c r="U129" s="351"/>
      <c r="V129" s="351"/>
      <c r="W129" s="351"/>
      <c r="X129" s="351"/>
      <c r="Y129" s="351"/>
      <c r="Z129" s="351"/>
      <c r="AA129" s="351"/>
      <c r="AB129" s="351"/>
      <c r="AC129" s="351"/>
    </row>
    <row r="130" spans="1:29">
      <c r="A130" s="501"/>
      <c r="B130" s="497">
        <f>B46</f>
        <v>111</v>
      </c>
      <c r="C130" s="385"/>
      <c r="D130" s="385"/>
      <c r="E130" s="385"/>
      <c r="F130" s="385"/>
      <c r="G130" s="576"/>
      <c r="H130" s="576"/>
      <c r="I130" s="576"/>
      <c r="J130" s="576"/>
      <c r="K130" s="370"/>
      <c r="L130" s="440"/>
      <c r="M130" s="586"/>
      <c r="N130" s="447"/>
      <c r="O130" s="447"/>
      <c r="P130" s="448"/>
      <c r="Q130" s="437"/>
      <c r="R130" s="351"/>
      <c r="S130" s="351"/>
      <c r="T130" s="351"/>
      <c r="U130" s="351"/>
      <c r="V130" s="351"/>
      <c r="W130" s="351"/>
      <c r="X130" s="351"/>
      <c r="Y130" s="351"/>
      <c r="Z130" s="351"/>
      <c r="AA130" s="351"/>
      <c r="AB130" s="351"/>
      <c r="AC130" s="351"/>
    </row>
    <row r="131" spans="1:29" ht="15">
      <c r="A131" s="577"/>
      <c r="B131" s="573"/>
      <c r="C131" s="574"/>
      <c r="D131" s="574"/>
      <c r="E131" s="574"/>
      <c r="F131" s="574"/>
      <c r="G131" s="578"/>
      <c r="H131" s="578"/>
      <c r="I131" s="578"/>
      <c r="J131" s="578"/>
      <c r="K131" s="578"/>
      <c r="L131" s="578"/>
      <c r="M131" s="587"/>
      <c r="N131" s="450"/>
      <c r="O131" s="450"/>
      <c r="P131" s="448"/>
      <c r="Q131" s="437"/>
      <c r="R131" s="351"/>
      <c r="S131" s="351"/>
      <c r="T131" s="351"/>
      <c r="U131" s="351"/>
      <c r="V131" s="351"/>
      <c r="W131" s="351"/>
      <c r="X131" s="351"/>
      <c r="Y131" s="351"/>
      <c r="Z131" s="351"/>
      <c r="AA131" s="351"/>
      <c r="AB131" s="351"/>
      <c r="AC131" s="351"/>
    </row>
    <row r="132" spans="1:29">
      <c r="A132" s="505"/>
      <c r="B132" s="505"/>
      <c r="C132" s="505"/>
      <c r="D132" s="505"/>
      <c r="E132" s="505"/>
      <c r="F132" s="505"/>
      <c r="G132" s="505"/>
      <c r="H132" s="505"/>
      <c r="I132" s="505"/>
      <c r="J132" s="505"/>
      <c r="K132" s="517"/>
      <c r="L132" s="518"/>
      <c r="M132" s="505"/>
      <c r="N132" s="505"/>
      <c r="O132" s="505"/>
      <c r="P132" s="505"/>
      <c r="Q132" s="505"/>
      <c r="R132" s="505"/>
      <c r="S132" s="505"/>
      <c r="T132" s="505"/>
      <c r="U132" s="505"/>
      <c r="V132" s="505"/>
      <c r="W132" s="505"/>
      <c r="X132" s="505"/>
      <c r="Y132" s="505"/>
      <c r="Z132" s="505"/>
      <c r="AA132" s="505"/>
      <c r="AB132" s="505"/>
      <c r="AC132" s="505"/>
    </row>
    <row r="133" spans="1:29">
      <c r="A133" s="505"/>
      <c r="B133" s="505"/>
      <c r="C133" s="505"/>
      <c r="D133" s="505"/>
      <c r="E133" s="505"/>
      <c r="F133" s="505"/>
      <c r="G133" s="505"/>
      <c r="H133" s="505"/>
      <c r="I133" s="505"/>
      <c r="J133" s="505"/>
      <c r="K133" s="517"/>
      <c r="L133" s="518"/>
      <c r="M133" s="505"/>
      <c r="N133" s="505"/>
      <c r="O133" s="505"/>
      <c r="P133" s="505"/>
      <c r="Q133" s="505"/>
      <c r="R133" s="505"/>
      <c r="S133" s="505"/>
      <c r="T133" s="505"/>
      <c r="U133" s="505"/>
      <c r="V133" s="505"/>
      <c r="W133" s="505"/>
      <c r="X133" s="505"/>
      <c r="Y133" s="505"/>
      <c r="Z133" s="505"/>
      <c r="AA133" s="505"/>
      <c r="AB133" s="505"/>
      <c r="AC133" s="505"/>
    </row>
    <row r="134" spans="1:29">
      <c r="A134" s="505"/>
      <c r="B134" s="505"/>
      <c r="C134" s="505"/>
      <c r="D134" s="505"/>
      <c r="E134" s="505"/>
      <c r="F134" s="505"/>
      <c r="G134" s="505"/>
      <c r="H134" s="505"/>
      <c r="I134" s="505"/>
      <c r="J134" s="505"/>
      <c r="K134" s="517"/>
      <c r="L134" s="518"/>
      <c r="M134" s="505"/>
      <c r="N134" s="505"/>
      <c r="O134" s="505"/>
      <c r="P134" s="505"/>
      <c r="Q134" s="505"/>
      <c r="R134" s="505"/>
      <c r="S134" s="505"/>
      <c r="T134" s="505"/>
      <c r="U134" s="505"/>
      <c r="V134" s="505"/>
      <c r="W134" s="505"/>
      <c r="X134" s="505"/>
      <c r="Y134" s="505"/>
      <c r="Z134" s="505"/>
      <c r="AA134" s="505"/>
      <c r="AB134" s="505"/>
      <c r="AC134" s="505"/>
    </row>
    <row r="135" spans="1:29">
      <c r="A135" s="505"/>
      <c r="B135" s="505"/>
      <c r="C135" s="505"/>
      <c r="D135" s="505"/>
      <c r="E135" s="505"/>
      <c r="F135" s="505"/>
      <c r="G135" s="505"/>
      <c r="H135" s="505"/>
      <c r="I135" s="505"/>
      <c r="J135" s="505"/>
      <c r="K135" s="517"/>
      <c r="L135" s="518"/>
      <c r="M135" s="505"/>
      <c r="N135" s="505"/>
      <c r="O135" s="505"/>
      <c r="P135" s="505"/>
      <c r="Q135" s="505"/>
      <c r="R135" s="505"/>
      <c r="S135" s="505"/>
      <c r="T135" s="505"/>
      <c r="U135" s="505"/>
      <c r="V135" s="505"/>
      <c r="W135" s="505"/>
      <c r="X135" s="505"/>
      <c r="Y135" s="505"/>
      <c r="Z135" s="505"/>
      <c r="AA135" s="505"/>
      <c r="AB135" s="505"/>
      <c r="AC135" s="505"/>
    </row>
    <row r="136" spans="1:29">
      <c r="A136" s="505"/>
      <c r="B136" s="673" t="s">
        <v>2427</v>
      </c>
      <c r="C136" s="674"/>
      <c r="D136" s="674"/>
      <c r="E136" s="674"/>
      <c r="F136" s="674"/>
      <c r="G136" s="674"/>
      <c r="H136" s="674"/>
      <c r="I136" s="674"/>
      <c r="J136" s="674"/>
      <c r="K136" s="705"/>
      <c r="L136" s="518"/>
      <c r="M136" s="505"/>
      <c r="N136" s="505"/>
      <c r="O136" s="505"/>
      <c r="P136" s="505"/>
      <c r="Q136" s="505"/>
      <c r="R136" s="505"/>
      <c r="S136" s="505"/>
      <c r="T136" s="505"/>
      <c r="U136" s="505"/>
      <c r="V136" s="505"/>
      <c r="W136" s="505"/>
      <c r="X136" s="505"/>
      <c r="Y136" s="505"/>
      <c r="Z136" s="505"/>
      <c r="AA136" s="505"/>
      <c r="AB136" s="505"/>
      <c r="AC136" s="505"/>
    </row>
    <row r="137" spans="1:29">
      <c r="A137" s="505"/>
      <c r="B137" s="675" t="s">
        <v>2428</v>
      </c>
      <c r="C137" s="676"/>
      <c r="D137" s="676"/>
      <c r="E137" s="676"/>
      <c r="F137" s="676"/>
      <c r="G137" s="677"/>
      <c r="H137" s="678"/>
      <c r="I137" s="706" t="s">
        <v>2429</v>
      </c>
      <c r="J137" s="676"/>
      <c r="K137" s="707"/>
      <c r="L137" s="518"/>
      <c r="M137" s="505"/>
      <c r="N137" s="505"/>
      <c r="O137" s="505"/>
      <c r="P137" s="505"/>
      <c r="Q137" s="505"/>
      <c r="R137" s="505"/>
      <c r="S137" s="505"/>
      <c r="T137" s="505"/>
      <c r="U137" s="505"/>
      <c r="V137" s="505"/>
      <c r="W137" s="505"/>
      <c r="X137" s="505"/>
      <c r="Y137" s="505"/>
      <c r="Z137" s="505"/>
      <c r="AA137" s="505"/>
      <c r="AB137" s="505"/>
      <c r="AC137" s="505"/>
    </row>
    <row r="138" spans="1:29">
      <c r="A138" s="505"/>
      <c r="B138" s="679"/>
      <c r="C138" s="680" t="s">
        <v>2430</v>
      </c>
      <c r="D138" s="680" t="s">
        <v>2431</v>
      </c>
      <c r="E138" s="681" t="s">
        <v>2432</v>
      </c>
      <c r="F138" s="682" t="s">
        <v>2433</v>
      </c>
      <c r="G138" s="680" t="s">
        <v>2431</v>
      </c>
      <c r="H138" s="683" t="s">
        <v>2432</v>
      </c>
      <c r="I138" s="708"/>
      <c r="J138" s="680" t="s">
        <v>2434</v>
      </c>
      <c r="K138" s="683" t="s">
        <v>2435</v>
      </c>
      <c r="L138" s="518"/>
      <c r="M138" s="505"/>
      <c r="N138" s="505"/>
      <c r="O138" s="505"/>
      <c r="P138" s="505"/>
      <c r="Q138" s="505"/>
      <c r="R138" s="505"/>
      <c r="S138" s="505"/>
      <c r="T138" s="505"/>
      <c r="U138" s="505"/>
      <c r="V138" s="505"/>
      <c r="W138" s="505"/>
      <c r="X138" s="505"/>
      <c r="Y138" s="505"/>
      <c r="Z138" s="505"/>
      <c r="AA138" s="505"/>
      <c r="AB138" s="505"/>
      <c r="AC138" s="505"/>
    </row>
    <row r="139" spans="1:29" ht="15">
      <c r="A139" s="505"/>
      <c r="B139" s="684">
        <v>6</v>
      </c>
      <c r="C139" s="685">
        <v>96</v>
      </c>
      <c r="D139" s="686" t="s">
        <v>2436</v>
      </c>
      <c r="E139" s="687">
        <v>100</v>
      </c>
      <c r="F139" s="688">
        <v>102.5</v>
      </c>
      <c r="G139" s="686" t="s">
        <v>2436</v>
      </c>
      <c r="H139" s="689">
        <v>105</v>
      </c>
      <c r="I139" s="709" t="s">
        <v>2437</v>
      </c>
      <c r="J139" s="685">
        <v>20</v>
      </c>
      <c r="K139" s="710">
        <f>C145/(J139-2)</f>
        <v>4.0555555555555596E-3</v>
      </c>
      <c r="L139" s="518"/>
      <c r="M139" s="505"/>
      <c r="N139" s="505"/>
      <c r="O139" s="505"/>
      <c r="P139" s="505"/>
      <c r="Q139" s="505"/>
      <c r="R139" s="505"/>
      <c r="S139" s="505"/>
      <c r="T139" s="505"/>
      <c r="U139" s="505"/>
      <c r="V139" s="505"/>
      <c r="W139" s="505"/>
      <c r="X139" s="505"/>
      <c r="Y139" s="505"/>
      <c r="Z139" s="505"/>
      <c r="AA139" s="505"/>
      <c r="AB139" s="505"/>
      <c r="AC139" s="505"/>
    </row>
    <row r="140" spans="1:29" ht="15">
      <c r="A140" s="505"/>
      <c r="B140" s="690">
        <v>5</v>
      </c>
      <c r="C140" s="691">
        <v>100</v>
      </c>
      <c r="D140" s="692"/>
      <c r="E140" s="693"/>
      <c r="F140" s="694">
        <v>102</v>
      </c>
      <c r="G140" s="692"/>
      <c r="H140" s="695"/>
      <c r="I140" s="711" t="s">
        <v>2438</v>
      </c>
      <c r="J140" s="712">
        <f>ROUNDUP((J139-1)/2,0)</f>
        <v>10</v>
      </c>
      <c r="K140" s="713">
        <v>100</v>
      </c>
      <c r="L140" s="518"/>
      <c r="M140" s="505"/>
      <c r="N140" s="505"/>
      <c r="O140" s="505"/>
      <c r="P140" s="505"/>
      <c r="Q140" s="505"/>
      <c r="R140" s="505"/>
      <c r="S140" s="505"/>
      <c r="T140" s="505"/>
      <c r="U140" s="505"/>
      <c r="V140" s="505"/>
      <c r="W140" s="505"/>
      <c r="X140" s="505"/>
      <c r="Y140" s="505"/>
      <c r="Z140" s="505"/>
      <c r="AA140" s="505"/>
      <c r="AB140" s="505"/>
      <c r="AC140" s="505"/>
    </row>
    <row r="141" spans="1:29" ht="15">
      <c r="A141" s="505"/>
      <c r="B141" s="690">
        <v>4</v>
      </c>
      <c r="C141" s="691">
        <v>102</v>
      </c>
      <c r="D141" s="692"/>
      <c r="E141" s="693"/>
      <c r="F141" s="694">
        <v>101.5</v>
      </c>
      <c r="G141" s="692"/>
      <c r="H141" s="695"/>
      <c r="I141" s="711" t="s">
        <v>2439</v>
      </c>
      <c r="J141" s="712">
        <v>1</v>
      </c>
      <c r="K141" s="714">
        <f>ROUND(100+(J141-J140)*K139*100,1)</f>
        <v>96.4</v>
      </c>
      <c r="L141" s="518"/>
      <c r="M141" s="505"/>
      <c r="N141" s="505"/>
      <c r="O141" s="505"/>
      <c r="P141" s="505"/>
      <c r="Q141" s="505"/>
      <c r="R141" s="505"/>
      <c r="S141" s="505"/>
      <c r="T141" s="505"/>
      <c r="U141" s="505"/>
      <c r="V141" s="505"/>
      <c r="W141" s="505"/>
      <c r="X141" s="505"/>
      <c r="Y141" s="505"/>
      <c r="Z141" s="505"/>
      <c r="AA141" s="505"/>
      <c r="AB141" s="505"/>
      <c r="AC141" s="505"/>
    </row>
    <row r="142" spans="1:29" ht="15">
      <c r="A142" s="505"/>
      <c r="B142" s="690">
        <v>3</v>
      </c>
      <c r="C142" s="691">
        <v>103</v>
      </c>
      <c r="D142" s="692"/>
      <c r="E142" s="693"/>
      <c r="F142" s="694">
        <v>101</v>
      </c>
      <c r="G142" s="692"/>
      <c r="H142" s="695"/>
      <c r="I142" s="711" t="s">
        <v>2440</v>
      </c>
      <c r="J142" s="712">
        <f>J139</f>
        <v>20</v>
      </c>
      <c r="K142" s="715">
        <v>95</v>
      </c>
      <c r="L142" s="518"/>
      <c r="M142" s="505"/>
      <c r="N142" s="505"/>
      <c r="O142" s="505"/>
      <c r="P142" s="505"/>
      <c r="Q142" s="505"/>
      <c r="R142" s="505"/>
      <c r="S142" s="505"/>
      <c r="T142" s="505"/>
      <c r="U142" s="505"/>
      <c r="V142" s="505"/>
      <c r="W142" s="505"/>
      <c r="X142" s="505"/>
      <c r="Y142" s="505"/>
      <c r="Z142" s="505"/>
      <c r="AA142" s="505"/>
      <c r="AB142" s="505"/>
      <c r="AC142" s="505"/>
    </row>
    <row r="143" spans="1:29" ht="15">
      <c r="A143" s="505"/>
      <c r="B143" s="690">
        <v>2</v>
      </c>
      <c r="C143" s="691">
        <v>100</v>
      </c>
      <c r="D143" s="692"/>
      <c r="E143" s="693"/>
      <c r="F143" s="694">
        <v>100.5</v>
      </c>
      <c r="G143" s="692"/>
      <c r="H143" s="695"/>
      <c r="I143" s="711" t="s">
        <v>1282</v>
      </c>
      <c r="J143" s="691">
        <v>15</v>
      </c>
      <c r="K143" s="714">
        <f>ROUND(100+(J143-J140)*K139*100,1)</f>
        <v>102</v>
      </c>
      <c r="L143" s="518"/>
      <c r="M143" s="505"/>
      <c r="N143" s="505"/>
      <c r="O143" s="505"/>
      <c r="P143" s="505"/>
      <c r="Q143" s="505"/>
      <c r="R143" s="505"/>
      <c r="S143" s="505"/>
      <c r="T143" s="505"/>
      <c r="U143" s="505"/>
      <c r="V143" s="505"/>
      <c r="W143" s="505"/>
      <c r="X143" s="505"/>
      <c r="Y143" s="505"/>
      <c r="Z143" s="505"/>
      <c r="AA143" s="505"/>
      <c r="AB143" s="505"/>
      <c r="AC143" s="505"/>
    </row>
    <row r="144" spans="1:29" ht="15">
      <c r="A144" s="505"/>
      <c r="B144" s="690">
        <v>1</v>
      </c>
      <c r="C144" s="691">
        <v>98</v>
      </c>
      <c r="D144" s="696" t="s">
        <v>2441</v>
      </c>
      <c r="E144" s="693">
        <v>102</v>
      </c>
      <c r="F144" s="697">
        <v>100</v>
      </c>
      <c r="G144" s="696" t="s">
        <v>2441</v>
      </c>
      <c r="H144" s="695">
        <v>105</v>
      </c>
      <c r="I144" s="711" t="s">
        <v>1282</v>
      </c>
      <c r="J144" s="691">
        <v>18</v>
      </c>
      <c r="K144" s="714">
        <f>ROUND(100+(J144-J140)*K139*100,1)</f>
        <v>103.2</v>
      </c>
      <c r="L144" s="518"/>
      <c r="M144" s="505"/>
      <c r="N144" s="505"/>
      <c r="O144" s="505"/>
      <c r="P144" s="505"/>
      <c r="Q144" s="505"/>
      <c r="R144" s="505"/>
      <c r="S144" s="505"/>
      <c r="T144" s="505"/>
      <c r="U144" s="505"/>
      <c r="V144" s="505"/>
      <c r="W144" s="505"/>
      <c r="X144" s="505"/>
      <c r="Y144" s="505"/>
      <c r="Z144" s="505"/>
      <c r="AA144" s="505"/>
      <c r="AB144" s="505"/>
      <c r="AC144" s="505"/>
    </row>
    <row r="145" spans="1:29" ht="15">
      <c r="A145" s="505"/>
      <c r="B145" s="698" t="s">
        <v>2442</v>
      </c>
      <c r="C145" s="699">
        <f>ROUND(MAX(C139:C144)/MIN(C139:C144)-1,3)</f>
        <v>7.2999999999999995E-2</v>
      </c>
      <c r="D145" s="700"/>
      <c r="E145" s="700"/>
      <c r="F145" s="701" t="s">
        <v>2443</v>
      </c>
      <c r="G145" s="702"/>
      <c r="H145" s="703"/>
      <c r="I145" s="716" t="s">
        <v>1282</v>
      </c>
      <c r="J145" s="717">
        <v>8</v>
      </c>
      <c r="K145" s="718">
        <f>ROUND(100+(J145-J140)*K139*100,1)</f>
        <v>99.2</v>
      </c>
      <c r="L145" s="518"/>
      <c r="M145" s="505"/>
      <c r="N145" s="505"/>
      <c r="O145" s="505"/>
      <c r="P145" s="505"/>
      <c r="Q145" s="505"/>
      <c r="R145" s="505"/>
      <c r="S145" s="505"/>
      <c r="T145" s="505"/>
      <c r="U145" s="505"/>
      <c r="V145" s="505"/>
      <c r="W145" s="505"/>
      <c r="X145" s="505"/>
      <c r="Y145" s="505"/>
      <c r="Z145" s="505"/>
      <c r="AA145" s="505"/>
      <c r="AB145" s="505"/>
      <c r="AC145" s="505"/>
    </row>
    <row r="146" spans="1:29">
      <c r="A146" s="505"/>
      <c r="B146" s="505"/>
      <c r="C146" s="505"/>
      <c r="D146" s="505"/>
      <c r="E146" s="505"/>
      <c r="F146" s="505"/>
      <c r="G146" s="505"/>
      <c r="H146" s="505"/>
      <c r="I146" s="505"/>
      <c r="J146" s="505"/>
      <c r="K146" s="517"/>
      <c r="L146" s="518"/>
      <c r="M146" s="505"/>
      <c r="N146" s="505"/>
      <c r="O146" s="505"/>
      <c r="P146" s="505"/>
      <c r="Q146" s="505"/>
      <c r="R146" s="505"/>
      <c r="S146" s="505"/>
      <c r="T146" s="505"/>
      <c r="U146" s="505"/>
      <c r="V146" s="505"/>
      <c r="W146" s="505"/>
      <c r="X146" s="505"/>
      <c r="Y146" s="505"/>
      <c r="Z146" s="505"/>
      <c r="AA146" s="505"/>
      <c r="AB146" s="505"/>
      <c r="AC146" s="505"/>
    </row>
    <row r="147" spans="1:29">
      <c r="A147" s="505"/>
      <c r="B147" s="704" t="s">
        <v>2444</v>
      </c>
      <c r="L147" s="518"/>
      <c r="M147" s="505"/>
      <c r="N147" s="505"/>
      <c r="O147" s="505"/>
      <c r="P147" s="505"/>
      <c r="Q147" s="505"/>
      <c r="R147" s="505"/>
      <c r="S147" s="505"/>
      <c r="T147" s="505"/>
      <c r="U147" s="505"/>
      <c r="V147" s="505"/>
      <c r="W147" s="505"/>
      <c r="X147" s="505"/>
      <c r="Y147" s="505"/>
      <c r="Z147" s="505"/>
      <c r="AA147" s="505"/>
      <c r="AB147" s="505"/>
      <c r="AC147" s="505"/>
    </row>
    <row r="148" spans="1:29">
      <c r="A148" s="505"/>
      <c r="B148" s="704" t="s">
        <v>2445</v>
      </c>
      <c r="L148" s="518"/>
      <c r="M148" s="505"/>
      <c r="N148" s="505"/>
      <c r="O148" s="505"/>
      <c r="P148" s="505"/>
      <c r="Q148" s="505"/>
      <c r="R148" s="505"/>
      <c r="S148" s="505"/>
      <c r="T148" s="505"/>
      <c r="U148" s="505"/>
      <c r="V148" s="505"/>
      <c r="W148" s="505"/>
      <c r="X148" s="505"/>
      <c r="Y148" s="505"/>
      <c r="Z148" s="505"/>
      <c r="AA148" s="505"/>
      <c r="AB148" s="505"/>
      <c r="AC148" s="505"/>
    </row>
    <row r="149" spans="1:29">
      <c r="A149" s="505"/>
      <c r="B149" s="505"/>
      <c r="C149" s="505"/>
      <c r="D149" s="505"/>
      <c r="E149" s="505"/>
      <c r="F149" s="505"/>
      <c r="G149" s="505"/>
      <c r="H149" s="505"/>
      <c r="I149" s="505"/>
      <c r="J149" s="505"/>
      <c r="K149" s="517"/>
      <c r="L149" s="518"/>
      <c r="M149" s="505"/>
      <c r="N149" s="505"/>
      <c r="O149" s="505"/>
      <c r="P149" s="505"/>
      <c r="Q149" s="505"/>
      <c r="R149" s="505"/>
      <c r="S149" s="505"/>
      <c r="T149" s="505"/>
      <c r="U149" s="505"/>
      <c r="V149" s="505"/>
      <c r="W149" s="505"/>
      <c r="X149" s="505"/>
      <c r="Y149" s="505"/>
      <c r="Z149" s="505"/>
      <c r="AA149" s="505"/>
      <c r="AB149" s="505"/>
      <c r="AC149" s="505"/>
    </row>
    <row r="150" spans="1:29">
      <c r="A150" s="505"/>
      <c r="B150" s="505"/>
      <c r="C150" s="505"/>
      <c r="D150" s="505"/>
      <c r="E150" s="505"/>
      <c r="F150" s="505"/>
      <c r="G150" s="505"/>
      <c r="H150" s="505"/>
      <c r="I150" s="505"/>
      <c r="J150" s="505"/>
      <c r="K150" s="517"/>
      <c r="L150" s="518"/>
      <c r="M150" s="505"/>
      <c r="N150" s="505"/>
      <c r="O150" s="505"/>
      <c r="P150" s="505"/>
      <c r="Q150" s="505"/>
      <c r="R150" s="505"/>
      <c r="S150" s="505"/>
      <c r="T150" s="505"/>
      <c r="U150" s="505"/>
      <c r="V150" s="505"/>
      <c r="W150" s="505"/>
      <c r="X150" s="505"/>
      <c r="Y150" s="505"/>
      <c r="Z150" s="505"/>
      <c r="AA150" s="505"/>
      <c r="AB150" s="505"/>
      <c r="AC150" s="505"/>
    </row>
    <row r="151" spans="1:29">
      <c r="A151" s="505"/>
      <c r="B151" s="505"/>
      <c r="C151" s="505"/>
      <c r="D151" s="505"/>
      <c r="E151" s="505"/>
      <c r="F151" s="505"/>
      <c r="G151" s="505"/>
      <c r="H151" s="505"/>
      <c r="I151" s="505"/>
      <c r="J151" s="505"/>
      <c r="K151" s="517"/>
      <c r="L151" s="518"/>
      <c r="M151" s="505"/>
      <c r="N151" s="505"/>
      <c r="O151" s="505"/>
      <c r="P151" s="505"/>
      <c r="Q151" s="505"/>
      <c r="R151" s="505"/>
      <c r="S151" s="505"/>
      <c r="T151" s="505"/>
      <c r="U151" s="505"/>
      <c r="V151" s="505"/>
      <c r="W151" s="505"/>
      <c r="X151" s="505"/>
      <c r="Y151" s="505"/>
      <c r="Z151" s="505"/>
      <c r="AA151" s="505"/>
      <c r="AB151" s="505"/>
      <c r="AC151" s="505"/>
    </row>
    <row r="152" spans="1:29">
      <c r="A152" s="505"/>
      <c r="B152" s="505"/>
      <c r="C152" s="505"/>
      <c r="D152" s="505"/>
      <c r="E152" s="505"/>
      <c r="F152" s="505"/>
      <c r="G152" s="505"/>
      <c r="H152" s="505"/>
      <c r="I152" s="505"/>
      <c r="J152" s="505"/>
      <c r="K152" s="517"/>
      <c r="L152" s="518"/>
      <c r="M152" s="505"/>
      <c r="N152" s="505"/>
      <c r="O152" s="505"/>
      <c r="P152" s="505"/>
      <c r="Q152" s="505"/>
      <c r="R152" s="505"/>
      <c r="S152" s="505"/>
      <c r="T152" s="505"/>
      <c r="U152" s="505"/>
      <c r="V152" s="505"/>
      <c r="W152" s="505"/>
      <c r="X152" s="505"/>
      <c r="Y152" s="505"/>
      <c r="Z152" s="505"/>
      <c r="AA152" s="505"/>
      <c r="AB152" s="505"/>
      <c r="AC152" s="505"/>
    </row>
    <row r="153" spans="1:29">
      <c r="A153" s="505"/>
      <c r="B153" s="505"/>
      <c r="C153" s="505"/>
      <c r="D153" s="505"/>
      <c r="E153" s="505"/>
      <c r="F153" s="505"/>
      <c r="G153" s="505"/>
      <c r="H153" s="505"/>
      <c r="I153" s="505"/>
      <c r="J153" s="505"/>
      <c r="K153" s="517"/>
      <c r="L153" s="518"/>
      <c r="M153" s="505"/>
      <c r="N153" s="505"/>
      <c r="O153" s="505"/>
      <c r="P153" s="505"/>
      <c r="Q153" s="505"/>
      <c r="R153" s="505"/>
      <c r="S153" s="505"/>
      <c r="T153" s="505"/>
      <c r="U153" s="505"/>
      <c r="V153" s="505"/>
      <c r="W153" s="505"/>
      <c r="X153" s="505"/>
      <c r="Y153" s="505"/>
      <c r="Z153" s="505"/>
      <c r="AA153" s="505"/>
      <c r="AB153" s="505"/>
      <c r="AC153" s="505"/>
    </row>
    <row r="154" spans="1:29">
      <c r="A154" s="505"/>
      <c r="B154" s="505"/>
      <c r="C154" s="505"/>
      <c r="D154" s="505"/>
      <c r="E154" s="505"/>
      <c r="F154" s="505"/>
      <c r="G154" s="505"/>
      <c r="H154" s="505"/>
      <c r="I154" s="505"/>
      <c r="J154" s="505"/>
      <c r="K154" s="517"/>
      <c r="L154" s="518"/>
      <c r="M154" s="505"/>
      <c r="N154" s="505"/>
      <c r="O154" s="505"/>
      <c r="P154" s="505"/>
      <c r="Q154" s="505"/>
      <c r="R154" s="505"/>
      <c r="S154" s="505"/>
      <c r="T154" s="505"/>
      <c r="U154" s="505"/>
      <c r="V154" s="505"/>
      <c r="W154" s="505"/>
      <c r="X154" s="505"/>
      <c r="Y154" s="505"/>
      <c r="Z154" s="505"/>
      <c r="AA154" s="505"/>
      <c r="AB154" s="505"/>
      <c r="AC154" s="505"/>
    </row>
    <row r="155" spans="1:29">
      <c r="A155" s="505"/>
      <c r="B155" s="505"/>
      <c r="C155" s="505"/>
      <c r="D155" s="505"/>
      <c r="E155" s="505"/>
      <c r="F155" s="505"/>
      <c r="G155" s="505"/>
      <c r="H155" s="505"/>
      <c r="I155" s="505"/>
      <c r="J155" s="505"/>
      <c r="K155" s="517"/>
      <c r="L155" s="518"/>
      <c r="M155" s="505"/>
      <c r="N155" s="505"/>
      <c r="O155" s="505"/>
      <c r="P155" s="505"/>
      <c r="Q155" s="505"/>
      <c r="R155" s="505"/>
      <c r="S155" s="505"/>
      <c r="T155" s="505"/>
      <c r="U155" s="505"/>
      <c r="V155" s="505"/>
      <c r="W155" s="505"/>
      <c r="X155" s="505"/>
      <c r="Y155" s="505"/>
      <c r="Z155" s="505"/>
      <c r="AA155" s="505"/>
      <c r="AB155" s="505"/>
      <c r="AC155" s="505"/>
    </row>
    <row r="156" spans="1:29">
      <c r="A156" s="505"/>
      <c r="B156" s="505"/>
      <c r="C156" s="505"/>
      <c r="D156" s="505"/>
      <c r="E156" s="505"/>
      <c r="F156" s="505"/>
      <c r="G156" s="505"/>
      <c r="H156" s="505"/>
      <c r="I156" s="505"/>
      <c r="J156" s="505"/>
      <c r="K156" s="517"/>
      <c r="L156" s="518"/>
      <c r="M156" s="505"/>
      <c r="N156" s="505"/>
      <c r="O156" s="505"/>
      <c r="P156" s="505"/>
      <c r="Q156" s="505"/>
      <c r="R156" s="505"/>
      <c r="S156" s="505"/>
      <c r="T156" s="505"/>
      <c r="U156" s="505"/>
      <c r="V156" s="505"/>
      <c r="W156" s="505"/>
      <c r="X156" s="505"/>
      <c r="Y156" s="505"/>
      <c r="Z156" s="505"/>
      <c r="AA156" s="505"/>
      <c r="AB156" s="505"/>
      <c r="AC156" s="505"/>
    </row>
    <row r="157" spans="1:29">
      <c r="A157" s="505"/>
      <c r="B157" s="505"/>
      <c r="C157" s="505"/>
      <c r="D157" s="505"/>
      <c r="E157" s="505"/>
      <c r="F157" s="505"/>
      <c r="G157" s="505"/>
      <c r="H157" s="505"/>
      <c r="I157" s="505"/>
      <c r="J157" s="505"/>
      <c r="K157" s="517"/>
      <c r="L157" s="518"/>
      <c r="M157" s="505"/>
      <c r="N157" s="505"/>
      <c r="O157" s="505"/>
      <c r="P157" s="505"/>
      <c r="Q157" s="505"/>
      <c r="R157" s="505"/>
      <c r="S157" s="505"/>
      <c r="T157" s="505"/>
      <c r="U157" s="505"/>
      <c r="V157" s="505"/>
      <c r="W157" s="505"/>
      <c r="X157" s="505"/>
      <c r="Y157" s="505"/>
      <c r="Z157" s="505"/>
      <c r="AA157" s="505"/>
      <c r="AB157" s="505"/>
      <c r="AC157" s="505"/>
    </row>
    <row r="158" spans="1:29">
      <c r="A158" s="505"/>
      <c r="B158" s="505"/>
      <c r="C158" s="505"/>
      <c r="D158" s="505"/>
      <c r="E158" s="505"/>
      <c r="F158" s="505"/>
      <c r="G158" s="505"/>
      <c r="H158" s="505"/>
      <c r="I158" s="505"/>
      <c r="J158" s="505"/>
      <c r="K158" s="517"/>
      <c r="L158" s="518"/>
      <c r="M158" s="505"/>
      <c r="N158" s="505"/>
      <c r="O158" s="505"/>
      <c r="P158" s="505"/>
      <c r="Q158" s="505"/>
      <c r="R158" s="505"/>
      <c r="S158" s="505"/>
      <c r="T158" s="505"/>
      <c r="U158" s="505"/>
      <c r="V158" s="505"/>
      <c r="W158" s="505"/>
      <c r="X158" s="505"/>
      <c r="Y158" s="505"/>
      <c r="Z158" s="505"/>
      <c r="AA158" s="505"/>
      <c r="AB158" s="505"/>
      <c r="AC158" s="505"/>
    </row>
    <row r="159" spans="1:29">
      <c r="A159" s="505"/>
      <c r="B159" s="505"/>
      <c r="C159" s="505"/>
      <c r="D159" s="505"/>
      <c r="E159" s="505"/>
      <c r="F159" s="505"/>
      <c r="G159" s="505"/>
      <c r="H159" s="505"/>
      <c r="I159" s="505"/>
      <c r="J159" s="505"/>
      <c r="K159" s="517"/>
      <c r="L159" s="518"/>
      <c r="M159" s="505"/>
      <c r="N159" s="505"/>
      <c r="O159" s="505"/>
      <c r="P159" s="505"/>
      <c r="Q159" s="505"/>
      <c r="R159" s="505"/>
      <c r="S159" s="505"/>
      <c r="T159" s="505"/>
      <c r="U159" s="505"/>
      <c r="V159" s="505"/>
      <c r="W159" s="505"/>
      <c r="X159" s="505"/>
      <c r="Y159" s="505"/>
      <c r="Z159" s="505"/>
      <c r="AA159" s="505"/>
      <c r="AB159" s="505"/>
      <c r="AC159" s="505"/>
    </row>
    <row r="160" spans="1:29">
      <c r="A160" s="505"/>
      <c r="B160" s="505"/>
      <c r="C160" s="505"/>
      <c r="D160" s="505"/>
      <c r="E160" s="505"/>
      <c r="F160" s="505"/>
      <c r="G160" s="505"/>
      <c r="H160" s="505"/>
      <c r="I160" s="505"/>
      <c r="J160" s="505"/>
      <c r="K160" s="517"/>
      <c r="L160" s="518"/>
      <c r="M160" s="505"/>
      <c r="N160" s="505"/>
      <c r="O160" s="505"/>
      <c r="P160" s="505"/>
      <c r="Q160" s="505"/>
      <c r="R160" s="505"/>
      <c r="S160" s="505"/>
      <c r="T160" s="505"/>
      <c r="U160" s="505"/>
      <c r="V160" s="505"/>
      <c r="W160" s="505"/>
      <c r="X160" s="505"/>
      <c r="Y160" s="505"/>
      <c r="Z160" s="505"/>
      <c r="AA160" s="505"/>
      <c r="AB160" s="505"/>
      <c r="AC160" s="505"/>
    </row>
    <row r="161" spans="1:29">
      <c r="A161" s="505"/>
      <c r="B161" s="505"/>
      <c r="C161" s="505"/>
      <c r="D161" s="505"/>
      <c r="E161" s="505"/>
      <c r="F161" s="505"/>
      <c r="G161" s="505"/>
      <c r="H161" s="505"/>
      <c r="I161" s="505"/>
      <c r="J161" s="505"/>
      <c r="K161" s="517"/>
      <c r="L161" s="518"/>
      <c r="M161" s="505"/>
      <c r="N161" s="505"/>
      <c r="O161" s="505"/>
      <c r="P161" s="505"/>
      <c r="Q161" s="505"/>
      <c r="R161" s="505"/>
      <c r="S161" s="505"/>
      <c r="T161" s="505"/>
      <c r="U161" s="505"/>
      <c r="V161" s="505"/>
      <c r="W161" s="505"/>
      <c r="X161" s="505"/>
      <c r="Y161" s="505"/>
      <c r="Z161" s="505"/>
      <c r="AA161" s="505"/>
      <c r="AB161" s="505"/>
      <c r="AC161" s="505"/>
    </row>
    <row r="162" spans="1:29">
      <c r="A162" s="505"/>
      <c r="B162" s="505"/>
      <c r="C162" s="505"/>
      <c r="D162" s="505"/>
      <c r="E162" s="505"/>
      <c r="F162" s="505"/>
      <c r="G162" s="505"/>
      <c r="H162" s="505"/>
      <c r="I162" s="505"/>
      <c r="J162" s="505"/>
      <c r="K162" s="517"/>
      <c r="L162" s="518"/>
      <c r="M162" s="505"/>
      <c r="N162" s="505"/>
      <c r="O162" s="505"/>
      <c r="P162" s="505"/>
      <c r="Q162" s="505"/>
      <c r="R162" s="505"/>
      <c r="S162" s="505"/>
      <c r="T162" s="505"/>
      <c r="U162" s="505"/>
      <c r="V162" s="505"/>
      <c r="W162" s="505"/>
      <c r="X162" s="505"/>
      <c r="Y162" s="505"/>
      <c r="Z162" s="505"/>
      <c r="AA162" s="505"/>
      <c r="AB162" s="505"/>
      <c r="AC162" s="505"/>
    </row>
    <row r="163" spans="1:29">
      <c r="A163" s="505"/>
      <c r="B163" s="505"/>
      <c r="C163" s="505"/>
      <c r="D163" s="505"/>
      <c r="E163" s="505"/>
      <c r="F163" s="505"/>
      <c r="G163" s="505"/>
      <c r="H163" s="505"/>
      <c r="I163" s="505"/>
      <c r="J163" s="505"/>
      <c r="K163" s="517"/>
      <c r="L163" s="518"/>
      <c r="M163" s="505"/>
      <c r="N163" s="505"/>
      <c r="O163" s="505"/>
      <c r="P163" s="505"/>
      <c r="Q163" s="505"/>
      <c r="R163" s="505"/>
      <c r="S163" s="505"/>
      <c r="T163" s="505"/>
      <c r="U163" s="505"/>
      <c r="V163" s="505"/>
      <c r="W163" s="505"/>
      <c r="X163" s="505"/>
      <c r="Y163" s="505"/>
      <c r="Z163" s="505"/>
      <c r="AA163" s="505"/>
      <c r="AB163" s="505"/>
      <c r="AC163" s="505"/>
    </row>
    <row r="164" spans="1:29">
      <c r="A164" s="505"/>
      <c r="B164" s="505"/>
      <c r="C164" s="505"/>
      <c r="D164" s="505"/>
      <c r="E164" s="505"/>
      <c r="F164" s="505"/>
      <c r="G164" s="505"/>
      <c r="H164" s="505"/>
      <c r="I164" s="505"/>
      <c r="J164" s="505"/>
      <c r="K164" s="517"/>
      <c r="L164" s="518"/>
      <c r="M164" s="505"/>
      <c r="N164" s="505"/>
      <c r="O164" s="505"/>
      <c r="P164" s="505"/>
      <c r="Q164" s="505"/>
      <c r="R164" s="505"/>
      <c r="S164" s="505"/>
      <c r="T164" s="505"/>
      <c r="U164" s="505"/>
      <c r="V164" s="505"/>
      <c r="W164" s="505"/>
      <c r="X164" s="505"/>
      <c r="Y164" s="505"/>
      <c r="Z164" s="505"/>
      <c r="AA164" s="505"/>
      <c r="AB164" s="505"/>
      <c r="AC164" s="505"/>
    </row>
    <row r="165" spans="1:29">
      <c r="A165" s="505"/>
      <c r="B165" s="505"/>
      <c r="C165" s="505"/>
      <c r="D165" s="505"/>
      <c r="E165" s="505"/>
      <c r="F165" s="505"/>
      <c r="G165" s="505"/>
      <c r="H165" s="505"/>
      <c r="I165" s="505"/>
      <c r="J165" s="505"/>
      <c r="K165" s="517"/>
      <c r="L165" s="518"/>
      <c r="M165" s="505"/>
      <c r="N165" s="505"/>
      <c r="O165" s="505"/>
      <c r="P165" s="505"/>
      <c r="Q165" s="505"/>
      <c r="R165" s="505"/>
      <c r="S165" s="505"/>
      <c r="T165" s="505"/>
      <c r="U165" s="505"/>
      <c r="V165" s="505"/>
      <c r="W165" s="505"/>
      <c r="X165" s="505"/>
      <c r="Y165" s="505"/>
      <c r="Z165" s="505"/>
      <c r="AA165" s="505"/>
      <c r="AB165" s="505"/>
      <c r="AC165" s="505"/>
    </row>
    <row r="166" spans="1:29">
      <c r="A166" s="505"/>
      <c r="B166" s="505"/>
      <c r="C166" s="505"/>
      <c r="D166" s="505"/>
      <c r="E166" s="505"/>
      <c r="F166" s="505"/>
      <c r="G166" s="505"/>
      <c r="H166" s="505"/>
      <c r="I166" s="505"/>
      <c r="J166" s="505"/>
      <c r="K166" s="517"/>
      <c r="L166" s="518"/>
      <c r="M166" s="505"/>
      <c r="N166" s="505"/>
      <c r="O166" s="505"/>
      <c r="P166" s="505"/>
      <c r="Q166" s="505"/>
      <c r="R166" s="505"/>
      <c r="S166" s="505"/>
      <c r="T166" s="505"/>
      <c r="U166" s="505"/>
      <c r="V166" s="505"/>
      <c r="W166" s="505"/>
      <c r="X166" s="505"/>
      <c r="Y166" s="505"/>
      <c r="Z166" s="505"/>
      <c r="AA166" s="505"/>
      <c r="AB166" s="505"/>
      <c r="AC166" s="505"/>
    </row>
    <row r="167" spans="1:29">
      <c r="A167" s="505"/>
      <c r="B167" s="505"/>
      <c r="C167" s="505"/>
      <c r="D167" s="505"/>
      <c r="E167" s="505"/>
      <c r="F167" s="505"/>
      <c r="G167" s="505"/>
      <c r="H167" s="505"/>
      <c r="I167" s="505"/>
      <c r="J167" s="505"/>
      <c r="K167" s="517"/>
      <c r="L167" s="518"/>
      <c r="M167" s="505"/>
      <c r="N167" s="505"/>
      <c r="O167" s="505"/>
      <c r="P167" s="505"/>
      <c r="Q167" s="505"/>
      <c r="R167" s="505"/>
      <c r="S167" s="505"/>
      <c r="T167" s="505"/>
      <c r="U167" s="505"/>
      <c r="V167" s="505"/>
      <c r="W167" s="505"/>
      <c r="X167" s="505"/>
      <c r="Y167" s="505"/>
      <c r="Z167" s="505"/>
      <c r="AA167" s="505"/>
      <c r="AB167" s="505"/>
      <c r="AC167" s="505"/>
    </row>
    <row r="168" spans="1:29">
      <c r="A168" s="505"/>
      <c r="B168" s="505"/>
      <c r="C168" s="505"/>
      <c r="D168" s="505"/>
      <c r="E168" s="505"/>
      <c r="F168" s="505"/>
      <c r="G168" s="505"/>
      <c r="H168" s="505"/>
      <c r="I168" s="505"/>
      <c r="J168" s="505"/>
      <c r="K168" s="517"/>
      <c r="L168" s="518"/>
      <c r="M168" s="505"/>
      <c r="N168" s="505"/>
      <c r="O168" s="505"/>
      <c r="P168" s="505"/>
      <c r="Q168" s="505"/>
      <c r="R168" s="505"/>
      <c r="S168" s="505"/>
      <c r="T168" s="505"/>
      <c r="U168" s="505"/>
      <c r="V168" s="505"/>
      <c r="W168" s="505"/>
      <c r="X168" s="505"/>
      <c r="Y168" s="505"/>
      <c r="Z168" s="505"/>
      <c r="AA168" s="505"/>
      <c r="AB168" s="505"/>
      <c r="AC168" s="505"/>
    </row>
    <row r="169" spans="1:29">
      <c r="A169" s="505"/>
      <c r="B169" s="505"/>
      <c r="C169" s="505"/>
      <c r="D169" s="505"/>
      <c r="E169" s="505"/>
      <c r="F169" s="505"/>
      <c r="G169" s="505"/>
      <c r="H169" s="505"/>
      <c r="I169" s="505"/>
      <c r="J169" s="505"/>
      <c r="K169" s="517"/>
      <c r="L169" s="518"/>
      <c r="M169" s="505"/>
      <c r="N169" s="505"/>
      <c r="O169" s="505"/>
      <c r="P169" s="505"/>
      <c r="Q169" s="505"/>
      <c r="R169" s="505"/>
      <c r="S169" s="505"/>
      <c r="T169" s="505"/>
      <c r="U169" s="505"/>
      <c r="V169" s="505"/>
      <c r="W169" s="505"/>
      <c r="X169" s="505"/>
      <c r="Y169" s="505"/>
      <c r="Z169" s="505"/>
      <c r="AA169" s="505"/>
      <c r="AB169" s="505"/>
      <c r="AC169" s="505"/>
    </row>
    <row r="170" spans="1:29">
      <c r="A170" s="505"/>
      <c r="B170" s="505"/>
      <c r="C170" s="505"/>
      <c r="D170" s="505"/>
      <c r="E170" s="505"/>
      <c r="F170" s="505"/>
      <c r="G170" s="505"/>
      <c r="H170" s="505"/>
      <c r="I170" s="505"/>
      <c r="J170" s="505"/>
      <c r="K170" s="517"/>
      <c r="L170" s="518"/>
      <c r="M170" s="505"/>
      <c r="N170" s="505"/>
      <c r="O170" s="505"/>
      <c r="P170" s="505"/>
      <c r="Q170" s="505"/>
      <c r="R170" s="505"/>
      <c r="S170" s="505"/>
      <c r="T170" s="505"/>
      <c r="U170" s="505"/>
      <c r="V170" s="505"/>
      <c r="W170" s="505"/>
      <c r="X170" s="505"/>
      <c r="Y170" s="505"/>
      <c r="Z170" s="505"/>
      <c r="AA170" s="505"/>
      <c r="AB170" s="505"/>
      <c r="AC170" s="505"/>
    </row>
    <row r="171" spans="1:29">
      <c r="A171" s="505"/>
      <c r="B171" s="505"/>
      <c r="C171" s="505"/>
      <c r="D171" s="505"/>
      <c r="E171" s="505"/>
      <c r="F171" s="505"/>
      <c r="G171" s="505"/>
      <c r="H171" s="505"/>
      <c r="I171" s="505"/>
      <c r="J171" s="505"/>
      <c r="K171" s="517"/>
      <c r="L171" s="518"/>
      <c r="M171" s="505"/>
      <c r="N171" s="505"/>
      <c r="O171" s="505"/>
      <c r="P171" s="505"/>
      <c r="Q171" s="505"/>
      <c r="R171" s="505"/>
      <c r="S171" s="505"/>
      <c r="T171" s="505"/>
      <c r="U171" s="505"/>
      <c r="V171" s="505"/>
      <c r="W171" s="505"/>
      <c r="X171" s="505"/>
      <c r="Y171" s="505"/>
      <c r="Z171" s="505"/>
      <c r="AA171" s="505"/>
      <c r="AB171" s="505"/>
      <c r="AC171" s="505"/>
    </row>
    <row r="172" spans="1:29">
      <c r="A172" s="505"/>
      <c r="B172" s="505"/>
      <c r="C172" s="505"/>
      <c r="D172" s="505"/>
      <c r="E172" s="505"/>
      <c r="F172" s="505"/>
      <c r="G172" s="505"/>
      <c r="H172" s="505"/>
      <c r="I172" s="505"/>
      <c r="J172" s="505"/>
      <c r="K172" s="517"/>
      <c r="L172" s="518"/>
      <c r="M172" s="505"/>
      <c r="N172" s="505"/>
      <c r="O172" s="505"/>
      <c r="P172" s="505"/>
      <c r="Q172" s="505"/>
      <c r="R172" s="505"/>
      <c r="S172" s="505"/>
      <c r="T172" s="505"/>
      <c r="U172" s="505"/>
      <c r="V172" s="505"/>
      <c r="W172" s="505"/>
      <c r="X172" s="505"/>
      <c r="Y172" s="505"/>
      <c r="Z172" s="505"/>
      <c r="AA172" s="505"/>
      <c r="AB172" s="505"/>
      <c r="AC172" s="505"/>
    </row>
    <row r="173" spans="1:29">
      <c r="A173" s="505"/>
      <c r="B173" s="505"/>
      <c r="C173" s="505"/>
      <c r="D173" s="505"/>
      <c r="E173" s="505"/>
      <c r="F173" s="505"/>
      <c r="G173" s="505"/>
      <c r="H173" s="505"/>
      <c r="I173" s="505"/>
      <c r="J173" s="505"/>
      <c r="K173" s="517"/>
      <c r="L173" s="518"/>
      <c r="M173" s="505"/>
      <c r="N173" s="505"/>
      <c r="O173" s="505"/>
      <c r="P173" s="505"/>
      <c r="Q173" s="505"/>
      <c r="R173" s="505"/>
      <c r="S173" s="505"/>
      <c r="T173" s="505"/>
      <c r="U173" s="505"/>
      <c r="V173" s="505"/>
      <c r="W173" s="505"/>
      <c r="X173" s="505"/>
      <c r="Y173" s="505"/>
      <c r="Z173" s="505"/>
      <c r="AA173" s="505"/>
      <c r="AB173" s="505"/>
      <c r="AC173" s="505"/>
    </row>
    <row r="174" spans="1:29">
      <c r="A174" s="505"/>
      <c r="B174" s="505"/>
      <c r="C174" s="505"/>
      <c r="D174" s="505"/>
      <c r="E174" s="505"/>
      <c r="F174" s="505"/>
      <c r="G174" s="505"/>
      <c r="H174" s="505"/>
      <c r="I174" s="505"/>
      <c r="J174" s="505"/>
      <c r="K174" s="517"/>
      <c r="L174" s="518"/>
      <c r="M174" s="505"/>
      <c r="N174" s="505"/>
      <c r="O174" s="505"/>
      <c r="P174" s="505"/>
      <c r="Q174" s="505"/>
      <c r="R174" s="505"/>
      <c r="S174" s="505"/>
      <c r="T174" s="505"/>
      <c r="U174" s="505"/>
      <c r="V174" s="505"/>
      <c r="W174" s="505"/>
      <c r="X174" s="505"/>
      <c r="Y174" s="505"/>
      <c r="Z174" s="505"/>
      <c r="AA174" s="505"/>
      <c r="AB174" s="505"/>
      <c r="AC174" s="505"/>
    </row>
    <row r="175" spans="1:29">
      <c r="A175" s="505"/>
      <c r="B175" s="505"/>
      <c r="C175" s="505"/>
      <c r="D175" s="505"/>
      <c r="E175" s="505"/>
      <c r="F175" s="505"/>
      <c r="G175" s="505"/>
      <c r="H175" s="505"/>
      <c r="I175" s="505"/>
      <c r="J175" s="505"/>
      <c r="K175" s="517"/>
      <c r="L175" s="518"/>
      <c r="M175" s="505"/>
      <c r="N175" s="505"/>
      <c r="O175" s="505"/>
      <c r="P175" s="505"/>
      <c r="Q175" s="505"/>
      <c r="R175" s="505"/>
      <c r="S175" s="505"/>
      <c r="T175" s="505"/>
      <c r="U175" s="505"/>
      <c r="V175" s="505"/>
      <c r="W175" s="505"/>
      <c r="X175" s="505"/>
      <c r="Y175" s="505"/>
      <c r="Z175" s="505"/>
      <c r="AA175" s="505"/>
      <c r="AB175" s="505"/>
      <c r="AC175" s="505"/>
    </row>
    <row r="176" spans="1:29">
      <c r="A176" s="505"/>
      <c r="B176" s="505"/>
      <c r="C176" s="505"/>
      <c r="D176" s="505"/>
      <c r="E176" s="505"/>
      <c r="F176" s="505"/>
      <c r="G176" s="505"/>
      <c r="H176" s="505"/>
      <c r="I176" s="505"/>
      <c r="J176" s="505"/>
      <c r="K176" s="517"/>
      <c r="L176" s="518"/>
      <c r="M176" s="505"/>
      <c r="N176" s="505"/>
      <c r="O176" s="505"/>
      <c r="P176" s="505"/>
      <c r="Q176" s="505"/>
      <c r="R176" s="505"/>
      <c r="S176" s="505"/>
      <c r="T176" s="505"/>
      <c r="U176" s="505"/>
      <c r="V176" s="505"/>
      <c r="W176" s="505"/>
      <c r="X176" s="505"/>
      <c r="Y176" s="505"/>
      <c r="Z176" s="505"/>
      <c r="AA176" s="505"/>
      <c r="AB176" s="505"/>
      <c r="AC176" s="505"/>
    </row>
    <row r="177" spans="1:29">
      <c r="A177" s="505"/>
      <c r="B177" s="505"/>
      <c r="C177" s="505"/>
      <c r="D177" s="505"/>
      <c r="E177" s="505"/>
      <c r="F177" s="505"/>
      <c r="G177" s="505"/>
      <c r="H177" s="505"/>
      <c r="I177" s="505"/>
      <c r="J177" s="505"/>
      <c r="K177" s="517"/>
      <c r="L177" s="518"/>
      <c r="M177" s="505"/>
      <c r="N177" s="505"/>
      <c r="O177" s="505"/>
      <c r="P177" s="505"/>
      <c r="Q177" s="505"/>
      <c r="R177" s="505"/>
      <c r="S177" s="505"/>
      <c r="T177" s="505"/>
      <c r="U177" s="505"/>
      <c r="V177" s="505"/>
      <c r="W177" s="505"/>
      <c r="X177" s="505"/>
      <c r="Y177" s="505"/>
      <c r="Z177" s="505"/>
      <c r="AA177" s="505"/>
      <c r="AB177" s="505"/>
      <c r="AC177" s="505"/>
    </row>
    <row r="178" spans="1:29">
      <c r="A178" s="505"/>
      <c r="B178" s="505"/>
      <c r="C178" s="505"/>
      <c r="D178" s="505"/>
      <c r="E178" s="505"/>
      <c r="F178" s="505"/>
      <c r="G178" s="505"/>
      <c r="H178" s="505"/>
      <c r="I178" s="505"/>
      <c r="J178" s="505"/>
      <c r="K178" s="517"/>
      <c r="L178" s="518"/>
      <c r="M178" s="505"/>
      <c r="N178" s="505"/>
      <c r="O178" s="505"/>
      <c r="P178" s="505"/>
      <c r="Q178" s="505"/>
      <c r="R178" s="505"/>
      <c r="S178" s="505"/>
      <c r="T178" s="505"/>
      <c r="U178" s="505"/>
      <c r="V178" s="505"/>
      <c r="W178" s="505"/>
      <c r="X178" s="505"/>
      <c r="Y178" s="505"/>
      <c r="Z178" s="505"/>
      <c r="AA178" s="505"/>
      <c r="AB178" s="505"/>
      <c r="AC178" s="505"/>
    </row>
    <row r="179" spans="1:29">
      <c r="A179" s="505"/>
      <c r="B179" s="505"/>
      <c r="C179" s="505"/>
      <c r="D179" s="505"/>
      <c r="E179" s="505"/>
      <c r="F179" s="505"/>
      <c r="G179" s="505"/>
      <c r="H179" s="505"/>
      <c r="I179" s="505"/>
      <c r="J179" s="505"/>
      <c r="K179" s="517"/>
      <c r="L179" s="518"/>
      <c r="M179" s="505"/>
      <c r="N179" s="505"/>
      <c r="O179" s="505"/>
      <c r="P179" s="505"/>
      <c r="Q179" s="505"/>
      <c r="R179" s="505"/>
      <c r="S179" s="505"/>
      <c r="T179" s="505"/>
      <c r="U179" s="505"/>
      <c r="V179" s="505"/>
      <c r="W179" s="505"/>
      <c r="X179" s="505"/>
      <c r="Y179" s="505"/>
      <c r="Z179" s="505"/>
      <c r="AA179" s="505"/>
      <c r="AB179" s="505"/>
      <c r="AC179" s="505"/>
    </row>
    <row r="180" spans="1:29">
      <c r="A180" s="505"/>
      <c r="B180" s="505"/>
      <c r="C180" s="505"/>
      <c r="D180" s="505"/>
      <c r="E180" s="505"/>
      <c r="F180" s="505"/>
      <c r="G180" s="505"/>
      <c r="H180" s="505"/>
      <c r="I180" s="505"/>
      <c r="J180" s="505"/>
      <c r="K180" s="517"/>
      <c r="L180" s="518"/>
      <c r="M180" s="505"/>
      <c r="N180" s="505"/>
      <c r="O180" s="505"/>
      <c r="P180" s="505"/>
      <c r="Q180" s="505"/>
      <c r="R180" s="505"/>
      <c r="S180" s="505"/>
      <c r="T180" s="505"/>
      <c r="U180" s="505"/>
      <c r="V180" s="505"/>
      <c r="W180" s="505"/>
      <c r="X180" s="505"/>
      <c r="Y180" s="505"/>
      <c r="Z180" s="505"/>
      <c r="AA180" s="505"/>
      <c r="AB180" s="505"/>
      <c r="AC180" s="505"/>
    </row>
    <row r="181" spans="1:29">
      <c r="A181" s="505"/>
      <c r="B181" s="505"/>
      <c r="C181" s="505"/>
      <c r="D181" s="505"/>
      <c r="E181" s="505"/>
      <c r="F181" s="505"/>
      <c r="G181" s="505"/>
      <c r="H181" s="505"/>
      <c r="I181" s="505"/>
      <c r="J181" s="505"/>
      <c r="K181" s="517"/>
      <c r="L181" s="518"/>
      <c r="M181" s="505"/>
      <c r="N181" s="505"/>
      <c r="O181" s="505"/>
      <c r="P181" s="505"/>
      <c r="Q181" s="505"/>
      <c r="R181" s="505"/>
      <c r="S181" s="505"/>
      <c r="T181" s="505"/>
      <c r="U181" s="505"/>
      <c r="V181" s="505"/>
      <c r="W181" s="505"/>
      <c r="X181" s="505"/>
      <c r="Y181" s="505"/>
      <c r="Z181" s="505"/>
      <c r="AA181" s="505"/>
      <c r="AB181" s="505"/>
      <c r="AC181" s="505"/>
    </row>
    <row r="182" spans="1:29">
      <c r="A182" s="505"/>
      <c r="B182" s="505"/>
      <c r="C182" s="505"/>
      <c r="D182" s="505"/>
      <c r="E182" s="505"/>
      <c r="F182" s="505"/>
      <c r="G182" s="505"/>
      <c r="H182" s="505"/>
      <c r="I182" s="505"/>
      <c r="J182" s="505"/>
      <c r="K182" s="517"/>
      <c r="L182" s="518"/>
      <c r="M182" s="505"/>
      <c r="N182" s="505"/>
      <c r="O182" s="505"/>
      <c r="P182" s="505"/>
      <c r="Q182" s="505"/>
      <c r="R182" s="505"/>
      <c r="S182" s="505"/>
      <c r="T182" s="505"/>
      <c r="U182" s="505"/>
      <c r="V182" s="505"/>
      <c r="W182" s="505"/>
      <c r="X182" s="505"/>
      <c r="Y182" s="505"/>
      <c r="Z182" s="505"/>
      <c r="AA182" s="505"/>
      <c r="AB182" s="505"/>
      <c r="AC182" s="505"/>
    </row>
    <row r="183" spans="1:29">
      <c r="A183" s="505"/>
      <c r="B183" s="505"/>
      <c r="C183" s="505"/>
      <c r="D183" s="505"/>
      <c r="E183" s="505"/>
      <c r="F183" s="505"/>
      <c r="G183" s="505"/>
      <c r="H183" s="505"/>
      <c r="I183" s="505"/>
      <c r="J183" s="505"/>
      <c r="K183" s="517"/>
      <c r="L183" s="518"/>
      <c r="M183" s="505"/>
      <c r="N183" s="505"/>
      <c r="O183" s="505"/>
      <c r="P183" s="505"/>
      <c r="Q183" s="505"/>
      <c r="R183" s="505"/>
      <c r="S183" s="505"/>
      <c r="T183" s="505"/>
      <c r="U183" s="505"/>
      <c r="V183" s="505"/>
      <c r="W183" s="505"/>
      <c r="X183" s="505"/>
      <c r="Y183" s="505"/>
      <c r="Z183" s="505"/>
      <c r="AA183" s="505"/>
      <c r="AB183" s="505"/>
      <c r="AC183" s="505"/>
    </row>
    <row r="184" spans="1:29">
      <c r="A184" s="505"/>
      <c r="B184" s="505"/>
      <c r="C184" s="505"/>
      <c r="D184" s="505"/>
      <c r="E184" s="505"/>
      <c r="F184" s="505"/>
      <c r="G184" s="505"/>
      <c r="H184" s="505"/>
      <c r="I184" s="505"/>
      <c r="J184" s="505"/>
      <c r="K184" s="517"/>
      <c r="L184" s="518"/>
      <c r="M184" s="505"/>
      <c r="N184" s="505"/>
      <c r="O184" s="505"/>
      <c r="P184" s="505"/>
      <c r="Q184" s="505"/>
      <c r="R184" s="505"/>
      <c r="S184" s="505"/>
      <c r="T184" s="505"/>
      <c r="U184" s="505"/>
      <c r="V184" s="505"/>
      <c r="W184" s="505"/>
      <c r="X184" s="505"/>
      <c r="Y184" s="505"/>
      <c r="Z184" s="505"/>
      <c r="AA184" s="505"/>
      <c r="AB184" s="505"/>
      <c r="AC184" s="505"/>
    </row>
    <row r="185" spans="1:29">
      <c r="A185" s="505"/>
      <c r="B185" s="505"/>
      <c r="C185" s="505"/>
      <c r="D185" s="505"/>
      <c r="E185" s="505"/>
      <c r="F185" s="505"/>
      <c r="G185" s="505"/>
      <c r="H185" s="505"/>
      <c r="I185" s="505"/>
      <c r="J185" s="505"/>
      <c r="K185" s="517"/>
      <c r="L185" s="518"/>
      <c r="M185" s="505"/>
      <c r="N185" s="505"/>
      <c r="O185" s="505"/>
      <c r="P185" s="505"/>
      <c r="Q185" s="505"/>
      <c r="R185" s="505"/>
      <c r="S185" s="505"/>
      <c r="T185" s="505"/>
      <c r="U185" s="505"/>
      <c r="V185" s="505"/>
      <c r="W185" s="505"/>
      <c r="X185" s="505"/>
      <c r="Y185" s="505"/>
      <c r="Z185" s="505"/>
      <c r="AA185" s="505"/>
      <c r="AB185" s="505"/>
      <c r="AC185" s="505"/>
    </row>
    <row r="186" spans="1:29">
      <c r="A186" s="505"/>
      <c r="B186" s="505"/>
      <c r="C186" s="505"/>
      <c r="D186" s="505"/>
      <c r="E186" s="505"/>
      <c r="F186" s="505"/>
      <c r="G186" s="505"/>
      <c r="H186" s="505"/>
      <c r="I186" s="505"/>
      <c r="J186" s="505"/>
      <c r="K186" s="517"/>
      <c r="L186" s="518"/>
      <c r="M186" s="505"/>
      <c r="N186" s="505"/>
      <c r="O186" s="505"/>
      <c r="P186" s="505"/>
      <c r="Q186" s="505"/>
      <c r="R186" s="505"/>
      <c r="S186" s="505"/>
      <c r="T186" s="505"/>
      <c r="U186" s="505"/>
      <c r="V186" s="505"/>
      <c r="W186" s="505"/>
      <c r="X186" s="505"/>
      <c r="Y186" s="505"/>
      <c r="Z186" s="505"/>
      <c r="AA186" s="505"/>
      <c r="AB186" s="505"/>
      <c r="AC186" s="505"/>
    </row>
    <row r="187" spans="1:29">
      <c r="A187" s="505"/>
      <c r="B187" s="505"/>
      <c r="C187" s="505"/>
      <c r="D187" s="505"/>
      <c r="E187" s="505"/>
      <c r="F187" s="505"/>
      <c r="G187" s="505"/>
      <c r="H187" s="505"/>
      <c r="I187" s="505"/>
      <c r="J187" s="505"/>
      <c r="K187" s="517"/>
      <c r="L187" s="518"/>
      <c r="M187" s="505"/>
      <c r="N187" s="505"/>
      <c r="O187" s="505"/>
      <c r="P187" s="505"/>
      <c r="Q187" s="505"/>
      <c r="R187" s="505"/>
      <c r="S187" s="505"/>
      <c r="T187" s="505"/>
      <c r="U187" s="505"/>
      <c r="V187" s="505"/>
      <c r="W187" s="505"/>
      <c r="X187" s="505"/>
      <c r="Y187" s="505"/>
      <c r="Z187" s="505"/>
      <c r="AA187" s="505"/>
      <c r="AB187" s="505"/>
      <c r="AC187" s="505"/>
    </row>
    <row r="188" spans="1:29">
      <c r="A188" s="505"/>
      <c r="B188" s="505"/>
      <c r="C188" s="505"/>
      <c r="D188" s="505"/>
      <c r="E188" s="505"/>
      <c r="F188" s="505"/>
      <c r="G188" s="505"/>
      <c r="H188" s="505"/>
      <c r="I188" s="505"/>
      <c r="J188" s="505"/>
      <c r="K188" s="517"/>
      <c r="L188" s="518"/>
      <c r="M188" s="505"/>
      <c r="N188" s="505"/>
      <c r="O188" s="505"/>
      <c r="P188" s="505"/>
      <c r="Q188" s="505"/>
      <c r="R188" s="505"/>
      <c r="S188" s="505"/>
      <c r="T188" s="505"/>
      <c r="U188" s="505"/>
      <c r="V188" s="505"/>
      <c r="W188" s="505"/>
      <c r="X188" s="505"/>
      <c r="Y188" s="505"/>
      <c r="Z188" s="505"/>
      <c r="AA188" s="505"/>
      <c r="AB188" s="505"/>
      <c r="AC188" s="505"/>
    </row>
    <row r="189" spans="1:29">
      <c r="A189" s="505"/>
      <c r="B189" s="505"/>
      <c r="C189" s="505"/>
      <c r="D189" s="505"/>
      <c r="E189" s="505"/>
      <c r="F189" s="505"/>
      <c r="G189" s="505"/>
      <c r="H189" s="505"/>
      <c r="I189" s="505"/>
      <c r="J189" s="505"/>
      <c r="K189" s="517"/>
      <c r="L189" s="518"/>
      <c r="M189" s="505"/>
      <c r="N189" s="505"/>
      <c r="O189" s="505"/>
      <c r="P189" s="505"/>
      <c r="Q189" s="505"/>
      <c r="R189" s="505"/>
      <c r="S189" s="505"/>
      <c r="T189" s="505"/>
      <c r="U189" s="505"/>
      <c r="V189" s="505"/>
      <c r="W189" s="505"/>
      <c r="X189" s="505"/>
      <c r="Y189" s="505"/>
      <c r="Z189" s="505"/>
      <c r="AA189" s="505"/>
      <c r="AB189" s="505"/>
      <c r="AC189" s="505"/>
    </row>
    <row r="190" spans="1:29">
      <c r="A190" s="505"/>
      <c r="B190" s="505"/>
      <c r="C190" s="505"/>
      <c r="D190" s="505"/>
      <c r="E190" s="505"/>
      <c r="F190" s="505"/>
      <c r="G190" s="505"/>
      <c r="H190" s="505"/>
      <c r="I190" s="505"/>
      <c r="J190" s="505"/>
      <c r="K190" s="517"/>
      <c r="L190" s="518"/>
      <c r="M190" s="505"/>
      <c r="N190" s="505"/>
      <c r="O190" s="505"/>
      <c r="P190" s="505"/>
      <c r="Q190" s="505"/>
      <c r="R190" s="505"/>
      <c r="S190" s="505"/>
      <c r="T190" s="505"/>
      <c r="U190" s="505"/>
      <c r="V190" s="505"/>
      <c r="W190" s="505"/>
      <c r="X190" s="505"/>
      <c r="Y190" s="505"/>
      <c r="Z190" s="505"/>
      <c r="AA190" s="505"/>
      <c r="AB190" s="505"/>
      <c r="AC190" s="505"/>
    </row>
    <row r="191" spans="1:29">
      <c r="A191" s="505"/>
      <c r="B191" s="505"/>
      <c r="C191" s="505"/>
      <c r="D191" s="505"/>
      <c r="E191" s="505"/>
      <c r="F191" s="505"/>
      <c r="G191" s="505"/>
      <c r="H191" s="505"/>
      <c r="I191" s="505"/>
      <c r="J191" s="505"/>
      <c r="K191" s="517"/>
      <c r="L191" s="518"/>
      <c r="M191" s="505"/>
      <c r="N191" s="505"/>
      <c r="O191" s="505"/>
      <c r="P191" s="505"/>
      <c r="Q191" s="505"/>
      <c r="R191" s="505"/>
      <c r="S191" s="505"/>
      <c r="T191" s="505"/>
      <c r="U191" s="505"/>
      <c r="V191" s="505"/>
      <c r="W191" s="505"/>
      <c r="X191" s="505"/>
      <c r="Y191" s="505"/>
      <c r="Z191" s="505"/>
      <c r="AA191" s="505"/>
      <c r="AB191" s="505"/>
      <c r="AC191" s="505"/>
    </row>
    <row r="192" spans="1:29">
      <c r="A192" s="505"/>
      <c r="B192" s="505"/>
      <c r="C192" s="505"/>
      <c r="D192" s="505"/>
      <c r="E192" s="505"/>
      <c r="F192" s="505"/>
      <c r="G192" s="505"/>
      <c r="H192" s="505"/>
      <c r="I192" s="505"/>
      <c r="J192" s="505"/>
      <c r="K192" s="517"/>
      <c r="L192" s="518"/>
      <c r="M192" s="505"/>
      <c r="N192" s="505"/>
      <c r="O192" s="505"/>
      <c r="P192" s="505"/>
      <c r="Q192" s="505"/>
      <c r="R192" s="505"/>
      <c r="S192" s="505"/>
      <c r="T192" s="505"/>
      <c r="U192" s="505"/>
      <c r="V192" s="505"/>
      <c r="W192" s="505"/>
      <c r="X192" s="505"/>
      <c r="Y192" s="505"/>
      <c r="Z192" s="505"/>
      <c r="AA192" s="505"/>
      <c r="AB192" s="505"/>
      <c r="AC192" s="505"/>
    </row>
    <row r="193" spans="1:29">
      <c r="A193" s="505"/>
      <c r="B193" s="505"/>
      <c r="C193" s="505"/>
      <c r="D193" s="505"/>
      <c r="E193" s="505"/>
      <c r="F193" s="505"/>
      <c r="G193" s="505"/>
      <c r="H193" s="505"/>
      <c r="I193" s="505"/>
      <c r="J193" s="505"/>
      <c r="K193" s="517"/>
      <c r="L193" s="518"/>
      <c r="M193" s="505"/>
      <c r="N193" s="505"/>
      <c r="O193" s="505"/>
      <c r="P193" s="505"/>
      <c r="Q193" s="505"/>
      <c r="R193" s="505"/>
      <c r="S193" s="505"/>
      <c r="T193" s="505"/>
      <c r="U193" s="505"/>
      <c r="V193" s="505"/>
      <c r="W193" s="505"/>
      <c r="X193" s="505"/>
      <c r="Y193" s="505"/>
      <c r="Z193" s="505"/>
      <c r="AA193" s="505"/>
      <c r="AB193" s="505"/>
      <c r="AC193" s="505"/>
    </row>
    <row r="194" spans="1:29">
      <c r="A194" s="505"/>
      <c r="B194" s="505"/>
      <c r="C194" s="505"/>
      <c r="D194" s="505"/>
      <c r="E194" s="505"/>
      <c r="F194" s="505"/>
      <c r="G194" s="505"/>
      <c r="H194" s="505"/>
      <c r="I194" s="505"/>
      <c r="J194" s="505"/>
      <c r="K194" s="517"/>
      <c r="L194" s="518"/>
      <c r="M194" s="505"/>
      <c r="N194" s="505"/>
      <c r="O194" s="505"/>
      <c r="P194" s="505"/>
      <c r="Q194" s="505"/>
      <c r="R194" s="505"/>
      <c r="S194" s="505"/>
      <c r="T194" s="505"/>
      <c r="U194" s="505"/>
      <c r="V194" s="505"/>
      <c r="W194" s="505"/>
      <c r="X194" s="505"/>
      <c r="Y194" s="505"/>
      <c r="Z194" s="505"/>
      <c r="AA194" s="505"/>
      <c r="AB194" s="505"/>
      <c r="AC194" s="505"/>
    </row>
    <row r="195" spans="1:29">
      <c r="A195" s="505"/>
      <c r="B195" s="505"/>
      <c r="C195" s="505"/>
      <c r="D195" s="505"/>
      <c r="E195" s="505"/>
      <c r="F195" s="505"/>
      <c r="G195" s="505"/>
      <c r="H195" s="505"/>
      <c r="I195" s="505"/>
      <c r="J195" s="505"/>
      <c r="K195" s="517"/>
      <c r="L195" s="518"/>
      <c r="M195" s="505"/>
      <c r="N195" s="505"/>
      <c r="O195" s="505"/>
      <c r="P195" s="505"/>
      <c r="Q195" s="505"/>
      <c r="R195" s="505"/>
      <c r="S195" s="505"/>
      <c r="T195" s="505"/>
      <c r="U195" s="505"/>
      <c r="V195" s="505"/>
      <c r="W195" s="505"/>
      <c r="X195" s="505"/>
      <c r="Y195" s="505"/>
      <c r="Z195" s="505"/>
      <c r="AA195" s="505"/>
      <c r="AB195" s="505"/>
      <c r="AC195" s="505"/>
    </row>
    <row r="196" spans="1:29">
      <c r="A196" s="505"/>
      <c r="B196" s="505"/>
      <c r="C196" s="505"/>
      <c r="D196" s="505"/>
      <c r="E196" s="505"/>
      <c r="F196" s="505"/>
      <c r="G196" s="505"/>
      <c r="H196" s="505"/>
      <c r="I196" s="505"/>
      <c r="J196" s="505"/>
      <c r="K196" s="517"/>
      <c r="L196" s="518"/>
      <c r="M196" s="505"/>
      <c r="N196" s="505"/>
      <c r="O196" s="505"/>
      <c r="P196" s="505"/>
      <c r="Q196" s="505"/>
      <c r="R196" s="505"/>
      <c r="S196" s="505"/>
      <c r="T196" s="505"/>
      <c r="U196" s="505"/>
      <c r="V196" s="505"/>
      <c r="W196" s="505"/>
      <c r="X196" s="505"/>
      <c r="Y196" s="505"/>
      <c r="Z196" s="505"/>
      <c r="AA196" s="505"/>
      <c r="AB196" s="505"/>
      <c r="AC196" s="505"/>
    </row>
    <row r="197" spans="1:29">
      <c r="A197" s="505"/>
      <c r="B197" s="505"/>
      <c r="C197" s="505"/>
      <c r="D197" s="505"/>
      <c r="E197" s="505"/>
      <c r="F197" s="505"/>
      <c r="G197" s="505"/>
      <c r="H197" s="505"/>
      <c r="I197" s="505"/>
      <c r="J197" s="505"/>
      <c r="K197" s="517"/>
      <c r="L197" s="518"/>
      <c r="M197" s="505"/>
      <c r="N197" s="505"/>
      <c r="O197" s="505"/>
      <c r="P197" s="505"/>
      <c r="Q197" s="505"/>
      <c r="R197" s="505"/>
      <c r="S197" s="505"/>
      <c r="T197" s="505"/>
      <c r="U197" s="505"/>
      <c r="V197" s="505"/>
      <c r="W197" s="505"/>
      <c r="X197" s="505"/>
      <c r="Y197" s="505"/>
      <c r="Z197" s="505"/>
      <c r="AA197" s="505"/>
      <c r="AB197" s="505"/>
      <c r="AC197" s="505"/>
    </row>
    <row r="198" spans="1:29">
      <c r="A198" s="505"/>
      <c r="B198" s="505"/>
      <c r="C198" s="505"/>
      <c r="D198" s="505"/>
      <c r="E198" s="505"/>
      <c r="F198" s="505"/>
      <c r="G198" s="505"/>
      <c r="H198" s="505"/>
      <c r="I198" s="505"/>
      <c r="J198" s="505"/>
      <c r="K198" s="517"/>
      <c r="L198" s="518"/>
      <c r="M198" s="505"/>
      <c r="N198" s="505"/>
      <c r="O198" s="505"/>
      <c r="P198" s="505"/>
      <c r="Q198" s="505"/>
      <c r="R198" s="505"/>
      <c r="S198" s="505"/>
      <c r="T198" s="505"/>
      <c r="U198" s="505"/>
      <c r="V198" s="505"/>
      <c r="W198" s="505"/>
      <c r="X198" s="505"/>
      <c r="Y198" s="505"/>
      <c r="Z198" s="505"/>
      <c r="AA198" s="505"/>
      <c r="AB198" s="505"/>
      <c r="AC198" s="505"/>
    </row>
    <row r="199" spans="1:29">
      <c r="A199" s="505"/>
      <c r="B199" s="505"/>
      <c r="C199" s="505"/>
      <c r="D199" s="505"/>
      <c r="E199" s="505"/>
      <c r="F199" s="505"/>
      <c r="G199" s="505"/>
      <c r="H199" s="505"/>
      <c r="I199" s="505"/>
      <c r="J199" s="505"/>
      <c r="K199" s="517"/>
      <c r="L199" s="518"/>
      <c r="M199" s="505"/>
      <c r="N199" s="505"/>
      <c r="O199" s="505"/>
      <c r="P199" s="505"/>
      <c r="Q199" s="505"/>
      <c r="R199" s="505"/>
      <c r="S199" s="505"/>
      <c r="T199" s="505"/>
      <c r="U199" s="505"/>
      <c r="V199" s="505"/>
      <c r="W199" s="505"/>
      <c r="X199" s="505"/>
      <c r="Y199" s="505"/>
      <c r="Z199" s="505"/>
      <c r="AA199" s="505"/>
      <c r="AB199" s="505"/>
      <c r="AC199" s="505"/>
    </row>
    <row r="200" spans="1:29">
      <c r="A200" s="505"/>
      <c r="B200" s="505"/>
      <c r="C200" s="505"/>
      <c r="D200" s="505"/>
      <c r="E200" s="505"/>
      <c r="F200" s="505"/>
      <c r="G200" s="505"/>
      <c r="H200" s="505"/>
      <c r="I200" s="505"/>
      <c r="J200" s="505"/>
      <c r="K200" s="517"/>
      <c r="L200" s="518"/>
      <c r="M200" s="505"/>
      <c r="N200" s="505"/>
      <c r="O200" s="505"/>
      <c r="P200" s="505"/>
      <c r="Q200" s="505"/>
      <c r="R200" s="505"/>
      <c r="S200" s="505"/>
      <c r="T200" s="505"/>
      <c r="U200" s="505"/>
      <c r="V200" s="505"/>
      <c r="W200" s="505"/>
      <c r="X200" s="505"/>
      <c r="Y200" s="505"/>
      <c r="Z200" s="505"/>
      <c r="AA200" s="505"/>
      <c r="AB200" s="505"/>
      <c r="AC200" s="505"/>
    </row>
    <row r="201" spans="1:29">
      <c r="A201" s="505"/>
      <c r="B201" s="505"/>
      <c r="C201" s="505"/>
      <c r="D201" s="505"/>
      <c r="E201" s="505"/>
      <c r="F201" s="505"/>
      <c r="G201" s="505"/>
      <c r="H201" s="505"/>
      <c r="I201" s="505"/>
      <c r="J201" s="505"/>
      <c r="K201" s="517"/>
      <c r="L201" s="518"/>
      <c r="M201" s="505"/>
      <c r="N201" s="505"/>
      <c r="O201" s="505"/>
      <c r="P201" s="505"/>
      <c r="Q201" s="505"/>
      <c r="R201" s="505"/>
      <c r="S201" s="505"/>
      <c r="T201" s="505"/>
      <c r="U201" s="505"/>
      <c r="V201" s="505"/>
      <c r="W201" s="505"/>
      <c r="X201" s="505"/>
      <c r="Y201" s="505"/>
      <c r="Z201" s="505"/>
      <c r="AA201" s="505"/>
      <c r="AB201" s="505"/>
      <c r="AC201" s="505"/>
    </row>
    <row r="202" spans="1:29">
      <c r="A202" s="505"/>
      <c r="B202" s="505"/>
      <c r="C202" s="505"/>
      <c r="D202" s="505"/>
      <c r="E202" s="505"/>
      <c r="F202" s="505"/>
      <c r="G202" s="505"/>
      <c r="H202" s="505"/>
      <c r="I202" s="505"/>
      <c r="J202" s="505"/>
      <c r="K202" s="517"/>
      <c r="L202" s="518"/>
      <c r="M202" s="505"/>
      <c r="N202" s="505"/>
      <c r="O202" s="505"/>
      <c r="P202" s="505"/>
      <c r="Q202" s="505"/>
      <c r="R202" s="505"/>
      <c r="S202" s="505"/>
      <c r="T202" s="505"/>
      <c r="U202" s="505"/>
      <c r="V202" s="505"/>
      <c r="W202" s="505"/>
      <c r="X202" s="505"/>
      <c r="Y202" s="505"/>
      <c r="Z202" s="505"/>
      <c r="AA202" s="505"/>
      <c r="AB202" s="505"/>
      <c r="AC202" s="505"/>
    </row>
    <row r="203" spans="1:29">
      <c r="A203" s="505"/>
      <c r="B203" s="505"/>
      <c r="C203" s="505"/>
      <c r="D203" s="505"/>
      <c r="E203" s="505"/>
      <c r="F203" s="505"/>
      <c r="G203" s="505"/>
      <c r="H203" s="505"/>
      <c r="I203" s="505"/>
      <c r="J203" s="505"/>
      <c r="K203" s="517"/>
      <c r="L203" s="518"/>
      <c r="M203" s="505"/>
      <c r="N203" s="505"/>
      <c r="O203" s="505"/>
      <c r="P203" s="505"/>
      <c r="Q203" s="505"/>
      <c r="R203" s="505"/>
      <c r="S203" s="505"/>
      <c r="T203" s="505"/>
      <c r="U203" s="505"/>
      <c r="V203" s="505"/>
      <c r="W203" s="505"/>
      <c r="X203" s="505"/>
      <c r="Y203" s="505"/>
      <c r="Z203" s="505"/>
      <c r="AA203" s="505"/>
      <c r="AB203" s="505"/>
      <c r="AC203" s="505"/>
    </row>
    <row r="204" spans="1:29">
      <c r="A204" s="505"/>
      <c r="B204" s="505"/>
      <c r="C204" s="505"/>
      <c r="D204" s="505"/>
      <c r="E204" s="505"/>
      <c r="F204" s="505"/>
      <c r="G204" s="505"/>
      <c r="H204" s="505"/>
      <c r="I204" s="505"/>
      <c r="J204" s="505"/>
      <c r="K204" s="517"/>
      <c r="L204" s="518"/>
      <c r="M204" s="505"/>
      <c r="N204" s="505"/>
      <c r="O204" s="505"/>
      <c r="P204" s="505"/>
      <c r="Q204" s="505"/>
      <c r="R204" s="505"/>
      <c r="S204" s="505"/>
      <c r="T204" s="505"/>
      <c r="U204" s="505"/>
      <c r="V204" s="505"/>
      <c r="W204" s="505"/>
      <c r="X204" s="505"/>
      <c r="Y204" s="505"/>
      <c r="Z204" s="505"/>
      <c r="AA204" s="505"/>
      <c r="AB204" s="505"/>
      <c r="AC204" s="505"/>
    </row>
    <row r="205" spans="1:29">
      <c r="A205" s="505"/>
      <c r="B205" s="505"/>
      <c r="C205" s="505"/>
      <c r="D205" s="505"/>
      <c r="E205" s="505"/>
      <c r="F205" s="505"/>
      <c r="G205" s="505"/>
      <c r="H205" s="505"/>
      <c r="I205" s="505"/>
      <c r="J205" s="505"/>
      <c r="K205" s="517"/>
      <c r="L205" s="518"/>
      <c r="M205" s="505"/>
      <c r="N205" s="505"/>
      <c r="O205" s="505"/>
      <c r="P205" s="505"/>
      <c r="Q205" s="505"/>
      <c r="R205" s="505"/>
      <c r="S205" s="505"/>
      <c r="T205" s="505"/>
      <c r="U205" s="505"/>
      <c r="V205" s="505"/>
      <c r="W205" s="505"/>
      <c r="X205" s="505"/>
      <c r="Y205" s="505"/>
      <c r="Z205" s="505"/>
      <c r="AA205" s="505"/>
      <c r="AB205" s="505"/>
      <c r="AC205" s="505"/>
    </row>
    <row r="206" spans="1:29">
      <c r="A206" s="505"/>
      <c r="B206" s="505"/>
      <c r="C206" s="505"/>
      <c r="D206" s="505"/>
      <c r="E206" s="505"/>
      <c r="F206" s="505"/>
      <c r="G206" s="505"/>
      <c r="H206" s="505"/>
      <c r="I206" s="505"/>
      <c r="J206" s="505"/>
      <c r="K206" s="517"/>
      <c r="L206" s="518"/>
      <c r="M206" s="505"/>
      <c r="N206" s="505"/>
      <c r="O206" s="505"/>
      <c r="P206" s="505"/>
      <c r="Q206" s="505"/>
      <c r="R206" s="505"/>
      <c r="S206" s="505"/>
      <c r="T206" s="505"/>
      <c r="U206" s="505"/>
      <c r="V206" s="505"/>
      <c r="W206" s="505"/>
      <c r="X206" s="505"/>
      <c r="Y206" s="505"/>
      <c r="Z206" s="505"/>
      <c r="AA206" s="505"/>
      <c r="AB206" s="505"/>
      <c r="AC206" s="505"/>
    </row>
    <row r="207" spans="1:29">
      <c r="A207" s="505"/>
      <c r="B207" s="505"/>
      <c r="C207" s="505"/>
      <c r="D207" s="505"/>
      <c r="E207" s="505"/>
      <c r="F207" s="505"/>
      <c r="G207" s="505"/>
      <c r="H207" s="505"/>
      <c r="I207" s="505"/>
      <c r="J207" s="505"/>
      <c r="K207" s="517"/>
      <c r="L207" s="518"/>
      <c r="M207" s="505"/>
      <c r="N207" s="505"/>
      <c r="O207" s="505"/>
      <c r="P207" s="505"/>
      <c r="Q207" s="505"/>
      <c r="R207" s="505"/>
      <c r="S207" s="505"/>
      <c r="T207" s="505"/>
      <c r="U207" s="505"/>
      <c r="V207" s="505"/>
      <c r="W207" s="505"/>
      <c r="X207" s="505"/>
      <c r="Y207" s="505"/>
      <c r="Z207" s="505"/>
      <c r="AA207" s="505"/>
      <c r="AB207" s="505"/>
      <c r="AC207" s="505"/>
    </row>
    <row r="208" spans="1:29">
      <c r="A208" s="505"/>
      <c r="B208" s="505"/>
      <c r="C208" s="505"/>
      <c r="D208" s="505"/>
      <c r="E208" s="505"/>
      <c r="F208" s="505"/>
      <c r="G208" s="505"/>
      <c r="H208" s="505"/>
      <c r="I208" s="505"/>
      <c r="J208" s="505"/>
      <c r="K208" s="517"/>
      <c r="L208" s="518"/>
      <c r="M208" s="505"/>
      <c r="N208" s="505"/>
      <c r="O208" s="505"/>
      <c r="P208" s="505"/>
      <c r="Q208" s="505"/>
      <c r="R208" s="505"/>
      <c r="S208" s="505"/>
      <c r="T208" s="505"/>
      <c r="U208" s="505"/>
      <c r="V208" s="505"/>
      <c r="W208" s="505"/>
      <c r="X208" s="505"/>
      <c r="Y208" s="505"/>
      <c r="Z208" s="505"/>
      <c r="AA208" s="505"/>
      <c r="AB208" s="505"/>
      <c r="AC208" s="505"/>
    </row>
    <row r="209" spans="1:29">
      <c r="A209" s="505"/>
      <c r="B209" s="505"/>
      <c r="C209" s="505"/>
      <c r="D209" s="505"/>
      <c r="E209" s="505"/>
      <c r="F209" s="505"/>
      <c r="G209" s="505"/>
      <c r="H209" s="505"/>
      <c r="I209" s="505"/>
      <c r="J209" s="505"/>
      <c r="K209" s="517"/>
      <c r="L209" s="518"/>
      <c r="M209" s="505"/>
      <c r="N209" s="505"/>
      <c r="O209" s="505"/>
      <c r="P209" s="505"/>
      <c r="Q209" s="505"/>
      <c r="R209" s="505"/>
      <c r="S209" s="505"/>
      <c r="T209" s="505"/>
      <c r="U209" s="505"/>
      <c r="V209" s="505"/>
      <c r="W209" s="505"/>
      <c r="X209" s="505"/>
      <c r="Y209" s="505"/>
      <c r="Z209" s="505"/>
      <c r="AA209" s="505"/>
      <c r="AB209" s="505"/>
      <c r="AC209" s="505"/>
    </row>
    <row r="210" spans="1:29">
      <c r="A210" s="505"/>
      <c r="B210" s="505"/>
      <c r="C210" s="505"/>
      <c r="D210" s="505"/>
      <c r="E210" s="505"/>
      <c r="F210" s="505"/>
      <c r="G210" s="505"/>
      <c r="H210" s="505"/>
      <c r="I210" s="505"/>
      <c r="J210" s="505"/>
      <c r="K210" s="517"/>
      <c r="L210" s="518"/>
      <c r="M210" s="505"/>
      <c r="N210" s="505"/>
      <c r="O210" s="505"/>
      <c r="P210" s="505"/>
      <c r="Q210" s="505"/>
      <c r="R210" s="505"/>
      <c r="S210" s="505"/>
      <c r="T210" s="505"/>
      <c r="U210" s="505"/>
      <c r="V210" s="505"/>
      <c r="W210" s="505"/>
      <c r="X210" s="505"/>
      <c r="Y210" s="505"/>
      <c r="Z210" s="505"/>
      <c r="AA210" s="505"/>
      <c r="AB210" s="505"/>
      <c r="AC210" s="505"/>
    </row>
    <row r="211" spans="1:29">
      <c r="A211" s="505"/>
      <c r="B211" s="505"/>
      <c r="C211" s="505"/>
      <c r="D211" s="505"/>
      <c r="E211" s="505"/>
      <c r="F211" s="505"/>
      <c r="G211" s="505"/>
      <c r="H211" s="505"/>
      <c r="I211" s="505"/>
      <c r="J211" s="505"/>
      <c r="K211" s="517"/>
      <c r="L211" s="518"/>
      <c r="M211" s="505"/>
      <c r="N211" s="505"/>
      <c r="O211" s="505"/>
      <c r="P211" s="505"/>
      <c r="Q211" s="505"/>
      <c r="R211" s="505"/>
      <c r="S211" s="505"/>
      <c r="T211" s="505"/>
      <c r="U211" s="505"/>
      <c r="V211" s="505"/>
      <c r="W211" s="505"/>
      <c r="X211" s="505"/>
      <c r="Y211" s="505"/>
      <c r="Z211" s="505"/>
      <c r="AA211" s="505"/>
      <c r="AB211" s="505"/>
      <c r="AC211" s="505"/>
    </row>
    <row r="212" spans="1:29">
      <c r="A212" s="505"/>
      <c r="B212" s="505"/>
      <c r="C212" s="505"/>
      <c r="D212" s="505"/>
      <c r="E212" s="505"/>
      <c r="F212" s="505"/>
      <c r="G212" s="505"/>
      <c r="H212" s="505"/>
      <c r="I212" s="505"/>
      <c r="J212" s="505"/>
      <c r="K212" s="517"/>
      <c r="L212" s="518"/>
      <c r="M212" s="505"/>
      <c r="N212" s="505"/>
      <c r="O212" s="505"/>
      <c r="P212" s="505"/>
      <c r="Q212" s="505"/>
      <c r="R212" s="505"/>
      <c r="S212" s="505"/>
      <c r="T212" s="505"/>
      <c r="U212" s="505"/>
      <c r="V212" s="505"/>
      <c r="W212" s="505"/>
      <c r="X212" s="505"/>
      <c r="Y212" s="505"/>
      <c r="Z212" s="505"/>
      <c r="AA212" s="505"/>
      <c r="AB212" s="505"/>
      <c r="AC212" s="505"/>
    </row>
    <row r="213" spans="1:29">
      <c r="A213" s="505"/>
      <c r="B213" s="505"/>
      <c r="C213" s="505"/>
      <c r="D213" s="505"/>
      <c r="E213" s="505"/>
      <c r="F213" s="505"/>
      <c r="G213" s="505"/>
      <c r="H213" s="505"/>
      <c r="I213" s="505"/>
      <c r="J213" s="505"/>
      <c r="K213" s="517"/>
      <c r="L213" s="518"/>
      <c r="M213" s="505"/>
      <c r="N213" s="505"/>
      <c r="O213" s="505"/>
      <c r="P213" s="505"/>
      <c r="Q213" s="505"/>
      <c r="R213" s="505"/>
      <c r="S213" s="505"/>
      <c r="T213" s="505"/>
      <c r="U213" s="505"/>
      <c r="V213" s="505"/>
      <c r="W213" s="505"/>
      <c r="X213" s="505"/>
      <c r="Y213" s="505"/>
      <c r="Z213" s="505"/>
      <c r="AA213" s="505"/>
      <c r="AB213" s="505"/>
      <c r="AC213" s="505"/>
    </row>
    <row r="214" spans="1:29">
      <c r="A214" s="505"/>
      <c r="B214" s="505"/>
      <c r="C214" s="505"/>
      <c r="D214" s="505"/>
      <c r="E214" s="505"/>
      <c r="F214" s="505"/>
      <c r="G214" s="505"/>
      <c r="H214" s="505"/>
      <c r="I214" s="505"/>
      <c r="J214" s="505"/>
      <c r="K214" s="517"/>
      <c r="L214" s="518"/>
      <c r="M214" s="505"/>
      <c r="N214" s="505"/>
      <c r="O214" s="505"/>
      <c r="P214" s="505"/>
      <c r="Q214" s="505"/>
      <c r="R214" s="505"/>
      <c r="S214" s="505"/>
      <c r="T214" s="505"/>
      <c r="U214" s="505"/>
      <c r="V214" s="505"/>
      <c r="W214" s="505"/>
      <c r="X214" s="505"/>
      <c r="Y214" s="505"/>
      <c r="Z214" s="505"/>
      <c r="AA214" s="505"/>
      <c r="AB214" s="505"/>
      <c r="AC214" s="505"/>
    </row>
    <row r="215" spans="1:29">
      <c r="A215" s="505"/>
      <c r="B215" s="505"/>
      <c r="C215" s="505"/>
      <c r="D215" s="505"/>
      <c r="E215" s="505"/>
      <c r="F215" s="505"/>
      <c r="G215" s="505"/>
      <c r="H215" s="505"/>
      <c r="I215" s="505"/>
      <c r="J215" s="505"/>
      <c r="K215" s="517"/>
      <c r="L215" s="518"/>
      <c r="M215" s="505"/>
      <c r="N215" s="505"/>
      <c r="O215" s="505"/>
      <c r="P215" s="505"/>
      <c r="Q215" s="505"/>
      <c r="R215" s="505"/>
      <c r="S215" s="505"/>
      <c r="T215" s="505"/>
      <c r="U215" s="505"/>
      <c r="V215" s="505"/>
      <c r="W215" s="505"/>
      <c r="X215" s="505"/>
      <c r="Y215" s="505"/>
      <c r="Z215" s="505"/>
      <c r="AA215" s="505"/>
      <c r="AB215" s="505"/>
      <c r="AC215" s="505"/>
    </row>
    <row r="216" spans="1:29">
      <c r="A216" s="505"/>
      <c r="B216" s="505"/>
      <c r="C216" s="505"/>
      <c r="D216" s="505"/>
      <c r="E216" s="505"/>
      <c r="F216" s="505"/>
      <c r="G216" s="505"/>
      <c r="H216" s="505"/>
      <c r="I216" s="505"/>
      <c r="J216" s="505"/>
      <c r="K216" s="517"/>
      <c r="L216" s="518"/>
      <c r="M216" s="505"/>
      <c r="N216" s="505"/>
      <c r="O216" s="505"/>
      <c r="P216" s="505"/>
      <c r="Q216" s="505"/>
      <c r="R216" s="505"/>
      <c r="S216" s="505"/>
      <c r="T216" s="505"/>
      <c r="U216" s="505"/>
      <c r="V216" s="505"/>
      <c r="W216" s="505"/>
      <c r="X216" s="505"/>
      <c r="Y216" s="505"/>
      <c r="Z216" s="505"/>
      <c r="AA216" s="505"/>
      <c r="AB216" s="505"/>
      <c r="AC216" s="505"/>
    </row>
    <row r="217" spans="1:29">
      <c r="A217" s="505"/>
      <c r="B217" s="505"/>
      <c r="C217" s="505"/>
      <c r="D217" s="505"/>
      <c r="E217" s="505"/>
      <c r="F217" s="505"/>
      <c r="G217" s="505"/>
      <c r="H217" s="505"/>
      <c r="I217" s="505"/>
      <c r="J217" s="505"/>
      <c r="K217" s="517"/>
      <c r="L217" s="518"/>
      <c r="M217" s="505"/>
      <c r="N217" s="505"/>
      <c r="O217" s="505"/>
      <c r="P217" s="505"/>
      <c r="Q217" s="505"/>
      <c r="R217" s="505"/>
      <c r="S217" s="505"/>
      <c r="T217" s="505"/>
      <c r="U217" s="505"/>
      <c r="V217" s="505"/>
      <c r="W217" s="505"/>
      <c r="X217" s="505"/>
      <c r="Y217" s="505"/>
      <c r="Z217" s="505"/>
      <c r="AA217" s="505"/>
      <c r="AB217" s="505"/>
      <c r="AC217" s="505"/>
    </row>
    <row r="218" spans="1:29">
      <c r="A218" s="505"/>
      <c r="B218" s="505"/>
      <c r="C218" s="505"/>
      <c r="D218" s="505"/>
      <c r="E218" s="505"/>
      <c r="F218" s="505"/>
      <c r="G218" s="505"/>
      <c r="H218" s="505"/>
      <c r="I218" s="505"/>
      <c r="J218" s="505"/>
      <c r="K218" s="517"/>
      <c r="L218" s="518"/>
      <c r="M218" s="505"/>
      <c r="N218" s="505"/>
      <c r="O218" s="505"/>
      <c r="P218" s="505"/>
      <c r="Q218" s="505"/>
      <c r="R218" s="505"/>
      <c r="S218" s="505"/>
      <c r="T218" s="505"/>
      <c r="U218" s="505"/>
      <c r="V218" s="505"/>
      <c r="W218" s="505"/>
      <c r="X218" s="505"/>
      <c r="Y218" s="505"/>
      <c r="Z218" s="505"/>
      <c r="AA218" s="505"/>
      <c r="AB218" s="505"/>
      <c r="AC218" s="505"/>
    </row>
    <row r="219" spans="1:29">
      <c r="A219" s="505"/>
      <c r="B219" s="505"/>
      <c r="C219" s="505"/>
      <c r="D219" s="505"/>
      <c r="E219" s="505"/>
      <c r="F219" s="505"/>
      <c r="G219" s="505"/>
      <c r="H219" s="505"/>
      <c r="I219" s="505"/>
      <c r="J219" s="505"/>
      <c r="K219" s="517"/>
      <c r="L219" s="518"/>
      <c r="M219" s="505"/>
      <c r="N219" s="505"/>
      <c r="O219" s="505"/>
      <c r="P219" s="505"/>
      <c r="Q219" s="505"/>
      <c r="R219" s="505"/>
      <c r="S219" s="505"/>
      <c r="T219" s="505"/>
      <c r="U219" s="505"/>
      <c r="V219" s="505"/>
      <c r="W219" s="505"/>
      <c r="X219" s="505"/>
      <c r="Y219" s="505"/>
      <c r="Z219" s="505"/>
      <c r="AA219" s="505"/>
      <c r="AB219" s="505"/>
      <c r="AC219" s="505"/>
    </row>
    <row r="220" spans="1:29">
      <c r="A220" s="505"/>
      <c r="B220" s="505"/>
      <c r="C220" s="505"/>
      <c r="D220" s="505"/>
      <c r="E220" s="505"/>
      <c r="F220" s="505"/>
      <c r="G220" s="505"/>
      <c r="H220" s="505"/>
      <c r="I220" s="505"/>
      <c r="J220" s="505"/>
      <c r="K220" s="517"/>
      <c r="L220" s="518"/>
      <c r="M220" s="505"/>
      <c r="N220" s="505"/>
      <c r="O220" s="505"/>
      <c r="P220" s="505"/>
      <c r="Q220" s="505"/>
      <c r="R220" s="505"/>
      <c r="S220" s="505"/>
      <c r="T220" s="505"/>
      <c r="U220" s="505"/>
      <c r="V220" s="505"/>
      <c r="W220" s="505"/>
      <c r="X220" s="505"/>
      <c r="Y220" s="505"/>
      <c r="Z220" s="505"/>
      <c r="AA220" s="505"/>
      <c r="AB220" s="505"/>
      <c r="AC220" s="505"/>
    </row>
    <row r="221" spans="1:29">
      <c r="A221" s="505"/>
      <c r="B221" s="505"/>
      <c r="C221" s="505"/>
      <c r="D221" s="505"/>
      <c r="E221" s="505"/>
      <c r="F221" s="505"/>
      <c r="G221" s="505"/>
      <c r="H221" s="505"/>
      <c r="I221" s="505"/>
      <c r="J221" s="505"/>
      <c r="K221" s="517"/>
      <c r="L221" s="518"/>
      <c r="M221" s="505"/>
      <c r="N221" s="505"/>
      <c r="O221" s="505"/>
      <c r="P221" s="505"/>
      <c r="Q221" s="505"/>
      <c r="R221" s="505"/>
      <c r="S221" s="505"/>
      <c r="T221" s="505"/>
      <c r="U221" s="505"/>
      <c r="V221" s="505"/>
      <c r="W221" s="505"/>
      <c r="X221" s="505"/>
      <c r="Y221" s="505"/>
      <c r="Z221" s="505"/>
      <c r="AA221" s="505"/>
      <c r="AB221" s="505"/>
      <c r="AC221" s="505"/>
    </row>
    <row r="222" spans="1:29">
      <c r="A222" s="505"/>
      <c r="B222" s="505"/>
      <c r="C222" s="505"/>
      <c r="D222" s="505"/>
      <c r="E222" s="505"/>
      <c r="F222" s="505"/>
      <c r="G222" s="505"/>
      <c r="H222" s="505"/>
      <c r="I222" s="505"/>
      <c r="J222" s="505"/>
      <c r="K222" s="517"/>
      <c r="L222" s="518"/>
      <c r="M222" s="505"/>
      <c r="N222" s="505"/>
      <c r="O222" s="505"/>
      <c r="P222" s="505"/>
      <c r="Q222" s="505"/>
      <c r="R222" s="505"/>
      <c r="S222" s="505"/>
      <c r="T222" s="505"/>
      <c r="U222" s="505"/>
      <c r="V222" s="505"/>
      <c r="W222" s="505"/>
      <c r="X222" s="505"/>
      <c r="Y222" s="505"/>
      <c r="Z222" s="505"/>
      <c r="AA222" s="505"/>
      <c r="AB222" s="505"/>
      <c r="AC222" s="505"/>
    </row>
    <row r="223" spans="1:29">
      <c r="A223" s="505"/>
      <c r="B223" s="505"/>
      <c r="C223" s="505"/>
      <c r="D223" s="505"/>
      <c r="E223" s="505"/>
      <c r="F223" s="505"/>
      <c r="G223" s="505"/>
      <c r="H223" s="505"/>
      <c r="I223" s="505"/>
      <c r="J223" s="505"/>
      <c r="K223" s="517"/>
      <c r="L223" s="518"/>
      <c r="M223" s="505"/>
      <c r="N223" s="505"/>
      <c r="O223" s="505"/>
      <c r="P223" s="505"/>
      <c r="Q223" s="505"/>
      <c r="R223" s="505"/>
      <c r="S223" s="505"/>
      <c r="T223" s="505"/>
      <c r="U223" s="505"/>
      <c r="V223" s="505"/>
      <c r="W223" s="505"/>
      <c r="X223" s="505"/>
      <c r="Y223" s="505"/>
      <c r="Z223" s="505"/>
      <c r="AA223" s="505"/>
      <c r="AB223" s="505"/>
      <c r="AC223" s="505"/>
    </row>
    <row r="224" spans="1:29">
      <c r="A224" s="505"/>
      <c r="B224" s="505"/>
      <c r="C224" s="505"/>
      <c r="D224" s="505"/>
      <c r="E224" s="505"/>
      <c r="F224" s="505"/>
      <c r="G224" s="505"/>
      <c r="H224" s="505"/>
      <c r="I224" s="505"/>
      <c r="J224" s="505"/>
      <c r="K224" s="517"/>
      <c r="L224" s="518"/>
      <c r="M224" s="505"/>
      <c r="N224" s="505"/>
      <c r="O224" s="505"/>
      <c r="P224" s="505"/>
      <c r="Q224" s="505"/>
      <c r="R224" s="505"/>
      <c r="S224" s="505"/>
      <c r="T224" s="505"/>
      <c r="U224" s="505"/>
      <c r="V224" s="505"/>
      <c r="W224" s="505"/>
      <c r="X224" s="505"/>
      <c r="Y224" s="505"/>
      <c r="Z224" s="505"/>
      <c r="AA224" s="505"/>
      <c r="AB224" s="505"/>
      <c r="AC224" s="505"/>
    </row>
    <row r="225" spans="1:29">
      <c r="A225" s="505"/>
      <c r="B225" s="505"/>
      <c r="C225" s="505"/>
      <c r="D225" s="505"/>
      <c r="E225" s="505"/>
      <c r="F225" s="505"/>
      <c r="G225" s="505"/>
      <c r="H225" s="505"/>
      <c r="I225" s="505"/>
      <c r="J225" s="505"/>
      <c r="K225" s="517"/>
      <c r="L225" s="518"/>
      <c r="M225" s="505"/>
      <c r="N225" s="505"/>
      <c r="O225" s="505"/>
      <c r="P225" s="505"/>
      <c r="Q225" s="505"/>
      <c r="R225" s="505"/>
      <c r="S225" s="505"/>
      <c r="T225" s="505"/>
      <c r="U225" s="505"/>
      <c r="V225" s="505"/>
      <c r="W225" s="505"/>
      <c r="X225" s="505"/>
      <c r="Y225" s="505"/>
      <c r="Z225" s="505"/>
      <c r="AA225" s="505"/>
      <c r="AB225" s="505"/>
      <c r="AC225" s="505"/>
    </row>
    <row r="226" spans="1:29">
      <c r="A226" s="505"/>
      <c r="B226" s="505"/>
      <c r="C226" s="505"/>
      <c r="D226" s="505"/>
      <c r="E226" s="505"/>
      <c r="F226" s="505"/>
      <c r="G226" s="505"/>
      <c r="H226" s="505"/>
      <c r="I226" s="505"/>
      <c r="J226" s="505"/>
      <c r="K226" s="517"/>
      <c r="L226" s="518"/>
      <c r="M226" s="505"/>
      <c r="N226" s="505"/>
      <c r="O226" s="505"/>
      <c r="P226" s="505"/>
      <c r="Q226" s="505"/>
      <c r="R226" s="505"/>
      <c r="S226" s="505"/>
      <c r="T226" s="505"/>
      <c r="U226" s="505"/>
      <c r="V226" s="505"/>
      <c r="W226" s="505"/>
      <c r="X226" s="505"/>
      <c r="Y226" s="505"/>
      <c r="Z226" s="505"/>
      <c r="AA226" s="505"/>
      <c r="AB226" s="505"/>
      <c r="AC226" s="505"/>
    </row>
    <row r="227" spans="1:29">
      <c r="A227" s="505"/>
      <c r="B227" s="505"/>
      <c r="C227" s="505"/>
      <c r="D227" s="505"/>
      <c r="E227" s="505"/>
      <c r="F227" s="505"/>
      <c r="G227" s="505"/>
      <c r="H227" s="505"/>
      <c r="I227" s="505"/>
      <c r="J227" s="505"/>
      <c r="K227" s="517"/>
      <c r="L227" s="518"/>
      <c r="M227" s="505"/>
      <c r="N227" s="505"/>
      <c r="O227" s="505"/>
      <c r="P227" s="505"/>
      <c r="Q227" s="505"/>
      <c r="R227" s="505"/>
      <c r="S227" s="505"/>
      <c r="T227" s="505"/>
      <c r="U227" s="505"/>
      <c r="V227" s="505"/>
      <c r="W227" s="505"/>
      <c r="X227" s="505"/>
      <c r="Y227" s="505"/>
      <c r="Z227" s="505"/>
      <c r="AA227" s="505"/>
      <c r="AB227" s="505"/>
      <c r="AC227" s="505"/>
    </row>
    <row r="228" spans="1:29">
      <c r="A228" s="505"/>
      <c r="B228" s="505"/>
      <c r="C228" s="505"/>
      <c r="D228" s="505"/>
      <c r="E228" s="505"/>
      <c r="F228" s="505"/>
      <c r="G228" s="505"/>
      <c r="H228" s="505"/>
      <c r="I228" s="505"/>
      <c r="J228" s="505"/>
      <c r="K228" s="517"/>
      <c r="L228" s="518"/>
      <c r="M228" s="505"/>
      <c r="N228" s="505"/>
      <c r="O228" s="505"/>
      <c r="P228" s="505"/>
      <c r="Q228" s="505"/>
      <c r="R228" s="505"/>
      <c r="S228" s="505"/>
      <c r="T228" s="505"/>
      <c r="U228" s="505"/>
      <c r="V228" s="505"/>
      <c r="W228" s="505"/>
      <c r="X228" s="505"/>
      <c r="Y228" s="505"/>
      <c r="Z228" s="505"/>
      <c r="AA228" s="505"/>
      <c r="AB228" s="505"/>
      <c r="AC228" s="505"/>
    </row>
    <row r="229" spans="1:29">
      <c r="A229" s="505"/>
      <c r="B229" s="505"/>
      <c r="C229" s="505"/>
      <c r="D229" s="505"/>
      <c r="E229" s="505"/>
      <c r="F229" s="505"/>
      <c r="G229" s="505"/>
      <c r="H229" s="505"/>
      <c r="I229" s="505"/>
      <c r="J229" s="505"/>
      <c r="K229" s="517"/>
      <c r="L229" s="518"/>
      <c r="M229" s="505"/>
      <c r="N229" s="505"/>
      <c r="O229" s="505"/>
      <c r="P229" s="505"/>
      <c r="Q229" s="505"/>
      <c r="R229" s="505"/>
      <c r="S229" s="505"/>
      <c r="T229" s="505"/>
      <c r="U229" s="505"/>
      <c r="V229" s="505"/>
      <c r="W229" s="505"/>
      <c r="X229" s="505"/>
      <c r="Y229" s="505"/>
      <c r="Z229" s="505"/>
      <c r="AA229" s="505"/>
      <c r="AB229" s="505"/>
      <c r="AC229" s="505"/>
    </row>
    <row r="230" spans="1:29">
      <c r="A230" s="505"/>
      <c r="B230" s="505"/>
      <c r="C230" s="505"/>
      <c r="D230" s="505"/>
      <c r="E230" s="505"/>
      <c r="F230" s="505"/>
      <c r="G230" s="505"/>
      <c r="H230" s="505"/>
      <c r="I230" s="505"/>
      <c r="J230" s="505"/>
      <c r="K230" s="517"/>
      <c r="L230" s="518"/>
      <c r="M230" s="505"/>
      <c r="N230" s="505"/>
      <c r="O230" s="505"/>
      <c r="P230" s="505"/>
      <c r="Q230" s="505"/>
      <c r="R230" s="505"/>
      <c r="S230" s="505"/>
      <c r="T230" s="505"/>
      <c r="U230" s="505"/>
      <c r="V230" s="505"/>
      <c r="W230" s="505"/>
      <c r="X230" s="505"/>
      <c r="Y230" s="505"/>
      <c r="Z230" s="505"/>
      <c r="AA230" s="505"/>
      <c r="AB230" s="505"/>
      <c r="AC230" s="505"/>
    </row>
    <row r="231" spans="1:29">
      <c r="A231" s="505"/>
      <c r="B231" s="505"/>
      <c r="C231" s="505"/>
      <c r="D231" s="505"/>
      <c r="E231" s="505"/>
      <c r="F231" s="505"/>
      <c r="G231" s="505"/>
      <c r="H231" s="505"/>
      <c r="I231" s="505"/>
      <c r="J231" s="505"/>
      <c r="K231" s="517"/>
      <c r="L231" s="518"/>
      <c r="M231" s="505"/>
      <c r="N231" s="505"/>
      <c r="O231" s="505"/>
      <c r="P231" s="505"/>
      <c r="Q231" s="505"/>
      <c r="R231" s="505"/>
      <c r="S231" s="505"/>
      <c r="T231" s="505"/>
      <c r="U231" s="505"/>
      <c r="V231" s="505"/>
      <c r="W231" s="505"/>
      <c r="X231" s="505"/>
      <c r="Y231" s="505"/>
      <c r="Z231" s="505"/>
      <c r="AA231" s="505"/>
      <c r="AB231" s="505"/>
      <c r="AC231" s="505"/>
    </row>
    <row r="232" spans="1:29">
      <c r="A232" s="505"/>
      <c r="B232" s="505"/>
      <c r="C232" s="505"/>
      <c r="D232" s="505"/>
      <c r="E232" s="505"/>
      <c r="F232" s="505"/>
      <c r="G232" s="505"/>
      <c r="H232" s="505"/>
      <c r="I232" s="505"/>
      <c r="J232" s="505"/>
      <c r="K232" s="517"/>
      <c r="L232" s="518"/>
      <c r="M232" s="505"/>
      <c r="N232" s="505"/>
      <c r="O232" s="505"/>
      <c r="P232" s="505"/>
      <c r="Q232" s="505"/>
      <c r="R232" s="505"/>
      <c r="S232" s="505"/>
      <c r="T232" s="505"/>
      <c r="U232" s="505"/>
      <c r="V232" s="505"/>
      <c r="W232" s="505"/>
      <c r="X232" s="505"/>
      <c r="Y232" s="505"/>
      <c r="Z232" s="505"/>
      <c r="AA232" s="505"/>
      <c r="AB232" s="505"/>
      <c r="AC232" s="505"/>
    </row>
    <row r="233" spans="1:29">
      <c r="A233" s="505"/>
      <c r="B233" s="505"/>
      <c r="C233" s="505"/>
      <c r="D233" s="505"/>
      <c r="E233" s="505"/>
      <c r="F233" s="505"/>
      <c r="G233" s="505"/>
      <c r="H233" s="505"/>
      <c r="I233" s="505"/>
      <c r="J233" s="505"/>
      <c r="K233" s="517"/>
      <c r="L233" s="518"/>
      <c r="M233" s="505"/>
      <c r="N233" s="505"/>
      <c r="O233" s="505"/>
      <c r="P233" s="505"/>
      <c r="Q233" s="505"/>
      <c r="R233" s="505"/>
      <c r="S233" s="505"/>
      <c r="T233" s="505"/>
      <c r="U233" s="505"/>
      <c r="V233" s="505"/>
      <c r="W233" s="505"/>
      <c r="X233" s="505"/>
      <c r="Y233" s="505"/>
      <c r="Z233" s="505"/>
      <c r="AA233" s="505"/>
      <c r="AB233" s="505"/>
      <c r="AC233" s="505"/>
    </row>
    <row r="234" spans="1:29">
      <c r="A234" s="505"/>
      <c r="B234" s="505"/>
      <c r="C234" s="505"/>
      <c r="D234" s="505"/>
      <c r="E234" s="505"/>
      <c r="F234" s="505"/>
      <c r="G234" s="505"/>
      <c r="H234" s="505"/>
      <c r="I234" s="505"/>
      <c r="J234" s="505"/>
      <c r="K234" s="517"/>
      <c r="L234" s="518"/>
      <c r="M234" s="505"/>
      <c r="N234" s="505"/>
      <c r="O234" s="505"/>
      <c r="P234" s="505"/>
      <c r="Q234" s="505"/>
      <c r="R234" s="505"/>
      <c r="S234" s="505"/>
      <c r="T234" s="505"/>
      <c r="U234" s="505"/>
      <c r="V234" s="505"/>
      <c r="W234" s="505"/>
      <c r="X234" s="505"/>
      <c r="Y234" s="505"/>
      <c r="Z234" s="505"/>
      <c r="AA234" s="505"/>
      <c r="AB234" s="505"/>
      <c r="AC234" s="505"/>
    </row>
    <row r="235" spans="1:29">
      <c r="A235" s="505"/>
      <c r="B235" s="505"/>
      <c r="C235" s="505"/>
      <c r="D235" s="505"/>
      <c r="E235" s="505"/>
      <c r="F235" s="505"/>
      <c r="G235" s="505"/>
      <c r="H235" s="505"/>
      <c r="I235" s="505"/>
      <c r="J235" s="505"/>
      <c r="K235" s="517"/>
      <c r="L235" s="518"/>
      <c r="M235" s="505"/>
      <c r="N235" s="505"/>
      <c r="O235" s="505"/>
      <c r="P235" s="505"/>
      <c r="Q235" s="505"/>
      <c r="R235" s="505"/>
      <c r="S235" s="505"/>
      <c r="T235" s="505"/>
      <c r="U235" s="505"/>
      <c r="V235" s="505"/>
      <c r="W235" s="505"/>
      <c r="X235" s="505"/>
      <c r="Y235" s="505"/>
      <c r="Z235" s="505"/>
      <c r="AA235" s="505"/>
      <c r="AB235" s="505"/>
      <c r="AC235" s="505"/>
    </row>
    <row r="236" spans="1:29">
      <c r="A236" s="505"/>
      <c r="B236" s="505"/>
      <c r="C236" s="505"/>
      <c r="D236" s="505"/>
      <c r="E236" s="505"/>
      <c r="F236" s="505"/>
      <c r="G236" s="505"/>
      <c r="H236" s="505"/>
      <c r="I236" s="505"/>
      <c r="J236" s="505"/>
      <c r="K236" s="517"/>
      <c r="L236" s="518"/>
      <c r="M236" s="505"/>
      <c r="N236" s="505"/>
      <c r="O236" s="505"/>
      <c r="P236" s="505"/>
      <c r="Q236" s="505"/>
      <c r="R236" s="505"/>
      <c r="S236" s="505"/>
      <c r="T236" s="505"/>
      <c r="U236" s="505"/>
      <c r="V236" s="505"/>
      <c r="W236" s="505"/>
      <c r="X236" s="505"/>
      <c r="Y236" s="505"/>
      <c r="Z236" s="505"/>
      <c r="AA236" s="505"/>
      <c r="AB236" s="505"/>
      <c r="AC236" s="505"/>
    </row>
    <row r="237" spans="1:29">
      <c r="A237" s="505"/>
      <c r="B237" s="505"/>
      <c r="C237" s="505"/>
      <c r="D237" s="505"/>
      <c r="E237" s="505"/>
      <c r="F237" s="505"/>
      <c r="G237" s="505"/>
      <c r="H237" s="505"/>
      <c r="I237" s="505"/>
      <c r="J237" s="505"/>
      <c r="K237" s="517"/>
      <c r="L237" s="518"/>
      <c r="M237" s="505"/>
      <c r="N237" s="505"/>
      <c r="O237" s="505"/>
      <c r="P237" s="505"/>
      <c r="Q237" s="505"/>
      <c r="R237" s="505"/>
      <c r="S237" s="505"/>
      <c r="T237" s="505"/>
      <c r="U237" s="505"/>
      <c r="V237" s="505"/>
      <c r="W237" s="505"/>
      <c r="X237" s="505"/>
      <c r="Y237" s="505"/>
      <c r="Z237" s="505"/>
      <c r="AA237" s="505"/>
      <c r="AB237" s="505"/>
      <c r="AC237" s="505"/>
    </row>
    <row r="238" spans="1:29">
      <c r="A238" s="505"/>
      <c r="B238" s="505"/>
      <c r="C238" s="505"/>
      <c r="D238" s="505"/>
      <c r="E238" s="505"/>
      <c r="F238" s="505"/>
      <c r="G238" s="505"/>
      <c r="H238" s="505"/>
      <c r="I238" s="505"/>
      <c r="J238" s="505"/>
      <c r="K238" s="517"/>
      <c r="L238" s="518"/>
      <c r="M238" s="505"/>
      <c r="N238" s="505"/>
      <c r="O238" s="505"/>
      <c r="P238" s="505"/>
      <c r="Q238" s="505"/>
      <c r="R238" s="505"/>
      <c r="S238" s="505"/>
      <c r="T238" s="505"/>
      <c r="U238" s="505"/>
      <c r="V238" s="505"/>
      <c r="W238" s="505"/>
      <c r="X238" s="505"/>
      <c r="Y238" s="505"/>
      <c r="Z238" s="505"/>
      <c r="AA238" s="505"/>
      <c r="AB238" s="505"/>
      <c r="AC238" s="505"/>
    </row>
    <row r="239" spans="1:29">
      <c r="A239" s="505"/>
      <c r="B239" s="505"/>
      <c r="C239" s="505"/>
      <c r="D239" s="505"/>
      <c r="E239" s="505"/>
      <c r="F239" s="505"/>
      <c r="G239" s="505"/>
      <c r="H239" s="505"/>
      <c r="I239" s="505"/>
      <c r="J239" s="505"/>
      <c r="K239" s="517"/>
      <c r="L239" s="518"/>
      <c r="M239" s="505"/>
      <c r="N239" s="505"/>
      <c r="O239" s="505"/>
      <c r="P239" s="505"/>
      <c r="Q239" s="505"/>
      <c r="R239" s="505"/>
      <c r="S239" s="505"/>
      <c r="T239" s="505"/>
      <c r="U239" s="505"/>
      <c r="V239" s="505"/>
      <c r="W239" s="505"/>
      <c r="X239" s="505"/>
      <c r="Y239" s="505"/>
      <c r="Z239" s="505"/>
      <c r="AA239" s="505"/>
      <c r="AB239" s="505"/>
      <c r="AC239" s="505"/>
    </row>
    <row r="240" spans="1:29">
      <c r="A240" s="505"/>
      <c r="B240" s="505"/>
      <c r="C240" s="505"/>
      <c r="D240" s="505"/>
      <c r="E240" s="505"/>
      <c r="F240" s="505"/>
      <c r="G240" s="505"/>
      <c r="H240" s="505"/>
      <c r="I240" s="505"/>
      <c r="J240" s="505"/>
      <c r="K240" s="517"/>
      <c r="L240" s="518"/>
      <c r="M240" s="505"/>
      <c r="N240" s="505"/>
      <c r="O240" s="505"/>
      <c r="P240" s="505"/>
      <c r="Q240" s="505"/>
      <c r="R240" s="505"/>
      <c r="S240" s="505"/>
      <c r="T240" s="505"/>
      <c r="U240" s="505"/>
      <c r="V240" s="505"/>
      <c r="W240" s="505"/>
      <c r="X240" s="505"/>
      <c r="Y240" s="505"/>
      <c r="Z240" s="505"/>
      <c r="AA240" s="505"/>
      <c r="AB240" s="505"/>
      <c r="AC240" s="505"/>
    </row>
    <row r="241" spans="1:29">
      <c r="A241" s="505"/>
      <c r="B241" s="505"/>
      <c r="C241" s="505"/>
      <c r="D241" s="505"/>
      <c r="E241" s="505"/>
      <c r="F241" s="505"/>
      <c r="G241" s="505"/>
      <c r="H241" s="505"/>
      <c r="I241" s="505"/>
      <c r="J241" s="505"/>
      <c r="K241" s="517"/>
      <c r="L241" s="518"/>
      <c r="M241" s="505"/>
      <c r="N241" s="505"/>
      <c r="O241" s="505"/>
      <c r="P241" s="505"/>
      <c r="Q241" s="505"/>
      <c r="R241" s="505"/>
      <c r="S241" s="505"/>
      <c r="T241" s="505"/>
      <c r="U241" s="505"/>
      <c r="V241" s="505"/>
      <c r="W241" s="505"/>
      <c r="X241" s="505"/>
      <c r="Y241" s="505"/>
      <c r="Z241" s="505"/>
      <c r="AA241" s="505"/>
      <c r="AB241" s="505"/>
      <c r="AC241" s="505"/>
    </row>
    <row r="242" spans="1:29">
      <c r="A242" s="505"/>
      <c r="B242" s="505"/>
      <c r="C242" s="505"/>
      <c r="D242" s="505"/>
      <c r="E242" s="505"/>
      <c r="F242" s="505"/>
      <c r="G242" s="505"/>
      <c r="H242" s="505"/>
      <c r="I242" s="505"/>
      <c r="J242" s="505"/>
      <c r="K242" s="517"/>
      <c r="L242" s="518"/>
      <c r="M242" s="505"/>
      <c r="N242" s="505"/>
      <c r="O242" s="505"/>
      <c r="P242" s="505"/>
      <c r="Q242" s="505"/>
      <c r="R242" s="505"/>
      <c r="S242" s="505"/>
      <c r="T242" s="505"/>
      <c r="U242" s="505"/>
      <c r="V242" s="505"/>
      <c r="W242" s="505"/>
      <c r="X242" s="505"/>
      <c r="Y242" s="505"/>
      <c r="Z242" s="505"/>
      <c r="AA242" s="505"/>
      <c r="AB242" s="505"/>
      <c r="AC242" s="505"/>
    </row>
    <row r="243" spans="1:29">
      <c r="A243" s="505"/>
      <c r="B243" s="505"/>
      <c r="C243" s="505"/>
      <c r="D243" s="505"/>
      <c r="E243" s="505"/>
      <c r="F243" s="505"/>
      <c r="G243" s="505"/>
      <c r="H243" s="505"/>
      <c r="I243" s="505"/>
      <c r="J243" s="505"/>
      <c r="K243" s="517"/>
      <c r="L243" s="518"/>
      <c r="M243" s="505"/>
      <c r="N243" s="505"/>
      <c r="O243" s="505"/>
      <c r="P243" s="505"/>
      <c r="Q243" s="505"/>
      <c r="R243" s="505"/>
      <c r="S243" s="505"/>
      <c r="T243" s="505"/>
      <c r="U243" s="505"/>
      <c r="V243" s="505"/>
      <c r="W243" s="505"/>
      <c r="X243" s="505"/>
      <c r="Y243" s="505"/>
      <c r="Z243" s="505"/>
      <c r="AA243" s="505"/>
      <c r="AB243" s="505"/>
      <c r="AC243" s="505"/>
    </row>
    <row r="244" spans="1:29">
      <c r="A244" s="505"/>
      <c r="B244" s="505"/>
      <c r="C244" s="505"/>
      <c r="D244" s="505"/>
      <c r="E244" s="505"/>
      <c r="F244" s="505"/>
      <c r="G244" s="505"/>
      <c r="H244" s="505"/>
      <c r="I244" s="505"/>
      <c r="J244" s="505"/>
      <c r="K244" s="517"/>
      <c r="L244" s="518"/>
      <c r="M244" s="505"/>
      <c r="N244" s="505"/>
      <c r="O244" s="505"/>
      <c r="P244" s="505"/>
      <c r="Q244" s="505"/>
      <c r="R244" s="505"/>
      <c r="S244" s="505"/>
      <c r="T244" s="505"/>
      <c r="U244" s="505"/>
      <c r="V244" s="505"/>
      <c r="W244" s="505"/>
      <c r="X244" s="505"/>
      <c r="Y244" s="505"/>
      <c r="Z244" s="505"/>
      <c r="AA244" s="505"/>
      <c r="AB244" s="505"/>
      <c r="AC244" s="505"/>
    </row>
    <row r="245" spans="1:29">
      <c r="A245" s="505"/>
      <c r="B245" s="505"/>
      <c r="C245" s="505"/>
      <c r="D245" s="505"/>
      <c r="E245" s="505"/>
      <c r="F245" s="505"/>
      <c r="G245" s="505"/>
      <c r="H245" s="505"/>
      <c r="I245" s="505"/>
      <c r="J245" s="505"/>
      <c r="K245" s="517"/>
      <c r="L245" s="518"/>
      <c r="M245" s="505"/>
      <c r="N245" s="505"/>
      <c r="O245" s="505"/>
      <c r="P245" s="505"/>
      <c r="Q245" s="505"/>
      <c r="R245" s="505"/>
      <c r="S245" s="505"/>
      <c r="T245" s="505"/>
      <c r="U245" s="505"/>
      <c r="V245" s="505"/>
      <c r="W245" s="505"/>
      <c r="X245" s="505"/>
      <c r="Y245" s="505"/>
      <c r="Z245" s="505"/>
      <c r="AA245" s="505"/>
      <c r="AB245" s="505"/>
      <c r="AC245" s="505"/>
    </row>
    <row r="246" spans="1:29">
      <c r="A246" s="505"/>
      <c r="B246" s="505"/>
      <c r="C246" s="505"/>
      <c r="D246" s="505"/>
      <c r="E246" s="505"/>
      <c r="F246" s="505"/>
      <c r="G246" s="505"/>
      <c r="H246" s="505"/>
      <c r="I246" s="505"/>
      <c r="J246" s="505"/>
      <c r="K246" s="517"/>
      <c r="L246" s="518"/>
      <c r="M246" s="505"/>
      <c r="N246" s="505"/>
      <c r="O246" s="505"/>
      <c r="P246" s="505"/>
      <c r="Q246" s="505"/>
      <c r="R246" s="505"/>
      <c r="S246" s="505"/>
      <c r="T246" s="505"/>
      <c r="U246" s="505"/>
      <c r="V246" s="505"/>
      <c r="W246" s="505"/>
      <c r="X246" s="505"/>
      <c r="Y246" s="505"/>
      <c r="Z246" s="505"/>
      <c r="AA246" s="505"/>
      <c r="AB246" s="505"/>
      <c r="AC246" s="505"/>
    </row>
    <row r="247" spans="1:29">
      <c r="A247" s="505"/>
      <c r="B247" s="505"/>
      <c r="C247" s="505"/>
      <c r="D247" s="505"/>
      <c r="E247" s="505"/>
      <c r="F247" s="505"/>
      <c r="G247" s="505"/>
      <c r="H247" s="505"/>
      <c r="I247" s="505"/>
      <c r="J247" s="505"/>
      <c r="K247" s="517"/>
      <c r="L247" s="518"/>
      <c r="M247" s="505"/>
      <c r="N247" s="505"/>
      <c r="O247" s="505"/>
      <c r="P247" s="505"/>
      <c r="Q247" s="505"/>
      <c r="R247" s="505"/>
      <c r="S247" s="505"/>
      <c r="T247" s="505"/>
      <c r="U247" s="505"/>
      <c r="V247" s="505"/>
      <c r="W247" s="505"/>
      <c r="X247" s="505"/>
      <c r="Y247" s="505"/>
      <c r="Z247" s="505"/>
      <c r="AA247" s="505"/>
      <c r="AB247" s="505"/>
      <c r="AC247" s="505"/>
    </row>
    <row r="248" spans="1:29">
      <c r="A248" s="505"/>
      <c r="B248" s="505"/>
      <c r="C248" s="505"/>
      <c r="D248" s="505"/>
      <c r="E248" s="505"/>
      <c r="F248" s="505"/>
      <c r="G248" s="505"/>
      <c r="H248" s="505"/>
      <c r="I248" s="505"/>
      <c r="J248" s="505"/>
      <c r="K248" s="517"/>
      <c r="L248" s="518"/>
      <c r="M248" s="505"/>
      <c r="N248" s="505"/>
      <c r="O248" s="505"/>
      <c r="P248" s="505"/>
      <c r="Q248" s="505"/>
      <c r="R248" s="505"/>
      <c r="S248" s="505"/>
      <c r="T248" s="505"/>
      <c r="U248" s="505"/>
      <c r="V248" s="505"/>
      <c r="W248" s="505"/>
      <c r="X248" s="505"/>
      <c r="Y248" s="505"/>
      <c r="Z248" s="505"/>
      <c r="AA248" s="505"/>
      <c r="AB248" s="505"/>
      <c r="AC248" s="505"/>
    </row>
    <row r="249" spans="1:29">
      <c r="A249" s="505"/>
      <c r="B249" s="505"/>
      <c r="C249" s="505"/>
      <c r="D249" s="505"/>
      <c r="E249" s="505"/>
      <c r="F249" s="505"/>
      <c r="G249" s="505"/>
      <c r="H249" s="505"/>
      <c r="I249" s="505"/>
      <c r="J249" s="505"/>
      <c r="K249" s="517"/>
      <c r="L249" s="518"/>
      <c r="M249" s="505"/>
      <c r="N249" s="505"/>
      <c r="O249" s="505"/>
      <c r="P249" s="505"/>
      <c r="Q249" s="505"/>
      <c r="R249" s="505"/>
      <c r="S249" s="505"/>
      <c r="T249" s="505"/>
      <c r="U249" s="505"/>
      <c r="V249" s="505"/>
      <c r="W249" s="505"/>
      <c r="X249" s="505"/>
      <c r="Y249" s="505"/>
      <c r="Z249" s="505"/>
      <c r="AA249" s="505"/>
      <c r="AB249" s="505"/>
      <c r="AC249" s="505"/>
    </row>
    <row r="250" spans="1:29">
      <c r="A250" s="505"/>
      <c r="B250" s="505"/>
      <c r="C250" s="505"/>
      <c r="D250" s="505"/>
      <c r="E250" s="505"/>
      <c r="F250" s="505"/>
      <c r="G250" s="505"/>
      <c r="H250" s="505"/>
      <c r="I250" s="505"/>
      <c r="J250" s="505"/>
      <c r="K250" s="517"/>
      <c r="L250" s="518"/>
      <c r="M250" s="505"/>
      <c r="N250" s="505"/>
      <c r="O250" s="505"/>
      <c r="P250" s="505"/>
      <c r="Q250" s="505"/>
      <c r="R250" s="505"/>
      <c r="S250" s="505"/>
      <c r="T250" s="505"/>
      <c r="U250" s="505"/>
      <c r="V250" s="505"/>
      <c r="W250" s="505"/>
      <c r="X250" s="505"/>
      <c r="Y250" s="505"/>
      <c r="Z250" s="505"/>
      <c r="AA250" s="505"/>
      <c r="AB250" s="505"/>
      <c r="AC250" s="505"/>
    </row>
    <row r="251" spans="1:29">
      <c r="A251" s="505"/>
      <c r="B251" s="505"/>
      <c r="C251" s="505"/>
      <c r="D251" s="505"/>
      <c r="E251" s="505"/>
      <c r="F251" s="505"/>
      <c r="G251" s="505"/>
      <c r="H251" s="505"/>
      <c r="I251" s="505"/>
      <c r="J251" s="505"/>
      <c r="K251" s="517"/>
      <c r="L251" s="518"/>
      <c r="M251" s="505"/>
      <c r="N251" s="505"/>
      <c r="O251" s="505"/>
      <c r="P251" s="505"/>
      <c r="Q251" s="505"/>
      <c r="R251" s="505"/>
      <c r="S251" s="505"/>
      <c r="T251" s="505"/>
      <c r="U251" s="505"/>
      <c r="V251" s="505"/>
      <c r="W251" s="505"/>
      <c r="X251" s="505"/>
      <c r="Y251" s="505"/>
      <c r="Z251" s="505"/>
      <c r="AA251" s="505"/>
      <c r="AB251" s="505"/>
      <c r="AC251" s="505"/>
    </row>
    <row r="252" spans="1:29">
      <c r="A252" s="505"/>
      <c r="B252" s="505"/>
      <c r="C252" s="505"/>
      <c r="D252" s="505"/>
      <c r="E252" s="505"/>
      <c r="F252" s="505"/>
      <c r="G252" s="505"/>
      <c r="H252" s="505"/>
      <c r="I252" s="505"/>
      <c r="J252" s="505"/>
      <c r="K252" s="517"/>
      <c r="L252" s="518"/>
      <c r="M252" s="505"/>
      <c r="N252" s="505"/>
      <c r="O252" s="505"/>
      <c r="P252" s="505"/>
      <c r="Q252" s="505"/>
      <c r="R252" s="505"/>
      <c r="S252" s="505"/>
      <c r="T252" s="505"/>
      <c r="U252" s="505"/>
      <c r="V252" s="505"/>
      <c r="W252" s="505"/>
      <c r="X252" s="505"/>
      <c r="Y252" s="505"/>
      <c r="Z252" s="505"/>
      <c r="AA252" s="505"/>
      <c r="AB252" s="505"/>
      <c r="AC252" s="505"/>
    </row>
    <row r="253" spans="1:29">
      <c r="A253" s="505"/>
      <c r="B253" s="505"/>
      <c r="C253" s="505"/>
      <c r="D253" s="505"/>
      <c r="E253" s="505"/>
      <c r="F253" s="505"/>
      <c r="G253" s="505"/>
      <c r="H253" s="505"/>
      <c r="I253" s="505"/>
      <c r="J253" s="505"/>
      <c r="K253" s="517"/>
      <c r="L253" s="518"/>
      <c r="M253" s="505"/>
      <c r="N253" s="505"/>
      <c r="O253" s="505"/>
      <c r="P253" s="505"/>
      <c r="Q253" s="505"/>
      <c r="R253" s="505"/>
      <c r="S253" s="505"/>
      <c r="T253" s="505"/>
      <c r="U253" s="505"/>
      <c r="V253" s="505"/>
      <c r="W253" s="505"/>
      <c r="X253" s="505"/>
      <c r="Y253" s="505"/>
      <c r="Z253" s="505"/>
      <c r="AA253" s="505"/>
      <c r="AB253" s="505"/>
      <c r="AC253" s="505"/>
    </row>
    <row r="254" spans="1:29">
      <c r="A254" s="505"/>
      <c r="B254" s="505"/>
      <c r="C254" s="505"/>
      <c r="D254" s="505"/>
      <c r="E254" s="505"/>
      <c r="F254" s="505"/>
      <c r="G254" s="505"/>
      <c r="H254" s="505"/>
      <c r="I254" s="505"/>
      <c r="J254" s="505"/>
      <c r="K254" s="517"/>
      <c r="L254" s="518"/>
      <c r="M254" s="505"/>
      <c r="N254" s="505"/>
      <c r="O254" s="505"/>
      <c r="P254" s="505"/>
      <c r="Q254" s="505"/>
      <c r="R254" s="505"/>
      <c r="S254" s="505"/>
      <c r="T254" s="505"/>
      <c r="U254" s="505"/>
      <c r="V254" s="505"/>
      <c r="W254" s="505"/>
      <c r="X254" s="505"/>
      <c r="Y254" s="505"/>
      <c r="Z254" s="505"/>
      <c r="AA254" s="505"/>
      <c r="AB254" s="505"/>
      <c r="AC254" s="505"/>
    </row>
    <row r="255" spans="1:29">
      <c r="A255" s="505"/>
      <c r="B255" s="505"/>
      <c r="C255" s="505"/>
      <c r="D255" s="505"/>
      <c r="E255" s="505"/>
      <c r="F255" s="505"/>
      <c r="G255" s="505"/>
      <c r="H255" s="505"/>
      <c r="I255" s="505"/>
      <c r="J255" s="505"/>
      <c r="K255" s="517"/>
      <c r="L255" s="518"/>
      <c r="M255" s="505"/>
      <c r="N255" s="505"/>
      <c r="O255" s="505"/>
      <c r="P255" s="505"/>
      <c r="Q255" s="505"/>
      <c r="R255" s="505"/>
      <c r="S255" s="505"/>
      <c r="T255" s="505"/>
      <c r="U255" s="505"/>
      <c r="V255" s="505"/>
      <c r="W255" s="505"/>
      <c r="X255" s="505"/>
      <c r="Y255" s="505"/>
      <c r="Z255" s="505"/>
      <c r="AA255" s="505"/>
      <c r="AB255" s="505"/>
      <c r="AC255" s="505"/>
    </row>
    <row r="256" spans="1:29">
      <c r="A256" s="505"/>
      <c r="B256" s="505"/>
      <c r="C256" s="505"/>
      <c r="D256" s="505"/>
      <c r="E256" s="505"/>
      <c r="F256" s="505"/>
      <c r="G256" s="505"/>
      <c r="H256" s="505"/>
      <c r="I256" s="505"/>
      <c r="J256" s="505"/>
      <c r="K256" s="517"/>
      <c r="L256" s="518"/>
      <c r="M256" s="505"/>
      <c r="N256" s="505"/>
      <c r="O256" s="505"/>
      <c r="P256" s="505"/>
      <c r="Q256" s="505"/>
      <c r="R256" s="505"/>
      <c r="S256" s="505"/>
      <c r="T256" s="505"/>
      <c r="U256" s="505"/>
      <c r="V256" s="505"/>
      <c r="W256" s="505"/>
      <c r="X256" s="505"/>
      <c r="Y256" s="505"/>
      <c r="Z256" s="505"/>
      <c r="AA256" s="505"/>
      <c r="AB256" s="505"/>
      <c r="AC256" s="505"/>
    </row>
    <row r="257" spans="1:29">
      <c r="A257" s="505"/>
      <c r="B257" s="505"/>
      <c r="C257" s="505"/>
      <c r="D257" s="505"/>
      <c r="E257" s="505"/>
      <c r="F257" s="505"/>
      <c r="G257" s="505"/>
      <c r="H257" s="505"/>
      <c r="I257" s="505"/>
      <c r="J257" s="505"/>
      <c r="K257" s="517"/>
      <c r="L257" s="518"/>
      <c r="M257" s="505"/>
      <c r="N257" s="505"/>
      <c r="O257" s="505"/>
      <c r="P257" s="505"/>
      <c r="Q257" s="505"/>
      <c r="R257" s="505"/>
      <c r="S257" s="505"/>
      <c r="T257" s="505"/>
      <c r="U257" s="505"/>
      <c r="V257" s="505"/>
      <c r="W257" s="505"/>
      <c r="X257" s="505"/>
      <c r="Y257" s="505"/>
      <c r="Z257" s="505"/>
      <c r="AA257" s="505"/>
      <c r="AB257" s="505"/>
      <c r="AC257" s="505"/>
    </row>
    <row r="258" spans="1:29">
      <c r="A258" s="505"/>
      <c r="B258" s="505"/>
      <c r="C258" s="505"/>
      <c r="D258" s="505"/>
      <c r="E258" s="505"/>
      <c r="F258" s="505"/>
      <c r="G258" s="505"/>
      <c r="H258" s="505"/>
      <c r="I258" s="505"/>
      <c r="J258" s="505"/>
      <c r="K258" s="517"/>
      <c r="L258" s="518"/>
      <c r="M258" s="505"/>
      <c r="N258" s="505"/>
      <c r="O258" s="505"/>
      <c r="P258" s="505"/>
      <c r="Q258" s="505"/>
      <c r="R258" s="505"/>
      <c r="S258" s="505"/>
      <c r="T258" s="505"/>
      <c r="U258" s="505"/>
      <c r="V258" s="505"/>
      <c r="W258" s="505"/>
      <c r="X258" s="505"/>
      <c r="Y258" s="505"/>
      <c r="Z258" s="505"/>
      <c r="AA258" s="505"/>
      <c r="AB258" s="505"/>
      <c r="AC258" s="505"/>
    </row>
    <row r="259" spans="1:29">
      <c r="A259" s="505"/>
      <c r="B259" s="505"/>
      <c r="C259" s="505"/>
      <c r="D259" s="505"/>
      <c r="E259" s="505"/>
      <c r="F259" s="505"/>
      <c r="G259" s="505"/>
      <c r="H259" s="505"/>
      <c r="I259" s="505"/>
      <c r="J259" s="505"/>
      <c r="K259" s="517"/>
      <c r="L259" s="518"/>
      <c r="M259" s="505"/>
      <c r="N259" s="505"/>
      <c r="O259" s="505"/>
      <c r="P259" s="505"/>
      <c r="Q259" s="505"/>
      <c r="R259" s="505"/>
      <c r="S259" s="505"/>
      <c r="T259" s="505"/>
      <c r="U259" s="505"/>
      <c r="V259" s="505"/>
      <c r="W259" s="505"/>
      <c r="X259" s="505"/>
      <c r="Y259" s="505"/>
      <c r="Z259" s="505"/>
      <c r="AA259" s="505"/>
      <c r="AB259" s="505"/>
      <c r="AC259" s="505"/>
    </row>
    <row r="260" spans="1:29">
      <c r="A260" s="505"/>
      <c r="B260" s="505"/>
      <c r="C260" s="505"/>
      <c r="D260" s="505"/>
      <c r="E260" s="505"/>
      <c r="F260" s="505"/>
      <c r="G260" s="505"/>
      <c r="H260" s="505"/>
      <c r="I260" s="505"/>
      <c r="J260" s="505"/>
      <c r="K260" s="517"/>
      <c r="L260" s="518"/>
      <c r="M260" s="505"/>
      <c r="N260" s="505"/>
      <c r="O260" s="505"/>
      <c r="P260" s="505"/>
      <c r="Q260" s="505"/>
      <c r="R260" s="505"/>
      <c r="S260" s="505"/>
      <c r="T260" s="505"/>
      <c r="U260" s="505"/>
      <c r="V260" s="505"/>
      <c r="W260" s="505"/>
      <c r="X260" s="505"/>
      <c r="Y260" s="505"/>
      <c r="Z260" s="505"/>
      <c r="AA260" s="505"/>
      <c r="AB260" s="505"/>
      <c r="AC260" s="505"/>
    </row>
    <row r="261" spans="1:29">
      <c r="A261" s="505"/>
      <c r="B261" s="505"/>
      <c r="C261" s="505"/>
      <c r="D261" s="505"/>
      <c r="E261" s="505"/>
      <c r="F261" s="505"/>
      <c r="G261" s="505"/>
      <c r="H261" s="505"/>
      <c r="I261" s="505"/>
      <c r="J261" s="505"/>
      <c r="K261" s="517"/>
      <c r="L261" s="518"/>
      <c r="M261" s="505"/>
      <c r="N261" s="505"/>
      <c r="O261" s="505"/>
      <c r="P261" s="505"/>
      <c r="Q261" s="505"/>
      <c r="R261" s="505"/>
      <c r="S261" s="505"/>
      <c r="T261" s="505"/>
      <c r="U261" s="505"/>
      <c r="V261" s="505"/>
      <c r="W261" s="505"/>
      <c r="X261" s="505"/>
      <c r="Y261" s="505"/>
      <c r="Z261" s="505"/>
      <c r="AA261" s="505"/>
      <c r="AB261" s="505"/>
      <c r="AC261" s="505"/>
    </row>
    <row r="262" spans="1:29">
      <c r="A262" s="505"/>
      <c r="B262" s="505"/>
      <c r="C262" s="505"/>
      <c r="D262" s="505"/>
      <c r="E262" s="505"/>
      <c r="F262" s="505"/>
      <c r="G262" s="505"/>
      <c r="H262" s="505"/>
      <c r="I262" s="505"/>
      <c r="J262" s="505"/>
      <c r="K262" s="517"/>
      <c r="L262" s="518"/>
      <c r="M262" s="505"/>
      <c r="N262" s="505"/>
      <c r="O262" s="505"/>
      <c r="P262" s="505"/>
      <c r="Q262" s="505"/>
      <c r="R262" s="505"/>
      <c r="S262" s="505"/>
      <c r="T262" s="505"/>
      <c r="U262" s="505"/>
      <c r="V262" s="505"/>
      <c r="W262" s="505"/>
      <c r="X262" s="505"/>
      <c r="Y262" s="505"/>
      <c r="Z262" s="505"/>
      <c r="AA262" s="505"/>
      <c r="AB262" s="505"/>
      <c r="AC262" s="505"/>
    </row>
    <row r="263" spans="1:29">
      <c r="A263" s="505"/>
      <c r="B263" s="505"/>
      <c r="C263" s="505"/>
      <c r="D263" s="505"/>
      <c r="E263" s="505"/>
      <c r="F263" s="505"/>
      <c r="G263" s="505"/>
      <c r="H263" s="505"/>
      <c r="I263" s="505"/>
      <c r="J263" s="505"/>
      <c r="K263" s="517"/>
      <c r="L263" s="518"/>
      <c r="M263" s="505"/>
      <c r="N263" s="505"/>
      <c r="O263" s="505"/>
      <c r="P263" s="505"/>
      <c r="Q263" s="505"/>
      <c r="R263" s="505"/>
      <c r="S263" s="505"/>
      <c r="T263" s="505"/>
      <c r="U263" s="505"/>
      <c r="V263" s="505"/>
      <c r="W263" s="505"/>
      <c r="X263" s="505"/>
      <c r="Y263" s="505"/>
      <c r="Z263" s="505"/>
      <c r="AA263" s="505"/>
      <c r="AB263" s="505"/>
      <c r="AC263" s="505"/>
    </row>
    <row r="264" spans="1:29">
      <c r="A264" s="505"/>
      <c r="B264" s="505"/>
      <c r="C264" s="505"/>
      <c r="D264" s="505"/>
      <c r="E264" s="505"/>
      <c r="F264" s="505"/>
      <c r="G264" s="505"/>
      <c r="H264" s="505"/>
      <c r="I264" s="505"/>
      <c r="J264" s="505"/>
      <c r="K264" s="517"/>
      <c r="L264" s="518"/>
      <c r="M264" s="505"/>
      <c r="N264" s="505"/>
      <c r="O264" s="505"/>
      <c r="P264" s="505"/>
      <c r="Q264" s="505"/>
      <c r="R264" s="505"/>
      <c r="S264" s="505"/>
      <c r="T264" s="505"/>
      <c r="U264" s="505"/>
      <c r="V264" s="505"/>
      <c r="W264" s="505"/>
      <c r="X264" s="505"/>
      <c r="Y264" s="505"/>
      <c r="Z264" s="505"/>
      <c r="AA264" s="505"/>
      <c r="AB264" s="505"/>
      <c r="AC264" s="505"/>
    </row>
    <row r="265" spans="1:29">
      <c r="A265" s="505"/>
      <c r="B265" s="505"/>
      <c r="C265" s="505"/>
      <c r="D265" s="505"/>
      <c r="E265" s="505"/>
      <c r="F265" s="505"/>
      <c r="G265" s="505"/>
      <c r="H265" s="505"/>
      <c r="I265" s="505"/>
      <c r="J265" s="505"/>
      <c r="K265" s="517"/>
      <c r="L265" s="518"/>
      <c r="M265" s="505"/>
      <c r="N265" s="505"/>
      <c r="O265" s="505"/>
      <c r="P265" s="505"/>
      <c r="Q265" s="505"/>
      <c r="R265" s="505"/>
      <c r="S265" s="505"/>
      <c r="T265" s="505"/>
      <c r="U265" s="505"/>
      <c r="V265" s="505"/>
      <c r="W265" s="505"/>
      <c r="X265" s="505"/>
      <c r="Y265" s="505"/>
      <c r="Z265" s="505"/>
      <c r="AA265" s="505"/>
      <c r="AB265" s="505"/>
      <c r="AC265" s="505"/>
    </row>
    <row r="266" spans="1:29">
      <c r="A266" s="505"/>
      <c r="B266" s="505"/>
      <c r="C266" s="505"/>
      <c r="D266" s="505"/>
      <c r="E266" s="505"/>
      <c r="F266" s="505"/>
      <c r="G266" s="505"/>
      <c r="H266" s="505"/>
      <c r="I266" s="505"/>
      <c r="J266" s="505"/>
      <c r="K266" s="517"/>
      <c r="L266" s="518"/>
      <c r="M266" s="505"/>
      <c r="N266" s="505"/>
      <c r="O266" s="505"/>
      <c r="P266" s="505"/>
      <c r="Q266" s="505"/>
      <c r="R266" s="505"/>
      <c r="S266" s="505"/>
      <c r="T266" s="505"/>
      <c r="U266" s="505"/>
      <c r="V266" s="505"/>
      <c r="W266" s="505"/>
      <c r="X266" s="505"/>
      <c r="Y266" s="505"/>
      <c r="Z266" s="505"/>
      <c r="AA266" s="505"/>
      <c r="AB266" s="505"/>
      <c r="AC266" s="505"/>
    </row>
    <row r="267" spans="1:29">
      <c r="A267" s="505"/>
      <c r="B267" s="505"/>
      <c r="C267" s="505"/>
      <c r="D267" s="505"/>
      <c r="E267" s="505"/>
      <c r="F267" s="505"/>
      <c r="G267" s="505"/>
      <c r="H267" s="505"/>
      <c r="I267" s="505"/>
      <c r="J267" s="505"/>
      <c r="K267" s="517"/>
      <c r="L267" s="518"/>
      <c r="M267" s="505"/>
      <c r="N267" s="505"/>
      <c r="O267" s="505"/>
      <c r="P267" s="505"/>
      <c r="Q267" s="505"/>
      <c r="R267" s="505"/>
      <c r="S267" s="505"/>
      <c r="T267" s="505"/>
      <c r="U267" s="505"/>
      <c r="V267" s="505"/>
      <c r="W267" s="505"/>
      <c r="X267" s="505"/>
      <c r="Y267" s="505"/>
      <c r="Z267" s="505"/>
      <c r="AA267" s="505"/>
      <c r="AB267" s="505"/>
      <c r="AC267" s="505"/>
    </row>
    <row r="268" spans="1:29">
      <c r="A268" s="505"/>
      <c r="B268" s="505"/>
      <c r="C268" s="505"/>
      <c r="D268" s="505"/>
      <c r="E268" s="505"/>
      <c r="F268" s="505"/>
      <c r="G268" s="505"/>
      <c r="H268" s="505"/>
      <c r="I268" s="505"/>
      <c r="J268" s="505"/>
      <c r="K268" s="517"/>
      <c r="L268" s="518"/>
      <c r="M268" s="505"/>
      <c r="N268" s="505"/>
      <c r="O268" s="505"/>
      <c r="P268" s="505"/>
      <c r="Q268" s="505"/>
      <c r="R268" s="505"/>
      <c r="S268" s="505"/>
      <c r="T268" s="505"/>
      <c r="U268" s="505"/>
      <c r="V268" s="505"/>
      <c r="W268" s="505"/>
      <c r="X268" s="505"/>
      <c r="Y268" s="505"/>
      <c r="Z268" s="505"/>
      <c r="AA268" s="505"/>
      <c r="AB268" s="505"/>
      <c r="AC268" s="50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54" type="noConversion"/>
  <conditionalFormatting sqref="F48">
    <cfRule type="expression" dxfId="114" priority="4">
      <formula>$D$48="简单平均"</formula>
    </cfRule>
  </conditionalFormatting>
  <conditionalFormatting sqref="H48">
    <cfRule type="expression" dxfId="113" priority="3">
      <formula>$D$48="简单平均"</formula>
    </cfRule>
  </conditionalFormatting>
  <conditionalFormatting sqref="J48">
    <cfRule type="expression" dxfId="112" priority="2">
      <formula>$D$48="简单平均"</formula>
    </cfRule>
  </conditionalFormatting>
  <conditionalFormatting sqref="E52">
    <cfRule type="expression" dxfId="111" priority="14" stopIfTrue="1">
      <formula>$F$52="超过30%"</formula>
    </cfRule>
  </conditionalFormatting>
  <conditionalFormatting sqref="G52">
    <cfRule type="expression" dxfId="110" priority="9" stopIfTrue="1">
      <formula>$H$52="超过30%"</formula>
    </cfRule>
  </conditionalFormatting>
  <conditionalFormatting sqref="I52">
    <cfRule type="expression" dxfId="109" priority="7" stopIfTrue="1">
      <formula>$J$52="超过30%"</formula>
    </cfRule>
  </conditionalFormatting>
  <conditionalFormatting sqref="E53">
    <cfRule type="expression" dxfId="108" priority="11" stopIfTrue="1">
      <formula>$F$53="超过20%"</formula>
    </cfRule>
  </conditionalFormatting>
  <conditionalFormatting sqref="G53">
    <cfRule type="expression" dxfId="107" priority="8" stopIfTrue="1">
      <formula>$H$53="超过20%"</formula>
    </cfRule>
  </conditionalFormatting>
  <conditionalFormatting sqref="I53">
    <cfRule type="expression" dxfId="106" priority="6" stopIfTrue="1">
      <formula>$J$53="超过20%"</formula>
    </cfRule>
  </conditionalFormatting>
  <conditionalFormatting sqref="E54">
    <cfRule type="expression" dxfId="105" priority="10" stopIfTrue="1">
      <formula>$F$54="超过30%"</formula>
    </cfRule>
  </conditionalFormatting>
  <conditionalFormatting sqref="F54">
    <cfRule type="containsText" dxfId="104" priority="16" stopIfTrue="1" operator="containsText" text="超过">
      <formula>NOT(ISERROR(SEARCH("超过",F54)))</formula>
    </cfRule>
  </conditionalFormatting>
  <conditionalFormatting sqref="G54">
    <cfRule type="expression" dxfId="103" priority="12" stopIfTrue="1">
      <formula>$H$54="超过30%"</formula>
    </cfRule>
  </conditionalFormatting>
  <conditionalFormatting sqref="H54">
    <cfRule type="containsText" dxfId="102" priority="17" stopIfTrue="1" operator="containsText" text="超过">
      <formula>NOT(ISERROR(SEARCH("超过",H54)))</formula>
    </cfRule>
  </conditionalFormatting>
  <conditionalFormatting sqref="I54">
    <cfRule type="expression" dxfId="101" priority="5" stopIfTrue="1">
      <formula>$J$54="超过30%"</formula>
    </cfRule>
  </conditionalFormatting>
  <conditionalFormatting sqref="J54">
    <cfRule type="containsText" dxfId="100" priority="18" stopIfTrue="1" operator="containsText" text="超过">
      <formula>NOT(ISERROR(SEARCH("超过",J54)))</formula>
    </cfRule>
  </conditionalFormatting>
  <conditionalFormatting sqref="F7:F46 H7:H46 J7:J46">
    <cfRule type="cellIs" dxfId="99" priority="1" operator="notEqual">
      <formula>100</formula>
    </cfRule>
  </conditionalFormatting>
  <conditionalFormatting sqref="F52 H52 J52">
    <cfRule type="containsText" dxfId="98" priority="19" stopIfTrue="1" operator="containsText" text="超过">
      <formula>NOT(ISERROR(SEARCH("超过",F52)))</formula>
    </cfRule>
  </conditionalFormatting>
  <conditionalFormatting sqref="F53 H53 J53">
    <cfRule type="containsText" dxfId="97" priority="15" stopIfTrue="1" operator="containsText" text="超过">
      <formula>NOT(ISERROR(SEARCH("超过",F53)))</formula>
    </cfRule>
  </conditionalFormatting>
  <dataValidations count="21">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topLeftCell="A28" zoomScale="60" zoomScaleNormal="60" workbookViewId="0">
      <selection activeCell="T45" sqref="T45"/>
    </sheetView>
  </sheetViews>
  <sheetFormatPr defaultColWidth="9" defaultRowHeight="14.25"/>
  <cols>
    <col min="1" max="1" width="10.5" style="215" customWidth="1"/>
    <col min="2" max="2" width="15.75" style="215" customWidth="1"/>
    <col min="3" max="3" width="14.375" style="215" customWidth="1"/>
    <col min="4" max="4" width="12.25" style="215" customWidth="1"/>
    <col min="5" max="5" width="14.375" style="215" customWidth="1"/>
    <col min="6" max="6" width="12.25" style="215" customWidth="1"/>
    <col min="7" max="7" width="14.5" style="215" customWidth="1"/>
    <col min="8" max="8" width="12.25" style="215" customWidth="1"/>
    <col min="9" max="9" width="14.5" style="215" customWidth="1"/>
    <col min="10" max="10" width="12.25" style="215" customWidth="1"/>
    <col min="11" max="11" width="12.25" style="216" customWidth="1"/>
    <col min="12" max="12" width="12.25" style="217" customWidth="1"/>
    <col min="13" max="15" width="12.25" style="215" customWidth="1"/>
    <col min="16" max="16" width="4.75" style="215" customWidth="1"/>
    <col min="17" max="17" width="19.5" style="215" customWidth="1"/>
    <col min="18" max="22" width="6.125" style="215" customWidth="1"/>
    <col min="23" max="23" width="5.75" style="215" customWidth="1"/>
    <col min="24" max="24" width="4.25" style="215" customWidth="1"/>
    <col min="25" max="25" width="3.5" style="215" customWidth="1"/>
    <col min="26" max="26" width="19.75" style="215" customWidth="1"/>
    <col min="27" max="28" width="9.375" style="215" customWidth="1"/>
    <col min="29" max="16384" width="9" style="215"/>
  </cols>
  <sheetData>
    <row r="1" spans="1:29" s="209" customFormat="1" ht="28.5" customHeight="1">
      <c r="A1" s="218" t="s">
        <v>2406</v>
      </c>
      <c r="B1" s="553" t="s">
        <v>2446</v>
      </c>
      <c r="C1" s="220" t="s">
        <v>2408</v>
      </c>
      <c r="D1" s="620"/>
      <c r="E1" s="222"/>
      <c r="F1" s="223"/>
      <c r="G1" s="224" t="s">
        <v>2409</v>
      </c>
      <c r="H1" s="222"/>
      <c r="I1" s="222"/>
      <c r="J1" s="222"/>
      <c r="K1" s="393"/>
      <c r="L1" s="394"/>
      <c r="M1" s="395"/>
      <c r="N1" s="395"/>
      <c r="O1" s="395"/>
      <c r="P1" s="396"/>
      <c r="Q1" s="396"/>
      <c r="R1" s="396"/>
      <c r="S1" s="396"/>
      <c r="T1" s="396"/>
      <c r="U1" s="396"/>
      <c r="V1" s="396"/>
      <c r="W1" s="396"/>
      <c r="X1" s="396"/>
      <c r="Y1" s="396"/>
      <c r="Z1" s="396"/>
      <c r="AA1" s="396"/>
      <c r="AB1" s="396"/>
      <c r="AC1" s="488"/>
    </row>
    <row r="2" spans="1:29" s="209" customFormat="1" ht="28.5" customHeight="1">
      <c r="A2" s="225" t="s">
        <v>945</v>
      </c>
      <c r="B2" s="226" t="e">
        <f>ROUND(B3*D3/10000,0)</f>
        <v>#DIV/0!</v>
      </c>
      <c r="C2" s="227"/>
      <c r="D2" s="227"/>
      <c r="E2" s="490"/>
      <c r="F2" s="229"/>
      <c r="G2" s="228"/>
      <c r="H2" s="228"/>
      <c r="I2" s="228"/>
      <c r="J2" s="228"/>
      <c r="K2" s="228"/>
      <c r="L2" s="398"/>
      <c r="M2" s="396"/>
      <c r="N2" s="396"/>
      <c r="O2" s="396"/>
      <c r="P2" s="396"/>
      <c r="Q2" s="396"/>
      <c r="R2" s="396"/>
      <c r="S2" s="396"/>
      <c r="T2" s="396"/>
      <c r="U2" s="396"/>
      <c r="V2" s="396"/>
      <c r="W2" s="396"/>
      <c r="X2" s="396"/>
      <c r="Y2" s="396"/>
      <c r="Z2" s="396"/>
      <c r="AA2" s="396"/>
      <c r="AB2" s="396"/>
      <c r="AC2" s="488"/>
    </row>
    <row r="3" spans="1:29" s="209" customFormat="1" ht="28.5" customHeight="1">
      <c r="A3" s="230" t="s">
        <v>2219</v>
      </c>
      <c r="B3" s="231" t="e">
        <f>C49</f>
        <v>#DIV/0!</v>
      </c>
      <c r="C3" s="232" t="s">
        <v>2410</v>
      </c>
      <c r="D3" s="233">
        <f>SUMIF('数据-汇总表'!$C19:$C33,D1,'数据-汇总表'!$E19:$E33)</f>
        <v>0</v>
      </c>
      <c r="E3" s="490"/>
      <c r="F3" s="229"/>
      <c r="G3" s="228"/>
      <c r="H3" s="228"/>
      <c r="I3" s="228"/>
      <c r="J3" s="228"/>
      <c r="K3" s="397"/>
      <c r="L3" s="398"/>
      <c r="M3" s="396"/>
      <c r="N3" s="396"/>
      <c r="O3" s="396"/>
      <c r="P3" s="396"/>
      <c r="Q3" s="396"/>
      <c r="R3" s="396"/>
      <c r="S3" s="396"/>
      <c r="T3" s="396"/>
      <c r="U3" s="396"/>
      <c r="V3" s="396"/>
      <c r="W3" s="396"/>
      <c r="X3" s="396"/>
      <c r="Y3" s="396"/>
      <c r="Z3" s="396"/>
      <c r="AA3" s="396"/>
      <c r="AB3" s="396"/>
      <c r="AC3" s="490"/>
    </row>
    <row r="4" spans="1:29" ht="15">
      <c r="A4" s="234" t="s">
        <v>1030</v>
      </c>
      <c r="B4" s="235"/>
      <c r="C4" s="3823" t="s">
        <v>1031</v>
      </c>
      <c r="D4" s="3824"/>
      <c r="E4" s="3863" t="s">
        <v>1032</v>
      </c>
      <c r="F4" s="3864"/>
      <c r="G4" s="3823" t="s">
        <v>1033</v>
      </c>
      <c r="H4" s="3824"/>
      <c r="I4" s="3823" t="s">
        <v>1034</v>
      </c>
      <c r="J4" s="3824"/>
      <c r="K4" s="399" t="s">
        <v>1035</v>
      </c>
      <c r="L4" s="400"/>
      <c r="M4" s="401"/>
      <c r="N4" s="401"/>
      <c r="O4" s="401"/>
      <c r="P4" s="3847" t="s">
        <v>1036</v>
      </c>
      <c r="Q4" s="3848"/>
      <c r="R4" s="3853" t="s">
        <v>1032</v>
      </c>
      <c r="S4" s="3854"/>
      <c r="T4" s="3853" t="s">
        <v>1033</v>
      </c>
      <c r="U4" s="3854"/>
      <c r="V4" s="3835" t="s">
        <v>1034</v>
      </c>
      <c r="W4" s="3835"/>
      <c r="X4" s="471"/>
      <c r="Y4" s="3853" t="s">
        <v>1036</v>
      </c>
      <c r="Z4" s="3854"/>
      <c r="AA4" s="3844" t="s">
        <v>1032</v>
      </c>
      <c r="AB4" s="3835" t="s">
        <v>1033</v>
      </c>
      <c r="AC4" s="3844" t="s">
        <v>1034</v>
      </c>
    </row>
    <row r="5" spans="1:29" ht="15">
      <c r="A5" s="236"/>
      <c r="B5" s="237"/>
      <c r="C5" s="3825" t="s">
        <v>1037</v>
      </c>
      <c r="D5" s="3826"/>
      <c r="E5" s="3865" t="s">
        <v>1038</v>
      </c>
      <c r="F5" s="3866"/>
      <c r="G5" s="3825" t="s">
        <v>1039</v>
      </c>
      <c r="H5" s="3826"/>
      <c r="I5" s="3825" t="s">
        <v>1040</v>
      </c>
      <c r="J5" s="3826"/>
      <c r="K5" s="399"/>
      <c r="L5" s="400"/>
      <c r="M5" s="401"/>
      <c r="N5" s="401"/>
      <c r="O5" s="401"/>
      <c r="P5" s="3849"/>
      <c r="Q5" s="3850"/>
      <c r="R5" s="3855"/>
      <c r="S5" s="3856"/>
      <c r="T5" s="3855"/>
      <c r="U5" s="3856"/>
      <c r="V5" s="3835"/>
      <c r="W5" s="3835"/>
      <c r="X5" s="471"/>
      <c r="Y5" s="3855"/>
      <c r="Z5" s="3856"/>
      <c r="AA5" s="3845"/>
      <c r="AB5" s="3835"/>
      <c r="AC5" s="3845"/>
    </row>
    <row r="6" spans="1:29" ht="15">
      <c r="A6" s="238"/>
      <c r="B6" s="239"/>
      <c r="C6" s="3829" t="s">
        <v>1041</v>
      </c>
      <c r="D6" s="3830"/>
      <c r="E6" s="3867" t="s">
        <v>1041</v>
      </c>
      <c r="F6" s="3868"/>
      <c r="G6" s="3829" t="s">
        <v>1041</v>
      </c>
      <c r="H6" s="3830"/>
      <c r="I6" s="3829" t="s">
        <v>1041</v>
      </c>
      <c r="J6" s="3830"/>
      <c r="K6" s="399" t="s">
        <v>1042</v>
      </c>
      <c r="L6" s="400"/>
      <c r="M6" s="401"/>
      <c r="N6" s="401"/>
      <c r="O6" s="401"/>
      <c r="P6" s="3851"/>
      <c r="Q6" s="3852"/>
      <c r="R6" s="3855"/>
      <c r="S6" s="3856"/>
      <c r="T6" s="3857"/>
      <c r="U6" s="3858"/>
      <c r="V6" s="3835"/>
      <c r="W6" s="3835"/>
      <c r="X6" s="471"/>
      <c r="Y6" s="3857"/>
      <c r="Z6" s="3858"/>
      <c r="AA6" s="3846"/>
      <c r="AB6" s="3835"/>
      <c r="AC6" s="3846"/>
    </row>
    <row r="7" spans="1:29" s="210" customFormat="1" ht="15">
      <c r="A7" s="240"/>
      <c r="B7" s="241" t="s">
        <v>1043</v>
      </c>
      <c r="C7" s="242">
        <f>'数据-取费表'!B2</f>
        <v>45260</v>
      </c>
      <c r="D7" s="243">
        <v>100</v>
      </c>
      <c r="E7" s="244"/>
      <c r="F7" s="245">
        <f>SUMIF(58:58,YEAR(E7)&amp;"-"&amp;MONTH(E7),59:59)</f>
        <v>0</v>
      </c>
      <c r="G7" s="244"/>
      <c r="H7" s="243">
        <f>SUMIF(58:58,YEAR(G7)&amp;"-"&amp;MONTH(G7),59:59)</f>
        <v>0</v>
      </c>
      <c r="I7" s="244"/>
      <c r="J7" s="243">
        <f>SUMIF(58:58,YEAR(I7)&amp;"-"&amp;MONTH(I7),59:59)</f>
        <v>0</v>
      </c>
      <c r="K7" s="402"/>
      <c r="L7" s="403"/>
      <c r="M7" s="404"/>
      <c r="N7" s="404"/>
      <c r="O7" s="404"/>
      <c r="P7" s="3831" t="s">
        <v>1044</v>
      </c>
      <c r="Q7" s="3832"/>
      <c r="R7" s="472" t="s">
        <v>1045</v>
      </c>
      <c r="S7" s="473">
        <f t="shared" ref="S7:S15" si="0">F7</f>
        <v>0</v>
      </c>
      <c r="T7" s="472" t="s">
        <v>1045</v>
      </c>
      <c r="U7" s="473">
        <f t="shared" ref="U7:U15" si="1">H7</f>
        <v>0</v>
      </c>
      <c r="V7" s="472" t="s">
        <v>1045</v>
      </c>
      <c r="W7" s="473">
        <f t="shared" ref="W7:W15" si="2">J7</f>
        <v>0</v>
      </c>
      <c r="X7" s="474"/>
      <c r="Y7" s="3831" t="s">
        <v>1044</v>
      </c>
      <c r="Z7" s="3833"/>
      <c r="AA7" s="491" t="e">
        <f>D7/F7</f>
        <v>#DIV/0!</v>
      </c>
      <c r="AB7" s="491" t="e">
        <f>D7/H7</f>
        <v>#DIV/0!</v>
      </c>
      <c r="AC7" s="491" t="e">
        <f>D7/J7</f>
        <v>#DIV/0!</v>
      </c>
    </row>
    <row r="8" spans="1:29" s="210" customFormat="1" ht="15">
      <c r="A8" s="247"/>
      <c r="B8" s="248" t="s">
        <v>1046</v>
      </c>
      <c r="C8" s="249" t="s">
        <v>1047</v>
      </c>
      <c r="D8" s="243">
        <v>100</v>
      </c>
      <c r="E8" s="249"/>
      <c r="F8" s="245">
        <f>SUMIF(61:61,E8,62:62)-SUMIF(61:61,C8,62:62)+100</f>
        <v>0</v>
      </c>
      <c r="G8" s="249"/>
      <c r="H8" s="243">
        <f>SUMIF(61:61,G8,62:62)-SUMIF(61:61,C8,62:62)+100</f>
        <v>0</v>
      </c>
      <c r="I8" s="249"/>
      <c r="J8" s="243">
        <f>SUMIF(61:61,I8,62:62)-SUMIF(61:61,C8,62:62)+100</f>
        <v>0</v>
      </c>
      <c r="K8" s="402"/>
      <c r="L8" s="403"/>
      <c r="M8" s="404"/>
      <c r="N8" s="404"/>
      <c r="O8" s="404"/>
      <c r="P8" s="3831" t="s">
        <v>1048</v>
      </c>
      <c r="Q8" s="3833"/>
      <c r="R8" s="472" t="s">
        <v>1045</v>
      </c>
      <c r="S8" s="473">
        <f t="shared" si="0"/>
        <v>0</v>
      </c>
      <c r="T8" s="472" t="s">
        <v>1045</v>
      </c>
      <c r="U8" s="473">
        <f t="shared" si="1"/>
        <v>0</v>
      </c>
      <c r="V8" s="472" t="s">
        <v>1045</v>
      </c>
      <c r="W8" s="473">
        <f t="shared" si="2"/>
        <v>0</v>
      </c>
      <c r="X8" s="474"/>
      <c r="Y8" s="3831" t="s">
        <v>1048</v>
      </c>
      <c r="Z8" s="3833"/>
      <c r="AA8" s="491" t="e">
        <f t="shared" ref="AA8:AA46" si="3">D8/F8</f>
        <v>#DIV/0!</v>
      </c>
      <c r="AB8" s="491" t="e">
        <f t="shared" ref="AB8:AB46" si="4">D8/H8</f>
        <v>#DIV/0!</v>
      </c>
      <c r="AC8" s="491" t="e">
        <f t="shared" ref="AC8:AC46" si="5">D8/J8</f>
        <v>#DIV/0!</v>
      </c>
    </row>
    <row r="9" spans="1:29" s="210" customFormat="1" ht="15">
      <c r="A9" s="250"/>
      <c r="B9" s="251" t="s">
        <v>1049</v>
      </c>
      <c r="C9" s="252"/>
      <c r="D9" s="253">
        <v>100</v>
      </c>
      <c r="E9" s="254"/>
      <c r="F9" s="253">
        <f>SUMIF(63:63,E9,64:64)-SUMIF(63:63,C9,64:64)+100</f>
        <v>100</v>
      </c>
      <c r="G9" s="521"/>
      <c r="H9" s="253">
        <f>SUMIF(63:63,G9,64:64)-SUMIF(63:63,C9,64:64)+100</f>
        <v>100</v>
      </c>
      <c r="I9" s="521"/>
      <c r="J9" s="253">
        <f>SUMIF(63:63,I9,64:64)-SUMIF(63:63,C9,64:64)+100</f>
        <v>100</v>
      </c>
      <c r="K9" s="402"/>
      <c r="L9" s="403"/>
      <c r="M9" s="404"/>
      <c r="N9" s="404"/>
      <c r="O9" s="405"/>
      <c r="P9" s="3834" t="s">
        <v>1050</v>
      </c>
      <c r="Q9" s="475" t="str">
        <f t="shared" ref="Q9:Q15" si="6">B9</f>
        <v>用途</v>
      </c>
      <c r="R9" s="472" t="s">
        <v>1045</v>
      </c>
      <c r="S9" s="473">
        <f t="shared" si="0"/>
        <v>100</v>
      </c>
      <c r="T9" s="472" t="s">
        <v>1045</v>
      </c>
      <c r="U9" s="473">
        <f t="shared" si="1"/>
        <v>100</v>
      </c>
      <c r="V9" s="472" t="s">
        <v>1045</v>
      </c>
      <c r="W9" s="473">
        <f t="shared" si="2"/>
        <v>100</v>
      </c>
      <c r="X9" s="474"/>
      <c r="Y9" s="3802" t="s">
        <v>1051</v>
      </c>
      <c r="Z9" s="492" t="str">
        <f t="shared" ref="Z9:Z15" si="7">Q9</f>
        <v>用途</v>
      </c>
      <c r="AA9" s="491">
        <f t="shared" si="3"/>
        <v>1</v>
      </c>
      <c r="AB9" s="491">
        <f t="shared" si="4"/>
        <v>1</v>
      </c>
      <c r="AC9" s="491">
        <f t="shared" si="5"/>
        <v>1</v>
      </c>
    </row>
    <row r="10" spans="1:29" s="211" customFormat="1" ht="27">
      <c r="A10" s="255"/>
      <c r="B10" s="248" t="s">
        <v>1052</v>
      </c>
      <c r="C10" s="256"/>
      <c r="D10" s="257">
        <v>100</v>
      </c>
      <c r="E10" s="256"/>
      <c r="F10" s="257">
        <f>SUMIF(65:65,E10,66:66)-SUMIF(65:65,C10,66:66)+100</f>
        <v>100</v>
      </c>
      <c r="G10" s="258"/>
      <c r="H10" s="257">
        <f>SUMIF(65:65,G10,66:66)-SUMIF(65:65,C10,66:66)+100</f>
        <v>100</v>
      </c>
      <c r="I10" s="256"/>
      <c r="J10" s="257">
        <f>SUMIF(65:65,I10,66:66)-SUMIF(65:65,C10,66:66)+100</f>
        <v>100</v>
      </c>
      <c r="K10" s="402"/>
      <c r="L10" s="407"/>
      <c r="M10" s="408"/>
      <c r="N10" s="408"/>
      <c r="O10" s="409"/>
      <c r="P10" s="3834"/>
      <c r="Q10" s="475" t="str">
        <f t="shared" si="6"/>
        <v>土地使用年限（年）</v>
      </c>
      <c r="R10" s="472" t="s">
        <v>1045</v>
      </c>
      <c r="S10" s="473">
        <f t="shared" si="0"/>
        <v>100</v>
      </c>
      <c r="T10" s="472" t="s">
        <v>1045</v>
      </c>
      <c r="U10" s="473">
        <f t="shared" si="1"/>
        <v>100</v>
      </c>
      <c r="V10" s="472" t="s">
        <v>1045</v>
      </c>
      <c r="W10" s="473">
        <f t="shared" si="2"/>
        <v>100</v>
      </c>
      <c r="X10" s="474"/>
      <c r="Y10" s="3802"/>
      <c r="Z10" s="492" t="str">
        <f t="shared" si="7"/>
        <v>土地使用年限（年）</v>
      </c>
      <c r="AA10" s="491">
        <f t="shared" si="3"/>
        <v>1</v>
      </c>
      <c r="AB10" s="491">
        <f t="shared" si="4"/>
        <v>1</v>
      </c>
      <c r="AC10" s="491">
        <f t="shared" si="5"/>
        <v>1</v>
      </c>
    </row>
    <row r="11" spans="1:29" ht="15">
      <c r="A11" s="554"/>
      <c r="B11" s="248" t="s">
        <v>1053</v>
      </c>
      <c r="C11" s="555"/>
      <c r="D11" s="257">
        <v>100</v>
      </c>
      <c r="E11" s="555"/>
      <c r="F11" s="257" t="e">
        <f>LOOKUP(E11,68:68,69:69)-LOOKUP(C11,68:68,69:69)+100</f>
        <v>#N/A</v>
      </c>
      <c r="G11" s="556"/>
      <c r="H11" s="257" t="e">
        <f>LOOKUP(G11,68:68,69:69)-LOOKUP(C11,68:68,69:69)+100</f>
        <v>#N/A</v>
      </c>
      <c r="I11" s="555"/>
      <c r="J11" s="257" t="e">
        <f>LOOKUP(I11,68:68,69:69)-LOOKUP(C11,68:68,69:69)+100</f>
        <v>#N/A</v>
      </c>
      <c r="K11" s="417"/>
      <c r="L11" s="411"/>
      <c r="M11" s="401"/>
      <c r="N11" s="401"/>
      <c r="O11" s="412"/>
      <c r="P11" s="3834"/>
      <c r="Q11" s="475" t="str">
        <f t="shared" si="6"/>
        <v>容积率</v>
      </c>
      <c r="R11" s="472" t="s">
        <v>1045</v>
      </c>
      <c r="S11" s="473" t="e">
        <f t="shared" si="0"/>
        <v>#N/A</v>
      </c>
      <c r="T11" s="472" t="s">
        <v>1045</v>
      </c>
      <c r="U11" s="473" t="e">
        <f t="shared" si="1"/>
        <v>#N/A</v>
      </c>
      <c r="V11" s="472" t="s">
        <v>1045</v>
      </c>
      <c r="W11" s="473" t="e">
        <f t="shared" si="2"/>
        <v>#N/A</v>
      </c>
      <c r="X11" s="474"/>
      <c r="Y11" s="3802"/>
      <c r="Z11" s="492" t="str">
        <f t="shared" si="7"/>
        <v>容积率</v>
      </c>
      <c r="AA11" s="491" t="e">
        <f t="shared" si="3"/>
        <v>#N/A</v>
      </c>
      <c r="AB11" s="491" t="e">
        <f t="shared" si="4"/>
        <v>#N/A</v>
      </c>
      <c r="AC11" s="491" t="e">
        <f t="shared" si="5"/>
        <v>#N/A</v>
      </c>
    </row>
    <row r="12" spans="1:29" s="210" customFormat="1" ht="15">
      <c r="A12" s="259"/>
      <c r="B12" s="260">
        <v>111</v>
      </c>
      <c r="C12" s="261"/>
      <c r="D12" s="263">
        <v>100</v>
      </c>
      <c r="E12" s="266"/>
      <c r="F12" s="257">
        <f>SUMIF(70:70,E12,71:71)-SUMIF(70:70,C12,71:71)+100</f>
        <v>100</v>
      </c>
      <c r="G12" s="595"/>
      <c r="H12" s="257">
        <f>SUMIF(70:70,G12,71:71)-SUMIF(70:70,C12,71:71)+100</f>
        <v>100</v>
      </c>
      <c r="I12" s="266"/>
      <c r="J12" s="257">
        <f>SUMIF(70:70,I12,71:71)-SUMIF(70:70,C12,71:71)+100</f>
        <v>100</v>
      </c>
      <c r="K12" s="410"/>
      <c r="L12" s="403"/>
      <c r="M12" s="404"/>
      <c r="N12" s="404"/>
      <c r="O12" s="405"/>
      <c r="P12" s="3834"/>
      <c r="Q12" s="475">
        <f t="shared" si="6"/>
        <v>111</v>
      </c>
      <c r="R12" s="472" t="s">
        <v>1045</v>
      </c>
      <c r="S12" s="473">
        <f t="shared" si="0"/>
        <v>100</v>
      </c>
      <c r="T12" s="472" t="s">
        <v>1045</v>
      </c>
      <c r="U12" s="473">
        <f t="shared" si="1"/>
        <v>100</v>
      </c>
      <c r="V12" s="472" t="s">
        <v>1045</v>
      </c>
      <c r="W12" s="473">
        <f t="shared" si="2"/>
        <v>100</v>
      </c>
      <c r="X12" s="474"/>
      <c r="Y12" s="3802"/>
      <c r="Z12" s="492">
        <f t="shared" si="7"/>
        <v>111</v>
      </c>
      <c r="AA12" s="491">
        <f t="shared" si="3"/>
        <v>1</v>
      </c>
      <c r="AB12" s="491">
        <f t="shared" si="4"/>
        <v>1</v>
      </c>
      <c r="AC12" s="491">
        <f t="shared" si="5"/>
        <v>1</v>
      </c>
    </row>
    <row r="13" spans="1:29" ht="15">
      <c r="A13" s="259"/>
      <c r="B13" s="260">
        <v>111</v>
      </c>
      <c r="C13" s="266"/>
      <c r="D13" s="267">
        <v>100</v>
      </c>
      <c r="E13" s="266"/>
      <c r="F13" s="257">
        <f>SUMIF(72:72,E13,73:73)-SUMIF(72:72,C13,73:73)+100</f>
        <v>100</v>
      </c>
      <c r="G13" s="595"/>
      <c r="H13" s="267">
        <f>SUMIF(72:72,G13,73:73)-SUMIF(72:72,C13,73:73)+100</f>
        <v>100</v>
      </c>
      <c r="I13" s="266"/>
      <c r="J13" s="267">
        <f>SUMIF(72:72,I13,73:73)-SUMIF(72:72,C13,73:73)+100</f>
        <v>100</v>
      </c>
      <c r="K13" s="410"/>
      <c r="L13" s="413"/>
      <c r="M13" s="401"/>
      <c r="N13" s="401"/>
      <c r="O13" s="412"/>
      <c r="P13" s="3834"/>
      <c r="Q13" s="475">
        <f t="shared" si="6"/>
        <v>111</v>
      </c>
      <c r="R13" s="472" t="s">
        <v>1045</v>
      </c>
      <c r="S13" s="473">
        <f t="shared" si="0"/>
        <v>100</v>
      </c>
      <c r="T13" s="472" t="s">
        <v>1045</v>
      </c>
      <c r="U13" s="473">
        <f t="shared" si="1"/>
        <v>100</v>
      </c>
      <c r="V13" s="472" t="s">
        <v>1045</v>
      </c>
      <c r="W13" s="473">
        <f t="shared" si="2"/>
        <v>100</v>
      </c>
      <c r="X13" s="474"/>
      <c r="Y13" s="3802"/>
      <c r="Z13" s="492">
        <f t="shared" si="7"/>
        <v>111</v>
      </c>
      <c r="AA13" s="491">
        <f t="shared" si="3"/>
        <v>1</v>
      </c>
      <c r="AB13" s="491">
        <f t="shared" si="4"/>
        <v>1</v>
      </c>
      <c r="AC13" s="491">
        <f t="shared" si="5"/>
        <v>1</v>
      </c>
    </row>
    <row r="14" spans="1:29" ht="15">
      <c r="A14" s="264"/>
      <c r="B14" s="265">
        <v>111</v>
      </c>
      <c r="C14" s="319"/>
      <c r="D14" s="320">
        <v>100</v>
      </c>
      <c r="E14" s="319"/>
      <c r="F14" s="320">
        <f>SUMIF(74:74,E14,75:75)-SUMIF(74:74,C14,75:75)+100</f>
        <v>100</v>
      </c>
      <c r="G14" s="595"/>
      <c r="H14" s="320">
        <f>SUMIF(74:74,G14,75:75)-SUMIF(74:74,C14,75:75)+100</f>
        <v>100</v>
      </c>
      <c r="I14" s="266"/>
      <c r="J14" s="320">
        <f>SUMIF(74:74,I14,75:75)-SUMIF(74:74,C14,75:75)+100</f>
        <v>100</v>
      </c>
      <c r="K14" s="410"/>
      <c r="L14" s="413"/>
      <c r="M14" s="401"/>
      <c r="N14" s="401"/>
      <c r="O14" s="412"/>
      <c r="P14" s="3834"/>
      <c r="Q14" s="475">
        <f t="shared" si="6"/>
        <v>111</v>
      </c>
      <c r="R14" s="472" t="s">
        <v>1045</v>
      </c>
      <c r="S14" s="473">
        <f t="shared" si="0"/>
        <v>100</v>
      </c>
      <c r="T14" s="472" t="s">
        <v>1045</v>
      </c>
      <c r="U14" s="473">
        <f t="shared" si="1"/>
        <v>100</v>
      </c>
      <c r="V14" s="472" t="s">
        <v>1045</v>
      </c>
      <c r="W14" s="473">
        <f t="shared" si="2"/>
        <v>100</v>
      </c>
      <c r="X14" s="474"/>
      <c r="Y14" s="3802"/>
      <c r="Z14" s="492">
        <f t="shared" si="7"/>
        <v>111</v>
      </c>
      <c r="AA14" s="491">
        <f t="shared" si="3"/>
        <v>1</v>
      </c>
      <c r="AB14" s="491">
        <f t="shared" si="4"/>
        <v>1</v>
      </c>
      <c r="AC14" s="491">
        <f t="shared" si="5"/>
        <v>1</v>
      </c>
    </row>
    <row r="15" spans="1:29" ht="71.25">
      <c r="A15" s="268" t="s">
        <v>1055</v>
      </c>
      <c r="B15" s="269" t="s">
        <v>224</v>
      </c>
      <c r="C15" s="621" t="str">
        <f>估价对象房地状况!C4</f>
        <v>估价对象位于XX商圈，周边商业氛围成熟，人流量大，商业繁华度好</v>
      </c>
      <c r="D15" s="271">
        <v>100</v>
      </c>
      <c r="E15" s="272"/>
      <c r="F15" s="273">
        <f>SUMIF(76:76,E16,77:77)-SUMIF(76:76,C16,77:77)+100</f>
        <v>100</v>
      </c>
      <c r="G15" s="274"/>
      <c r="H15" s="271">
        <f>SUMIF(76:76,G16,77:77)-SUMIF(76:76,C16,77:77)+100</f>
        <v>100</v>
      </c>
      <c r="I15" s="272"/>
      <c r="J15" s="271">
        <f>SUMIF(76:76,I16,77:77)-SUMIF(76:76,C16,77:77)+100</f>
        <v>100</v>
      </c>
      <c r="K15" s="414"/>
      <c r="L15" s="413"/>
      <c r="M15" s="401"/>
      <c r="N15" s="401"/>
      <c r="O15" s="412"/>
      <c r="P15" s="3840" t="s">
        <v>1056</v>
      </c>
      <c r="Q15" s="406" t="str">
        <f t="shared" si="6"/>
        <v>商业繁华度</v>
      </c>
      <c r="R15" s="476" t="s">
        <v>1045</v>
      </c>
      <c r="S15" s="477">
        <f t="shared" si="0"/>
        <v>100</v>
      </c>
      <c r="T15" s="476" t="s">
        <v>1045</v>
      </c>
      <c r="U15" s="477">
        <f t="shared" si="1"/>
        <v>100</v>
      </c>
      <c r="V15" s="476" t="s">
        <v>1045</v>
      </c>
      <c r="W15" s="477">
        <f t="shared" si="2"/>
        <v>100</v>
      </c>
      <c r="X15" s="471"/>
      <c r="Y15" s="3840" t="s">
        <v>1056</v>
      </c>
      <c r="Z15" s="470" t="str">
        <f t="shared" si="7"/>
        <v>商业繁华度</v>
      </c>
      <c r="AA15" s="482">
        <f t="shared" si="3"/>
        <v>1</v>
      </c>
      <c r="AB15" s="482">
        <f t="shared" si="4"/>
        <v>1</v>
      </c>
      <c r="AC15" s="482">
        <f t="shared" si="5"/>
        <v>1</v>
      </c>
    </row>
    <row r="16" spans="1:29" ht="15">
      <c r="A16" s="275"/>
      <c r="B16" s="276"/>
      <c r="C16" s="277"/>
      <c r="D16" s="278"/>
      <c r="E16" s="277"/>
      <c r="F16" s="279"/>
      <c r="G16" s="277"/>
      <c r="H16" s="280"/>
      <c r="I16" s="277"/>
      <c r="J16" s="278"/>
      <c r="K16" s="415"/>
      <c r="L16" s="413"/>
      <c r="M16" s="401"/>
      <c r="N16" s="401"/>
      <c r="O16" s="412"/>
      <c r="P16" s="3841"/>
      <c r="Q16" s="406"/>
      <c r="R16" s="476"/>
      <c r="S16" s="477"/>
      <c r="T16" s="476"/>
      <c r="U16" s="477"/>
      <c r="V16" s="476"/>
      <c r="W16" s="477"/>
      <c r="X16" s="471"/>
      <c r="Y16" s="3841"/>
      <c r="Z16" s="470"/>
      <c r="AA16" s="482">
        <v>1</v>
      </c>
      <c r="AB16" s="482">
        <v>1</v>
      </c>
      <c r="AC16" s="482">
        <v>1</v>
      </c>
    </row>
    <row r="17" spans="1:29" ht="85.5">
      <c r="A17" s="275"/>
      <c r="B17" s="294" t="s">
        <v>227</v>
      </c>
      <c r="C17" s="282" t="str">
        <f>估价对象房地状况!C6</f>
        <v>估价对象周边道路状况、公共交通通达情况、停车便捷程度，综合评价交通便捷度较好</v>
      </c>
      <c r="D17" s="280">
        <v>100</v>
      </c>
      <c r="E17" s="290"/>
      <c r="F17" s="291">
        <f>SUMIF(78:78,E18,79:79)-SUMIF(78:78,C18,79:79)+100</f>
        <v>100</v>
      </c>
      <c r="G17" s="292"/>
      <c r="H17" s="283">
        <f>SUMIF(78:78,G18,79:79)-SUMIF(78:78,C18,79:79)+100</f>
        <v>100</v>
      </c>
      <c r="I17" s="290"/>
      <c r="J17" s="283">
        <f>SUMIF(78:78,I18,79:79)-SUMIF(78:78,C18,79:79)+100</f>
        <v>100</v>
      </c>
      <c r="K17" s="414"/>
      <c r="L17" s="413"/>
      <c r="M17" s="401"/>
      <c r="N17" s="401"/>
      <c r="O17" s="412"/>
      <c r="P17" s="3841"/>
      <c r="Q17" s="406" t="str">
        <f>B17</f>
        <v>交通便捷度</v>
      </c>
      <c r="R17" s="476" t="s">
        <v>1045</v>
      </c>
      <c r="S17" s="477">
        <f>F17</f>
        <v>100</v>
      </c>
      <c r="T17" s="476" t="s">
        <v>1045</v>
      </c>
      <c r="U17" s="477">
        <f>H17</f>
        <v>100</v>
      </c>
      <c r="V17" s="476" t="s">
        <v>1045</v>
      </c>
      <c r="W17" s="477">
        <f>J17</f>
        <v>100</v>
      </c>
      <c r="X17" s="471"/>
      <c r="Y17" s="3841"/>
      <c r="Z17" s="470" t="str">
        <f>Q17</f>
        <v>交通便捷度</v>
      </c>
      <c r="AA17" s="482">
        <f t="shared" si="3"/>
        <v>1</v>
      </c>
      <c r="AB17" s="482">
        <f t="shared" si="4"/>
        <v>1</v>
      </c>
      <c r="AC17" s="482">
        <f t="shared" si="5"/>
        <v>1</v>
      </c>
    </row>
    <row r="18" spans="1:29" ht="15">
      <c r="A18" s="275"/>
      <c r="B18" s="295"/>
      <c r="C18" s="288"/>
      <c r="D18" s="280"/>
      <c r="E18" s="558"/>
      <c r="F18" s="291"/>
      <c r="G18" s="559"/>
      <c r="H18" s="278"/>
      <c r="I18" s="558"/>
      <c r="J18" s="278"/>
      <c r="K18" s="415"/>
      <c r="L18" s="413"/>
      <c r="M18" s="401"/>
      <c r="N18" s="401"/>
      <c r="O18" s="412"/>
      <c r="P18" s="3841"/>
      <c r="Q18" s="406"/>
      <c r="R18" s="476"/>
      <c r="S18" s="477"/>
      <c r="T18" s="476"/>
      <c r="U18" s="477"/>
      <c r="V18" s="476"/>
      <c r="W18" s="477"/>
      <c r="X18" s="471"/>
      <c r="Y18" s="3841"/>
      <c r="Z18" s="470"/>
      <c r="AA18" s="482">
        <v>1</v>
      </c>
      <c r="AB18" s="482">
        <v>1</v>
      </c>
      <c r="AC18" s="482">
        <v>1</v>
      </c>
    </row>
    <row r="19" spans="1:29" ht="42.75">
      <c r="A19" s="275"/>
      <c r="B19" s="622" t="s">
        <v>229</v>
      </c>
      <c r="C19" s="282" t="str">
        <f>估价对象房地状况!C7</f>
        <v>估价对象所在区域公共配套设施齐备情况</v>
      </c>
      <c r="D19" s="283">
        <v>100</v>
      </c>
      <c r="E19" s="284"/>
      <c r="F19" s="285">
        <f>SUMIF(80:80,E20,81:81)-SUMIF(80:80,C20,81:81)+100</f>
        <v>100</v>
      </c>
      <c r="G19" s="286"/>
      <c r="H19" s="280">
        <f>SUMIF(80:80,G20,81:81)-SUMIF(80:80,C20,81:81)+100</f>
        <v>100</v>
      </c>
      <c r="I19" s="284"/>
      <c r="J19" s="280">
        <f>SUMIF(80:80,I20,81:81)-SUMIF(80:80,C20,81:81)+100</f>
        <v>100</v>
      </c>
      <c r="K19" s="414"/>
      <c r="L19" s="413"/>
      <c r="M19" s="401"/>
      <c r="N19" s="401"/>
      <c r="O19" s="412"/>
      <c r="P19" s="3841"/>
      <c r="Q19" s="406" t="str">
        <f>B19</f>
        <v>公共配套设施</v>
      </c>
      <c r="R19" s="476" t="s">
        <v>1045</v>
      </c>
      <c r="S19" s="477">
        <f>F19</f>
        <v>100</v>
      </c>
      <c r="T19" s="476" t="s">
        <v>1045</v>
      </c>
      <c r="U19" s="477">
        <f>H19</f>
        <v>100</v>
      </c>
      <c r="V19" s="476" t="s">
        <v>1045</v>
      </c>
      <c r="W19" s="477">
        <f>J19</f>
        <v>100</v>
      </c>
      <c r="X19" s="471"/>
      <c r="Y19" s="3841"/>
      <c r="Z19" s="470" t="str">
        <f>Q19</f>
        <v>公共配套设施</v>
      </c>
      <c r="AA19" s="482">
        <f t="shared" si="3"/>
        <v>1</v>
      </c>
      <c r="AB19" s="482">
        <f t="shared" si="4"/>
        <v>1</v>
      </c>
      <c r="AC19" s="482">
        <f t="shared" si="5"/>
        <v>1</v>
      </c>
    </row>
    <row r="20" spans="1:29" ht="15">
      <c r="A20" s="275"/>
      <c r="B20" s="295"/>
      <c r="C20" s="277"/>
      <c r="D20" s="278"/>
      <c r="E20" s="560"/>
      <c r="F20" s="279"/>
      <c r="G20" s="561"/>
      <c r="H20" s="278"/>
      <c r="I20" s="560"/>
      <c r="J20" s="278"/>
      <c r="K20" s="415"/>
      <c r="L20" s="413"/>
      <c r="M20" s="401"/>
      <c r="N20" s="401"/>
      <c r="O20" s="412"/>
      <c r="P20" s="3841"/>
      <c r="Q20" s="406"/>
      <c r="R20" s="476"/>
      <c r="S20" s="477"/>
      <c r="T20" s="476"/>
      <c r="U20" s="477"/>
      <c r="V20" s="476"/>
      <c r="W20" s="477"/>
      <c r="X20" s="471"/>
      <c r="Y20" s="3841"/>
      <c r="Z20" s="470"/>
      <c r="AA20" s="482">
        <v>1</v>
      </c>
      <c r="AB20" s="482">
        <v>1</v>
      </c>
      <c r="AC20" s="482">
        <v>1</v>
      </c>
    </row>
    <row r="21" spans="1:29" ht="28.5">
      <c r="A21" s="275"/>
      <c r="B21" s="623" t="s">
        <v>230</v>
      </c>
      <c r="C21" s="282" t="str">
        <f>估价对象房地状况!C8</f>
        <v>估价对象所在区域基础设施水平</v>
      </c>
      <c r="D21" s="283">
        <v>100</v>
      </c>
      <c r="E21" s="286"/>
      <c r="F21" s="285">
        <f>SUMIF(82:82,E22,83:83)-SUMIF(82:82,C22,83:83)+100</f>
        <v>100</v>
      </c>
      <c r="G21" s="286"/>
      <c r="H21" s="283">
        <f>SUMIF(82:82,G22,83:83)-SUMIF(82:82,C22,83:83)+100</f>
        <v>100</v>
      </c>
      <c r="I21" s="284"/>
      <c r="J21" s="283">
        <f>SUMIF(82:82,I22,83:83)-SUMIF(82:82,C22,83:83)+100</f>
        <v>100</v>
      </c>
      <c r="K21" s="414"/>
      <c r="L21" s="413"/>
      <c r="M21" s="401"/>
      <c r="N21" s="401"/>
      <c r="O21" s="412"/>
      <c r="P21" s="3841"/>
      <c r="Q21" s="406" t="str">
        <f>B21</f>
        <v>基础设施水平</v>
      </c>
      <c r="R21" s="476" t="s">
        <v>1045</v>
      </c>
      <c r="S21" s="477">
        <f>F21</f>
        <v>100</v>
      </c>
      <c r="T21" s="476" t="s">
        <v>1045</v>
      </c>
      <c r="U21" s="477">
        <f>H21</f>
        <v>100</v>
      </c>
      <c r="V21" s="476" t="s">
        <v>1045</v>
      </c>
      <c r="W21" s="477">
        <f>J21</f>
        <v>100</v>
      </c>
      <c r="X21" s="471"/>
      <c r="Y21" s="3841"/>
      <c r="Z21" s="470" t="str">
        <f>Q21</f>
        <v>基础设施水平</v>
      </c>
      <c r="AA21" s="482">
        <f>D21/F21</f>
        <v>1</v>
      </c>
      <c r="AB21" s="482">
        <f>D21/H21</f>
        <v>1</v>
      </c>
      <c r="AC21" s="482">
        <f>D21/J21</f>
        <v>1</v>
      </c>
    </row>
    <row r="22" spans="1:29" ht="15">
      <c r="A22" s="275"/>
      <c r="B22" s="562"/>
      <c r="C22" s="288"/>
      <c r="D22" s="278"/>
      <c r="E22" s="277"/>
      <c r="F22" s="279"/>
      <c r="G22" s="277"/>
      <c r="H22" s="278"/>
      <c r="I22" s="277"/>
      <c r="J22" s="278"/>
      <c r="K22" s="416"/>
      <c r="L22" s="413"/>
      <c r="M22" s="401"/>
      <c r="N22" s="401"/>
      <c r="O22" s="412"/>
      <c r="P22" s="3841"/>
      <c r="Q22" s="406"/>
      <c r="R22" s="476"/>
      <c r="S22" s="477"/>
      <c r="T22" s="476"/>
      <c r="U22" s="477"/>
      <c r="V22" s="476"/>
      <c r="W22" s="477"/>
      <c r="X22" s="471"/>
      <c r="Y22" s="3841"/>
      <c r="Z22" s="470"/>
      <c r="AA22" s="482">
        <v>1</v>
      </c>
      <c r="AB22" s="482">
        <v>1</v>
      </c>
      <c r="AC22" s="482">
        <v>1</v>
      </c>
    </row>
    <row r="23" spans="1:29" ht="57">
      <c r="A23" s="275"/>
      <c r="B23" s="294" t="s">
        <v>2411</v>
      </c>
      <c r="C23" s="624" t="str">
        <f>估价对象房地状况!C9</f>
        <v>区域自然环境：；人文环境；综合评价环境状况一般</v>
      </c>
      <c r="D23" s="280">
        <v>100</v>
      </c>
      <c r="E23" s="290"/>
      <c r="F23" s="291">
        <f>SUMIF(84:84,E24,85:85)-SUMIF(84:84,C24,85:85)+100</f>
        <v>100</v>
      </c>
      <c r="G23" s="292"/>
      <c r="H23" s="280">
        <f>SUMIF(84:84,G24,85:85)-SUMIF(84:84,C24,85:85)+100</f>
        <v>100</v>
      </c>
      <c r="I23" s="290"/>
      <c r="J23" s="280">
        <f>SUMIF(84:84,I24,85:85)-SUMIF(84:84,C24,85:85)+100</f>
        <v>100</v>
      </c>
      <c r="K23" s="414"/>
      <c r="L23" s="413"/>
      <c r="M23" s="401"/>
      <c r="N23" s="401"/>
      <c r="O23" s="412"/>
      <c r="P23" s="3841"/>
      <c r="Q23" s="406" t="str">
        <f>B23</f>
        <v>自然及人文环境</v>
      </c>
      <c r="R23" s="476" t="s">
        <v>1045</v>
      </c>
      <c r="S23" s="477">
        <f>F23</f>
        <v>100</v>
      </c>
      <c r="T23" s="476" t="s">
        <v>1045</v>
      </c>
      <c r="U23" s="477">
        <f>H23</f>
        <v>100</v>
      </c>
      <c r="V23" s="476" t="s">
        <v>1045</v>
      </c>
      <c r="W23" s="477">
        <f>J23</f>
        <v>100</v>
      </c>
      <c r="X23" s="471"/>
      <c r="Y23" s="3841"/>
      <c r="Z23" s="470" t="str">
        <f>Q23</f>
        <v>自然及人文环境</v>
      </c>
      <c r="AA23" s="482">
        <f t="shared" si="3"/>
        <v>1</v>
      </c>
      <c r="AB23" s="482">
        <f t="shared" si="4"/>
        <v>1</v>
      </c>
      <c r="AC23" s="482">
        <f t="shared" si="5"/>
        <v>1</v>
      </c>
    </row>
    <row r="24" spans="1:29" ht="15">
      <c r="A24" s="275"/>
      <c r="B24" s="295"/>
      <c r="C24" s="277"/>
      <c r="D24" s="278"/>
      <c r="E24" s="560"/>
      <c r="F24" s="279"/>
      <c r="G24" s="561"/>
      <c r="H24" s="278"/>
      <c r="I24" s="560"/>
      <c r="J24" s="278"/>
      <c r="K24" s="415"/>
      <c r="L24" s="413"/>
      <c r="M24" s="401"/>
      <c r="N24" s="401"/>
      <c r="O24" s="412"/>
      <c r="P24" s="3841"/>
      <c r="Q24" s="406"/>
      <c r="R24" s="476"/>
      <c r="S24" s="477"/>
      <c r="T24" s="476"/>
      <c r="U24" s="477"/>
      <c r="V24" s="476"/>
      <c r="W24" s="477"/>
      <c r="X24" s="471"/>
      <c r="Y24" s="3841"/>
      <c r="Z24" s="470"/>
      <c r="AA24" s="482">
        <v>1</v>
      </c>
      <c r="AB24" s="482">
        <v>1</v>
      </c>
      <c r="AC24" s="482">
        <v>1</v>
      </c>
    </row>
    <row r="25" spans="1:29" ht="15">
      <c r="A25" s="275"/>
      <c r="B25" s="309" t="s">
        <v>232</v>
      </c>
      <c r="C25" s="296"/>
      <c r="D25" s="267">
        <v>100</v>
      </c>
      <c r="E25" s="296"/>
      <c r="F25" s="297">
        <f>SUMIF(86:86,E25,87:87)-SUMIF(86:86,C25,87:87)+100</f>
        <v>100</v>
      </c>
      <c r="G25" s="296"/>
      <c r="H25" s="267">
        <f>SUMIF(86:86,G25,87:87)-SUMIF(86:86,C25,87:87)+100</f>
        <v>100</v>
      </c>
      <c r="I25" s="296"/>
      <c r="J25" s="267">
        <f>SUMIF(86:86,I25,87:87)-SUMIF(86:86,C25,87:87)+100</f>
        <v>100</v>
      </c>
      <c r="K25" s="417"/>
      <c r="L25" s="413"/>
      <c r="M25" s="401"/>
      <c r="N25" s="401"/>
      <c r="O25" s="412"/>
      <c r="P25" s="3841"/>
      <c r="Q25" s="406" t="str">
        <f t="shared" ref="Q25:Q46" si="8">B25</f>
        <v>临街状况</v>
      </c>
      <c r="R25" s="476" t="s">
        <v>1045</v>
      </c>
      <c r="S25" s="477">
        <f>F25</f>
        <v>100</v>
      </c>
      <c r="T25" s="476" t="s">
        <v>1045</v>
      </c>
      <c r="U25" s="477">
        <f>H25</f>
        <v>100</v>
      </c>
      <c r="V25" s="476" t="s">
        <v>1045</v>
      </c>
      <c r="W25" s="477">
        <f>J25</f>
        <v>100</v>
      </c>
      <c r="X25" s="471"/>
      <c r="Y25" s="3841"/>
      <c r="Z25" s="470" t="str">
        <f>Q25</f>
        <v>临街状况</v>
      </c>
      <c r="AA25" s="482">
        <f t="shared" si="3"/>
        <v>1</v>
      </c>
      <c r="AB25" s="482">
        <f t="shared" si="4"/>
        <v>1</v>
      </c>
      <c r="AC25" s="482">
        <f t="shared" si="5"/>
        <v>1</v>
      </c>
    </row>
    <row r="26" spans="1:29" ht="15">
      <c r="A26" s="275"/>
      <c r="B26" s="563" t="s">
        <v>2447</v>
      </c>
      <c r="C26" s="266"/>
      <c r="D26" s="267">
        <v>100</v>
      </c>
      <c r="E26" s="266"/>
      <c r="F26" s="297">
        <f>SUMIF(88:88,E26,89:89)-SUMIF(88:88,C26,89:89)+100</f>
        <v>100</v>
      </c>
      <c r="G26" s="266"/>
      <c r="H26" s="267">
        <f>SUMIF(88:88,G26,89:89)-SUMIF(88:88,C26,89:89)+100</f>
        <v>100</v>
      </c>
      <c r="I26" s="266"/>
      <c r="J26" s="267">
        <f>SUMIF(88:88,I26,89:89)-SUMIF(88:88,C26,89:89)+100</f>
        <v>100</v>
      </c>
      <c r="K26" s="410"/>
      <c r="L26" s="413"/>
      <c r="M26" s="401"/>
      <c r="N26" s="401"/>
      <c r="O26" s="412"/>
      <c r="P26" s="3841"/>
      <c r="Q26" s="406" t="str">
        <f t="shared" si="8"/>
        <v>平面位置/可视性</v>
      </c>
      <c r="R26" s="476" t="s">
        <v>1045</v>
      </c>
      <c r="S26" s="477">
        <f>F26</f>
        <v>100</v>
      </c>
      <c r="T26" s="476" t="s">
        <v>1045</v>
      </c>
      <c r="U26" s="477">
        <f>H26</f>
        <v>100</v>
      </c>
      <c r="V26" s="476" t="s">
        <v>1045</v>
      </c>
      <c r="W26" s="477">
        <f>J26</f>
        <v>100</v>
      </c>
      <c r="X26" s="471"/>
      <c r="Y26" s="3841"/>
      <c r="Z26" s="470" t="str">
        <f>Q26</f>
        <v>平面位置/可视性</v>
      </c>
      <c r="AA26" s="482">
        <f t="shared" si="3"/>
        <v>1</v>
      </c>
      <c r="AB26" s="482">
        <f t="shared" si="4"/>
        <v>1</v>
      </c>
      <c r="AC26" s="482">
        <f t="shared" si="5"/>
        <v>1</v>
      </c>
    </row>
    <row r="27" spans="1:29" s="210" customFormat="1" ht="15">
      <c r="A27" s="299"/>
      <c r="B27" s="294" t="s">
        <v>2448</v>
      </c>
      <c r="C27" s="598"/>
      <c r="D27" s="564">
        <v>100</v>
      </c>
      <c r="E27" s="598"/>
      <c r="F27" s="565">
        <f>SUMIF(90:90,E27,91:91)-SUMIF(90:90,C27,91:91)+100</f>
        <v>100</v>
      </c>
      <c r="G27" s="598"/>
      <c r="H27" s="564">
        <f>SUMIF(90:90,G27,91:91)-SUMIF(90:90,C27,91:91)+100</f>
        <v>100</v>
      </c>
      <c r="I27" s="598"/>
      <c r="J27" s="564">
        <f>SUMIF(90:90,I27,91:91)-SUMIF(90:90,C27,91:91)+100</f>
        <v>100</v>
      </c>
      <c r="K27" s="417"/>
      <c r="L27" s="403"/>
      <c r="M27" s="404"/>
      <c r="N27" s="404"/>
      <c r="O27" s="405"/>
      <c r="P27" s="3841"/>
      <c r="Q27" s="475" t="str">
        <f t="shared" si="8"/>
        <v>人流量</v>
      </c>
      <c r="R27" s="472" t="s">
        <v>1045</v>
      </c>
      <c r="S27" s="473">
        <f>F27</f>
        <v>100</v>
      </c>
      <c r="T27" s="472" t="s">
        <v>1045</v>
      </c>
      <c r="U27" s="473">
        <f>H27</f>
        <v>100</v>
      </c>
      <c r="V27" s="472" t="s">
        <v>1045</v>
      </c>
      <c r="W27" s="473">
        <f>J27</f>
        <v>100</v>
      </c>
      <c r="X27" s="474"/>
      <c r="Y27" s="3841"/>
      <c r="Z27" s="492" t="str">
        <f>Q27</f>
        <v>人流量</v>
      </c>
      <c r="AA27" s="482">
        <f t="shared" si="3"/>
        <v>1</v>
      </c>
      <c r="AB27" s="482">
        <f t="shared" si="4"/>
        <v>1</v>
      </c>
      <c r="AC27" s="482">
        <f t="shared" si="5"/>
        <v>1</v>
      </c>
    </row>
    <row r="28" spans="1:29" ht="15">
      <c r="A28" s="275"/>
      <c r="B28" s="309" t="s">
        <v>2449</v>
      </c>
      <c r="C28" s="296"/>
      <c r="D28" s="267">
        <v>100</v>
      </c>
      <c r="E28" s="296"/>
      <c r="F28" s="297">
        <f>SUMIF(92:92,E28,93:93)-SUMIF(92:92,C28,93:93)+100</f>
        <v>100</v>
      </c>
      <c r="G28" s="296"/>
      <c r="H28" s="267">
        <f>SUMIF(92:92,G28,93:93)-SUMIF(92:92,C28,93:93)+100</f>
        <v>100</v>
      </c>
      <c r="I28" s="296"/>
      <c r="J28" s="267">
        <f>SUMIF(92:92,I28,93:93)-SUMIF(92:92,C28,93:93)+100</f>
        <v>100</v>
      </c>
      <c r="K28" s="410"/>
      <c r="L28" s="413"/>
      <c r="M28" s="401"/>
      <c r="N28" s="401"/>
      <c r="O28" s="412"/>
      <c r="P28" s="3841"/>
      <c r="Q28" s="406" t="str">
        <f t="shared" si="8"/>
        <v>楼层</v>
      </c>
      <c r="R28" s="476" t="s">
        <v>1045</v>
      </c>
      <c r="S28" s="477">
        <f t="shared" ref="S28:S46" si="9">F28</f>
        <v>100</v>
      </c>
      <c r="T28" s="476" t="s">
        <v>1045</v>
      </c>
      <c r="U28" s="477">
        <f t="shared" ref="U28:U46" si="10">H28</f>
        <v>100</v>
      </c>
      <c r="V28" s="476" t="s">
        <v>1045</v>
      </c>
      <c r="W28" s="477">
        <f t="shared" ref="W28:W46" si="11">J28</f>
        <v>100</v>
      </c>
      <c r="X28" s="471"/>
      <c r="Y28" s="3841"/>
      <c r="Z28" s="470" t="str">
        <f t="shared" ref="Z28:Z46" si="12">Q28</f>
        <v>楼层</v>
      </c>
      <c r="AA28" s="482">
        <f t="shared" si="3"/>
        <v>1</v>
      </c>
      <c r="AB28" s="482">
        <f t="shared" si="4"/>
        <v>1</v>
      </c>
      <c r="AC28" s="482">
        <f t="shared" si="5"/>
        <v>1</v>
      </c>
    </row>
    <row r="29" spans="1:29" ht="15">
      <c r="A29" s="275"/>
      <c r="B29" s="563">
        <v>111</v>
      </c>
      <c r="C29" s="266"/>
      <c r="D29" s="267">
        <v>100</v>
      </c>
      <c r="E29" s="266"/>
      <c r="F29" s="297">
        <f>SUMIF(94:94,E29,95:95)-SUMIF(94:94,C29,95:95)+100</f>
        <v>100</v>
      </c>
      <c r="G29" s="266"/>
      <c r="H29" s="267">
        <f>SUMIF(94:94,G29,95:95)-SUMIF(94:94,C29,95:95)+100</f>
        <v>100</v>
      </c>
      <c r="I29" s="266"/>
      <c r="J29" s="267">
        <f>SUMIF(94:94,I29,95:95)-SUMIF(94:94,C29,95:95)+100</f>
        <v>100</v>
      </c>
      <c r="K29" s="410"/>
      <c r="L29" s="413"/>
      <c r="M29" s="401"/>
      <c r="N29" s="401"/>
      <c r="O29" s="412"/>
      <c r="P29" s="3841"/>
      <c r="Q29" s="406">
        <f t="shared" si="8"/>
        <v>111</v>
      </c>
      <c r="R29" s="476" t="s">
        <v>1045</v>
      </c>
      <c r="S29" s="477">
        <f t="shared" si="9"/>
        <v>100</v>
      </c>
      <c r="T29" s="476" t="s">
        <v>1045</v>
      </c>
      <c r="U29" s="477">
        <f t="shared" si="10"/>
        <v>100</v>
      </c>
      <c r="V29" s="476" t="s">
        <v>1045</v>
      </c>
      <c r="W29" s="477">
        <f t="shared" si="11"/>
        <v>100</v>
      </c>
      <c r="X29" s="471"/>
      <c r="Y29" s="3841"/>
      <c r="Z29" s="470">
        <f t="shared" si="12"/>
        <v>111</v>
      </c>
      <c r="AA29" s="482">
        <f t="shared" si="3"/>
        <v>1</v>
      </c>
      <c r="AB29" s="482">
        <f t="shared" si="4"/>
        <v>1</v>
      </c>
      <c r="AC29" s="482">
        <f t="shared" si="5"/>
        <v>1</v>
      </c>
    </row>
    <row r="30" spans="1:29" ht="15">
      <c r="A30" s="275"/>
      <c r="B30" s="563">
        <v>111</v>
      </c>
      <c r="C30" s="266"/>
      <c r="D30" s="267">
        <v>100</v>
      </c>
      <c r="E30" s="266"/>
      <c r="F30" s="297">
        <f>SUMIF(96:96,E30,97:97)-SUMIF(96:96,C30,97:97)+100</f>
        <v>100</v>
      </c>
      <c r="G30" s="266"/>
      <c r="H30" s="267">
        <f>SUMIF(96:96,G30,97:97)-SUMIF(96:96,C30,97:97)+100</f>
        <v>100</v>
      </c>
      <c r="I30" s="266"/>
      <c r="J30" s="267">
        <f>SUMIF(96:96,I30,97:97)-SUMIF(96:96,C30,97:97)+100</f>
        <v>100</v>
      </c>
      <c r="K30" s="410"/>
      <c r="L30" s="413"/>
      <c r="M30" s="401"/>
      <c r="N30" s="401"/>
      <c r="O30" s="412"/>
      <c r="P30" s="3841"/>
      <c r="Q30" s="406">
        <f t="shared" si="8"/>
        <v>111</v>
      </c>
      <c r="R30" s="476" t="s">
        <v>1045</v>
      </c>
      <c r="S30" s="477">
        <f t="shared" si="9"/>
        <v>100</v>
      </c>
      <c r="T30" s="476" t="s">
        <v>1045</v>
      </c>
      <c r="U30" s="477">
        <f t="shared" si="10"/>
        <v>100</v>
      </c>
      <c r="V30" s="476" t="s">
        <v>1045</v>
      </c>
      <c r="W30" s="477">
        <f t="shared" si="11"/>
        <v>100</v>
      </c>
      <c r="X30" s="471"/>
      <c r="Y30" s="3841"/>
      <c r="Z30" s="470">
        <f t="shared" si="12"/>
        <v>111</v>
      </c>
      <c r="AA30" s="482">
        <f t="shared" si="3"/>
        <v>1</v>
      </c>
      <c r="AB30" s="482">
        <f t="shared" si="4"/>
        <v>1</v>
      </c>
      <c r="AC30" s="482">
        <f t="shared" si="5"/>
        <v>1</v>
      </c>
    </row>
    <row r="31" spans="1:29" ht="15">
      <c r="A31" s="566"/>
      <c r="B31" s="563">
        <v>111</v>
      </c>
      <c r="C31" s="319"/>
      <c r="D31" s="320">
        <v>100</v>
      </c>
      <c r="E31" s="266"/>
      <c r="F31" s="322">
        <f>SUMIF(98:98,E31,99:99)-SUMIF(98:98,C31,99:99)+100</f>
        <v>100</v>
      </c>
      <c r="G31" s="266"/>
      <c r="H31" s="320">
        <f>SUMIF(98:98,G31,99:99)-SUMIF(98:98,C31,99:99)+100</f>
        <v>100</v>
      </c>
      <c r="I31" s="266"/>
      <c r="J31" s="320">
        <f>SUMIF(98:98,I31,99:99)-SUMIF(98:98,C31,99:99)+100</f>
        <v>100</v>
      </c>
      <c r="K31" s="410"/>
      <c r="L31" s="413"/>
      <c r="M31" s="401"/>
      <c r="N31" s="401"/>
      <c r="O31" s="412"/>
      <c r="P31" s="3841"/>
      <c r="Q31" s="406">
        <f t="shared" si="8"/>
        <v>111</v>
      </c>
      <c r="R31" s="476" t="s">
        <v>1045</v>
      </c>
      <c r="S31" s="477">
        <f t="shared" si="9"/>
        <v>100</v>
      </c>
      <c r="T31" s="476" t="s">
        <v>1045</v>
      </c>
      <c r="U31" s="477">
        <f t="shared" si="10"/>
        <v>100</v>
      </c>
      <c r="V31" s="476" t="s">
        <v>1045</v>
      </c>
      <c r="W31" s="477">
        <f t="shared" si="11"/>
        <v>100</v>
      </c>
      <c r="X31" s="471"/>
      <c r="Y31" s="3841"/>
      <c r="Z31" s="470">
        <f t="shared" si="12"/>
        <v>111</v>
      </c>
      <c r="AA31" s="482">
        <f t="shared" si="3"/>
        <v>1</v>
      </c>
      <c r="AB31" s="482">
        <f t="shared" si="4"/>
        <v>1</v>
      </c>
      <c r="AC31" s="482">
        <f t="shared" si="5"/>
        <v>1</v>
      </c>
    </row>
    <row r="32" spans="1:29" ht="15">
      <c r="A32" s="303" t="s">
        <v>1061</v>
      </c>
      <c r="B32" s="304" t="s">
        <v>2450</v>
      </c>
      <c r="C32" s="625"/>
      <c r="D32" s="306">
        <v>100</v>
      </c>
      <c r="E32" s="625"/>
      <c r="F32" s="297">
        <f>SUMIF(100:100,E32,101:101)-SUMIF(100:100,C32,101:101)+100</f>
        <v>100</v>
      </c>
      <c r="G32" s="625"/>
      <c r="H32" s="267">
        <f>SUMIF(100:100,G32,101:101)-SUMIF(100:100,C32,101:101)+100</f>
        <v>100</v>
      </c>
      <c r="I32" s="625"/>
      <c r="J32" s="306">
        <f>SUMIF(100:100,I32,101:101)-SUMIF(100:100,C32,101:101)+100</f>
        <v>100</v>
      </c>
      <c r="K32" s="417"/>
      <c r="L32" s="413"/>
      <c r="M32" s="401"/>
      <c r="N32" s="401"/>
      <c r="O32" s="412"/>
      <c r="P32" s="3842" t="s">
        <v>1060</v>
      </c>
      <c r="Q32" s="406" t="str">
        <f t="shared" si="8"/>
        <v>商业类型</v>
      </c>
      <c r="R32" s="476" t="s">
        <v>1045</v>
      </c>
      <c r="S32" s="477">
        <f t="shared" si="9"/>
        <v>100</v>
      </c>
      <c r="T32" s="476" t="s">
        <v>1045</v>
      </c>
      <c r="U32" s="477">
        <f t="shared" si="10"/>
        <v>100</v>
      </c>
      <c r="V32" s="476" t="s">
        <v>1045</v>
      </c>
      <c r="W32" s="477">
        <f t="shared" si="11"/>
        <v>100</v>
      </c>
      <c r="X32" s="471"/>
      <c r="Y32" s="3843" t="s">
        <v>1060</v>
      </c>
      <c r="Z32" s="470" t="str">
        <f t="shared" si="12"/>
        <v>商业类型</v>
      </c>
      <c r="AA32" s="482">
        <f t="shared" si="3"/>
        <v>1</v>
      </c>
      <c r="AB32" s="482">
        <f t="shared" si="4"/>
        <v>1</v>
      </c>
      <c r="AC32" s="482">
        <f t="shared" si="5"/>
        <v>1</v>
      </c>
    </row>
    <row r="33" spans="1:29" s="212" customFormat="1" ht="15">
      <c r="A33" s="308"/>
      <c r="B33" s="309" t="s">
        <v>2416</v>
      </c>
      <c r="C33" s="262"/>
      <c r="D33" s="257">
        <v>100</v>
      </c>
      <c r="E33" s="556"/>
      <c r="F33" s="567" t="e">
        <f>LOOKUP(E33,103:103,104:104)-LOOKUP(C33,103:103,104:104)+100</f>
        <v>#N/A</v>
      </c>
      <c r="G33" s="555"/>
      <c r="H33" s="257" t="e">
        <f>LOOKUP(G33,103:103,104:104)-LOOKUP(C33,103:103,104:104)+100</f>
        <v>#N/A</v>
      </c>
      <c r="I33" s="555"/>
      <c r="J33" s="257" t="e">
        <f>LOOKUP(I33,103:103,104:104)-LOOKUP(C33,103:103,104:104)+100</f>
        <v>#N/A</v>
      </c>
      <c r="K33" s="410"/>
      <c r="L33" s="411"/>
      <c r="M33" s="418"/>
      <c r="N33" s="418"/>
      <c r="O33" s="419"/>
      <c r="P33" s="3843"/>
      <c r="Q33" s="478" t="str">
        <f t="shared" si="8"/>
        <v>项目建筑规模</v>
      </c>
      <c r="R33" s="479" t="s">
        <v>1045</v>
      </c>
      <c r="S33" s="480" t="e">
        <f t="shared" si="9"/>
        <v>#N/A</v>
      </c>
      <c r="T33" s="479" t="s">
        <v>1045</v>
      </c>
      <c r="U33" s="480" t="e">
        <f t="shared" si="10"/>
        <v>#N/A</v>
      </c>
      <c r="V33" s="479" t="s">
        <v>1045</v>
      </c>
      <c r="W33" s="480" t="e">
        <f t="shared" si="11"/>
        <v>#N/A</v>
      </c>
      <c r="X33" s="481"/>
      <c r="Y33" s="3843"/>
      <c r="Z33" s="493" t="str">
        <f t="shared" si="12"/>
        <v>项目建筑规模</v>
      </c>
      <c r="AA33" s="482" t="e">
        <f t="shared" si="3"/>
        <v>#N/A</v>
      </c>
      <c r="AB33" s="482" t="e">
        <f t="shared" si="4"/>
        <v>#N/A</v>
      </c>
      <c r="AC33" s="482" t="e">
        <f t="shared" si="5"/>
        <v>#N/A</v>
      </c>
    </row>
    <row r="34" spans="1:29" ht="15">
      <c r="A34" s="313"/>
      <c r="B34" s="309" t="s">
        <v>2417</v>
      </c>
      <c r="C34" s="626"/>
      <c r="D34" s="267">
        <v>100</v>
      </c>
      <c r="E34" s="627"/>
      <c r="F34" s="297">
        <f>SUMIF(105:105,E34,106:106)-SUMIF(105:105,C34,106:106)+100</f>
        <v>100</v>
      </c>
      <c r="G34" s="626"/>
      <c r="H34" s="267">
        <f>SUMIF(105:105,G34,106:106)-SUMIF(105:105,C34,106:106)+100</f>
        <v>100</v>
      </c>
      <c r="I34" s="626"/>
      <c r="J34" s="267">
        <f>SUMIF(105:105,I34,106:106)-SUMIF(105:105,C34,106:106)+100</f>
        <v>100</v>
      </c>
      <c r="K34" s="417"/>
      <c r="L34" s="413"/>
      <c r="M34" s="401"/>
      <c r="N34" s="401"/>
      <c r="O34" s="412"/>
      <c r="P34" s="3843"/>
      <c r="Q34" s="406" t="str">
        <f t="shared" si="8"/>
        <v>建筑结构</v>
      </c>
      <c r="R34" s="476" t="s">
        <v>1045</v>
      </c>
      <c r="S34" s="477">
        <f t="shared" si="9"/>
        <v>100</v>
      </c>
      <c r="T34" s="476" t="s">
        <v>1045</v>
      </c>
      <c r="U34" s="477">
        <f t="shared" si="10"/>
        <v>100</v>
      </c>
      <c r="V34" s="476" t="s">
        <v>1045</v>
      </c>
      <c r="W34" s="477">
        <f t="shared" si="11"/>
        <v>100</v>
      </c>
      <c r="X34" s="471"/>
      <c r="Y34" s="3843"/>
      <c r="Z34" s="470" t="str">
        <f t="shared" si="12"/>
        <v>建筑结构</v>
      </c>
      <c r="AA34" s="482">
        <f t="shared" si="3"/>
        <v>1</v>
      </c>
      <c r="AB34" s="482">
        <f t="shared" si="4"/>
        <v>1</v>
      </c>
      <c r="AC34" s="482">
        <f t="shared" si="5"/>
        <v>1</v>
      </c>
    </row>
    <row r="35" spans="1:29" ht="15">
      <c r="A35" s="313"/>
      <c r="B35" s="309" t="s">
        <v>2419</v>
      </c>
      <c r="C35" s="601"/>
      <c r="D35" s="267">
        <v>100</v>
      </c>
      <c r="E35" s="601"/>
      <c r="F35" s="297">
        <f>SUMIF(107:107,E35,108:108)-SUMIF(107:107,C35,108:108)+100</f>
        <v>100</v>
      </c>
      <c r="G35" s="601"/>
      <c r="H35" s="267">
        <f>SUMIF(107:107,G35,108:108)-SUMIF(107:107,C35,108:108)+100</f>
        <v>100</v>
      </c>
      <c r="I35" s="601"/>
      <c r="J35" s="267">
        <f>SUMIF(107:107,I35,108:108)-SUMIF(107:107,C35,108:108)+100</f>
        <v>100</v>
      </c>
      <c r="K35" s="417"/>
      <c r="L35" s="413"/>
      <c r="M35" s="401"/>
      <c r="N35" s="401"/>
      <c r="O35" s="412"/>
      <c r="P35" s="3843"/>
      <c r="Q35" s="406" t="str">
        <f t="shared" si="8"/>
        <v>公共部分装修</v>
      </c>
      <c r="R35" s="476" t="s">
        <v>1045</v>
      </c>
      <c r="S35" s="477">
        <f t="shared" si="9"/>
        <v>100</v>
      </c>
      <c r="T35" s="476" t="s">
        <v>1045</v>
      </c>
      <c r="U35" s="477">
        <f t="shared" si="10"/>
        <v>100</v>
      </c>
      <c r="V35" s="476" t="s">
        <v>1045</v>
      </c>
      <c r="W35" s="477">
        <f t="shared" si="11"/>
        <v>100</v>
      </c>
      <c r="X35" s="471"/>
      <c r="Y35" s="3843"/>
      <c r="Z35" s="470" t="str">
        <f t="shared" si="12"/>
        <v>公共部分装修</v>
      </c>
      <c r="AA35" s="482">
        <f t="shared" si="3"/>
        <v>1</v>
      </c>
      <c r="AB35" s="482">
        <f t="shared" si="4"/>
        <v>1</v>
      </c>
      <c r="AC35" s="482">
        <f t="shared" si="5"/>
        <v>1</v>
      </c>
    </row>
    <row r="36" spans="1:29" ht="15">
      <c r="A36" s="313"/>
      <c r="B36" s="309" t="s">
        <v>2420</v>
      </c>
      <c r="C36" s="310"/>
      <c r="D36" s="267">
        <v>100</v>
      </c>
      <c r="E36" s="310"/>
      <c r="F36" s="297" t="e">
        <f>LOOKUP(E36,110:110,111:111)-LOOKUP(C36,110:110,111:111)+100</f>
        <v>#N/A</v>
      </c>
      <c r="G36" s="310"/>
      <c r="H36" s="297" t="e">
        <f>LOOKUP(G36,110:110,111:111)-LOOKUP(C36,110:110,111:111)+100</f>
        <v>#N/A</v>
      </c>
      <c r="I36" s="310"/>
      <c r="J36" s="267" t="e">
        <f>LOOKUP(I36,110:110,111:111)-LOOKUP(C36,110:110,111:111)+100</f>
        <v>#N/A</v>
      </c>
      <c r="K36" s="417"/>
      <c r="L36" s="413"/>
      <c r="M36" s="401"/>
      <c r="N36" s="401"/>
      <c r="O36" s="412"/>
      <c r="P36" s="3843"/>
      <c r="Q36" s="406" t="str">
        <f t="shared" si="8"/>
        <v>成新度</v>
      </c>
      <c r="R36" s="476" t="s">
        <v>1045</v>
      </c>
      <c r="S36" s="477" t="e">
        <f t="shared" si="9"/>
        <v>#N/A</v>
      </c>
      <c r="T36" s="476" t="s">
        <v>1045</v>
      </c>
      <c r="U36" s="477" t="e">
        <f t="shared" si="10"/>
        <v>#N/A</v>
      </c>
      <c r="V36" s="476" t="s">
        <v>1045</v>
      </c>
      <c r="W36" s="477" t="e">
        <f t="shared" si="11"/>
        <v>#N/A</v>
      </c>
      <c r="X36" s="471"/>
      <c r="Y36" s="3843"/>
      <c r="Z36" s="470" t="str">
        <f t="shared" si="12"/>
        <v>成新度</v>
      </c>
      <c r="AA36" s="482" t="e">
        <f t="shared" si="3"/>
        <v>#N/A</v>
      </c>
      <c r="AB36" s="482" t="e">
        <f t="shared" si="4"/>
        <v>#N/A</v>
      </c>
      <c r="AC36" s="482" t="e">
        <f t="shared" si="5"/>
        <v>#N/A</v>
      </c>
    </row>
    <row r="37" spans="1:29" s="210" customFormat="1" ht="15">
      <c r="A37" s="316"/>
      <c r="B37" s="568" t="s">
        <v>2422</v>
      </c>
      <c r="C37" s="601"/>
      <c r="D37" s="257">
        <v>100</v>
      </c>
      <c r="E37" s="601"/>
      <c r="F37" s="297">
        <f>SUMIF(112:112,E37,113:113)-SUMIF(112:112,C37,113:113)+100</f>
        <v>100</v>
      </c>
      <c r="G37" s="601"/>
      <c r="H37" s="267">
        <f>SUMIF(112:112,G37,113:113)-SUMIF(112:112,C37,113:113)+100</f>
        <v>100</v>
      </c>
      <c r="I37" s="601"/>
      <c r="J37" s="267">
        <f>SUMIF(112:112,I37,113:113)-SUMIF(112:112,C37,113:113)+100</f>
        <v>100</v>
      </c>
      <c r="K37" s="417"/>
      <c r="L37" s="403"/>
      <c r="M37" s="404"/>
      <c r="N37" s="404"/>
      <c r="O37" s="405"/>
      <c r="P37" s="3843"/>
      <c r="Q37" s="475" t="str">
        <f t="shared" si="8"/>
        <v>市政基础设施</v>
      </c>
      <c r="R37" s="472" t="s">
        <v>1045</v>
      </c>
      <c r="S37" s="473">
        <f t="shared" si="9"/>
        <v>100</v>
      </c>
      <c r="T37" s="472" t="s">
        <v>1045</v>
      </c>
      <c r="U37" s="473">
        <f t="shared" si="10"/>
        <v>100</v>
      </c>
      <c r="V37" s="472" t="s">
        <v>1045</v>
      </c>
      <c r="W37" s="473">
        <f t="shared" si="11"/>
        <v>100</v>
      </c>
      <c r="X37" s="474"/>
      <c r="Y37" s="3843"/>
      <c r="Z37" s="492" t="str">
        <f t="shared" si="12"/>
        <v>市政基础设施</v>
      </c>
      <c r="AA37" s="491">
        <f t="shared" si="3"/>
        <v>1</v>
      </c>
      <c r="AB37" s="491">
        <f t="shared" si="4"/>
        <v>1</v>
      </c>
      <c r="AC37" s="491">
        <f t="shared" si="5"/>
        <v>1</v>
      </c>
    </row>
    <row r="38" spans="1:29" ht="15">
      <c r="A38" s="313"/>
      <c r="B38" s="309" t="s">
        <v>2451</v>
      </c>
      <c r="C38" s="601"/>
      <c r="D38" s="267">
        <v>100</v>
      </c>
      <c r="E38" s="601"/>
      <c r="F38" s="297">
        <f>SUMIF(114:114,E38,115:115)-SUMIF(114:114,C38,115:115)+100</f>
        <v>100</v>
      </c>
      <c r="G38" s="601"/>
      <c r="H38" s="267">
        <f>SUMIF(114:114,G38,115:115)-SUMIF(114:114,C38,115:115)+100</f>
        <v>100</v>
      </c>
      <c r="I38" s="601"/>
      <c r="J38" s="267">
        <f>SUMIF(114:114,I38,115:115)-SUMIF(114:114,C38,115:115)+100</f>
        <v>100</v>
      </c>
      <c r="K38" s="417"/>
      <c r="L38" s="413"/>
      <c r="M38" s="401"/>
      <c r="N38" s="401"/>
      <c r="O38" s="412"/>
      <c r="P38" s="3843" t="s">
        <v>1060</v>
      </c>
      <c r="Q38" s="406" t="str">
        <f t="shared" si="8"/>
        <v>业态</v>
      </c>
      <c r="R38" s="476" t="s">
        <v>1045</v>
      </c>
      <c r="S38" s="477">
        <f t="shared" si="9"/>
        <v>100</v>
      </c>
      <c r="T38" s="476" t="s">
        <v>1045</v>
      </c>
      <c r="U38" s="477">
        <f t="shared" si="10"/>
        <v>100</v>
      </c>
      <c r="V38" s="476" t="s">
        <v>1045</v>
      </c>
      <c r="W38" s="477">
        <f t="shared" si="11"/>
        <v>100</v>
      </c>
      <c r="X38" s="471"/>
      <c r="Y38" s="3843" t="s">
        <v>1060</v>
      </c>
      <c r="Z38" s="470" t="str">
        <f t="shared" si="12"/>
        <v>业态</v>
      </c>
      <c r="AA38" s="482">
        <f t="shared" si="3"/>
        <v>1</v>
      </c>
      <c r="AB38" s="482">
        <f t="shared" si="4"/>
        <v>1</v>
      </c>
      <c r="AC38" s="482">
        <f t="shared" si="5"/>
        <v>1</v>
      </c>
    </row>
    <row r="39" spans="1:29" ht="15">
      <c r="A39" s="313"/>
      <c r="B39" s="309" t="s">
        <v>2452</v>
      </c>
      <c r="C39" s="601"/>
      <c r="D39" s="267">
        <v>100</v>
      </c>
      <c r="E39" s="601"/>
      <c r="F39" s="297">
        <f>SUMIF(116:116,E39,117:117)-SUMIF(116:116,C39,117:117)+100</f>
        <v>100</v>
      </c>
      <c r="G39" s="601"/>
      <c r="H39" s="267">
        <f>SUMIF(116:116,G39,117:117)-SUMIF(116:116,C39,117:117)+100</f>
        <v>100</v>
      </c>
      <c r="I39" s="601"/>
      <c r="J39" s="267">
        <f>SUMIF(116:116,I39,117:117)-SUMIF(116:116,C39,117:117)+100</f>
        <v>100</v>
      </c>
      <c r="K39" s="417"/>
      <c r="L39" s="413"/>
      <c r="M39" s="401"/>
      <c r="N39" s="401"/>
      <c r="O39" s="412"/>
      <c r="P39" s="3843"/>
      <c r="Q39" s="406" t="str">
        <f t="shared" si="8"/>
        <v>层高</v>
      </c>
      <c r="R39" s="476" t="s">
        <v>1045</v>
      </c>
      <c r="S39" s="477">
        <f t="shared" si="9"/>
        <v>100</v>
      </c>
      <c r="T39" s="476" t="s">
        <v>1045</v>
      </c>
      <c r="U39" s="477">
        <f t="shared" si="10"/>
        <v>100</v>
      </c>
      <c r="V39" s="476" t="s">
        <v>1045</v>
      </c>
      <c r="W39" s="477">
        <f t="shared" si="11"/>
        <v>100</v>
      </c>
      <c r="X39" s="471"/>
      <c r="Y39" s="3843"/>
      <c r="Z39" s="470" t="str">
        <f t="shared" si="12"/>
        <v>层高</v>
      </c>
      <c r="AA39" s="482">
        <f t="shared" si="3"/>
        <v>1</v>
      </c>
      <c r="AB39" s="482">
        <f t="shared" si="4"/>
        <v>1</v>
      </c>
      <c r="AC39" s="482">
        <f t="shared" si="5"/>
        <v>1</v>
      </c>
    </row>
    <row r="40" spans="1:29" ht="15">
      <c r="A40" s="313"/>
      <c r="B40" s="309" t="s">
        <v>2453</v>
      </c>
      <c r="C40" s="628"/>
      <c r="D40" s="267">
        <v>100</v>
      </c>
      <c r="E40" s="629"/>
      <c r="F40" s="297">
        <f>SUMIF(118:118,E40,119:119)-SUMIF(118:118,C40,119:119)+100</f>
        <v>100</v>
      </c>
      <c r="G40" s="629"/>
      <c r="H40" s="267">
        <f>SUMIF(118:118,G40,119:119)-SUMIF(118:118,C40,119:119)+100</f>
        <v>100</v>
      </c>
      <c r="I40" s="629"/>
      <c r="J40" s="267">
        <f>SUMIF(118:118,I40,119:119)-SUMIF(118:118,C40,119:119)+100</f>
        <v>100</v>
      </c>
      <c r="K40" s="410"/>
      <c r="L40" s="413"/>
      <c r="M40" s="401"/>
      <c r="N40" s="401"/>
      <c r="O40" s="412"/>
      <c r="P40" s="3843"/>
      <c r="Q40" s="406" t="str">
        <f t="shared" si="8"/>
        <v>单套建筑面积</v>
      </c>
      <c r="R40" s="476" t="s">
        <v>1045</v>
      </c>
      <c r="S40" s="477">
        <f t="shared" si="9"/>
        <v>100</v>
      </c>
      <c r="T40" s="476" t="s">
        <v>1045</v>
      </c>
      <c r="U40" s="477">
        <f t="shared" si="10"/>
        <v>100</v>
      </c>
      <c r="V40" s="476" t="s">
        <v>1045</v>
      </c>
      <c r="W40" s="477">
        <f t="shared" si="11"/>
        <v>100</v>
      </c>
      <c r="X40" s="471"/>
      <c r="Y40" s="3843"/>
      <c r="Z40" s="470" t="str">
        <f t="shared" si="12"/>
        <v>单套建筑面积</v>
      </c>
      <c r="AA40" s="482">
        <f t="shared" si="3"/>
        <v>1</v>
      </c>
      <c r="AB40" s="482">
        <f t="shared" si="4"/>
        <v>1</v>
      </c>
      <c r="AC40" s="482">
        <f t="shared" si="5"/>
        <v>1</v>
      </c>
    </row>
    <row r="41" spans="1:29" s="212" customFormat="1" ht="15">
      <c r="A41" s="308"/>
      <c r="B41" s="424" t="s">
        <v>2454</v>
      </c>
      <c r="C41" s="296"/>
      <c r="D41" s="267">
        <v>100</v>
      </c>
      <c r="E41" s="296"/>
      <c r="F41" s="297">
        <f>SUMIF(120:120,E41,121:121)-SUMIF(120:120,C41,121:121)+100</f>
        <v>100</v>
      </c>
      <c r="G41" s="296"/>
      <c r="H41" s="267">
        <f>SUMIF(120:120,G41,121:121)-SUMIF(120:120,C41,121:121)+100</f>
        <v>100</v>
      </c>
      <c r="I41" s="296"/>
      <c r="J41" s="267">
        <f>SUMIF(120:120,I41,121:121)-SUMIF(120:120,C41,121:121)+100</f>
        <v>100</v>
      </c>
      <c r="K41" s="417"/>
      <c r="L41" s="411"/>
      <c r="M41" s="418"/>
      <c r="N41" s="418"/>
      <c r="O41" s="419"/>
      <c r="P41" s="3843"/>
      <c r="Q41" s="478" t="str">
        <f t="shared" si="8"/>
        <v>进深比</v>
      </c>
      <c r="R41" s="479" t="s">
        <v>1045</v>
      </c>
      <c r="S41" s="480">
        <f t="shared" si="9"/>
        <v>100</v>
      </c>
      <c r="T41" s="479" t="s">
        <v>1045</v>
      </c>
      <c r="U41" s="480">
        <f t="shared" si="10"/>
        <v>100</v>
      </c>
      <c r="V41" s="479" t="s">
        <v>1045</v>
      </c>
      <c r="W41" s="480">
        <f t="shared" si="11"/>
        <v>100</v>
      </c>
      <c r="X41" s="481"/>
      <c r="Y41" s="3843"/>
      <c r="Z41" s="493" t="str">
        <f t="shared" si="12"/>
        <v>进深比</v>
      </c>
      <c r="AA41" s="482">
        <f t="shared" si="3"/>
        <v>1</v>
      </c>
      <c r="AB41" s="482">
        <f t="shared" si="4"/>
        <v>1</v>
      </c>
      <c r="AC41" s="482">
        <f t="shared" si="5"/>
        <v>1</v>
      </c>
    </row>
    <row r="42" spans="1:29" ht="15">
      <c r="A42" s="313"/>
      <c r="B42" s="309" t="s">
        <v>2425</v>
      </c>
      <c r="C42" s="601"/>
      <c r="D42" s="267">
        <v>100</v>
      </c>
      <c r="E42" s="601"/>
      <c r="F42" s="297">
        <f>SUMIF(122:122,E42,123:123)-SUMIF(122:122,C42,123:123)+100</f>
        <v>100</v>
      </c>
      <c r="G42" s="601"/>
      <c r="H42" s="267">
        <f>SUMIF(122:122,G42,123:123)-SUMIF(122:122,C42,123:123)+100</f>
        <v>100</v>
      </c>
      <c r="I42" s="601"/>
      <c r="J42" s="267">
        <f>SUMIF(122:122,I42,123:123)-SUMIF(122:122,C42,123:123)+100</f>
        <v>100</v>
      </c>
      <c r="K42" s="417"/>
      <c r="L42" s="413"/>
      <c r="M42" s="401"/>
      <c r="N42" s="401"/>
      <c r="O42" s="412"/>
      <c r="P42" s="3843"/>
      <c r="Q42" s="406" t="str">
        <f t="shared" si="8"/>
        <v>内部装修</v>
      </c>
      <c r="R42" s="476" t="s">
        <v>1045</v>
      </c>
      <c r="S42" s="477">
        <f t="shared" si="9"/>
        <v>100</v>
      </c>
      <c r="T42" s="476" t="s">
        <v>1045</v>
      </c>
      <c r="U42" s="477">
        <f t="shared" si="10"/>
        <v>100</v>
      </c>
      <c r="V42" s="476" t="s">
        <v>1045</v>
      </c>
      <c r="W42" s="477">
        <f t="shared" si="11"/>
        <v>100</v>
      </c>
      <c r="X42" s="471"/>
      <c r="Y42" s="3843"/>
      <c r="Z42" s="470" t="str">
        <f t="shared" si="12"/>
        <v>内部装修</v>
      </c>
      <c r="AA42" s="482">
        <f t="shared" si="3"/>
        <v>1</v>
      </c>
      <c r="AB42" s="482">
        <f t="shared" si="4"/>
        <v>1</v>
      </c>
      <c r="AC42" s="482">
        <f t="shared" si="5"/>
        <v>1</v>
      </c>
    </row>
    <row r="43" spans="1:29" ht="15">
      <c r="A43" s="313"/>
      <c r="B43" s="309" t="s">
        <v>233</v>
      </c>
      <c r="C43" s="601"/>
      <c r="D43" s="267">
        <v>100</v>
      </c>
      <c r="E43" s="601"/>
      <c r="F43" s="297">
        <f>SUMIF(124:124,E43,125:125)-SUMIF(124:124,C43,125:125)+100</f>
        <v>100</v>
      </c>
      <c r="G43" s="601"/>
      <c r="H43" s="267">
        <f>SUMIF(124:124,G43,125:125)-SUMIF(124:124,C43,125:125)+100</f>
        <v>100</v>
      </c>
      <c r="I43" s="601"/>
      <c r="J43" s="267">
        <f>SUMIF(124:124,I43,125:125)-SUMIF(124:124,C43,125:125)+100</f>
        <v>100</v>
      </c>
      <c r="K43" s="417"/>
      <c r="L43" s="413"/>
      <c r="M43" s="401"/>
      <c r="N43" s="401"/>
      <c r="O43" s="412"/>
      <c r="P43" s="3843"/>
      <c r="Q43" s="406" t="str">
        <f t="shared" si="8"/>
        <v>内部装修维护情况</v>
      </c>
      <c r="R43" s="476" t="s">
        <v>1045</v>
      </c>
      <c r="S43" s="477">
        <f t="shared" si="9"/>
        <v>100</v>
      </c>
      <c r="T43" s="476" t="s">
        <v>1045</v>
      </c>
      <c r="U43" s="477">
        <f t="shared" si="10"/>
        <v>100</v>
      </c>
      <c r="V43" s="476" t="s">
        <v>1045</v>
      </c>
      <c r="W43" s="477">
        <f t="shared" si="11"/>
        <v>100</v>
      </c>
      <c r="X43" s="471"/>
      <c r="Y43" s="3843"/>
      <c r="Z43" s="470" t="str">
        <f t="shared" si="12"/>
        <v>内部装修维护情况</v>
      </c>
      <c r="AA43" s="482">
        <f t="shared" si="3"/>
        <v>1</v>
      </c>
      <c r="AB43" s="482">
        <f t="shared" si="4"/>
        <v>1</v>
      </c>
      <c r="AC43" s="482">
        <f t="shared" si="5"/>
        <v>1</v>
      </c>
    </row>
    <row r="44" spans="1:29" s="210" customFormat="1" ht="15">
      <c r="A44" s="316"/>
      <c r="B44" s="563">
        <v>111</v>
      </c>
      <c r="C44" s="262"/>
      <c r="D44" s="257">
        <v>100</v>
      </c>
      <c r="E44" s="266"/>
      <c r="F44" s="567">
        <f>SUMIF(126:126,E44,127:127)-SUMIF(126:126,C44,127:127)+100</f>
        <v>100</v>
      </c>
      <c r="G44" s="266"/>
      <c r="H44" s="257">
        <f>SUMIF(126:126,G44,127:127)-SUMIF(126:126,C44,127:127)+100</f>
        <v>100</v>
      </c>
      <c r="I44" s="266"/>
      <c r="J44" s="257">
        <f>SUMIF(126:126,I44,127:127)-SUMIF(126:126,C44,127:127)+100</f>
        <v>100</v>
      </c>
      <c r="K44" s="410"/>
      <c r="L44" s="403"/>
      <c r="M44" s="404"/>
      <c r="N44" s="404"/>
      <c r="O44" s="405"/>
      <c r="P44" s="3843"/>
      <c r="Q44" s="475">
        <f t="shared" si="8"/>
        <v>111</v>
      </c>
      <c r="R44" s="472" t="s">
        <v>1045</v>
      </c>
      <c r="S44" s="473">
        <f t="shared" si="9"/>
        <v>100</v>
      </c>
      <c r="T44" s="472" t="s">
        <v>1045</v>
      </c>
      <c r="U44" s="473">
        <f t="shared" si="10"/>
        <v>100</v>
      </c>
      <c r="V44" s="472" t="s">
        <v>1045</v>
      </c>
      <c r="W44" s="473">
        <f t="shared" si="11"/>
        <v>100</v>
      </c>
      <c r="X44" s="474"/>
      <c r="Y44" s="3843"/>
      <c r="Z44" s="492">
        <f t="shared" si="12"/>
        <v>111</v>
      </c>
      <c r="AA44" s="491">
        <f t="shared" si="3"/>
        <v>1</v>
      </c>
      <c r="AB44" s="491">
        <f t="shared" si="4"/>
        <v>1</v>
      </c>
      <c r="AC44" s="491">
        <f t="shared" si="5"/>
        <v>1</v>
      </c>
    </row>
    <row r="45" spans="1:29" ht="15">
      <c r="A45" s="313"/>
      <c r="B45" s="563">
        <v>111</v>
      </c>
      <c r="C45" s="266"/>
      <c r="D45" s="267">
        <v>100</v>
      </c>
      <c r="E45" s="266"/>
      <c r="F45" s="297">
        <f>SUMIF(128:128,E45,129:129)-SUMIF(128:128,C45,129:129)+100</f>
        <v>100</v>
      </c>
      <c r="G45" s="266"/>
      <c r="H45" s="267">
        <f>SUMIF(128:128,G45,129:129)-SUMIF(128:128,C45,129:129)+100</f>
        <v>100</v>
      </c>
      <c r="I45" s="266"/>
      <c r="J45" s="267">
        <f>SUMIF(128:128,I45,129:129)-SUMIF(128:128,C45,129:129)+100</f>
        <v>100</v>
      </c>
      <c r="K45" s="410"/>
      <c r="L45" s="413"/>
      <c r="M45" s="401"/>
      <c r="N45" s="401"/>
      <c r="O45" s="412"/>
      <c r="P45" s="3843"/>
      <c r="Q45" s="406">
        <f t="shared" si="8"/>
        <v>111</v>
      </c>
      <c r="R45" s="476" t="s">
        <v>1045</v>
      </c>
      <c r="S45" s="477">
        <f t="shared" si="9"/>
        <v>100</v>
      </c>
      <c r="T45" s="476" t="s">
        <v>1045</v>
      </c>
      <c r="U45" s="477">
        <f t="shared" si="10"/>
        <v>100</v>
      </c>
      <c r="V45" s="476" t="s">
        <v>1045</v>
      </c>
      <c r="W45" s="477">
        <f t="shared" si="11"/>
        <v>100</v>
      </c>
      <c r="X45" s="471"/>
      <c r="Y45" s="3843"/>
      <c r="Z45" s="470">
        <f t="shared" si="12"/>
        <v>111</v>
      </c>
      <c r="AA45" s="482">
        <f t="shared" si="3"/>
        <v>1</v>
      </c>
      <c r="AB45" s="482">
        <f t="shared" si="4"/>
        <v>1</v>
      </c>
      <c r="AC45" s="482">
        <f t="shared" si="5"/>
        <v>1</v>
      </c>
    </row>
    <row r="46" spans="1:29" ht="15">
      <c r="A46" s="317"/>
      <c r="B46" s="318">
        <v>111</v>
      </c>
      <c r="C46" s="319"/>
      <c r="D46" s="320">
        <v>100</v>
      </c>
      <c r="E46" s="266"/>
      <c r="F46" s="322">
        <f>SUMIF(130:130,E46,131:131)-SUMIF(130:130,C46,131:131)+100</f>
        <v>100</v>
      </c>
      <c r="G46" s="266"/>
      <c r="H46" s="320">
        <f>SUMIF(130:130,G46,131:131)-SUMIF(130:130,C46,131:131)+100</f>
        <v>100</v>
      </c>
      <c r="I46" s="266"/>
      <c r="J46" s="320">
        <f>SUMIF(130:130,I46,131:131)-SUMIF(130:130,C46,131:131)+100</f>
        <v>100</v>
      </c>
      <c r="K46" s="410"/>
      <c r="L46" s="413"/>
      <c r="M46" s="401"/>
      <c r="N46" s="401"/>
      <c r="O46" s="412"/>
      <c r="P46" s="3951"/>
      <c r="Q46" s="406">
        <f t="shared" si="8"/>
        <v>111</v>
      </c>
      <c r="R46" s="476" t="s">
        <v>1045</v>
      </c>
      <c r="S46" s="477">
        <f t="shared" si="9"/>
        <v>100</v>
      </c>
      <c r="T46" s="476" t="s">
        <v>1045</v>
      </c>
      <c r="U46" s="477">
        <f t="shared" si="10"/>
        <v>100</v>
      </c>
      <c r="V46" s="476" t="s">
        <v>1045</v>
      </c>
      <c r="W46" s="477">
        <f t="shared" si="11"/>
        <v>100</v>
      </c>
      <c r="X46" s="471"/>
      <c r="Y46" s="3951"/>
      <c r="Z46" s="470">
        <f t="shared" si="12"/>
        <v>111</v>
      </c>
      <c r="AA46" s="482">
        <f t="shared" si="3"/>
        <v>1</v>
      </c>
      <c r="AB46" s="482">
        <f t="shared" si="4"/>
        <v>1</v>
      </c>
      <c r="AC46" s="482">
        <f t="shared" si="5"/>
        <v>1</v>
      </c>
    </row>
    <row r="47" spans="1:29" ht="15">
      <c r="A47" s="323" t="s">
        <v>2426</v>
      </c>
      <c r="B47" s="324"/>
      <c r="C47" s="325" t="s">
        <v>138</v>
      </c>
      <c r="D47" s="326"/>
      <c r="E47" s="327"/>
      <c r="F47" s="328"/>
      <c r="G47" s="329"/>
      <c r="H47" s="330"/>
      <c r="I47" s="327"/>
      <c r="J47" s="330"/>
      <c r="K47" s="420"/>
      <c r="L47" s="421"/>
      <c r="M47" s="351"/>
      <c r="N47" s="401"/>
      <c r="O47" s="351"/>
      <c r="P47" s="3834" t="str">
        <f>A47</f>
        <v>成交单价（元/平方米）</v>
      </c>
      <c r="Q47" s="3834"/>
      <c r="R47" s="3949">
        <f>E47</f>
        <v>0</v>
      </c>
      <c r="S47" s="3949"/>
      <c r="T47" s="3949">
        <f>G47</f>
        <v>0</v>
      </c>
      <c r="U47" s="3949"/>
      <c r="V47" s="3949">
        <f>I47</f>
        <v>0</v>
      </c>
      <c r="W47" s="3949"/>
      <c r="X47" s="353"/>
      <c r="Y47" s="494"/>
      <c r="Z47" s="353"/>
      <c r="AA47" s="353"/>
      <c r="AB47" s="353"/>
      <c r="AC47" s="353"/>
    </row>
    <row r="48" spans="1:29" ht="15">
      <c r="A48" s="331" t="s">
        <v>1069</v>
      </c>
      <c r="B48" s="332"/>
      <c r="C48" s="333" t="e">
        <f>R49</f>
        <v>#DIV/0!</v>
      </c>
      <c r="D48" s="334" t="s">
        <v>1070</v>
      </c>
      <c r="E48" s="335" t="e">
        <f>R48</f>
        <v>#DIV/0!</v>
      </c>
      <c r="F48" s="336"/>
      <c r="G48" s="333" t="e">
        <f>T48</f>
        <v>#DIV/0!</v>
      </c>
      <c r="H48" s="336"/>
      <c r="I48" s="335" t="e">
        <f>V48</f>
        <v>#DIV/0!</v>
      </c>
      <c r="J48" s="336"/>
      <c r="K48" s="422">
        <f>F48+H48+J48</f>
        <v>0</v>
      </c>
      <c r="L48" s="421"/>
      <c r="M48" s="351"/>
      <c r="N48" s="401"/>
      <c r="O48" s="351"/>
      <c r="P48" s="3834" t="str">
        <f>A48</f>
        <v>比较价格（元/平方米）</v>
      </c>
      <c r="Q48" s="3834"/>
      <c r="R48" s="3949" t="e">
        <f>IF(F1="售价",ROUND(PRODUCT(R47,AA7:AA46),0),ROUND(PRODUCT(R47,AA7:AA46),1))</f>
        <v>#DIV/0!</v>
      </c>
      <c r="S48" s="3949"/>
      <c r="T48" s="3949" t="e">
        <f>IF(F1="售价",ROUND(PRODUCT(T47,AB7:AB46),0),ROUND(PRODUCT(T47,AB7:AB46),1))</f>
        <v>#DIV/0!</v>
      </c>
      <c r="U48" s="3949"/>
      <c r="V48" s="3949" t="e">
        <f>IF(F1="售价",ROUND(PRODUCT(V47,AC7:AC46),0),ROUND(PRODUCT(V47,AC7:AC46),1))</f>
        <v>#DIV/0!</v>
      </c>
      <c r="W48" s="3949"/>
      <c r="X48" s="353"/>
      <c r="Y48" s="353"/>
      <c r="Z48" s="353"/>
      <c r="AA48" s="353"/>
      <c r="AB48" s="353"/>
      <c r="AC48" s="353"/>
    </row>
    <row r="49" spans="1:29" ht="15">
      <c r="A49" s="337" t="s">
        <v>1071</v>
      </c>
      <c r="B49" s="338"/>
      <c r="C49" s="339" t="e">
        <f>R49</f>
        <v>#DIV/0!</v>
      </c>
      <c r="D49" s="339"/>
      <c r="E49" s="339"/>
      <c r="F49" s="339"/>
      <c r="G49" s="339"/>
      <c r="H49" s="339"/>
      <c r="I49" s="339"/>
      <c r="J49" s="339"/>
      <c r="K49" s="423"/>
      <c r="L49" s="421"/>
      <c r="M49" s="351"/>
      <c r="N49" s="401"/>
      <c r="O49" s="351"/>
      <c r="P49" s="3837" t="str">
        <f>A49</f>
        <v>估价对象XX用房的比较价格（楼面单价，元/平方米）</v>
      </c>
      <c r="Q49" s="3838"/>
      <c r="R49" s="3950" t="e">
        <f>IF(F1="售价",ROUND(IF(D48="简单平均",AVERAGE(R48:V48),R48*F48+T48*H48+V48*J48),0),ROUND(IF(D48="简单平均",AVERAGE(R48:V48),R48*F48+T48*H48+V48*J48),1))</f>
        <v>#DIV/0!</v>
      </c>
      <c r="S49" s="3950"/>
      <c r="T49" s="3950"/>
      <c r="U49" s="3950"/>
      <c r="V49" s="3950"/>
      <c r="W49" s="3950"/>
      <c r="X49" s="353"/>
      <c r="Y49" s="353"/>
      <c r="Z49" s="353"/>
      <c r="AA49" s="353"/>
      <c r="AB49" s="353"/>
      <c r="AC49" s="353"/>
    </row>
    <row r="50" spans="1:29">
      <c r="A50" s="340"/>
      <c r="B50" s="340"/>
      <c r="C50" s="340"/>
      <c r="D50" s="340"/>
      <c r="E50" s="340"/>
      <c r="F50" s="340"/>
      <c r="G50" s="341"/>
      <c r="H50" s="340"/>
      <c r="I50" s="340"/>
      <c r="J50" s="340"/>
      <c r="K50" s="425"/>
      <c r="L50" s="426"/>
      <c r="M50" s="351"/>
      <c r="N50" s="351"/>
      <c r="O50" s="351"/>
      <c r="P50" s="351"/>
      <c r="Q50" s="351"/>
      <c r="R50" s="351"/>
      <c r="S50" s="351"/>
      <c r="T50" s="351"/>
      <c r="U50" s="351"/>
      <c r="V50" s="351"/>
      <c r="W50" s="351"/>
      <c r="X50" s="351"/>
      <c r="Y50" s="351"/>
      <c r="Z50" s="351"/>
      <c r="AA50" s="351"/>
      <c r="AB50" s="351"/>
      <c r="AC50" s="351"/>
    </row>
    <row r="51" spans="1:29">
      <c r="A51" s="340"/>
      <c r="B51" s="340"/>
      <c r="C51" s="340"/>
      <c r="D51" s="340"/>
      <c r="E51" s="340"/>
      <c r="F51" s="340"/>
      <c r="G51" s="340"/>
      <c r="H51" s="340"/>
      <c r="I51" s="340"/>
      <c r="J51" s="340"/>
      <c r="K51" s="425"/>
      <c r="L51" s="426"/>
      <c r="M51" s="351"/>
      <c r="N51" s="351"/>
      <c r="O51" s="351"/>
      <c r="P51" s="351"/>
      <c r="Q51" s="351"/>
      <c r="R51" s="351"/>
      <c r="S51" s="351"/>
      <c r="T51" s="351"/>
      <c r="U51" s="351"/>
      <c r="V51" s="351"/>
      <c r="W51" s="351"/>
      <c r="X51" s="351"/>
      <c r="Y51" s="351"/>
      <c r="Z51" s="351"/>
      <c r="AA51" s="351"/>
      <c r="AB51" s="351"/>
      <c r="AC51" s="351"/>
    </row>
    <row r="52" spans="1:29" ht="13.5" customHeight="1">
      <c r="A52" s="340"/>
      <c r="B52" s="340"/>
      <c r="C52" s="342" t="s">
        <v>1072</v>
      </c>
      <c r="D52" s="343"/>
      <c r="E52" s="344" t="e">
        <f>IF(E47&lt;E48,E48/E47-1,E47/E48-1)</f>
        <v>#DIV/0!</v>
      </c>
      <c r="F52" s="345" t="e">
        <f>IF(OR(E52&gt;=0.3,E52&lt;=-0.3),"超过30%","")</f>
        <v>#DIV/0!</v>
      </c>
      <c r="G52" s="344" t="e">
        <f>IF(G47&lt;G48,G48/G47-1,G47/G48-1)</f>
        <v>#DIV/0!</v>
      </c>
      <c r="H52" s="345" t="e">
        <f>IF(OR(G52&gt;=0.3,G52&lt;=-0.3),"超过30%","")</f>
        <v>#DIV/0!</v>
      </c>
      <c r="I52" s="344" t="e">
        <f>IF(I47&lt;I48,I48/I47-1,I47/I48-1)</f>
        <v>#DIV/0!</v>
      </c>
      <c r="J52" s="345" t="e">
        <f>IF(OR(I52&gt;=0.3,I52&lt;=-0.3),"超过30%","")</f>
        <v>#DIV/0!</v>
      </c>
      <c r="K52" s="425"/>
      <c r="L52" s="426"/>
      <c r="M52" s="351"/>
      <c r="N52" s="351"/>
      <c r="O52" s="351"/>
      <c r="P52" s="351"/>
      <c r="Q52" s="351"/>
      <c r="R52" s="351"/>
      <c r="S52" s="351"/>
      <c r="T52" s="351"/>
      <c r="U52" s="351"/>
      <c r="V52" s="351"/>
      <c r="W52" s="351"/>
      <c r="X52" s="351"/>
      <c r="Y52" s="351"/>
      <c r="Z52" s="351"/>
      <c r="AA52" s="351"/>
      <c r="AB52" s="351"/>
      <c r="AC52" s="351"/>
    </row>
    <row r="53" spans="1:29" ht="13.5" customHeight="1">
      <c r="A53" s="340"/>
      <c r="B53" s="340"/>
      <c r="C53" s="342" t="s">
        <v>1073</v>
      </c>
      <c r="D53" s="346"/>
      <c r="E53" s="344" t="e">
        <f>IF(E48&lt;G48,G48/E48-1,E48/G48-1)</f>
        <v>#DIV/0!</v>
      </c>
      <c r="F53" s="345" t="e">
        <f>IF(OR(E53&gt;=0.2,E53&lt;=-0.2),"超过20%","")</f>
        <v>#DIV/0!</v>
      </c>
      <c r="G53" s="344" t="e">
        <f>IF(G48&lt;I48,I48/G48-1,G48/I48-1)</f>
        <v>#DIV/0!</v>
      </c>
      <c r="H53" s="345" t="e">
        <f>IF(OR(G53&gt;=0.2,G53&lt;=-0.2),"超过20%","")</f>
        <v>#DIV/0!</v>
      </c>
      <c r="I53" s="344" t="e">
        <f>IF(I48&lt;E48,E48/I48-1,I48/E48-1)</f>
        <v>#DIV/0!</v>
      </c>
      <c r="J53" s="345" t="e">
        <f>IF(OR(I53&gt;=0.2,I53&lt;=-0.2),"超过20%","")</f>
        <v>#DIV/0!</v>
      </c>
      <c r="K53" s="425"/>
      <c r="L53" s="426"/>
      <c r="M53" s="351"/>
      <c r="N53" s="351"/>
      <c r="O53" s="351"/>
      <c r="P53" s="351"/>
      <c r="Q53" s="351"/>
      <c r="R53" s="351"/>
      <c r="S53" s="351"/>
      <c r="T53" s="351"/>
      <c r="U53" s="351"/>
      <c r="V53" s="351"/>
      <c r="W53" s="351"/>
      <c r="X53" s="351"/>
      <c r="Y53" s="351"/>
      <c r="Z53" s="351"/>
      <c r="AA53" s="351"/>
      <c r="AB53" s="351"/>
      <c r="AC53" s="351"/>
    </row>
    <row r="54" spans="1:29" s="213" customFormat="1" ht="13.5" customHeight="1">
      <c r="A54" s="347"/>
      <c r="B54" s="347"/>
      <c r="C54" s="342" t="s">
        <v>1074</v>
      </c>
      <c r="D54" s="346"/>
      <c r="E54" s="344" t="e">
        <f>IF(E47&lt;G47,G47/E47-1,E47/G47-1)</f>
        <v>#DIV/0!</v>
      </c>
      <c r="F54" s="345" t="e">
        <f>IF(OR(E54&gt;=0.3,E54&lt;=-0.3),"超过30%","")</f>
        <v>#DIV/0!</v>
      </c>
      <c r="G54" s="344" t="e">
        <f>IF(G47&lt;I47,I47/G47-1,G47/I47-1)</f>
        <v>#DIV/0!</v>
      </c>
      <c r="H54" s="345" t="e">
        <f>IF(OR(G54&gt;=0.3,G54&lt;=-0.3),"超过30%","")</f>
        <v>#DIV/0!</v>
      </c>
      <c r="I54" s="344" t="e">
        <f>IF(I47&lt;E47,E47/I47-1,I47/E47-1)</f>
        <v>#DIV/0!</v>
      </c>
      <c r="J54" s="345" t="e">
        <f>IF(OR(I54&gt;=0.3,I54&lt;=-0.3),"超过30%","")</f>
        <v>#DIV/0!</v>
      </c>
      <c r="K54" s="427"/>
      <c r="L54" s="428"/>
      <c r="M54" s="348"/>
      <c r="N54" s="348"/>
      <c r="O54" s="348"/>
      <c r="P54" s="348"/>
      <c r="Q54" s="348"/>
      <c r="R54" s="348"/>
      <c r="S54" s="348"/>
      <c r="T54" s="348"/>
      <c r="U54" s="348"/>
      <c r="V54" s="348"/>
      <c r="W54" s="348"/>
      <c r="X54" s="348"/>
      <c r="Y54" s="348"/>
      <c r="Z54" s="348"/>
      <c r="AA54" s="348"/>
      <c r="AB54" s="348"/>
      <c r="AC54" s="348"/>
    </row>
    <row r="55" spans="1:29" s="213" customFormat="1">
      <c r="A55" s="348"/>
      <c r="B55" s="349"/>
      <c r="C55" s="350"/>
      <c r="D55" s="348"/>
      <c r="E55" s="348"/>
      <c r="F55" s="348"/>
      <c r="G55" s="348"/>
      <c r="H55" s="348"/>
      <c r="I55" s="348"/>
      <c r="J55" s="348"/>
      <c r="K55" s="429"/>
      <c r="L55" s="428"/>
      <c r="M55" s="348"/>
      <c r="N55" s="348"/>
      <c r="O55" s="348"/>
      <c r="P55" s="348"/>
      <c r="Q55" s="348"/>
      <c r="R55" s="348"/>
      <c r="S55" s="348"/>
      <c r="T55" s="348"/>
      <c r="U55" s="348"/>
      <c r="V55" s="348"/>
      <c r="W55" s="348"/>
      <c r="X55" s="348"/>
      <c r="Y55" s="348"/>
      <c r="Z55" s="348"/>
      <c r="AA55" s="348"/>
      <c r="AB55" s="348"/>
      <c r="AC55" s="348"/>
    </row>
    <row r="56" spans="1:29">
      <c r="A56" s="351"/>
      <c r="B56" s="349"/>
      <c r="C56" s="350"/>
      <c r="D56" s="351"/>
      <c r="E56" s="351"/>
      <c r="F56" s="351"/>
      <c r="G56" s="351"/>
      <c r="H56" s="351"/>
      <c r="I56" s="351"/>
      <c r="J56" s="351"/>
      <c r="K56" s="430"/>
      <c r="L56" s="426"/>
      <c r="M56" s="351"/>
      <c r="N56" s="351"/>
      <c r="O56" s="351"/>
      <c r="P56" s="351"/>
      <c r="Q56" s="351"/>
      <c r="R56" s="351"/>
      <c r="S56" s="351"/>
      <c r="T56" s="351"/>
      <c r="U56" s="351"/>
      <c r="V56" s="351"/>
      <c r="W56" s="351"/>
      <c r="X56" s="351"/>
      <c r="Y56" s="351"/>
      <c r="Z56" s="351"/>
      <c r="AA56" s="351"/>
      <c r="AB56" s="351"/>
      <c r="AC56" s="351"/>
    </row>
    <row r="57" spans="1:29" ht="21">
      <c r="A57" s="352" t="s">
        <v>1095</v>
      </c>
      <c r="B57" s="353"/>
      <c r="C57" s="354"/>
      <c r="D57" s="354"/>
      <c r="E57" s="354"/>
      <c r="F57" s="355"/>
      <c r="G57" s="355"/>
      <c r="H57" s="354"/>
      <c r="I57" s="354"/>
      <c r="J57" s="354"/>
      <c r="K57" s="431"/>
      <c r="L57" s="432"/>
      <c r="M57" s="354"/>
      <c r="N57" s="433"/>
      <c r="O57" s="433"/>
      <c r="P57" s="433"/>
      <c r="Q57" s="437"/>
      <c r="R57" s="351"/>
      <c r="S57" s="351"/>
      <c r="T57" s="351"/>
      <c r="U57" s="351"/>
      <c r="V57" s="351"/>
      <c r="W57" s="351"/>
      <c r="X57" s="351"/>
      <c r="Y57" s="351"/>
      <c r="Z57" s="351"/>
      <c r="AA57" s="351"/>
      <c r="AB57" s="351"/>
      <c r="AC57" s="351"/>
    </row>
    <row r="58" spans="1:29" s="214" customFormat="1" ht="15">
      <c r="A58" s="356" t="s">
        <v>1043</v>
      </c>
      <c r="B58" s="357"/>
      <c r="C58" s="358" t="str">
        <f>YEAR(C7)&amp;"-"&amp;MONTH(C7)</f>
        <v>2023-11</v>
      </c>
      <c r="D58" s="359">
        <f>EDATE(C58,-1)</f>
        <v>45200</v>
      </c>
      <c r="E58" s="359">
        <f t="shared" ref="E58:O58" si="13">EDATE(D58,-1)</f>
        <v>45170</v>
      </c>
      <c r="F58" s="359">
        <f t="shared" si="13"/>
        <v>45139</v>
      </c>
      <c r="G58" s="359">
        <f t="shared" si="13"/>
        <v>45108</v>
      </c>
      <c r="H58" s="359">
        <f t="shared" si="13"/>
        <v>45078</v>
      </c>
      <c r="I58" s="359">
        <f t="shared" si="13"/>
        <v>45047</v>
      </c>
      <c r="J58" s="359">
        <f t="shared" si="13"/>
        <v>45017</v>
      </c>
      <c r="K58" s="359">
        <f t="shared" si="13"/>
        <v>44986</v>
      </c>
      <c r="L58" s="359">
        <f t="shared" si="13"/>
        <v>44958</v>
      </c>
      <c r="M58" s="359">
        <f t="shared" si="13"/>
        <v>44927</v>
      </c>
      <c r="N58" s="359">
        <f t="shared" si="13"/>
        <v>44896</v>
      </c>
      <c r="O58" s="359">
        <f t="shared" si="13"/>
        <v>44866</v>
      </c>
      <c r="P58" s="434"/>
      <c r="Q58" s="483"/>
      <c r="R58" s="483"/>
      <c r="S58" s="483"/>
      <c r="T58" s="483"/>
      <c r="U58" s="483"/>
      <c r="V58" s="483"/>
      <c r="W58" s="483"/>
      <c r="X58" s="483"/>
      <c r="Y58" s="483"/>
      <c r="Z58" s="483"/>
      <c r="AA58" s="483"/>
      <c r="AB58" s="483"/>
      <c r="AC58" s="483"/>
    </row>
    <row r="59" spans="1:29" s="210" customFormat="1" ht="15">
      <c r="A59" s="360"/>
      <c r="B59" s="361"/>
      <c r="C59" s="362">
        <v>100</v>
      </c>
      <c r="D59" s="363"/>
      <c r="E59" s="363"/>
      <c r="F59" s="363"/>
      <c r="G59" s="363"/>
      <c r="H59" s="363"/>
      <c r="I59" s="363"/>
      <c r="J59" s="363"/>
      <c r="K59" s="363"/>
      <c r="L59" s="363"/>
      <c r="M59" s="435"/>
      <c r="N59" s="363"/>
      <c r="O59" s="436"/>
      <c r="P59" s="437"/>
      <c r="Q59" s="484"/>
      <c r="R59" s="484"/>
      <c r="S59" s="484"/>
      <c r="T59" s="484"/>
      <c r="U59" s="484"/>
      <c r="V59" s="484"/>
      <c r="W59" s="484"/>
      <c r="X59" s="484"/>
      <c r="Y59" s="484"/>
      <c r="Z59" s="484"/>
      <c r="AA59" s="484"/>
      <c r="AB59" s="484"/>
      <c r="AC59" s="484"/>
    </row>
    <row r="60" spans="1:29" s="210" customFormat="1" ht="15">
      <c r="A60" s="364" t="s">
        <v>1114</v>
      </c>
      <c r="B60" s="365"/>
      <c r="C60" s="366"/>
      <c r="D60" s="367"/>
      <c r="E60" s="367"/>
      <c r="F60" s="367"/>
      <c r="G60" s="367"/>
      <c r="H60" s="367"/>
      <c r="I60" s="367"/>
      <c r="J60" s="367"/>
      <c r="K60" s="367"/>
      <c r="L60" s="367"/>
      <c r="M60" s="438"/>
      <c r="N60" s="367"/>
      <c r="O60" s="439"/>
      <c r="P60" s="437"/>
      <c r="Q60" s="437"/>
      <c r="R60" s="484"/>
      <c r="S60" s="484"/>
      <c r="T60" s="484"/>
      <c r="U60" s="484"/>
      <c r="V60" s="484"/>
      <c r="W60" s="484"/>
      <c r="X60" s="484"/>
      <c r="Y60" s="484"/>
      <c r="Z60" s="484"/>
      <c r="AA60" s="484"/>
      <c r="AB60" s="484"/>
      <c r="AC60" s="484"/>
    </row>
    <row r="61" spans="1:29" s="210" customFormat="1" ht="15">
      <c r="A61" s="368" t="s">
        <v>1046</v>
      </c>
      <c r="B61" s="361"/>
      <c r="C61" s="369" t="s">
        <v>1047</v>
      </c>
      <c r="D61" s="370"/>
      <c r="E61" s="370"/>
      <c r="F61" s="370"/>
      <c r="G61" s="370"/>
      <c r="H61" s="370"/>
      <c r="I61" s="370"/>
      <c r="J61" s="370"/>
      <c r="K61" s="370"/>
      <c r="L61" s="440"/>
      <c r="M61" s="441"/>
      <c r="N61" s="442"/>
      <c r="O61" s="442"/>
      <c r="P61" s="443"/>
      <c r="Q61" s="437"/>
      <c r="R61" s="484"/>
      <c r="S61" s="484"/>
      <c r="T61" s="484"/>
      <c r="U61" s="484"/>
      <c r="V61" s="484"/>
      <c r="W61" s="484"/>
      <c r="X61" s="484"/>
      <c r="Y61" s="484"/>
      <c r="Z61" s="484"/>
      <c r="AA61" s="484"/>
      <c r="AB61" s="484"/>
      <c r="AC61" s="484"/>
    </row>
    <row r="62" spans="1:29" s="210" customFormat="1" ht="15">
      <c r="A62" s="368"/>
      <c r="B62" s="361"/>
      <c r="C62" s="602">
        <v>100</v>
      </c>
      <c r="D62" s="363"/>
      <c r="E62" s="363"/>
      <c r="F62" s="363"/>
      <c r="G62" s="363"/>
      <c r="H62" s="363"/>
      <c r="I62" s="363"/>
      <c r="J62" s="363"/>
      <c r="K62" s="363"/>
      <c r="L62" s="363"/>
      <c r="M62" s="436"/>
      <c r="N62" s="442"/>
      <c r="O62" s="442"/>
      <c r="P62" s="437"/>
      <c r="Q62" s="437"/>
      <c r="R62" s="484"/>
      <c r="S62" s="484"/>
      <c r="T62" s="484"/>
      <c r="U62" s="484"/>
      <c r="V62" s="484"/>
      <c r="W62" s="484"/>
      <c r="X62" s="484"/>
      <c r="Y62" s="484"/>
      <c r="Z62" s="484"/>
      <c r="AA62" s="484"/>
      <c r="AB62" s="484"/>
      <c r="AC62" s="630"/>
    </row>
    <row r="63" spans="1:29">
      <c r="A63" s="371" t="s">
        <v>1099</v>
      </c>
      <c r="B63" s="372" t="s">
        <v>1100</v>
      </c>
      <c r="C63" s="373">
        <f>C9</f>
        <v>0</v>
      </c>
      <c r="D63" s="374"/>
      <c r="E63" s="374"/>
      <c r="F63" s="374"/>
      <c r="G63" s="374"/>
      <c r="H63" s="374"/>
      <c r="I63" s="374"/>
      <c r="J63" s="374"/>
      <c r="K63" s="444"/>
      <c r="L63" s="445"/>
      <c r="M63" s="446"/>
      <c r="N63" s="447"/>
      <c r="O63" s="447"/>
      <c r="P63" s="448"/>
      <c r="Q63" s="437"/>
      <c r="R63" s="351"/>
      <c r="S63" s="351"/>
      <c r="T63" s="351"/>
      <c r="U63" s="351"/>
      <c r="V63" s="351"/>
      <c r="W63" s="351"/>
      <c r="X63" s="351"/>
      <c r="Y63" s="351"/>
      <c r="Z63" s="351"/>
      <c r="AA63" s="351"/>
      <c r="AB63" s="351"/>
      <c r="AC63" s="351"/>
    </row>
    <row r="64" spans="1:29" ht="15">
      <c r="A64" s="375"/>
      <c r="B64" s="376"/>
      <c r="C64" s="377"/>
      <c r="D64" s="377"/>
      <c r="E64" s="377"/>
      <c r="F64" s="377"/>
      <c r="G64" s="377"/>
      <c r="H64" s="377"/>
      <c r="I64" s="377"/>
      <c r="J64" s="377"/>
      <c r="K64" s="377"/>
      <c r="L64" s="377"/>
      <c r="M64" s="449"/>
      <c r="N64" s="450"/>
      <c r="O64" s="450"/>
      <c r="P64" s="448"/>
      <c r="Q64" s="437"/>
      <c r="R64" s="351"/>
      <c r="S64" s="351"/>
      <c r="T64" s="351"/>
      <c r="U64" s="351"/>
      <c r="V64" s="351"/>
      <c r="W64" s="351"/>
      <c r="X64" s="351"/>
      <c r="Y64" s="351"/>
      <c r="Z64" s="351"/>
      <c r="AA64" s="351"/>
      <c r="AB64" s="351"/>
      <c r="AC64" s="351"/>
    </row>
    <row r="65" spans="1:29" ht="27">
      <c r="A65" s="375"/>
      <c r="B65" s="378" t="s">
        <v>1101</v>
      </c>
      <c r="C65" s="379"/>
      <c r="D65" s="379"/>
      <c r="E65" s="379"/>
      <c r="F65" s="379"/>
      <c r="G65" s="379"/>
      <c r="H65" s="379"/>
      <c r="I65" s="379"/>
      <c r="J65" s="379"/>
      <c r="K65" s="451"/>
      <c r="L65" s="452"/>
      <c r="M65" s="453"/>
      <c r="N65" s="447"/>
      <c r="O65" s="447"/>
      <c r="P65" s="448"/>
      <c r="Q65" s="437"/>
      <c r="R65" s="351"/>
      <c r="S65" s="351"/>
      <c r="T65" s="351"/>
      <c r="U65" s="351"/>
      <c r="V65" s="351"/>
      <c r="W65" s="351"/>
      <c r="X65" s="351"/>
      <c r="Y65" s="351"/>
      <c r="Z65" s="351"/>
      <c r="AA65" s="351"/>
      <c r="AB65" s="351"/>
      <c r="AC65" s="351"/>
    </row>
    <row r="66" spans="1:29" ht="15">
      <c r="A66" s="375"/>
      <c r="B66" s="380"/>
      <c r="C66" s="377"/>
      <c r="D66" s="377"/>
      <c r="E66" s="377"/>
      <c r="F66" s="377"/>
      <c r="G66" s="377"/>
      <c r="H66" s="377"/>
      <c r="I66" s="377"/>
      <c r="J66" s="377"/>
      <c r="K66" s="377"/>
      <c r="L66" s="377"/>
      <c r="M66" s="449"/>
      <c r="N66" s="450"/>
      <c r="O66" s="450"/>
      <c r="P66" s="448"/>
      <c r="Q66" s="437"/>
      <c r="R66" s="351"/>
      <c r="S66" s="351"/>
      <c r="T66" s="351"/>
      <c r="U66" s="351"/>
      <c r="V66" s="351"/>
      <c r="W66" s="351"/>
      <c r="X66" s="351"/>
      <c r="Y66" s="351"/>
      <c r="Z66" s="351"/>
      <c r="AA66" s="351"/>
      <c r="AB66" s="351"/>
      <c r="AC66" s="351"/>
    </row>
    <row r="67" spans="1:29" ht="15">
      <c r="A67" s="375"/>
      <c r="B67" s="497" t="s">
        <v>1102</v>
      </c>
      <c r="C67" s="569" t="str">
        <f>C68&amp;"（含）"&amp;"-"&amp;D68</f>
        <v>（含）-</v>
      </c>
      <c r="D67" s="569" t="str">
        <f t="shared" ref="D67:L67" si="14">D68&amp;"（含）"&amp;"-"&amp;E68</f>
        <v>（含）-</v>
      </c>
      <c r="E67" s="569" t="str">
        <f t="shared" si="14"/>
        <v>（含）-</v>
      </c>
      <c r="F67" s="569" t="str">
        <f t="shared" si="14"/>
        <v>（含）-</v>
      </c>
      <c r="G67" s="569" t="str">
        <f t="shared" si="14"/>
        <v>（含）-</v>
      </c>
      <c r="H67" s="569" t="str">
        <f t="shared" si="14"/>
        <v>（含）-</v>
      </c>
      <c r="I67" s="569" t="str">
        <f t="shared" si="14"/>
        <v>（含）-</v>
      </c>
      <c r="J67" s="569" t="str">
        <f t="shared" si="14"/>
        <v>（含）-</v>
      </c>
      <c r="K67" s="569" t="str">
        <f t="shared" si="14"/>
        <v>（含）-</v>
      </c>
      <c r="L67" s="569" t="str">
        <f t="shared" si="14"/>
        <v>（含）-</v>
      </c>
      <c r="M67" s="278" t="str">
        <f>M68&amp;"（含）"&amp;"-"&amp;P68</f>
        <v>（含）-</v>
      </c>
      <c r="N67" s="450"/>
      <c r="O67" s="450"/>
      <c r="P67" s="448"/>
      <c r="Q67" s="437"/>
      <c r="R67" s="351"/>
      <c r="S67" s="351"/>
      <c r="T67" s="351"/>
      <c r="U67" s="351"/>
      <c r="V67" s="351"/>
      <c r="W67" s="351"/>
      <c r="X67" s="351"/>
      <c r="Y67" s="351"/>
      <c r="Z67" s="351"/>
      <c r="AA67" s="351"/>
      <c r="AB67" s="351"/>
      <c r="AC67" s="351"/>
    </row>
    <row r="68" spans="1:29" ht="15">
      <c r="A68" s="375"/>
      <c r="B68" s="570"/>
      <c r="C68" s="382"/>
      <c r="D68" s="382"/>
      <c r="E68" s="382"/>
      <c r="F68" s="382"/>
      <c r="G68" s="382"/>
      <c r="H68" s="382"/>
      <c r="I68" s="382"/>
      <c r="J68" s="382"/>
      <c r="K68" s="454"/>
      <c r="L68" s="455"/>
      <c r="M68" s="456"/>
      <c r="N68" s="447"/>
      <c r="O68" s="447"/>
      <c r="P68" s="448"/>
      <c r="Q68" s="437"/>
      <c r="R68" s="351"/>
      <c r="S68" s="351"/>
      <c r="T68" s="351"/>
      <c r="U68" s="351"/>
      <c r="V68" s="351"/>
      <c r="W68" s="351"/>
      <c r="X68" s="351"/>
      <c r="Y68" s="351"/>
      <c r="Z68" s="351"/>
      <c r="AA68" s="351"/>
      <c r="AB68" s="351"/>
      <c r="AC68" s="351"/>
    </row>
    <row r="69" spans="1:29" ht="15">
      <c r="A69" s="375"/>
      <c r="B69" s="376"/>
      <c r="C69" s="389">
        <v>100</v>
      </c>
      <c r="D69" s="389">
        <f t="shared" ref="D69:M69" si="15">C69-$K11</f>
        <v>100</v>
      </c>
      <c r="E69" s="389">
        <f t="shared" si="15"/>
        <v>100</v>
      </c>
      <c r="F69" s="389">
        <f t="shared" si="15"/>
        <v>100</v>
      </c>
      <c r="G69" s="389">
        <f t="shared" si="15"/>
        <v>100</v>
      </c>
      <c r="H69" s="389">
        <f t="shared" si="15"/>
        <v>100</v>
      </c>
      <c r="I69" s="389">
        <f t="shared" si="15"/>
        <v>100</v>
      </c>
      <c r="J69" s="389">
        <f t="shared" si="15"/>
        <v>100</v>
      </c>
      <c r="K69" s="389">
        <f t="shared" si="15"/>
        <v>100</v>
      </c>
      <c r="L69" s="389">
        <f t="shared" si="15"/>
        <v>100</v>
      </c>
      <c r="M69" s="466">
        <f t="shared" si="15"/>
        <v>100</v>
      </c>
      <c r="N69" s="450"/>
      <c r="O69" s="450"/>
      <c r="P69" s="448"/>
      <c r="Q69" s="437"/>
      <c r="R69" s="351"/>
      <c r="S69" s="351"/>
      <c r="T69" s="351"/>
      <c r="U69" s="351"/>
      <c r="V69" s="351"/>
      <c r="W69" s="351"/>
      <c r="X69" s="351"/>
      <c r="Y69" s="351"/>
      <c r="Z69" s="351"/>
      <c r="AA69" s="351"/>
      <c r="AB69" s="351"/>
      <c r="AC69" s="351"/>
    </row>
    <row r="70" spans="1:29" s="212" customFormat="1" ht="15">
      <c r="A70" s="384"/>
      <c r="B70" s="378">
        <f>B12</f>
        <v>111</v>
      </c>
      <c r="C70" s="385"/>
      <c r="D70" s="385"/>
      <c r="E70" s="385"/>
      <c r="F70" s="385"/>
      <c r="G70" s="385"/>
      <c r="H70" s="386"/>
      <c r="I70" s="386"/>
      <c r="J70" s="386"/>
      <c r="K70" s="386"/>
      <c r="L70" s="457"/>
      <c r="M70" s="458"/>
      <c r="N70" s="459"/>
      <c r="O70" s="459"/>
      <c r="P70" s="460"/>
      <c r="Q70" s="485"/>
      <c r="R70" s="486"/>
      <c r="S70" s="486"/>
      <c r="T70" s="486"/>
      <c r="U70" s="486"/>
      <c r="V70" s="486"/>
      <c r="W70" s="486"/>
      <c r="X70" s="486"/>
      <c r="Y70" s="486"/>
      <c r="Z70" s="486"/>
      <c r="AA70" s="486"/>
      <c r="AB70" s="486"/>
      <c r="AC70" s="486"/>
    </row>
    <row r="71" spans="1:29" s="212" customFormat="1" ht="15">
      <c r="A71" s="384"/>
      <c r="B71" s="380"/>
      <c r="C71" s="383"/>
      <c r="D71" s="377"/>
      <c r="E71" s="377"/>
      <c r="F71" s="377"/>
      <c r="G71" s="377"/>
      <c r="H71" s="377"/>
      <c r="I71" s="377"/>
      <c r="J71" s="377"/>
      <c r="K71" s="377"/>
      <c r="L71" s="377"/>
      <c r="M71" s="449"/>
      <c r="N71" s="450"/>
      <c r="O71" s="450"/>
      <c r="P71" s="460"/>
      <c r="Q71" s="485"/>
      <c r="R71" s="486"/>
      <c r="S71" s="486"/>
      <c r="T71" s="486"/>
      <c r="U71" s="486"/>
      <c r="V71" s="486"/>
      <c r="W71" s="486"/>
      <c r="X71" s="486"/>
      <c r="Y71" s="486"/>
      <c r="Z71" s="486"/>
      <c r="AA71" s="486"/>
      <c r="AB71" s="486"/>
      <c r="AC71" s="486"/>
    </row>
    <row r="72" spans="1:29" s="212" customFormat="1" ht="15">
      <c r="A72" s="384"/>
      <c r="B72" s="378">
        <f>B13</f>
        <v>111</v>
      </c>
      <c r="C72" s="385"/>
      <c r="D72" s="385"/>
      <c r="E72" s="385"/>
      <c r="F72" s="385"/>
      <c r="G72" s="385"/>
      <c r="H72" s="386"/>
      <c r="I72" s="386"/>
      <c r="J72" s="386"/>
      <c r="K72" s="386"/>
      <c r="L72" s="457"/>
      <c r="M72" s="458"/>
      <c r="N72" s="459"/>
      <c r="O72" s="459"/>
      <c r="P72" s="418"/>
      <c r="Q72" s="487"/>
      <c r="R72" s="486"/>
      <c r="S72" s="486"/>
      <c r="T72" s="486"/>
      <c r="U72" s="486"/>
      <c r="V72" s="486"/>
      <c r="W72" s="486"/>
      <c r="X72" s="486"/>
      <c r="Y72" s="486"/>
      <c r="Z72" s="486"/>
      <c r="AA72" s="486"/>
      <c r="AB72" s="486"/>
      <c r="AC72" s="486"/>
    </row>
    <row r="73" spans="1:29" s="212" customFormat="1" ht="15">
      <c r="A73" s="384"/>
      <c r="B73" s="380"/>
      <c r="C73" s="383"/>
      <c r="D73" s="377"/>
      <c r="E73" s="377"/>
      <c r="F73" s="377"/>
      <c r="G73" s="383"/>
      <c r="H73" s="387"/>
      <c r="I73" s="387"/>
      <c r="J73" s="387"/>
      <c r="K73" s="387"/>
      <c r="L73" s="387"/>
      <c r="M73" s="461"/>
      <c r="N73" s="459"/>
      <c r="O73" s="459"/>
      <c r="P73" s="460"/>
      <c r="Q73" s="485"/>
      <c r="R73" s="486"/>
      <c r="S73" s="486"/>
      <c r="T73" s="486"/>
      <c r="U73" s="486"/>
      <c r="V73" s="486"/>
      <c r="W73" s="486"/>
      <c r="X73" s="486"/>
      <c r="Y73" s="486"/>
      <c r="Z73" s="486"/>
      <c r="AA73" s="486"/>
      <c r="AB73" s="486"/>
      <c r="AC73" s="486"/>
    </row>
    <row r="74" spans="1:29" s="212" customFormat="1" ht="15">
      <c r="A74" s="384"/>
      <c r="B74" s="497">
        <f>B14</f>
        <v>111</v>
      </c>
      <c r="C74" s="385"/>
      <c r="D74" s="385"/>
      <c r="E74" s="385"/>
      <c r="F74" s="385"/>
      <c r="G74" s="370"/>
      <c r="H74" s="571"/>
      <c r="I74" s="571"/>
      <c r="J74" s="571"/>
      <c r="K74" s="571"/>
      <c r="L74" s="580"/>
      <c r="M74" s="581"/>
      <c r="N74" s="459"/>
      <c r="O74" s="459"/>
      <c r="P74" s="582"/>
      <c r="Q74" s="485"/>
      <c r="R74" s="486"/>
      <c r="S74" s="486"/>
      <c r="T74" s="486"/>
      <c r="U74" s="486"/>
      <c r="V74" s="486"/>
      <c r="W74" s="486"/>
      <c r="X74" s="486"/>
      <c r="Y74" s="486"/>
      <c r="Z74" s="486"/>
      <c r="AA74" s="486"/>
      <c r="AB74" s="486"/>
      <c r="AC74" s="486"/>
    </row>
    <row r="75" spans="1:29" s="212" customFormat="1" ht="15">
      <c r="A75" s="572"/>
      <c r="B75" s="573"/>
      <c r="C75" s="574"/>
      <c r="D75" s="574"/>
      <c r="E75" s="574"/>
      <c r="F75" s="574"/>
      <c r="G75" s="574"/>
      <c r="H75" s="575"/>
      <c r="I75" s="575"/>
      <c r="J75" s="575"/>
      <c r="K75" s="575"/>
      <c r="L75" s="575"/>
      <c r="M75" s="583"/>
      <c r="N75" s="459"/>
      <c r="O75" s="459"/>
      <c r="P75" s="460"/>
      <c r="Q75" s="485"/>
      <c r="R75" s="486"/>
      <c r="S75" s="486"/>
      <c r="T75" s="486"/>
      <c r="U75" s="486"/>
      <c r="V75" s="486"/>
      <c r="W75" s="486"/>
      <c r="X75" s="486"/>
      <c r="Y75" s="486"/>
      <c r="Z75" s="486"/>
      <c r="AA75" s="486"/>
      <c r="AB75" s="486"/>
      <c r="AC75" s="486"/>
    </row>
    <row r="76" spans="1:29">
      <c r="A76" s="371" t="s">
        <v>1103</v>
      </c>
      <c r="B76" s="372" t="s">
        <v>223</v>
      </c>
      <c r="C76" s="388" t="s">
        <v>244</v>
      </c>
      <c r="D76" s="388" t="s">
        <v>256</v>
      </c>
      <c r="E76" s="388" t="s">
        <v>267</v>
      </c>
      <c r="F76" s="388" t="s">
        <v>277</v>
      </c>
      <c r="G76" s="388" t="s">
        <v>285</v>
      </c>
      <c r="H76" s="373"/>
      <c r="I76" s="373"/>
      <c r="J76" s="373"/>
      <c r="K76" s="462"/>
      <c r="L76" s="463"/>
      <c r="M76" s="464"/>
      <c r="N76" s="447"/>
      <c r="O76" s="447"/>
      <c r="P76" s="465"/>
      <c r="Q76" s="437"/>
      <c r="R76" s="351"/>
      <c r="S76" s="351"/>
      <c r="T76" s="351"/>
      <c r="U76" s="351"/>
      <c r="V76" s="351"/>
      <c r="W76" s="351"/>
      <c r="X76" s="351"/>
      <c r="Y76" s="351"/>
      <c r="Z76" s="351"/>
      <c r="AA76" s="351"/>
      <c r="AB76" s="351"/>
      <c r="AC76" s="351"/>
    </row>
    <row r="77" spans="1:29" ht="15">
      <c r="A77" s="375"/>
      <c r="B77" s="380"/>
      <c r="C77" s="389">
        <v>100</v>
      </c>
      <c r="D77" s="389">
        <f>C77-$K15</f>
        <v>100</v>
      </c>
      <c r="E77" s="389">
        <f>D77-$K15</f>
        <v>100</v>
      </c>
      <c r="F77" s="389">
        <f>E77-$K15</f>
        <v>100</v>
      </c>
      <c r="G77" s="389">
        <f>F77-$K15</f>
        <v>100</v>
      </c>
      <c r="H77" s="389"/>
      <c r="I77" s="389"/>
      <c r="J77" s="389"/>
      <c r="K77" s="389"/>
      <c r="L77" s="389"/>
      <c r="M77" s="466"/>
      <c r="N77" s="450"/>
      <c r="O77" s="450"/>
      <c r="P77" s="448"/>
      <c r="Q77" s="437"/>
      <c r="R77" s="351"/>
      <c r="S77" s="351"/>
      <c r="T77" s="351"/>
      <c r="U77" s="351"/>
      <c r="V77" s="351"/>
      <c r="W77" s="351"/>
      <c r="X77" s="351"/>
      <c r="Y77" s="351"/>
      <c r="Z77" s="351"/>
      <c r="AA77" s="351"/>
      <c r="AB77" s="351"/>
      <c r="AC77" s="351"/>
    </row>
    <row r="78" spans="1:29" ht="15">
      <c r="A78" s="375"/>
      <c r="B78" s="378" t="s">
        <v>227</v>
      </c>
      <c r="C78" s="391" t="s">
        <v>244</v>
      </c>
      <c r="D78" s="391" t="s">
        <v>256</v>
      </c>
      <c r="E78" s="391" t="s">
        <v>267</v>
      </c>
      <c r="F78" s="391" t="s">
        <v>277</v>
      </c>
      <c r="G78" s="391" t="s">
        <v>285</v>
      </c>
      <c r="H78" s="392"/>
      <c r="I78" s="392"/>
      <c r="J78" s="392"/>
      <c r="K78" s="467"/>
      <c r="L78" s="468"/>
      <c r="M78" s="469"/>
      <c r="N78" s="447"/>
      <c r="O78" s="447"/>
      <c r="P78" s="448"/>
      <c r="Q78" s="437"/>
      <c r="R78" s="351"/>
      <c r="S78" s="351"/>
      <c r="T78" s="351"/>
      <c r="U78" s="351"/>
      <c r="V78" s="351"/>
      <c r="W78" s="351"/>
      <c r="X78" s="351"/>
      <c r="Y78" s="351"/>
      <c r="Z78" s="351"/>
      <c r="AA78" s="351"/>
      <c r="AB78" s="351"/>
      <c r="AC78" s="351"/>
    </row>
    <row r="79" spans="1:29" ht="15">
      <c r="A79" s="375"/>
      <c r="B79" s="380"/>
      <c r="C79" s="389">
        <v>100</v>
      </c>
      <c r="D79" s="389">
        <f>C79-$K17</f>
        <v>100</v>
      </c>
      <c r="E79" s="389">
        <f>D79-$K17</f>
        <v>100</v>
      </c>
      <c r="F79" s="389">
        <f>E79-$K17</f>
        <v>100</v>
      </c>
      <c r="G79" s="389">
        <f>F79-$K17</f>
        <v>100</v>
      </c>
      <c r="H79" s="389"/>
      <c r="I79" s="389"/>
      <c r="J79" s="389"/>
      <c r="K79" s="389"/>
      <c r="L79" s="389"/>
      <c r="M79" s="466"/>
      <c r="N79" s="450"/>
      <c r="O79" s="450"/>
      <c r="P79" s="448"/>
      <c r="Q79" s="437"/>
      <c r="R79" s="351"/>
      <c r="S79" s="351"/>
      <c r="T79" s="351"/>
      <c r="U79" s="351"/>
      <c r="V79" s="351"/>
      <c r="W79" s="351"/>
      <c r="X79" s="351"/>
      <c r="Y79" s="351"/>
      <c r="Z79" s="351"/>
      <c r="AA79" s="351"/>
      <c r="AB79" s="351"/>
      <c r="AC79" s="351"/>
    </row>
    <row r="80" spans="1:29" ht="15">
      <c r="A80" s="375"/>
      <c r="B80" s="390" t="s">
        <v>229</v>
      </c>
      <c r="C80" s="391" t="s">
        <v>244</v>
      </c>
      <c r="D80" s="391" t="s">
        <v>256</v>
      </c>
      <c r="E80" s="391" t="s">
        <v>267</v>
      </c>
      <c r="F80" s="391" t="s">
        <v>277</v>
      </c>
      <c r="G80" s="391" t="s">
        <v>285</v>
      </c>
      <c r="H80" s="392"/>
      <c r="I80" s="392"/>
      <c r="J80" s="392"/>
      <c r="K80" s="467"/>
      <c r="L80" s="468"/>
      <c r="M80" s="469"/>
      <c r="N80" s="447"/>
      <c r="O80" s="447"/>
      <c r="P80" s="448"/>
      <c r="Q80" s="437"/>
      <c r="R80" s="351"/>
      <c r="S80" s="351"/>
      <c r="T80" s="351"/>
      <c r="U80" s="351"/>
      <c r="V80" s="351"/>
      <c r="W80" s="351"/>
      <c r="X80" s="351"/>
      <c r="Y80" s="351"/>
      <c r="Z80" s="351"/>
      <c r="AA80" s="351"/>
      <c r="AB80" s="351"/>
      <c r="AC80" s="351"/>
    </row>
    <row r="81" spans="1:29" ht="15">
      <c r="A81" s="375"/>
      <c r="B81" s="380"/>
      <c r="C81" s="389">
        <v>100</v>
      </c>
      <c r="D81" s="389">
        <f>C81-$K19</f>
        <v>100</v>
      </c>
      <c r="E81" s="389">
        <f>D81-$K19</f>
        <v>100</v>
      </c>
      <c r="F81" s="389">
        <f>E81-$K19</f>
        <v>100</v>
      </c>
      <c r="G81" s="389">
        <f>F81-$K19</f>
        <v>100</v>
      </c>
      <c r="H81" s="389"/>
      <c r="I81" s="389"/>
      <c r="J81" s="389"/>
      <c r="K81" s="389"/>
      <c r="L81" s="389"/>
      <c r="M81" s="466"/>
      <c r="N81" s="450"/>
      <c r="O81" s="450"/>
      <c r="P81" s="448"/>
      <c r="Q81" s="437"/>
      <c r="R81" s="351"/>
      <c r="S81" s="351"/>
      <c r="T81" s="351"/>
      <c r="U81" s="351"/>
      <c r="V81" s="351"/>
      <c r="W81" s="351"/>
      <c r="X81" s="351"/>
      <c r="Y81" s="351"/>
      <c r="Z81" s="351"/>
      <c r="AA81" s="351"/>
      <c r="AB81" s="351"/>
      <c r="AC81" s="351"/>
    </row>
    <row r="82" spans="1:29" ht="15">
      <c r="A82" s="375"/>
      <c r="B82" s="495" t="s">
        <v>230</v>
      </c>
      <c r="C82" s="496" t="s">
        <v>245</v>
      </c>
      <c r="D82" s="496" t="s">
        <v>257</v>
      </c>
      <c r="E82" s="496" t="s">
        <v>268</v>
      </c>
      <c r="F82" s="496" t="s">
        <v>278</v>
      </c>
      <c r="G82" s="496" t="s">
        <v>286</v>
      </c>
      <c r="H82" s="392"/>
      <c r="I82" s="392"/>
      <c r="J82" s="392"/>
      <c r="K82" s="392"/>
      <c r="L82" s="392"/>
      <c r="M82" s="506"/>
      <c r="N82" s="450"/>
      <c r="O82" s="450"/>
      <c r="P82" s="448"/>
      <c r="Q82" s="437"/>
      <c r="R82" s="351"/>
      <c r="S82" s="351"/>
      <c r="T82" s="351"/>
      <c r="U82" s="351"/>
      <c r="V82" s="351"/>
      <c r="W82" s="351"/>
      <c r="X82" s="351"/>
      <c r="Y82" s="351"/>
      <c r="Z82" s="351"/>
      <c r="AA82" s="351"/>
      <c r="AB82" s="351"/>
      <c r="AC82" s="351"/>
    </row>
    <row r="83" spans="1:29" ht="15">
      <c r="A83" s="375"/>
      <c r="B83" s="497"/>
      <c r="C83" s="389">
        <v>100</v>
      </c>
      <c r="D83" s="389">
        <f>C83-$K21</f>
        <v>100</v>
      </c>
      <c r="E83" s="389">
        <f>D83-$K21</f>
        <v>100</v>
      </c>
      <c r="F83" s="389">
        <f>E83-$K21</f>
        <v>100</v>
      </c>
      <c r="G83" s="389">
        <f>F83-$K21</f>
        <v>100</v>
      </c>
      <c r="H83" s="381"/>
      <c r="I83" s="381"/>
      <c r="J83" s="381"/>
      <c r="K83" s="381"/>
      <c r="L83" s="381"/>
      <c r="M83" s="280"/>
      <c r="N83" s="450"/>
      <c r="O83" s="450"/>
      <c r="P83" s="448"/>
      <c r="Q83" s="437"/>
      <c r="R83" s="351"/>
      <c r="S83" s="351"/>
      <c r="T83" s="351"/>
      <c r="U83" s="351"/>
      <c r="V83" s="351"/>
      <c r="W83" s="351"/>
      <c r="X83" s="351"/>
      <c r="Y83" s="351"/>
      <c r="Z83" s="351"/>
      <c r="AA83" s="351"/>
      <c r="AB83" s="351"/>
      <c r="AC83" s="351"/>
    </row>
    <row r="84" spans="1:29" ht="15">
      <c r="A84" s="375"/>
      <c r="B84" s="378" t="s">
        <v>2411</v>
      </c>
      <c r="C84" s="391" t="s">
        <v>244</v>
      </c>
      <c r="D84" s="391" t="s">
        <v>256</v>
      </c>
      <c r="E84" s="391" t="s">
        <v>267</v>
      </c>
      <c r="F84" s="391" t="s">
        <v>277</v>
      </c>
      <c r="G84" s="391" t="s">
        <v>285</v>
      </c>
      <c r="H84" s="392"/>
      <c r="I84" s="392"/>
      <c r="J84" s="392"/>
      <c r="K84" s="467"/>
      <c r="L84" s="468"/>
      <c r="M84" s="469"/>
      <c r="N84" s="447"/>
      <c r="O84" s="447"/>
      <c r="P84" s="448"/>
      <c r="Q84" s="437"/>
      <c r="R84" s="351"/>
      <c r="S84" s="351"/>
      <c r="T84" s="351"/>
      <c r="U84" s="351"/>
      <c r="V84" s="351"/>
      <c r="W84" s="351"/>
      <c r="X84" s="351"/>
      <c r="Y84" s="351"/>
      <c r="Z84" s="351"/>
      <c r="AA84" s="351"/>
      <c r="AB84" s="351"/>
      <c r="AC84" s="351"/>
    </row>
    <row r="85" spans="1:29" ht="15">
      <c r="A85" s="375"/>
      <c r="B85" s="380"/>
      <c r="C85" s="389">
        <v>100</v>
      </c>
      <c r="D85" s="389">
        <f>C85-$K23</f>
        <v>100</v>
      </c>
      <c r="E85" s="389">
        <f>D85-$K23</f>
        <v>100</v>
      </c>
      <c r="F85" s="389">
        <f>E85-$K23</f>
        <v>100</v>
      </c>
      <c r="G85" s="389">
        <f>F85-$K23</f>
        <v>100</v>
      </c>
      <c r="H85" s="389"/>
      <c r="I85" s="389"/>
      <c r="J85" s="389"/>
      <c r="K85" s="389"/>
      <c r="L85" s="389"/>
      <c r="M85" s="466"/>
      <c r="N85" s="450"/>
      <c r="O85" s="450"/>
      <c r="P85" s="448"/>
      <c r="Q85" s="437"/>
      <c r="R85" s="351"/>
      <c r="S85" s="351"/>
      <c r="T85" s="351"/>
      <c r="U85" s="351"/>
      <c r="V85" s="351"/>
      <c r="W85" s="351"/>
      <c r="X85" s="351"/>
      <c r="Y85" s="351"/>
      <c r="Z85" s="351"/>
      <c r="AA85" s="351"/>
      <c r="AB85" s="351"/>
      <c r="AC85" s="351"/>
    </row>
    <row r="86" spans="1:29" s="210" customFormat="1" ht="15">
      <c r="A86" s="498"/>
      <c r="B86" s="378" t="s">
        <v>232</v>
      </c>
      <c r="C86" s="385"/>
      <c r="D86" s="385"/>
      <c r="E86" s="385"/>
      <c r="F86" s="385"/>
      <c r="G86" s="385"/>
      <c r="H86" s="385"/>
      <c r="I86" s="385"/>
      <c r="J86" s="385"/>
      <c r="K86" s="385"/>
      <c r="L86" s="507"/>
      <c r="M86" s="508"/>
      <c r="N86" s="442"/>
      <c r="O86" s="442"/>
      <c r="P86" s="448"/>
      <c r="Q86" s="437"/>
      <c r="R86" s="484"/>
      <c r="S86" s="484"/>
      <c r="T86" s="484"/>
      <c r="U86" s="484"/>
      <c r="V86" s="484"/>
      <c r="W86" s="484"/>
      <c r="X86" s="484"/>
      <c r="Y86" s="484"/>
      <c r="Z86" s="484"/>
      <c r="AA86" s="484"/>
      <c r="AB86" s="484"/>
      <c r="AC86" s="484"/>
    </row>
    <row r="87" spans="1:29" s="210" customFormat="1" ht="15">
      <c r="A87" s="498"/>
      <c r="B87" s="380"/>
      <c r="C87" s="500">
        <v>100</v>
      </c>
      <c r="D87" s="389">
        <f t="shared" ref="D87:M87" si="16">C87-$K25</f>
        <v>100</v>
      </c>
      <c r="E87" s="389">
        <f t="shared" si="16"/>
        <v>100</v>
      </c>
      <c r="F87" s="389">
        <f t="shared" si="16"/>
        <v>100</v>
      </c>
      <c r="G87" s="389">
        <f t="shared" si="16"/>
        <v>100</v>
      </c>
      <c r="H87" s="389">
        <f t="shared" si="16"/>
        <v>100</v>
      </c>
      <c r="I87" s="389">
        <f t="shared" si="16"/>
        <v>100</v>
      </c>
      <c r="J87" s="389">
        <f t="shared" si="16"/>
        <v>100</v>
      </c>
      <c r="K87" s="389">
        <f t="shared" si="16"/>
        <v>100</v>
      </c>
      <c r="L87" s="389">
        <f t="shared" si="16"/>
        <v>100</v>
      </c>
      <c r="M87" s="389">
        <f t="shared" si="16"/>
        <v>100</v>
      </c>
      <c r="N87" s="450"/>
      <c r="O87" s="450"/>
      <c r="P87" s="448"/>
      <c r="Q87" s="437"/>
      <c r="R87" s="484"/>
      <c r="S87" s="484"/>
      <c r="T87" s="484"/>
      <c r="U87" s="484"/>
      <c r="V87" s="484"/>
      <c r="W87" s="484"/>
      <c r="X87" s="484"/>
      <c r="Y87" s="484"/>
      <c r="Z87" s="484"/>
      <c r="AA87" s="484"/>
      <c r="AB87" s="484"/>
      <c r="AC87" s="484"/>
    </row>
    <row r="88" spans="1:29" s="210" customFormat="1" ht="15">
      <c r="A88" s="498"/>
      <c r="B88" s="378" t="str">
        <f>B26</f>
        <v>平面位置/可视性</v>
      </c>
      <c r="C88" s="385"/>
      <c r="D88" s="385"/>
      <c r="E88" s="385"/>
      <c r="F88" s="611"/>
      <c r="G88" s="385"/>
      <c r="H88" s="385"/>
      <c r="I88" s="385"/>
      <c r="J88" s="385"/>
      <c r="K88" s="385"/>
      <c r="L88" s="385"/>
      <c r="M88" s="508"/>
      <c r="N88" s="442"/>
      <c r="O88" s="442"/>
      <c r="P88" s="448"/>
      <c r="Q88" s="437"/>
      <c r="R88" s="484"/>
      <c r="S88" s="484"/>
      <c r="T88" s="484"/>
      <c r="U88" s="484"/>
      <c r="V88" s="484"/>
      <c r="W88" s="484"/>
      <c r="X88" s="484"/>
      <c r="Y88" s="484"/>
      <c r="Z88" s="484"/>
      <c r="AA88" s="484"/>
      <c r="AB88" s="484"/>
      <c r="AC88" s="484"/>
    </row>
    <row r="89" spans="1:29" s="210" customFormat="1" ht="15">
      <c r="A89" s="498"/>
      <c r="B89" s="380"/>
      <c r="C89" s="383"/>
      <c r="D89" s="377"/>
      <c r="E89" s="377"/>
      <c r="F89" s="377"/>
      <c r="G89" s="377"/>
      <c r="H89" s="377"/>
      <c r="I89" s="377"/>
      <c r="J89" s="377"/>
      <c r="K89" s="377"/>
      <c r="L89" s="377"/>
      <c r="M89" s="377"/>
      <c r="N89" s="450"/>
      <c r="O89" s="450"/>
      <c r="P89" s="448"/>
      <c r="Q89" s="437"/>
      <c r="R89" s="484"/>
      <c r="S89" s="484"/>
      <c r="T89" s="484"/>
      <c r="U89" s="484"/>
      <c r="V89" s="484"/>
      <c r="W89" s="484"/>
      <c r="X89" s="484"/>
      <c r="Y89" s="484"/>
      <c r="Z89" s="484"/>
      <c r="AA89" s="484"/>
      <c r="AB89" s="484"/>
      <c r="AC89" s="484"/>
    </row>
    <row r="90" spans="1:29" s="212" customFormat="1" ht="15">
      <c r="A90" s="384"/>
      <c r="B90" s="378" t="str">
        <f>B27</f>
        <v>人流量</v>
      </c>
      <c r="C90" s="385"/>
      <c r="D90" s="385"/>
      <c r="E90" s="385"/>
      <c r="F90" s="385"/>
      <c r="G90" s="385"/>
      <c r="H90" s="386"/>
      <c r="I90" s="386"/>
      <c r="J90" s="386"/>
      <c r="K90" s="386"/>
      <c r="L90" s="457"/>
      <c r="M90" s="458"/>
      <c r="N90" s="459"/>
      <c r="O90" s="459"/>
      <c r="P90" s="460"/>
      <c r="Q90" s="485"/>
      <c r="R90" s="486"/>
      <c r="S90" s="486"/>
      <c r="T90" s="486"/>
      <c r="U90" s="486"/>
      <c r="V90" s="486"/>
      <c r="W90" s="486"/>
      <c r="X90" s="486"/>
      <c r="Y90" s="486"/>
      <c r="Z90" s="486"/>
      <c r="AA90" s="486"/>
      <c r="AB90" s="486"/>
      <c r="AC90" s="486"/>
    </row>
    <row r="91" spans="1:29" s="212" customFormat="1" ht="15">
      <c r="A91" s="384"/>
      <c r="B91" s="380"/>
      <c r="C91" s="500">
        <v>100</v>
      </c>
      <c r="D91" s="389">
        <f>C91-$K27</f>
        <v>100</v>
      </c>
      <c r="E91" s="389">
        <f t="shared" ref="E91:M91" si="17">D91-$K27</f>
        <v>100</v>
      </c>
      <c r="F91" s="389">
        <f t="shared" si="17"/>
        <v>100</v>
      </c>
      <c r="G91" s="389">
        <f t="shared" si="17"/>
        <v>100</v>
      </c>
      <c r="H91" s="389">
        <f t="shared" si="17"/>
        <v>100</v>
      </c>
      <c r="I91" s="389">
        <f t="shared" si="17"/>
        <v>100</v>
      </c>
      <c r="J91" s="389">
        <f t="shared" si="17"/>
        <v>100</v>
      </c>
      <c r="K91" s="389">
        <f t="shared" si="17"/>
        <v>100</v>
      </c>
      <c r="L91" s="389">
        <f t="shared" si="17"/>
        <v>100</v>
      </c>
      <c r="M91" s="389">
        <f t="shared" si="17"/>
        <v>100</v>
      </c>
      <c r="N91" s="459"/>
      <c r="O91" s="459"/>
      <c r="P91" s="460"/>
      <c r="Q91" s="485"/>
      <c r="R91" s="486"/>
      <c r="S91" s="486"/>
      <c r="T91" s="486"/>
      <c r="U91" s="486"/>
      <c r="V91" s="486"/>
      <c r="W91" s="486"/>
      <c r="X91" s="486"/>
      <c r="Y91" s="486"/>
      <c r="Z91" s="486"/>
      <c r="AA91" s="486"/>
      <c r="AB91" s="486"/>
      <c r="AC91" s="486"/>
    </row>
    <row r="92" spans="1:29" ht="15">
      <c r="A92" s="375"/>
      <c r="B92" s="378" t="str">
        <f>B28</f>
        <v>楼层</v>
      </c>
      <c r="C92" s="385"/>
      <c r="D92" s="385"/>
      <c r="E92" s="385"/>
      <c r="F92" s="385"/>
      <c r="G92" s="385"/>
      <c r="H92" s="385"/>
      <c r="I92" s="385"/>
      <c r="J92" s="385"/>
      <c r="K92" s="385"/>
      <c r="L92" s="507"/>
      <c r="M92" s="508"/>
      <c r="N92" s="447"/>
      <c r="O92" s="447"/>
      <c r="P92" s="448"/>
      <c r="Q92" s="437"/>
      <c r="R92" s="351"/>
      <c r="S92" s="351"/>
      <c r="T92" s="351"/>
      <c r="U92" s="351"/>
      <c r="V92" s="351"/>
      <c r="W92" s="351"/>
      <c r="X92" s="351"/>
      <c r="Y92" s="351"/>
      <c r="Z92" s="351"/>
      <c r="AA92" s="351"/>
      <c r="AB92" s="351"/>
      <c r="AC92" s="351"/>
    </row>
    <row r="93" spans="1:29" ht="15">
      <c r="A93" s="375"/>
      <c r="B93" s="380"/>
      <c r="C93" s="377"/>
      <c r="D93" s="377"/>
      <c r="E93" s="377"/>
      <c r="F93" s="377"/>
      <c r="G93" s="377"/>
      <c r="H93" s="377"/>
      <c r="I93" s="377"/>
      <c r="J93" s="377"/>
      <c r="K93" s="377"/>
      <c r="L93" s="377"/>
      <c r="M93" s="449"/>
      <c r="N93" s="450"/>
      <c r="O93" s="450"/>
      <c r="P93" s="448"/>
      <c r="Q93" s="437"/>
      <c r="R93" s="351"/>
      <c r="S93" s="351"/>
      <c r="T93" s="351"/>
      <c r="U93" s="351"/>
      <c r="V93" s="351"/>
      <c r="W93" s="351"/>
      <c r="X93" s="351"/>
      <c r="Y93" s="351"/>
      <c r="Z93" s="351"/>
      <c r="AA93" s="351"/>
      <c r="AB93" s="351"/>
      <c r="AC93" s="351"/>
    </row>
    <row r="94" spans="1:29" ht="15">
      <c r="A94" s="375"/>
      <c r="B94" s="378">
        <f>B29</f>
        <v>111</v>
      </c>
      <c r="C94" s="385"/>
      <c r="D94" s="385"/>
      <c r="E94" s="385"/>
      <c r="F94" s="385"/>
      <c r="G94" s="379"/>
      <c r="H94" s="379"/>
      <c r="I94" s="379"/>
      <c r="J94" s="379"/>
      <c r="K94" s="451"/>
      <c r="L94" s="452"/>
      <c r="M94" s="453"/>
      <c r="N94" s="447"/>
      <c r="O94" s="447"/>
      <c r="P94" s="448"/>
      <c r="Q94" s="437"/>
      <c r="R94" s="351"/>
      <c r="S94" s="351"/>
      <c r="T94" s="351"/>
      <c r="U94" s="351"/>
      <c r="V94" s="351"/>
      <c r="W94" s="351"/>
      <c r="X94" s="351"/>
      <c r="Y94" s="351"/>
      <c r="Z94" s="351"/>
      <c r="AA94" s="351"/>
      <c r="AB94" s="351"/>
      <c r="AC94" s="351"/>
    </row>
    <row r="95" spans="1:29" ht="15">
      <c r="A95" s="375"/>
      <c r="B95" s="380"/>
      <c r="C95" s="383"/>
      <c r="D95" s="377"/>
      <c r="E95" s="377"/>
      <c r="F95" s="377"/>
      <c r="G95" s="377"/>
      <c r="H95" s="377"/>
      <c r="I95" s="377"/>
      <c r="J95" s="377"/>
      <c r="K95" s="377"/>
      <c r="L95" s="377"/>
      <c r="M95" s="449"/>
      <c r="N95" s="450"/>
      <c r="O95" s="450"/>
      <c r="P95" s="448"/>
      <c r="Q95" s="437"/>
      <c r="R95" s="351"/>
      <c r="S95" s="351"/>
      <c r="T95" s="351"/>
      <c r="U95" s="351"/>
      <c r="V95" s="351"/>
      <c r="W95" s="351"/>
      <c r="X95" s="351"/>
      <c r="Y95" s="351"/>
      <c r="Z95" s="351"/>
      <c r="AA95" s="351"/>
      <c r="AB95" s="351"/>
      <c r="AC95" s="351"/>
    </row>
    <row r="96" spans="1:29" ht="15">
      <c r="A96" s="375"/>
      <c r="B96" s="378">
        <f>B30</f>
        <v>111</v>
      </c>
      <c r="C96" s="385"/>
      <c r="D96" s="385"/>
      <c r="E96" s="385"/>
      <c r="F96" s="385"/>
      <c r="G96" s="379"/>
      <c r="H96" s="379"/>
      <c r="I96" s="379"/>
      <c r="J96" s="379"/>
      <c r="K96" s="451"/>
      <c r="L96" s="452"/>
      <c r="M96" s="453"/>
      <c r="N96" s="447"/>
      <c r="O96" s="447"/>
      <c r="P96" s="448"/>
      <c r="Q96" s="437"/>
      <c r="R96" s="351"/>
      <c r="S96" s="351"/>
      <c r="T96" s="351"/>
      <c r="U96" s="351"/>
      <c r="V96" s="351"/>
      <c r="W96" s="351"/>
      <c r="X96" s="351"/>
      <c r="Y96" s="351"/>
      <c r="Z96" s="351"/>
      <c r="AA96" s="351"/>
      <c r="AB96" s="351"/>
      <c r="AC96" s="351"/>
    </row>
    <row r="97" spans="1:29" ht="15">
      <c r="A97" s="375"/>
      <c r="B97" s="380"/>
      <c r="C97" s="383"/>
      <c r="D97" s="377"/>
      <c r="E97" s="377"/>
      <c r="F97" s="377"/>
      <c r="G97" s="377"/>
      <c r="H97" s="377"/>
      <c r="I97" s="377"/>
      <c r="J97" s="377"/>
      <c r="K97" s="377"/>
      <c r="L97" s="377"/>
      <c r="M97" s="449"/>
      <c r="N97" s="450"/>
      <c r="O97" s="450"/>
      <c r="P97" s="448"/>
      <c r="Q97" s="437"/>
      <c r="R97" s="351"/>
      <c r="S97" s="351"/>
      <c r="T97" s="351"/>
      <c r="U97" s="351"/>
      <c r="V97" s="351"/>
      <c r="W97" s="351"/>
      <c r="X97" s="351"/>
      <c r="Y97" s="351"/>
      <c r="Z97" s="351"/>
      <c r="AA97" s="351"/>
      <c r="AB97" s="351"/>
      <c r="AC97" s="351"/>
    </row>
    <row r="98" spans="1:29" ht="15">
      <c r="A98" s="375"/>
      <c r="B98" s="497">
        <f>B31</f>
        <v>111</v>
      </c>
      <c r="C98" s="385"/>
      <c r="D98" s="385"/>
      <c r="E98" s="385"/>
      <c r="F98" s="385"/>
      <c r="G98" s="576"/>
      <c r="H98" s="576"/>
      <c r="I98" s="576"/>
      <c r="J98" s="576"/>
      <c r="K98" s="584"/>
      <c r="L98" s="585"/>
      <c r="M98" s="586"/>
      <c r="N98" s="447"/>
      <c r="O98" s="447"/>
      <c r="P98" s="448"/>
      <c r="Q98" s="437"/>
      <c r="R98" s="351"/>
      <c r="S98" s="351"/>
      <c r="T98" s="351"/>
      <c r="U98" s="351"/>
      <c r="V98" s="351"/>
      <c r="W98" s="351"/>
      <c r="X98" s="351"/>
      <c r="Y98" s="351"/>
      <c r="Z98" s="351"/>
      <c r="AA98" s="351"/>
      <c r="AB98" s="351"/>
      <c r="AC98" s="351"/>
    </row>
    <row r="99" spans="1:29" ht="15">
      <c r="A99" s="577"/>
      <c r="B99" s="573"/>
      <c r="C99" s="574"/>
      <c r="D99" s="574"/>
      <c r="E99" s="574"/>
      <c r="F99" s="574"/>
      <c r="G99" s="578"/>
      <c r="H99" s="578"/>
      <c r="I99" s="578"/>
      <c r="J99" s="578"/>
      <c r="K99" s="578"/>
      <c r="L99" s="578"/>
      <c r="M99" s="587"/>
      <c r="N99" s="450"/>
      <c r="O99" s="450"/>
      <c r="P99" s="448"/>
      <c r="Q99" s="437"/>
      <c r="R99" s="351"/>
      <c r="S99" s="351"/>
      <c r="T99" s="351"/>
      <c r="U99" s="351"/>
      <c r="V99" s="351"/>
      <c r="W99" s="351"/>
      <c r="X99" s="351"/>
      <c r="Y99" s="351"/>
      <c r="Z99" s="351"/>
      <c r="AA99" s="351"/>
      <c r="AB99" s="351"/>
      <c r="AC99" s="351"/>
    </row>
    <row r="100" spans="1:29">
      <c r="A100" s="371" t="s">
        <v>1108</v>
      </c>
      <c r="B100" s="372" t="s">
        <v>2450</v>
      </c>
      <c r="C100" s="374"/>
      <c r="D100" s="374"/>
      <c r="E100" s="374"/>
      <c r="F100" s="374"/>
      <c r="G100" s="374"/>
      <c r="H100" s="374"/>
      <c r="I100" s="374"/>
      <c r="J100" s="374"/>
      <c r="K100" s="444"/>
      <c r="L100" s="445"/>
      <c r="M100" s="446"/>
      <c r="N100" s="447"/>
      <c r="O100" s="447"/>
      <c r="P100" s="448"/>
      <c r="Q100" s="437"/>
      <c r="R100" s="351"/>
      <c r="S100" s="351"/>
      <c r="T100" s="351"/>
      <c r="U100" s="351"/>
      <c r="V100" s="351"/>
      <c r="W100" s="351"/>
      <c r="X100" s="351"/>
      <c r="Y100" s="351"/>
      <c r="Z100" s="351"/>
      <c r="AA100" s="351"/>
      <c r="AB100" s="351"/>
      <c r="AC100" s="351"/>
    </row>
    <row r="101" spans="1:29" ht="15">
      <c r="A101" s="375"/>
      <c r="B101" s="380"/>
      <c r="C101" s="389">
        <v>100</v>
      </c>
      <c r="D101" s="389">
        <f t="shared" ref="D101:M101" si="18">C101-$K32</f>
        <v>100</v>
      </c>
      <c r="E101" s="389">
        <f t="shared" si="18"/>
        <v>100</v>
      </c>
      <c r="F101" s="389">
        <f t="shared" si="18"/>
        <v>100</v>
      </c>
      <c r="G101" s="389">
        <f t="shared" si="18"/>
        <v>100</v>
      </c>
      <c r="H101" s="389">
        <f t="shared" si="18"/>
        <v>100</v>
      </c>
      <c r="I101" s="389">
        <f t="shared" si="18"/>
        <v>100</v>
      </c>
      <c r="J101" s="389">
        <f t="shared" si="18"/>
        <v>100</v>
      </c>
      <c r="K101" s="389">
        <f t="shared" si="18"/>
        <v>100</v>
      </c>
      <c r="L101" s="389">
        <f t="shared" si="18"/>
        <v>100</v>
      </c>
      <c r="M101" s="466">
        <f t="shared" si="18"/>
        <v>100</v>
      </c>
      <c r="N101" s="450"/>
      <c r="O101" s="450"/>
      <c r="P101" s="448"/>
      <c r="Q101" s="437"/>
      <c r="R101" s="351"/>
      <c r="S101" s="351"/>
      <c r="T101" s="351"/>
      <c r="U101" s="351"/>
      <c r="V101" s="351"/>
      <c r="W101" s="351"/>
      <c r="X101" s="351"/>
      <c r="Y101" s="351"/>
      <c r="Z101" s="351"/>
      <c r="AA101" s="351"/>
      <c r="AB101" s="351"/>
      <c r="AC101" s="351"/>
    </row>
    <row r="102" spans="1:29" ht="15">
      <c r="A102" s="375"/>
      <c r="B102" s="378" t="s">
        <v>2416</v>
      </c>
      <c r="C102" s="391" t="str">
        <f>C103&amp;"(含)"&amp;"-"&amp;D103</f>
        <v>(含)-</v>
      </c>
      <c r="D102" s="391" t="str">
        <f t="shared" ref="D102:L102" si="19">D103&amp;"(含)"&amp;"-"&amp;E103</f>
        <v>(含)-</v>
      </c>
      <c r="E102" s="391" t="str">
        <f t="shared" si="19"/>
        <v>(含)-</v>
      </c>
      <c r="F102" s="391" t="str">
        <f t="shared" si="19"/>
        <v>(含)-</v>
      </c>
      <c r="G102" s="391" t="str">
        <f t="shared" si="19"/>
        <v>(含)-</v>
      </c>
      <c r="H102" s="391" t="str">
        <f t="shared" si="19"/>
        <v>(含)-</v>
      </c>
      <c r="I102" s="391" t="str">
        <f t="shared" si="19"/>
        <v>(含)-</v>
      </c>
      <c r="J102" s="391" t="str">
        <f t="shared" si="19"/>
        <v>(含)-</v>
      </c>
      <c r="K102" s="391" t="str">
        <f t="shared" si="19"/>
        <v>(含)-</v>
      </c>
      <c r="L102" s="391" t="str">
        <f t="shared" si="19"/>
        <v>(含)-</v>
      </c>
      <c r="M102" s="512" t="str">
        <f>M103&amp;"(含)"&amp;"-"&amp;P103</f>
        <v>(含)-</v>
      </c>
      <c r="N102" s="442"/>
      <c r="O102" s="442"/>
      <c r="P102" s="448"/>
      <c r="Q102" s="437"/>
      <c r="R102" s="351"/>
      <c r="S102" s="351"/>
      <c r="T102" s="351"/>
      <c r="U102" s="351"/>
      <c r="V102" s="351"/>
      <c r="W102" s="351"/>
      <c r="X102" s="351"/>
      <c r="Y102" s="351"/>
      <c r="Z102" s="351"/>
      <c r="AA102" s="351"/>
      <c r="AB102" s="351"/>
      <c r="AC102" s="351"/>
    </row>
    <row r="103" spans="1:29" s="212" customFormat="1">
      <c r="A103" s="503"/>
      <c r="B103" s="579"/>
      <c r="C103" s="502"/>
      <c r="D103" s="502"/>
      <c r="E103" s="502"/>
      <c r="F103" s="502"/>
      <c r="G103" s="502"/>
      <c r="H103" s="502"/>
      <c r="I103" s="502"/>
      <c r="J103" s="513"/>
      <c r="K103" s="513"/>
      <c r="L103" s="514"/>
      <c r="M103" s="515"/>
      <c r="N103" s="459"/>
      <c r="O103" s="459"/>
      <c r="P103" s="460"/>
      <c r="Q103" s="485"/>
      <c r="R103" s="486"/>
      <c r="S103" s="486"/>
      <c r="T103" s="486"/>
      <c r="U103" s="486"/>
      <c r="V103" s="486"/>
      <c r="W103" s="486"/>
      <c r="X103" s="486"/>
      <c r="Y103" s="486"/>
      <c r="Z103" s="486"/>
      <c r="AA103" s="486"/>
      <c r="AB103" s="486"/>
      <c r="AC103" s="486"/>
    </row>
    <row r="104" spans="1:29" s="212" customFormat="1" ht="15">
      <c r="A104" s="384"/>
      <c r="B104" s="380"/>
      <c r="C104" s="383"/>
      <c r="D104" s="377"/>
      <c r="E104" s="377"/>
      <c r="F104" s="377"/>
      <c r="G104" s="377"/>
      <c r="H104" s="377"/>
      <c r="I104" s="377"/>
      <c r="J104" s="377"/>
      <c r="K104" s="377"/>
      <c r="L104" s="377"/>
      <c r="M104" s="449"/>
      <c r="N104" s="450"/>
      <c r="O104" s="450"/>
      <c r="P104" s="460"/>
      <c r="Q104" s="485"/>
      <c r="R104" s="486"/>
      <c r="S104" s="486"/>
      <c r="T104" s="486"/>
      <c r="U104" s="486"/>
      <c r="V104" s="486"/>
      <c r="W104" s="486"/>
      <c r="X104" s="486"/>
      <c r="Y104" s="486"/>
      <c r="Z104" s="486"/>
      <c r="AA104" s="486"/>
      <c r="AB104" s="486"/>
      <c r="AC104" s="486"/>
    </row>
    <row r="105" spans="1:29">
      <c r="A105" s="501"/>
      <c r="B105" s="378" t="s">
        <v>2417</v>
      </c>
      <c r="C105" s="385"/>
      <c r="D105" s="385"/>
      <c r="E105" s="379"/>
      <c r="F105" s="379"/>
      <c r="G105" s="379"/>
      <c r="H105" s="379"/>
      <c r="I105" s="379"/>
      <c r="J105" s="379"/>
      <c r="K105" s="451"/>
      <c r="L105" s="452"/>
      <c r="M105" s="453"/>
      <c r="N105" s="447"/>
      <c r="O105" s="447"/>
      <c r="P105" s="448"/>
      <c r="Q105" s="437"/>
      <c r="R105" s="351"/>
      <c r="S105" s="351"/>
      <c r="T105" s="351"/>
      <c r="U105" s="351"/>
      <c r="V105" s="351"/>
      <c r="W105" s="351"/>
      <c r="X105" s="351"/>
      <c r="Y105" s="351"/>
      <c r="Z105" s="351"/>
      <c r="AA105" s="351"/>
      <c r="AB105" s="351"/>
      <c r="AC105" s="351"/>
    </row>
    <row r="106" spans="1:29" ht="15">
      <c r="A106" s="375"/>
      <c r="B106" s="380"/>
      <c r="C106" s="389">
        <v>100</v>
      </c>
      <c r="D106" s="389">
        <f t="shared" ref="D106:M106" si="20">C106-$K34</f>
        <v>100</v>
      </c>
      <c r="E106" s="389">
        <f t="shared" si="20"/>
        <v>100</v>
      </c>
      <c r="F106" s="389">
        <f t="shared" si="20"/>
        <v>100</v>
      </c>
      <c r="G106" s="389">
        <f t="shared" si="20"/>
        <v>100</v>
      </c>
      <c r="H106" s="389">
        <f t="shared" si="20"/>
        <v>100</v>
      </c>
      <c r="I106" s="389">
        <f t="shared" si="20"/>
        <v>100</v>
      </c>
      <c r="J106" s="389">
        <f t="shared" si="20"/>
        <v>100</v>
      </c>
      <c r="K106" s="389">
        <f t="shared" si="20"/>
        <v>100</v>
      </c>
      <c r="L106" s="389">
        <f t="shared" si="20"/>
        <v>100</v>
      </c>
      <c r="M106" s="466">
        <f t="shared" si="20"/>
        <v>100</v>
      </c>
      <c r="N106" s="450"/>
      <c r="O106" s="450"/>
      <c r="P106" s="448"/>
      <c r="Q106" s="437"/>
      <c r="R106" s="351"/>
      <c r="S106" s="351"/>
      <c r="T106" s="351"/>
      <c r="U106" s="351"/>
      <c r="V106" s="351"/>
      <c r="W106" s="351"/>
      <c r="X106" s="351"/>
      <c r="Y106" s="351"/>
      <c r="Z106" s="351"/>
      <c r="AA106" s="351"/>
      <c r="AB106" s="351"/>
      <c r="AC106" s="351"/>
    </row>
    <row r="107" spans="1:29">
      <c r="A107" s="501"/>
      <c r="B107" s="378" t="s">
        <v>2419</v>
      </c>
      <c r="C107" s="385"/>
      <c r="D107" s="385"/>
      <c r="E107" s="385"/>
      <c r="F107" s="379"/>
      <c r="G107" s="379"/>
      <c r="H107" s="379"/>
      <c r="I107" s="379"/>
      <c r="J107" s="379"/>
      <c r="K107" s="451"/>
      <c r="L107" s="452"/>
      <c r="M107" s="453"/>
      <c r="N107" s="447"/>
      <c r="O107" s="447"/>
      <c r="P107" s="448"/>
      <c r="Q107" s="437"/>
      <c r="R107" s="351"/>
      <c r="S107" s="351"/>
      <c r="T107" s="351"/>
      <c r="U107" s="351"/>
      <c r="V107" s="351"/>
      <c r="W107" s="351"/>
      <c r="X107" s="351"/>
      <c r="Y107" s="351"/>
      <c r="Z107" s="351"/>
      <c r="AA107" s="351"/>
      <c r="AB107" s="351"/>
      <c r="AC107" s="351"/>
    </row>
    <row r="108" spans="1:29" ht="15">
      <c r="A108" s="375"/>
      <c r="B108" s="380"/>
      <c r="C108" s="389">
        <v>100</v>
      </c>
      <c r="D108" s="389">
        <f t="shared" ref="D108:M108" si="21">C108-$K35</f>
        <v>100</v>
      </c>
      <c r="E108" s="389">
        <f t="shared" si="21"/>
        <v>100</v>
      </c>
      <c r="F108" s="389">
        <f t="shared" si="21"/>
        <v>100</v>
      </c>
      <c r="G108" s="389">
        <f t="shared" si="21"/>
        <v>100</v>
      </c>
      <c r="H108" s="389">
        <f t="shared" si="21"/>
        <v>100</v>
      </c>
      <c r="I108" s="389">
        <f t="shared" si="21"/>
        <v>100</v>
      </c>
      <c r="J108" s="389">
        <f t="shared" si="21"/>
        <v>100</v>
      </c>
      <c r="K108" s="389">
        <f t="shared" si="21"/>
        <v>100</v>
      </c>
      <c r="L108" s="389">
        <f t="shared" si="21"/>
        <v>100</v>
      </c>
      <c r="M108" s="466">
        <f t="shared" si="21"/>
        <v>100</v>
      </c>
      <c r="N108" s="450"/>
      <c r="O108" s="450"/>
      <c r="P108" s="448"/>
      <c r="Q108" s="437"/>
      <c r="R108" s="351"/>
      <c r="S108" s="351"/>
      <c r="T108" s="351"/>
      <c r="U108" s="351"/>
      <c r="V108" s="351"/>
      <c r="W108" s="351"/>
      <c r="X108" s="351"/>
      <c r="Y108" s="351"/>
      <c r="Z108" s="351"/>
      <c r="AA108" s="351"/>
      <c r="AB108" s="351"/>
      <c r="AC108" s="351"/>
    </row>
    <row r="109" spans="1:29">
      <c r="A109" s="501"/>
      <c r="B109" s="378" t="s">
        <v>2420</v>
      </c>
      <c r="C109" s="391" t="str">
        <f>C110&amp;"(含)"&amp;"-"&amp;D110</f>
        <v>0.5(含)-0.6</v>
      </c>
      <c r="D109" s="391" t="str">
        <f>D110&amp;"(含)"&amp;"-"&amp;E110</f>
        <v>0.6(含)-0.7</v>
      </c>
      <c r="E109" s="391" t="str">
        <f>E110&amp;"(含)"&amp;"-"&amp;F110</f>
        <v>0.7(含)-0.8</v>
      </c>
      <c r="F109" s="391" t="str">
        <f>F110&amp;"(含)"&amp;"-"&amp;G110</f>
        <v>0.8(含)-0.9</v>
      </c>
      <c r="G109" s="391" t="str">
        <f>G110&amp;"(含)"&amp;"-"&amp;ROUND(H110,0)</f>
        <v>0.9(含)-1</v>
      </c>
      <c r="H109" s="391"/>
      <c r="I109" s="379"/>
      <c r="J109" s="379"/>
      <c r="K109" s="451"/>
      <c r="L109" s="452"/>
      <c r="M109" s="453"/>
      <c r="N109" s="447"/>
      <c r="O109" s="447"/>
      <c r="P109" s="448"/>
      <c r="Q109" s="437"/>
      <c r="R109" s="351"/>
      <c r="S109" s="351"/>
      <c r="T109" s="351"/>
      <c r="U109" s="351"/>
      <c r="V109" s="351"/>
      <c r="W109" s="351"/>
      <c r="X109" s="351"/>
      <c r="Y109" s="351"/>
      <c r="Z109" s="351"/>
      <c r="AA109" s="351"/>
      <c r="AB109" s="351"/>
      <c r="AC109" s="351"/>
    </row>
    <row r="110" spans="1:29">
      <c r="A110" s="501"/>
      <c r="B110" s="497"/>
      <c r="C110" s="499">
        <v>0.5</v>
      </c>
      <c r="D110" s="499">
        <v>0.6</v>
      </c>
      <c r="E110" s="499">
        <v>0.7</v>
      </c>
      <c r="F110" s="499">
        <v>0.8</v>
      </c>
      <c r="G110" s="499">
        <v>0.9</v>
      </c>
      <c r="H110" s="499">
        <v>1.0001</v>
      </c>
      <c r="I110" s="549"/>
      <c r="J110" s="549"/>
      <c r="K110" s="550"/>
      <c r="L110" s="551"/>
      <c r="M110" s="552"/>
      <c r="N110" s="447"/>
      <c r="O110" s="447"/>
      <c r="P110" s="448"/>
      <c r="Q110" s="437"/>
      <c r="R110" s="351"/>
      <c r="S110" s="351"/>
      <c r="T110" s="351"/>
      <c r="U110" s="351"/>
      <c r="V110" s="351"/>
      <c r="W110" s="351"/>
      <c r="X110" s="351"/>
      <c r="Y110" s="351"/>
      <c r="Z110" s="351"/>
      <c r="AA110" s="351"/>
      <c r="AB110" s="351"/>
      <c r="AC110" s="351"/>
    </row>
    <row r="111" spans="1:29" ht="15">
      <c r="A111" s="375"/>
      <c r="B111" s="380"/>
      <c r="C111" s="500">
        <v>100</v>
      </c>
      <c r="D111" s="389">
        <f>C111+$K36</f>
        <v>100</v>
      </c>
      <c r="E111" s="389">
        <f t="shared" ref="E111:M111" si="22">D111+$K36</f>
        <v>100</v>
      </c>
      <c r="F111" s="389">
        <f t="shared" si="22"/>
        <v>100</v>
      </c>
      <c r="G111" s="389">
        <f t="shared" si="22"/>
        <v>100</v>
      </c>
      <c r="H111" s="389">
        <f t="shared" si="22"/>
        <v>100</v>
      </c>
      <c r="I111" s="389">
        <f t="shared" si="22"/>
        <v>100</v>
      </c>
      <c r="J111" s="389">
        <f t="shared" si="22"/>
        <v>100</v>
      </c>
      <c r="K111" s="389">
        <f t="shared" si="22"/>
        <v>100</v>
      </c>
      <c r="L111" s="389">
        <f t="shared" si="22"/>
        <v>100</v>
      </c>
      <c r="M111" s="389">
        <f t="shared" si="22"/>
        <v>100</v>
      </c>
      <c r="N111" s="450"/>
      <c r="O111" s="450"/>
      <c r="P111" s="448"/>
      <c r="Q111" s="437"/>
      <c r="R111" s="351"/>
      <c r="S111" s="351"/>
      <c r="T111" s="351"/>
      <c r="U111" s="351"/>
      <c r="V111" s="351"/>
      <c r="W111" s="351"/>
      <c r="X111" s="351"/>
      <c r="Y111" s="351"/>
      <c r="Z111" s="351"/>
      <c r="AA111" s="351"/>
      <c r="AB111" s="351"/>
      <c r="AC111" s="351"/>
    </row>
    <row r="112" spans="1:29" s="212" customFormat="1">
      <c r="A112" s="503"/>
      <c r="B112" s="390" t="s">
        <v>2422</v>
      </c>
      <c r="C112" s="385"/>
      <c r="D112" s="385"/>
      <c r="E112" s="385"/>
      <c r="F112" s="385"/>
      <c r="G112" s="385"/>
      <c r="H112" s="379"/>
      <c r="I112" s="379"/>
      <c r="J112" s="379"/>
      <c r="K112" s="451"/>
      <c r="L112" s="452"/>
      <c r="M112" s="453"/>
      <c r="N112" s="459"/>
      <c r="O112" s="459"/>
      <c r="P112" s="460"/>
      <c r="Q112" s="485"/>
      <c r="R112" s="486"/>
      <c r="S112" s="486"/>
      <c r="T112" s="486"/>
      <c r="U112" s="486"/>
      <c r="V112" s="486"/>
      <c r="W112" s="486"/>
      <c r="X112" s="486"/>
      <c r="Y112" s="486"/>
      <c r="Z112" s="486"/>
      <c r="AA112" s="486"/>
      <c r="AB112" s="486"/>
      <c r="AC112" s="486"/>
    </row>
    <row r="113" spans="1:29" s="212" customFormat="1" ht="15">
      <c r="A113" s="384"/>
      <c r="B113" s="380"/>
      <c r="C113" s="389">
        <v>100</v>
      </c>
      <c r="D113" s="389">
        <f>C113-$K37</f>
        <v>100</v>
      </c>
      <c r="E113" s="389">
        <f t="shared" ref="E113:M113" si="23">D113-$K37</f>
        <v>100</v>
      </c>
      <c r="F113" s="389">
        <f t="shared" si="23"/>
        <v>100</v>
      </c>
      <c r="G113" s="389">
        <f t="shared" si="23"/>
        <v>100</v>
      </c>
      <c r="H113" s="389">
        <f t="shared" si="23"/>
        <v>100</v>
      </c>
      <c r="I113" s="389">
        <f t="shared" si="23"/>
        <v>100</v>
      </c>
      <c r="J113" s="389">
        <f t="shared" si="23"/>
        <v>100</v>
      </c>
      <c r="K113" s="389">
        <f t="shared" si="23"/>
        <v>100</v>
      </c>
      <c r="L113" s="389">
        <f t="shared" si="23"/>
        <v>100</v>
      </c>
      <c r="M113" s="389">
        <f t="shared" si="23"/>
        <v>100</v>
      </c>
      <c r="N113" s="459"/>
      <c r="O113" s="459"/>
      <c r="P113" s="460"/>
      <c r="Q113" s="485"/>
      <c r="R113" s="486"/>
      <c r="S113" s="486"/>
      <c r="T113" s="486"/>
      <c r="U113" s="486"/>
      <c r="V113" s="486"/>
      <c r="W113" s="486"/>
      <c r="X113" s="486"/>
      <c r="Y113" s="486"/>
      <c r="Z113" s="486"/>
      <c r="AA113" s="486"/>
      <c r="AB113" s="486"/>
      <c r="AC113" s="486"/>
    </row>
    <row r="114" spans="1:29">
      <c r="A114" s="501"/>
      <c r="B114" s="378" t="s">
        <v>2451</v>
      </c>
      <c r="C114" s="385"/>
      <c r="D114" s="385"/>
      <c r="E114" s="379"/>
      <c r="F114" s="379"/>
      <c r="G114" s="379"/>
      <c r="H114" s="379"/>
      <c r="I114" s="379"/>
      <c r="J114" s="379"/>
      <c r="K114" s="451"/>
      <c r="L114" s="452"/>
      <c r="M114" s="453"/>
      <c r="N114" s="447"/>
      <c r="O114" s="447"/>
      <c r="P114" s="448"/>
      <c r="Q114" s="437"/>
      <c r="R114" s="351"/>
      <c r="S114" s="351"/>
      <c r="T114" s="351"/>
      <c r="U114" s="351"/>
      <c r="V114" s="351"/>
      <c r="W114" s="351"/>
      <c r="X114" s="351"/>
      <c r="Y114" s="351"/>
      <c r="Z114" s="351"/>
      <c r="AA114" s="351"/>
      <c r="AB114" s="351"/>
      <c r="AC114" s="351"/>
    </row>
    <row r="115" spans="1:29" ht="15">
      <c r="A115" s="375"/>
      <c r="B115" s="380"/>
      <c r="C115" s="389">
        <v>100</v>
      </c>
      <c r="D115" s="389">
        <f t="shared" ref="D115:M115" si="24">C115-$K38</f>
        <v>100</v>
      </c>
      <c r="E115" s="389">
        <f t="shared" si="24"/>
        <v>100</v>
      </c>
      <c r="F115" s="389">
        <f t="shared" si="24"/>
        <v>100</v>
      </c>
      <c r="G115" s="389">
        <f t="shared" si="24"/>
        <v>100</v>
      </c>
      <c r="H115" s="389">
        <f t="shared" si="24"/>
        <v>100</v>
      </c>
      <c r="I115" s="389">
        <f t="shared" si="24"/>
        <v>100</v>
      </c>
      <c r="J115" s="389">
        <f t="shared" si="24"/>
        <v>100</v>
      </c>
      <c r="K115" s="389">
        <f t="shared" si="24"/>
        <v>100</v>
      </c>
      <c r="L115" s="389">
        <f t="shared" si="24"/>
        <v>100</v>
      </c>
      <c r="M115" s="466">
        <f t="shared" si="24"/>
        <v>100</v>
      </c>
      <c r="N115" s="450"/>
      <c r="O115" s="450"/>
      <c r="P115" s="448"/>
      <c r="Q115" s="437"/>
      <c r="R115" s="351"/>
      <c r="S115" s="351"/>
      <c r="T115" s="351"/>
      <c r="U115" s="351"/>
      <c r="V115" s="351"/>
      <c r="W115" s="351"/>
      <c r="X115" s="351"/>
      <c r="Y115" s="351"/>
      <c r="Z115" s="351"/>
      <c r="AA115" s="351"/>
      <c r="AB115" s="351"/>
      <c r="AC115" s="351"/>
    </row>
    <row r="116" spans="1:29">
      <c r="A116" s="501"/>
      <c r="B116" s="378" t="s">
        <v>2452</v>
      </c>
      <c r="C116" s="385"/>
      <c r="D116" s="385"/>
      <c r="E116" s="385"/>
      <c r="F116" s="385"/>
      <c r="G116" s="385"/>
      <c r="H116" s="379"/>
      <c r="I116" s="379"/>
      <c r="J116" s="379"/>
      <c r="K116" s="451"/>
      <c r="L116" s="452"/>
      <c r="M116" s="453"/>
      <c r="N116" s="447"/>
      <c r="O116" s="447"/>
      <c r="P116" s="448"/>
      <c r="Q116" s="437"/>
      <c r="R116" s="351"/>
      <c r="S116" s="351"/>
      <c r="T116" s="351"/>
      <c r="U116" s="351"/>
      <c r="V116" s="351"/>
      <c r="W116" s="351"/>
      <c r="X116" s="351"/>
      <c r="Y116" s="351"/>
      <c r="Z116" s="351"/>
      <c r="AA116" s="351"/>
      <c r="AB116" s="351"/>
      <c r="AC116" s="351"/>
    </row>
    <row r="117" spans="1:29" ht="15">
      <c r="A117" s="375"/>
      <c r="B117" s="380"/>
      <c r="C117" s="389">
        <v>100</v>
      </c>
      <c r="D117" s="389">
        <f>C117-$K39</f>
        <v>100</v>
      </c>
      <c r="E117" s="389">
        <f>D117-$K39</f>
        <v>100</v>
      </c>
      <c r="F117" s="389">
        <f>E117-$K39</f>
        <v>100</v>
      </c>
      <c r="G117" s="389">
        <f>F117-$K39</f>
        <v>100</v>
      </c>
      <c r="H117" s="389"/>
      <c r="I117" s="389"/>
      <c r="J117" s="389"/>
      <c r="K117" s="389"/>
      <c r="L117" s="389"/>
      <c r="M117" s="466"/>
      <c r="N117" s="450"/>
      <c r="O117" s="450"/>
      <c r="P117" s="448"/>
      <c r="Q117" s="437"/>
      <c r="R117" s="351"/>
      <c r="S117" s="351"/>
      <c r="T117" s="351"/>
      <c r="U117" s="351"/>
      <c r="V117" s="351"/>
      <c r="W117" s="351"/>
      <c r="X117" s="351"/>
      <c r="Y117" s="351"/>
      <c r="Z117" s="351"/>
      <c r="AA117" s="351"/>
      <c r="AB117" s="351"/>
      <c r="AC117" s="351"/>
    </row>
    <row r="118" spans="1:29">
      <c r="A118" s="501"/>
      <c r="B118" s="378" t="s">
        <v>2453</v>
      </c>
      <c r="C118" s="631"/>
      <c r="D118" s="631"/>
      <c r="E118" s="631"/>
      <c r="F118" s="631"/>
      <c r="G118" s="631"/>
      <c r="H118" s="386"/>
      <c r="I118" s="386"/>
      <c r="J118" s="386"/>
      <c r="K118" s="386"/>
      <c r="L118" s="457"/>
      <c r="M118" s="458"/>
      <c r="N118" s="447"/>
      <c r="O118" s="447"/>
      <c r="P118" s="448"/>
      <c r="Q118" s="437"/>
      <c r="R118" s="351"/>
      <c r="S118" s="351"/>
      <c r="T118" s="351"/>
      <c r="U118" s="351"/>
      <c r="V118" s="351"/>
      <c r="W118" s="351"/>
      <c r="X118" s="351"/>
      <c r="Y118" s="351"/>
      <c r="Z118" s="351"/>
      <c r="AA118" s="351"/>
      <c r="AB118" s="351"/>
      <c r="AC118" s="351"/>
    </row>
    <row r="119" spans="1:29" ht="15">
      <c r="A119" s="375"/>
      <c r="B119" s="380"/>
      <c r="C119" s="383"/>
      <c r="D119" s="377"/>
      <c r="E119" s="377"/>
      <c r="F119" s="377"/>
      <c r="G119" s="377"/>
      <c r="H119" s="377"/>
      <c r="I119" s="377"/>
      <c r="J119" s="377"/>
      <c r="K119" s="377"/>
      <c r="L119" s="377"/>
      <c r="M119" s="449"/>
      <c r="N119" s="450"/>
      <c r="O119" s="450"/>
      <c r="P119" s="448"/>
      <c r="Q119" s="437"/>
      <c r="R119" s="351"/>
      <c r="S119" s="351"/>
      <c r="T119" s="351"/>
      <c r="U119" s="351"/>
      <c r="V119" s="351"/>
      <c r="W119" s="351"/>
      <c r="X119" s="351"/>
      <c r="Y119" s="351"/>
      <c r="Z119" s="351"/>
      <c r="AA119" s="351"/>
      <c r="AB119" s="351"/>
      <c r="AC119" s="351"/>
    </row>
    <row r="120" spans="1:29" s="212" customFormat="1">
      <c r="A120" s="503"/>
      <c r="B120" s="378" t="s">
        <v>2455</v>
      </c>
      <c r="C120" s="379"/>
      <c r="D120" s="379"/>
      <c r="E120" s="379"/>
      <c r="F120" s="379"/>
      <c r="G120" s="386"/>
      <c r="H120" s="386"/>
      <c r="I120" s="386"/>
      <c r="J120" s="386"/>
      <c r="K120" s="386"/>
      <c r="L120" s="457"/>
      <c r="M120" s="458"/>
      <c r="N120" s="459"/>
      <c r="O120" s="459"/>
      <c r="P120" s="460"/>
      <c r="Q120" s="485"/>
      <c r="R120" s="486"/>
      <c r="S120" s="486"/>
      <c r="T120" s="486"/>
      <c r="U120" s="486"/>
      <c r="V120" s="486"/>
      <c r="W120" s="486"/>
      <c r="X120" s="486"/>
      <c r="Y120" s="486"/>
      <c r="Z120" s="486"/>
      <c r="AA120" s="486"/>
      <c r="AB120" s="486"/>
      <c r="AC120" s="486"/>
    </row>
    <row r="121" spans="1:29" s="212" customFormat="1" ht="15">
      <c r="A121" s="384"/>
      <c r="B121" s="376"/>
      <c r="C121" s="500">
        <v>100</v>
      </c>
      <c r="D121" s="389">
        <f>C121-$K41</f>
        <v>100</v>
      </c>
      <c r="E121" s="389">
        <f t="shared" ref="E121:M121" si="25">D121-$K41</f>
        <v>100</v>
      </c>
      <c r="F121" s="389">
        <f t="shared" si="25"/>
        <v>100</v>
      </c>
      <c r="G121" s="389">
        <f t="shared" si="25"/>
        <v>100</v>
      </c>
      <c r="H121" s="389">
        <f t="shared" si="25"/>
        <v>100</v>
      </c>
      <c r="I121" s="389">
        <f t="shared" si="25"/>
        <v>100</v>
      </c>
      <c r="J121" s="389">
        <f t="shared" si="25"/>
        <v>100</v>
      </c>
      <c r="K121" s="389">
        <f t="shared" si="25"/>
        <v>100</v>
      </c>
      <c r="L121" s="389">
        <f t="shared" si="25"/>
        <v>100</v>
      </c>
      <c r="M121" s="466">
        <f t="shared" si="25"/>
        <v>100</v>
      </c>
      <c r="N121" s="459"/>
      <c r="O121" s="459"/>
      <c r="P121" s="460"/>
      <c r="Q121" s="485"/>
      <c r="R121" s="486"/>
      <c r="S121" s="486"/>
      <c r="T121" s="486"/>
      <c r="U121" s="486"/>
      <c r="V121" s="486"/>
      <c r="W121" s="486"/>
      <c r="X121" s="486"/>
      <c r="Y121" s="486"/>
      <c r="Z121" s="486"/>
      <c r="AA121" s="486"/>
      <c r="AB121" s="486"/>
      <c r="AC121" s="486"/>
    </row>
    <row r="122" spans="1:29">
      <c r="A122" s="501"/>
      <c r="B122" s="378" t="s">
        <v>2425</v>
      </c>
      <c r="C122" s="385"/>
      <c r="D122" s="385"/>
      <c r="E122" s="385"/>
      <c r="F122" s="379"/>
      <c r="G122" s="379"/>
      <c r="H122" s="379"/>
      <c r="I122" s="379"/>
      <c r="J122" s="379"/>
      <c r="K122" s="451"/>
      <c r="L122" s="452"/>
      <c r="M122" s="453"/>
      <c r="N122" s="447"/>
      <c r="O122" s="447"/>
      <c r="P122" s="448"/>
      <c r="Q122" s="437"/>
      <c r="R122" s="351"/>
      <c r="S122" s="351"/>
      <c r="T122" s="351"/>
      <c r="U122" s="351"/>
      <c r="V122" s="351"/>
      <c r="W122" s="351"/>
      <c r="X122" s="351"/>
      <c r="Y122" s="351"/>
      <c r="Z122" s="351"/>
      <c r="AA122" s="351"/>
      <c r="AB122" s="351"/>
      <c r="AC122" s="351"/>
    </row>
    <row r="123" spans="1:29" ht="15">
      <c r="A123" s="375"/>
      <c r="B123" s="380"/>
      <c r="C123" s="389">
        <v>100</v>
      </c>
      <c r="D123" s="389">
        <f t="shared" ref="D123:M123" si="26">C123-$K42</f>
        <v>100</v>
      </c>
      <c r="E123" s="389">
        <f t="shared" si="26"/>
        <v>100</v>
      </c>
      <c r="F123" s="389">
        <f t="shared" si="26"/>
        <v>100</v>
      </c>
      <c r="G123" s="389">
        <f t="shared" si="26"/>
        <v>100</v>
      </c>
      <c r="H123" s="389">
        <f t="shared" si="26"/>
        <v>100</v>
      </c>
      <c r="I123" s="389">
        <f t="shared" si="26"/>
        <v>100</v>
      </c>
      <c r="J123" s="389">
        <f t="shared" si="26"/>
        <v>100</v>
      </c>
      <c r="K123" s="389">
        <f t="shared" si="26"/>
        <v>100</v>
      </c>
      <c r="L123" s="389">
        <f t="shared" si="26"/>
        <v>100</v>
      </c>
      <c r="M123" s="466">
        <f t="shared" si="26"/>
        <v>100</v>
      </c>
      <c r="N123" s="450"/>
      <c r="O123" s="450"/>
      <c r="P123" s="448"/>
      <c r="Q123" s="437"/>
      <c r="R123" s="351"/>
      <c r="S123" s="351"/>
      <c r="T123" s="351"/>
      <c r="U123" s="351"/>
      <c r="V123" s="351"/>
      <c r="W123" s="351"/>
      <c r="X123" s="351"/>
      <c r="Y123" s="351"/>
      <c r="Z123" s="351"/>
      <c r="AA123" s="351"/>
      <c r="AB123" s="351"/>
      <c r="AC123" s="351"/>
    </row>
    <row r="124" spans="1:29">
      <c r="A124" s="501"/>
      <c r="B124" s="378" t="s">
        <v>233</v>
      </c>
      <c r="C124" s="391" t="s">
        <v>244</v>
      </c>
      <c r="D124" s="391" t="s">
        <v>256</v>
      </c>
      <c r="E124" s="391" t="s">
        <v>267</v>
      </c>
      <c r="F124" s="391" t="s">
        <v>277</v>
      </c>
      <c r="G124" s="391" t="s">
        <v>285</v>
      </c>
      <c r="H124" s="392"/>
      <c r="I124" s="392"/>
      <c r="J124" s="392"/>
      <c r="K124" s="467"/>
      <c r="L124" s="468"/>
      <c r="M124" s="469"/>
      <c r="N124" s="447"/>
      <c r="O124" s="447"/>
      <c r="P124" s="460"/>
      <c r="Q124" s="437"/>
      <c r="R124" s="351"/>
      <c r="S124" s="351"/>
      <c r="T124" s="351"/>
      <c r="U124" s="351"/>
      <c r="V124" s="351"/>
      <c r="W124" s="351"/>
      <c r="X124" s="351"/>
      <c r="Y124" s="351"/>
      <c r="Z124" s="351"/>
      <c r="AA124" s="351"/>
      <c r="AB124" s="351"/>
      <c r="AC124" s="351"/>
    </row>
    <row r="125" spans="1:29" ht="15">
      <c r="A125" s="375"/>
      <c r="B125" s="380"/>
      <c r="C125" s="389">
        <v>100</v>
      </c>
      <c r="D125" s="389">
        <f>C125-$K43</f>
        <v>100</v>
      </c>
      <c r="E125" s="389">
        <f>D125-$K43</f>
        <v>100</v>
      </c>
      <c r="F125" s="389">
        <f>E125-$K43</f>
        <v>100</v>
      </c>
      <c r="G125" s="389">
        <f>F125-$K43</f>
        <v>100</v>
      </c>
      <c r="H125" s="389"/>
      <c r="I125" s="389"/>
      <c r="J125" s="389"/>
      <c r="K125" s="389"/>
      <c r="L125" s="389"/>
      <c r="M125" s="466"/>
      <c r="N125" s="450"/>
      <c r="O125" s="450"/>
      <c r="P125" s="448"/>
      <c r="Q125" s="437"/>
      <c r="R125" s="351"/>
      <c r="S125" s="351"/>
      <c r="T125" s="351"/>
      <c r="U125" s="351"/>
      <c r="V125" s="351"/>
      <c r="W125" s="351"/>
      <c r="X125" s="351"/>
      <c r="Y125" s="351"/>
      <c r="Z125" s="351"/>
      <c r="AA125" s="351"/>
      <c r="AB125" s="351"/>
      <c r="AC125" s="351"/>
    </row>
    <row r="126" spans="1:29" s="212" customFormat="1">
      <c r="A126" s="503"/>
      <c r="B126" s="378">
        <f>B44</f>
        <v>111</v>
      </c>
      <c r="C126" s="385"/>
      <c r="D126" s="385"/>
      <c r="E126" s="385"/>
      <c r="F126" s="385"/>
      <c r="G126" s="385"/>
      <c r="H126" s="386"/>
      <c r="I126" s="386"/>
      <c r="J126" s="386"/>
      <c r="K126" s="386"/>
      <c r="L126" s="457"/>
      <c r="M126" s="458"/>
      <c r="N126" s="459"/>
      <c r="O126" s="459"/>
      <c r="P126" s="460"/>
      <c r="Q126" s="485"/>
      <c r="R126" s="486"/>
      <c r="S126" s="486"/>
      <c r="T126" s="486"/>
      <c r="U126" s="486"/>
      <c r="V126" s="486"/>
      <c r="W126" s="486"/>
      <c r="X126" s="486"/>
      <c r="Y126" s="486"/>
      <c r="Z126" s="486"/>
      <c r="AA126" s="486"/>
      <c r="AB126" s="486"/>
      <c r="AC126" s="486"/>
    </row>
    <row r="127" spans="1:29" s="212" customFormat="1" ht="15">
      <c r="A127" s="384"/>
      <c r="B127" s="380"/>
      <c r="C127" s="383"/>
      <c r="D127" s="377"/>
      <c r="E127" s="377"/>
      <c r="F127" s="377"/>
      <c r="G127" s="383"/>
      <c r="H127" s="387"/>
      <c r="I127" s="387"/>
      <c r="J127" s="387"/>
      <c r="K127" s="387"/>
      <c r="L127" s="387"/>
      <c r="M127" s="461"/>
      <c r="N127" s="459"/>
      <c r="O127" s="459"/>
      <c r="P127" s="460"/>
      <c r="Q127" s="485"/>
      <c r="R127" s="486"/>
      <c r="S127" s="486"/>
      <c r="T127" s="486"/>
      <c r="U127" s="486"/>
      <c r="V127" s="486"/>
      <c r="W127" s="486"/>
      <c r="X127" s="486"/>
      <c r="Y127" s="486"/>
      <c r="Z127" s="486"/>
      <c r="AA127" s="486"/>
      <c r="AB127" s="486"/>
      <c r="AC127" s="486"/>
    </row>
    <row r="128" spans="1:29">
      <c r="A128" s="501"/>
      <c r="B128" s="378">
        <f>B45</f>
        <v>111</v>
      </c>
      <c r="C128" s="385"/>
      <c r="D128" s="385"/>
      <c r="E128" s="385"/>
      <c r="F128" s="385"/>
      <c r="G128" s="379"/>
      <c r="H128" s="379"/>
      <c r="I128" s="379"/>
      <c r="J128" s="379"/>
      <c r="K128" s="451"/>
      <c r="L128" s="452"/>
      <c r="M128" s="453"/>
      <c r="N128" s="447"/>
      <c r="O128" s="447"/>
      <c r="P128" s="448"/>
      <c r="Q128" s="437"/>
      <c r="R128" s="351"/>
      <c r="S128" s="351"/>
      <c r="T128" s="351"/>
      <c r="U128" s="351"/>
      <c r="V128" s="351"/>
      <c r="W128" s="351"/>
      <c r="X128" s="351"/>
      <c r="Y128" s="351"/>
      <c r="Z128" s="351"/>
      <c r="AA128" s="351"/>
      <c r="AB128" s="351"/>
      <c r="AC128" s="351"/>
    </row>
    <row r="129" spans="1:29" ht="15">
      <c r="A129" s="375"/>
      <c r="B129" s="380"/>
      <c r="C129" s="383"/>
      <c r="D129" s="377"/>
      <c r="E129" s="377"/>
      <c r="F129" s="377"/>
      <c r="G129" s="377"/>
      <c r="H129" s="377"/>
      <c r="I129" s="377"/>
      <c r="J129" s="377"/>
      <c r="K129" s="377"/>
      <c r="L129" s="377"/>
      <c r="M129" s="449"/>
      <c r="N129" s="450"/>
      <c r="O129" s="450"/>
      <c r="P129" s="448"/>
      <c r="Q129" s="437"/>
      <c r="R129" s="351"/>
      <c r="S129" s="351"/>
      <c r="T129" s="351"/>
      <c r="U129" s="351"/>
      <c r="V129" s="351"/>
      <c r="W129" s="351"/>
      <c r="X129" s="351"/>
      <c r="Y129" s="351"/>
      <c r="Z129" s="351"/>
      <c r="AA129" s="351"/>
      <c r="AB129" s="351"/>
      <c r="AC129" s="351"/>
    </row>
    <row r="130" spans="1:29">
      <c r="A130" s="501"/>
      <c r="B130" s="497">
        <f>B46</f>
        <v>111</v>
      </c>
      <c r="C130" s="385"/>
      <c r="D130" s="385"/>
      <c r="E130" s="385"/>
      <c r="F130" s="385"/>
      <c r="G130" s="576"/>
      <c r="H130" s="576"/>
      <c r="I130" s="576"/>
      <c r="J130" s="576"/>
      <c r="K130" s="370"/>
      <c r="L130" s="440"/>
      <c r="M130" s="586"/>
      <c r="N130" s="447"/>
      <c r="O130" s="447"/>
      <c r="P130" s="448"/>
      <c r="Q130" s="437"/>
      <c r="R130" s="351"/>
      <c r="S130" s="351"/>
      <c r="T130" s="351"/>
      <c r="U130" s="351"/>
      <c r="V130" s="351"/>
      <c r="W130" s="351"/>
      <c r="X130" s="351"/>
      <c r="Y130" s="351"/>
      <c r="Z130" s="351"/>
      <c r="AA130" s="351"/>
      <c r="AB130" s="351"/>
      <c r="AC130" s="351"/>
    </row>
    <row r="131" spans="1:29" ht="15">
      <c r="A131" s="577"/>
      <c r="B131" s="573"/>
      <c r="C131" s="574"/>
      <c r="D131" s="574"/>
      <c r="E131" s="574"/>
      <c r="F131" s="574"/>
      <c r="G131" s="578"/>
      <c r="H131" s="578"/>
      <c r="I131" s="578"/>
      <c r="J131" s="578"/>
      <c r="K131" s="578"/>
      <c r="L131" s="578"/>
      <c r="M131" s="587"/>
      <c r="N131" s="450"/>
      <c r="O131" s="450"/>
      <c r="P131" s="448"/>
      <c r="Q131" s="437"/>
      <c r="R131" s="351"/>
      <c r="S131" s="351"/>
      <c r="T131" s="351"/>
      <c r="U131" s="351"/>
      <c r="V131" s="351"/>
      <c r="W131" s="351"/>
      <c r="X131" s="351"/>
      <c r="Y131" s="351"/>
      <c r="Z131" s="351"/>
      <c r="AA131" s="351"/>
      <c r="AB131" s="351"/>
      <c r="AC131" s="351"/>
    </row>
    <row r="132" spans="1:29">
      <c r="A132" s="505"/>
      <c r="B132" s="505"/>
      <c r="C132" s="505"/>
      <c r="D132" s="505"/>
      <c r="E132" s="505"/>
      <c r="F132" s="505"/>
      <c r="G132" s="505"/>
      <c r="H132" s="505"/>
      <c r="I132" s="505"/>
      <c r="J132" s="505"/>
      <c r="K132" s="517"/>
      <c r="L132" s="518"/>
      <c r="M132" s="505"/>
      <c r="N132" s="505"/>
      <c r="O132" s="505"/>
      <c r="P132" s="505"/>
      <c r="Q132" s="505"/>
      <c r="R132" s="505"/>
      <c r="S132" s="505"/>
      <c r="T132" s="505"/>
      <c r="U132" s="505"/>
      <c r="V132" s="505"/>
      <c r="W132" s="505"/>
      <c r="X132" s="505"/>
      <c r="Y132" s="505"/>
      <c r="Z132" s="505"/>
      <c r="AA132" s="505"/>
      <c r="AB132" s="505"/>
      <c r="AC132" s="505"/>
    </row>
    <row r="133" spans="1:29">
      <c r="A133" s="505"/>
      <c r="B133" s="505"/>
      <c r="C133" s="505"/>
      <c r="D133" s="505"/>
      <c r="E133" s="505"/>
      <c r="F133" s="505"/>
      <c r="G133" s="505"/>
      <c r="H133" s="505"/>
      <c r="I133" s="505"/>
      <c r="J133" s="505"/>
      <c r="K133" s="517"/>
      <c r="L133" s="518"/>
      <c r="M133" s="505"/>
      <c r="N133" s="505"/>
      <c r="O133" s="505"/>
      <c r="P133" s="505"/>
      <c r="Q133" s="505"/>
      <c r="R133" s="505"/>
      <c r="S133" s="505"/>
      <c r="T133" s="505"/>
      <c r="U133" s="505"/>
      <c r="V133" s="505"/>
      <c r="W133" s="505"/>
      <c r="X133" s="505"/>
      <c r="Y133" s="505"/>
      <c r="Z133" s="505"/>
      <c r="AA133" s="505"/>
      <c r="AB133" s="505"/>
      <c r="AC133" s="505"/>
    </row>
    <row r="134" spans="1:29">
      <c r="A134" s="505"/>
      <c r="B134" s="505"/>
      <c r="C134" s="505"/>
      <c r="D134" s="505"/>
      <c r="E134" s="505"/>
      <c r="F134" s="505"/>
      <c r="G134" s="505"/>
      <c r="H134" s="505"/>
      <c r="I134" s="505"/>
      <c r="J134" s="505"/>
      <c r="K134" s="517"/>
      <c r="L134" s="518"/>
      <c r="M134" s="505"/>
      <c r="N134" s="505"/>
      <c r="O134" s="505"/>
      <c r="P134" s="505"/>
      <c r="Q134" s="505"/>
      <c r="R134" s="505"/>
      <c r="S134" s="505"/>
      <c r="T134" s="505"/>
      <c r="U134" s="505"/>
      <c r="V134" s="505"/>
      <c r="W134" s="505"/>
      <c r="X134" s="505"/>
      <c r="Y134" s="505"/>
      <c r="Z134" s="505"/>
      <c r="AA134" s="505"/>
      <c r="AB134" s="505"/>
      <c r="AC134" s="505"/>
    </row>
    <row r="135" spans="1:29">
      <c r="A135" s="505"/>
      <c r="B135" s="505"/>
      <c r="C135" s="505"/>
      <c r="D135" s="505"/>
      <c r="E135" s="505"/>
      <c r="F135" s="505"/>
      <c r="G135" s="505"/>
      <c r="H135" s="505"/>
      <c r="I135" s="505"/>
      <c r="J135" s="505"/>
      <c r="K135" s="517"/>
      <c r="L135" s="518"/>
      <c r="M135" s="505"/>
      <c r="N135" s="505"/>
      <c r="O135" s="505"/>
      <c r="P135" s="505"/>
      <c r="Q135" s="505"/>
      <c r="R135" s="505"/>
      <c r="S135" s="505"/>
      <c r="T135" s="505"/>
      <c r="U135" s="505"/>
      <c r="V135" s="505"/>
      <c r="W135" s="505"/>
      <c r="X135" s="505"/>
      <c r="Y135" s="505"/>
      <c r="Z135" s="505"/>
      <c r="AA135" s="505"/>
      <c r="AB135" s="505"/>
      <c r="AC135" s="505"/>
    </row>
    <row r="136" spans="1:29">
      <c r="A136" s="505"/>
      <c r="B136" s="505"/>
      <c r="C136" s="505"/>
      <c r="D136" s="505"/>
      <c r="E136" s="505"/>
      <c r="F136" s="505"/>
      <c r="G136" s="505"/>
      <c r="H136" s="505"/>
      <c r="I136" s="505"/>
      <c r="J136" s="505"/>
      <c r="K136" s="517"/>
      <c r="L136" s="518"/>
      <c r="M136" s="505"/>
      <c r="N136" s="505"/>
      <c r="O136" s="505"/>
      <c r="P136" s="505"/>
      <c r="Q136" s="505"/>
      <c r="R136" s="505"/>
      <c r="S136" s="505"/>
      <c r="T136" s="505"/>
      <c r="U136" s="505"/>
      <c r="V136" s="505"/>
      <c r="W136" s="505"/>
      <c r="X136" s="505"/>
      <c r="Y136" s="505"/>
      <c r="Z136" s="505"/>
      <c r="AA136" s="505"/>
      <c r="AB136" s="505"/>
      <c r="AC136" s="505"/>
    </row>
    <row r="137" spans="1:29">
      <c r="A137" s="505"/>
      <c r="B137" s="505"/>
      <c r="C137" s="505"/>
      <c r="D137" s="505"/>
      <c r="E137" s="505"/>
      <c r="F137" s="505"/>
      <c r="G137" s="505"/>
      <c r="H137" s="505"/>
      <c r="I137" s="505"/>
      <c r="J137" s="505"/>
      <c r="K137" s="517"/>
      <c r="L137" s="518"/>
      <c r="M137" s="505"/>
      <c r="N137" s="505"/>
      <c r="O137" s="505"/>
      <c r="P137" s="505"/>
      <c r="Q137" s="505"/>
      <c r="R137" s="505"/>
      <c r="S137" s="505"/>
      <c r="T137" s="505"/>
      <c r="U137" s="505"/>
      <c r="V137" s="505"/>
      <c r="W137" s="505"/>
      <c r="X137" s="505"/>
      <c r="Y137" s="505"/>
      <c r="Z137" s="505"/>
      <c r="AA137" s="505"/>
      <c r="AB137" s="505"/>
      <c r="AC137" s="505"/>
    </row>
    <row r="138" spans="1:29">
      <c r="A138" s="505"/>
      <c r="B138" s="505"/>
      <c r="C138" s="505"/>
      <c r="D138" s="505"/>
      <c r="E138" s="505"/>
      <c r="F138" s="505"/>
      <c r="G138" s="505"/>
      <c r="H138" s="505"/>
      <c r="I138" s="505"/>
      <c r="J138" s="505"/>
      <c r="K138" s="517"/>
      <c r="L138" s="518"/>
      <c r="M138" s="505"/>
      <c r="N138" s="505"/>
      <c r="O138" s="505"/>
      <c r="P138" s="505"/>
      <c r="Q138" s="505"/>
      <c r="R138" s="505"/>
      <c r="S138" s="505"/>
      <c r="T138" s="505"/>
      <c r="U138" s="505"/>
      <c r="V138" s="505"/>
      <c r="W138" s="505"/>
      <c r="X138" s="505"/>
      <c r="Y138" s="505"/>
      <c r="Z138" s="505"/>
      <c r="AA138" s="505"/>
      <c r="AB138" s="505"/>
      <c r="AC138" s="505"/>
    </row>
    <row r="139" spans="1:29">
      <c r="A139" s="505"/>
      <c r="B139" s="505"/>
      <c r="C139" s="505"/>
      <c r="D139" s="505"/>
      <c r="E139" s="505"/>
      <c r="F139" s="505"/>
      <c r="G139" s="505"/>
      <c r="H139" s="505"/>
      <c r="I139" s="505"/>
      <c r="J139" s="505"/>
      <c r="K139" s="517"/>
      <c r="L139" s="518"/>
      <c r="M139" s="505"/>
      <c r="N139" s="505"/>
      <c r="O139" s="505"/>
      <c r="P139" s="505"/>
      <c r="Q139" s="505"/>
      <c r="R139" s="505"/>
      <c r="S139" s="505"/>
      <c r="T139" s="505"/>
      <c r="U139" s="505"/>
      <c r="V139" s="505"/>
      <c r="W139" s="505"/>
      <c r="X139" s="505"/>
      <c r="Y139" s="505"/>
      <c r="Z139" s="505"/>
      <c r="AA139" s="505"/>
      <c r="AB139" s="505"/>
      <c r="AC139" s="505"/>
    </row>
    <row r="140" spans="1:29">
      <c r="A140" s="505"/>
      <c r="B140" s="505"/>
      <c r="C140" s="505"/>
      <c r="D140" s="505"/>
      <c r="E140" s="505"/>
      <c r="F140" s="505"/>
      <c r="G140" s="505"/>
      <c r="H140" s="505"/>
      <c r="I140" s="505"/>
      <c r="J140" s="505"/>
      <c r="K140" s="517"/>
      <c r="L140" s="518"/>
      <c r="M140" s="505"/>
      <c r="N140" s="505"/>
      <c r="O140" s="505"/>
      <c r="P140" s="505"/>
      <c r="Q140" s="505"/>
      <c r="R140" s="505"/>
      <c r="S140" s="505"/>
      <c r="T140" s="505"/>
      <c r="U140" s="505"/>
      <c r="V140" s="505"/>
      <c r="W140" s="505"/>
      <c r="X140" s="505"/>
      <c r="Y140" s="505"/>
      <c r="Z140" s="505"/>
      <c r="AA140" s="505"/>
      <c r="AB140" s="505"/>
      <c r="AC140" s="505"/>
    </row>
    <row r="141" spans="1:29">
      <c r="A141" s="505"/>
      <c r="B141" s="505"/>
      <c r="C141" s="505"/>
      <c r="D141" s="505"/>
      <c r="E141" s="505"/>
      <c r="F141" s="505"/>
      <c r="G141" s="505"/>
      <c r="H141" s="505"/>
      <c r="I141" s="505"/>
      <c r="J141" s="505"/>
      <c r="K141" s="517"/>
      <c r="L141" s="518"/>
      <c r="M141" s="505"/>
      <c r="N141" s="505"/>
      <c r="O141" s="505"/>
      <c r="P141" s="505"/>
      <c r="Q141" s="505"/>
      <c r="R141" s="505"/>
      <c r="S141" s="505"/>
      <c r="T141" s="505"/>
      <c r="U141" s="505"/>
      <c r="V141" s="505"/>
      <c r="W141" s="505"/>
      <c r="X141" s="505"/>
      <c r="Y141" s="505"/>
      <c r="Z141" s="505"/>
      <c r="AA141" s="505"/>
      <c r="AB141" s="505"/>
      <c r="AC141" s="505"/>
    </row>
    <row r="142" spans="1:29">
      <c r="A142" s="505"/>
      <c r="B142" s="505"/>
      <c r="C142" s="505"/>
      <c r="D142" s="505"/>
      <c r="E142" s="505"/>
      <c r="F142" s="505"/>
      <c r="G142" s="505"/>
      <c r="H142" s="505"/>
      <c r="I142" s="505"/>
      <c r="J142" s="505"/>
      <c r="K142" s="517"/>
      <c r="L142" s="518"/>
      <c r="M142" s="505"/>
      <c r="N142" s="505"/>
      <c r="O142" s="505"/>
      <c r="P142" s="505"/>
      <c r="Q142" s="505"/>
      <c r="R142" s="505"/>
      <c r="S142" s="505"/>
      <c r="T142" s="505"/>
      <c r="U142" s="505"/>
      <c r="V142" s="505"/>
      <c r="W142" s="505"/>
      <c r="X142" s="505"/>
      <c r="Y142" s="505"/>
      <c r="Z142" s="505"/>
      <c r="AA142" s="505"/>
      <c r="AB142" s="505"/>
      <c r="AC142" s="505"/>
    </row>
    <row r="143" spans="1:29">
      <c r="A143" s="505"/>
      <c r="B143" s="505"/>
      <c r="C143" s="505"/>
      <c r="D143" s="505"/>
      <c r="E143" s="505"/>
      <c r="F143" s="505"/>
      <c r="G143" s="505"/>
      <c r="H143" s="505"/>
      <c r="I143" s="505"/>
      <c r="J143" s="505"/>
      <c r="K143" s="517"/>
      <c r="L143" s="518"/>
      <c r="M143" s="505"/>
      <c r="N143" s="505"/>
      <c r="O143" s="505"/>
      <c r="P143" s="505"/>
      <c r="Q143" s="505"/>
      <c r="R143" s="505"/>
      <c r="S143" s="505"/>
      <c r="T143" s="505"/>
      <c r="U143" s="505"/>
      <c r="V143" s="505"/>
      <c r="W143" s="505"/>
      <c r="X143" s="505"/>
      <c r="Y143" s="505"/>
      <c r="Z143" s="505"/>
      <c r="AA143" s="505"/>
      <c r="AB143" s="505"/>
      <c r="AC143" s="505"/>
    </row>
    <row r="144" spans="1:29">
      <c r="A144" s="505"/>
      <c r="B144" s="505"/>
      <c r="C144" s="505"/>
      <c r="D144" s="505"/>
      <c r="E144" s="505"/>
      <c r="F144" s="505"/>
      <c r="G144" s="505"/>
      <c r="H144" s="505"/>
      <c r="I144" s="505"/>
      <c r="J144" s="505"/>
      <c r="K144" s="517"/>
      <c r="L144" s="518"/>
      <c r="M144" s="505"/>
      <c r="N144" s="505"/>
      <c r="O144" s="505"/>
      <c r="P144" s="505"/>
      <c r="Q144" s="505"/>
      <c r="R144" s="505"/>
      <c r="S144" s="505"/>
      <c r="T144" s="505"/>
      <c r="U144" s="505"/>
      <c r="V144" s="505"/>
      <c r="W144" s="505"/>
      <c r="X144" s="505"/>
      <c r="Y144" s="505"/>
      <c r="Z144" s="505"/>
      <c r="AA144" s="505"/>
      <c r="AB144" s="505"/>
      <c r="AC144" s="505"/>
    </row>
    <row r="145" spans="1:29">
      <c r="A145" s="505"/>
      <c r="B145" s="505"/>
      <c r="C145" s="505"/>
      <c r="D145" s="505"/>
      <c r="E145" s="505"/>
      <c r="F145" s="505"/>
      <c r="G145" s="505"/>
      <c r="H145" s="505"/>
      <c r="I145" s="505"/>
      <c r="J145" s="505"/>
      <c r="K145" s="517"/>
      <c r="L145" s="518"/>
      <c r="M145" s="505"/>
      <c r="N145" s="505"/>
      <c r="O145" s="505"/>
      <c r="P145" s="505"/>
      <c r="Q145" s="505"/>
      <c r="R145" s="505"/>
      <c r="S145" s="505"/>
      <c r="T145" s="505"/>
      <c r="U145" s="505"/>
      <c r="V145" s="505"/>
      <c r="W145" s="505"/>
      <c r="X145" s="505"/>
      <c r="Y145" s="505"/>
      <c r="Z145" s="505"/>
      <c r="AA145" s="505"/>
      <c r="AB145" s="505"/>
      <c r="AC145" s="505"/>
    </row>
    <row r="146" spans="1:29">
      <c r="A146" s="505"/>
      <c r="B146" s="505"/>
      <c r="C146" s="505"/>
      <c r="D146" s="505"/>
      <c r="E146" s="505"/>
      <c r="F146" s="505"/>
      <c r="G146" s="505"/>
      <c r="H146" s="505"/>
      <c r="I146" s="505"/>
      <c r="J146" s="505"/>
      <c r="K146" s="517"/>
      <c r="L146" s="518"/>
      <c r="M146" s="505"/>
      <c r="N146" s="505"/>
      <c r="O146" s="505"/>
      <c r="P146" s="505"/>
      <c r="Q146" s="505"/>
      <c r="R146" s="505"/>
      <c r="S146" s="505"/>
      <c r="T146" s="505"/>
      <c r="U146" s="505"/>
      <c r="V146" s="505"/>
      <c r="W146" s="505"/>
      <c r="X146" s="505"/>
      <c r="Y146" s="505"/>
      <c r="Z146" s="505"/>
      <c r="AA146" s="505"/>
      <c r="AB146" s="505"/>
      <c r="AC146" s="505"/>
    </row>
    <row r="147" spans="1:29">
      <c r="A147" s="505"/>
      <c r="B147" s="505"/>
      <c r="C147" s="505"/>
      <c r="D147" s="505"/>
      <c r="E147" s="505"/>
      <c r="F147" s="505"/>
      <c r="G147" s="505"/>
      <c r="H147" s="505"/>
      <c r="I147" s="505"/>
      <c r="J147" s="505"/>
      <c r="K147" s="517"/>
      <c r="L147" s="518"/>
      <c r="M147" s="505"/>
      <c r="N147" s="505"/>
      <c r="O147" s="505"/>
      <c r="P147" s="505"/>
      <c r="Q147" s="505"/>
      <c r="R147" s="505"/>
      <c r="S147" s="505"/>
      <c r="T147" s="505"/>
      <c r="U147" s="505"/>
      <c r="V147" s="505"/>
      <c r="W147" s="505"/>
      <c r="X147" s="505"/>
      <c r="Y147" s="505"/>
      <c r="Z147" s="505"/>
      <c r="AA147" s="505"/>
      <c r="AB147" s="505"/>
      <c r="AC147" s="505"/>
    </row>
    <row r="148" spans="1:29">
      <c r="A148" s="505"/>
      <c r="B148" s="505"/>
      <c r="C148" s="505"/>
      <c r="D148" s="505"/>
      <c r="E148" s="505"/>
      <c r="F148" s="505"/>
      <c r="G148" s="505"/>
      <c r="H148" s="505"/>
      <c r="I148" s="505"/>
      <c r="J148" s="505"/>
      <c r="K148" s="517"/>
      <c r="L148" s="518"/>
      <c r="M148" s="505"/>
      <c r="N148" s="505"/>
      <c r="O148" s="505"/>
      <c r="P148" s="505"/>
      <c r="Q148" s="505"/>
      <c r="R148" s="505"/>
      <c r="S148" s="505"/>
      <c r="T148" s="505"/>
      <c r="U148" s="505"/>
      <c r="V148" s="505"/>
      <c r="W148" s="505"/>
      <c r="X148" s="505"/>
      <c r="Y148" s="505"/>
      <c r="Z148" s="505"/>
      <c r="AA148" s="505"/>
      <c r="AB148" s="505"/>
      <c r="AC148" s="505"/>
    </row>
    <row r="149" spans="1:29">
      <c r="A149" s="505"/>
      <c r="B149" s="505"/>
      <c r="C149" s="505"/>
      <c r="D149" s="505"/>
      <c r="E149" s="505"/>
      <c r="F149" s="505"/>
      <c r="G149" s="505"/>
      <c r="H149" s="505"/>
      <c r="I149" s="505"/>
      <c r="J149" s="505"/>
      <c r="K149" s="517"/>
      <c r="L149" s="518"/>
      <c r="M149" s="505"/>
      <c r="N149" s="505"/>
      <c r="O149" s="505"/>
      <c r="P149" s="505"/>
      <c r="Q149" s="505"/>
      <c r="R149" s="505"/>
      <c r="S149" s="505"/>
      <c r="T149" s="505"/>
      <c r="U149" s="505"/>
      <c r="V149" s="505"/>
      <c r="W149" s="505"/>
      <c r="X149" s="505"/>
      <c r="Y149" s="505"/>
      <c r="Z149" s="505"/>
      <c r="AA149" s="505"/>
      <c r="AB149" s="505"/>
      <c r="AC149" s="505"/>
    </row>
    <row r="150" spans="1:29">
      <c r="A150" s="505"/>
      <c r="B150" s="505"/>
      <c r="C150" s="505"/>
      <c r="D150" s="505"/>
      <c r="E150" s="505"/>
      <c r="F150" s="505"/>
      <c r="G150" s="505"/>
      <c r="H150" s="505"/>
      <c r="I150" s="505"/>
      <c r="J150" s="505"/>
      <c r="K150" s="517"/>
      <c r="L150" s="518"/>
      <c r="M150" s="505"/>
      <c r="N150" s="505"/>
      <c r="O150" s="505"/>
      <c r="P150" s="505"/>
      <c r="Q150" s="505"/>
      <c r="R150" s="505"/>
      <c r="S150" s="505"/>
      <c r="T150" s="505"/>
      <c r="U150" s="505"/>
      <c r="V150" s="505"/>
      <c r="W150" s="505"/>
      <c r="X150" s="505"/>
      <c r="Y150" s="505"/>
      <c r="Z150" s="505"/>
      <c r="AA150" s="505"/>
      <c r="AB150" s="505"/>
      <c r="AC150" s="505"/>
    </row>
    <row r="151" spans="1:29">
      <c r="A151" s="505"/>
      <c r="B151" s="505"/>
      <c r="C151" s="505"/>
      <c r="D151" s="505"/>
      <c r="E151" s="505"/>
      <c r="F151" s="505"/>
      <c r="G151" s="505"/>
      <c r="H151" s="505"/>
      <c r="I151" s="505"/>
      <c r="J151" s="505"/>
      <c r="K151" s="517"/>
      <c r="L151" s="518"/>
      <c r="M151" s="505"/>
      <c r="N151" s="505"/>
      <c r="O151" s="505"/>
      <c r="P151" s="505"/>
      <c r="Q151" s="505"/>
      <c r="R151" s="505"/>
      <c r="S151" s="505"/>
      <c r="T151" s="505"/>
      <c r="U151" s="505"/>
      <c r="V151" s="505"/>
      <c r="W151" s="505"/>
      <c r="X151" s="505"/>
      <c r="Y151" s="505"/>
      <c r="Z151" s="505"/>
      <c r="AA151" s="505"/>
      <c r="AB151" s="505"/>
      <c r="AC151" s="505"/>
    </row>
    <row r="152" spans="1:29">
      <c r="A152" s="505"/>
      <c r="B152" s="505"/>
      <c r="C152" s="505"/>
      <c r="D152" s="505"/>
      <c r="E152" s="505"/>
      <c r="F152" s="505"/>
      <c r="G152" s="505"/>
      <c r="H152" s="505"/>
      <c r="I152" s="505"/>
      <c r="J152" s="505"/>
      <c r="K152" s="517"/>
      <c r="L152" s="518"/>
      <c r="M152" s="505"/>
      <c r="N152" s="505"/>
      <c r="O152" s="505"/>
      <c r="P152" s="505"/>
      <c r="Q152" s="505"/>
      <c r="R152" s="505"/>
      <c r="S152" s="505"/>
      <c r="T152" s="505"/>
      <c r="U152" s="505"/>
      <c r="V152" s="505"/>
      <c r="W152" s="505"/>
      <c r="X152" s="505"/>
      <c r="Y152" s="505"/>
      <c r="Z152" s="505"/>
      <c r="AA152" s="505"/>
      <c r="AB152" s="505"/>
      <c r="AC152" s="505"/>
    </row>
    <row r="153" spans="1:29">
      <c r="A153" s="505"/>
      <c r="B153" s="505"/>
      <c r="C153" s="505"/>
      <c r="D153" s="505"/>
      <c r="E153" s="505"/>
      <c r="F153" s="505"/>
      <c r="G153" s="505"/>
      <c r="H153" s="505"/>
      <c r="I153" s="505"/>
      <c r="J153" s="505"/>
      <c r="K153" s="517"/>
      <c r="L153" s="518"/>
      <c r="M153" s="505"/>
      <c r="N153" s="505"/>
      <c r="O153" s="505"/>
      <c r="P153" s="505"/>
      <c r="Q153" s="505"/>
      <c r="R153" s="505"/>
      <c r="S153" s="505"/>
      <c r="T153" s="505"/>
      <c r="U153" s="505"/>
      <c r="V153" s="505"/>
      <c r="W153" s="505"/>
      <c r="X153" s="505"/>
      <c r="Y153" s="505"/>
      <c r="Z153" s="505"/>
      <c r="AA153" s="505"/>
      <c r="AB153" s="505"/>
      <c r="AC153" s="505"/>
    </row>
    <row r="154" spans="1:29">
      <c r="A154" s="505"/>
      <c r="B154" s="505"/>
      <c r="C154" s="505"/>
      <c r="D154" s="505"/>
      <c r="E154" s="505"/>
      <c r="F154" s="505"/>
      <c r="G154" s="505"/>
      <c r="H154" s="505"/>
      <c r="I154" s="505"/>
      <c r="J154" s="505"/>
      <c r="K154" s="517"/>
      <c r="L154" s="518"/>
      <c r="M154" s="505"/>
      <c r="N154" s="505"/>
      <c r="O154" s="505"/>
      <c r="P154" s="505"/>
      <c r="Q154" s="505"/>
      <c r="R154" s="505"/>
      <c r="S154" s="505"/>
      <c r="T154" s="505"/>
      <c r="U154" s="505"/>
      <c r="V154" s="505"/>
      <c r="W154" s="505"/>
      <c r="X154" s="505"/>
      <c r="Y154" s="505"/>
      <c r="Z154" s="505"/>
      <c r="AA154" s="505"/>
      <c r="AB154" s="505"/>
      <c r="AC154" s="505"/>
    </row>
    <row r="155" spans="1:29">
      <c r="A155" s="505"/>
      <c r="B155" s="505"/>
      <c r="C155" s="505"/>
      <c r="D155" s="505"/>
      <c r="E155" s="505"/>
      <c r="F155" s="505"/>
      <c r="G155" s="505"/>
      <c r="H155" s="505"/>
      <c r="I155" s="505"/>
      <c r="J155" s="505"/>
      <c r="K155" s="517"/>
      <c r="L155" s="518"/>
      <c r="M155" s="505"/>
      <c r="N155" s="505"/>
      <c r="O155" s="505"/>
      <c r="P155" s="505"/>
      <c r="Q155" s="505"/>
      <c r="R155" s="505"/>
      <c r="S155" s="505"/>
      <c r="T155" s="505"/>
      <c r="U155" s="505"/>
      <c r="V155" s="505"/>
      <c r="W155" s="505"/>
      <c r="X155" s="505"/>
      <c r="Y155" s="505"/>
      <c r="Z155" s="505"/>
      <c r="AA155" s="505"/>
      <c r="AB155" s="505"/>
      <c r="AC155" s="505"/>
    </row>
    <row r="156" spans="1:29">
      <c r="A156" s="505"/>
      <c r="B156" s="505"/>
      <c r="C156" s="505"/>
      <c r="D156" s="505"/>
      <c r="E156" s="505"/>
      <c r="F156" s="505"/>
      <c r="G156" s="505"/>
      <c r="H156" s="505"/>
      <c r="I156" s="505"/>
      <c r="J156" s="505"/>
      <c r="K156" s="517"/>
      <c r="L156" s="518"/>
      <c r="M156" s="505"/>
      <c r="N156" s="505"/>
      <c r="O156" s="505"/>
      <c r="P156" s="505"/>
      <c r="Q156" s="505"/>
      <c r="R156" s="505"/>
      <c r="S156" s="505"/>
      <c r="T156" s="505"/>
      <c r="U156" s="505"/>
      <c r="V156" s="505"/>
      <c r="W156" s="505"/>
      <c r="X156" s="505"/>
      <c r="Y156" s="505"/>
      <c r="Z156" s="505"/>
      <c r="AA156" s="505"/>
      <c r="AB156" s="505"/>
      <c r="AC156" s="505"/>
    </row>
    <row r="157" spans="1:29">
      <c r="A157" s="505"/>
      <c r="B157" s="505"/>
      <c r="C157" s="505"/>
      <c r="D157" s="505"/>
      <c r="E157" s="505"/>
      <c r="F157" s="505"/>
      <c r="G157" s="505"/>
      <c r="H157" s="505"/>
      <c r="I157" s="505"/>
      <c r="J157" s="505"/>
      <c r="K157" s="517"/>
      <c r="L157" s="518"/>
      <c r="M157" s="505"/>
      <c r="N157" s="505"/>
      <c r="O157" s="505"/>
      <c r="P157" s="505"/>
      <c r="Q157" s="505"/>
      <c r="R157" s="505"/>
      <c r="S157" s="505"/>
      <c r="T157" s="505"/>
      <c r="U157" s="505"/>
      <c r="V157" s="505"/>
      <c r="W157" s="505"/>
      <c r="X157" s="505"/>
      <c r="Y157" s="505"/>
      <c r="Z157" s="505"/>
      <c r="AA157" s="505"/>
      <c r="AB157" s="505"/>
      <c r="AC157" s="505"/>
    </row>
    <row r="158" spans="1:29">
      <c r="A158" s="505"/>
      <c r="B158" s="505"/>
      <c r="C158" s="505"/>
      <c r="D158" s="505"/>
      <c r="E158" s="505"/>
      <c r="F158" s="505"/>
      <c r="G158" s="505"/>
      <c r="H158" s="505"/>
      <c r="I158" s="505"/>
      <c r="J158" s="505"/>
      <c r="K158" s="517"/>
      <c r="L158" s="518"/>
      <c r="M158" s="505"/>
      <c r="N158" s="505"/>
      <c r="O158" s="505"/>
      <c r="P158" s="505"/>
      <c r="Q158" s="505"/>
      <c r="R158" s="505"/>
      <c r="S158" s="505"/>
      <c r="T158" s="505"/>
      <c r="U158" s="505"/>
      <c r="V158" s="505"/>
      <c r="W158" s="505"/>
      <c r="X158" s="505"/>
      <c r="Y158" s="505"/>
      <c r="Z158" s="505"/>
      <c r="AA158" s="505"/>
      <c r="AB158" s="505"/>
      <c r="AC158" s="505"/>
    </row>
    <row r="159" spans="1:29">
      <c r="A159" s="505"/>
      <c r="B159" s="505"/>
      <c r="C159" s="505"/>
      <c r="D159" s="505"/>
      <c r="E159" s="505"/>
      <c r="F159" s="505"/>
      <c r="G159" s="505"/>
      <c r="H159" s="505"/>
      <c r="I159" s="505"/>
      <c r="J159" s="505"/>
      <c r="K159" s="517"/>
      <c r="L159" s="518"/>
      <c r="M159" s="505"/>
      <c r="N159" s="505"/>
      <c r="O159" s="505"/>
      <c r="P159" s="505"/>
      <c r="Q159" s="505"/>
      <c r="R159" s="505"/>
      <c r="S159" s="505"/>
      <c r="T159" s="505"/>
      <c r="U159" s="505"/>
      <c r="V159" s="505"/>
      <c r="W159" s="505"/>
      <c r="X159" s="505"/>
      <c r="Y159" s="505"/>
      <c r="Z159" s="505"/>
      <c r="AA159" s="505"/>
      <c r="AB159" s="505"/>
      <c r="AC159" s="505"/>
    </row>
    <row r="160" spans="1:29">
      <c r="A160" s="505"/>
      <c r="B160" s="505"/>
      <c r="C160" s="505"/>
      <c r="D160" s="505"/>
      <c r="E160" s="505"/>
      <c r="F160" s="505"/>
      <c r="G160" s="505"/>
      <c r="H160" s="505"/>
      <c r="I160" s="505"/>
      <c r="J160" s="505"/>
      <c r="K160" s="517"/>
      <c r="L160" s="518"/>
      <c r="M160" s="505"/>
      <c r="N160" s="505"/>
      <c r="O160" s="505"/>
      <c r="P160" s="505"/>
      <c r="Q160" s="505"/>
      <c r="R160" s="505"/>
      <c r="S160" s="505"/>
      <c r="T160" s="505"/>
      <c r="U160" s="505"/>
      <c r="V160" s="505"/>
      <c r="W160" s="505"/>
      <c r="X160" s="505"/>
      <c r="Y160" s="505"/>
      <c r="Z160" s="505"/>
      <c r="AA160" s="505"/>
      <c r="AB160" s="505"/>
      <c r="AC160" s="505"/>
    </row>
    <row r="161" spans="1:29">
      <c r="A161" s="505"/>
      <c r="B161" s="505"/>
      <c r="C161" s="505"/>
      <c r="D161" s="505"/>
      <c r="E161" s="505"/>
      <c r="F161" s="505"/>
      <c r="G161" s="505"/>
      <c r="H161" s="505"/>
      <c r="I161" s="505"/>
      <c r="J161" s="505"/>
      <c r="K161" s="517"/>
      <c r="L161" s="518"/>
      <c r="M161" s="505"/>
      <c r="N161" s="505"/>
      <c r="O161" s="505"/>
      <c r="P161" s="505"/>
      <c r="Q161" s="505"/>
      <c r="R161" s="505"/>
      <c r="S161" s="505"/>
      <c r="T161" s="505"/>
      <c r="U161" s="505"/>
      <c r="V161" s="505"/>
      <c r="W161" s="505"/>
      <c r="X161" s="505"/>
      <c r="Y161" s="505"/>
      <c r="Z161" s="505"/>
      <c r="AA161" s="505"/>
      <c r="AB161" s="505"/>
      <c r="AC161" s="505"/>
    </row>
    <row r="162" spans="1:29">
      <c r="A162" s="505"/>
      <c r="B162" s="505"/>
      <c r="C162" s="505"/>
      <c r="D162" s="505"/>
      <c r="E162" s="505"/>
      <c r="F162" s="505"/>
      <c r="G162" s="505"/>
      <c r="H162" s="505"/>
      <c r="I162" s="505"/>
      <c r="J162" s="505"/>
      <c r="K162" s="517"/>
      <c r="L162" s="518"/>
      <c r="M162" s="505"/>
      <c r="N162" s="505"/>
      <c r="O162" s="505"/>
      <c r="P162" s="505"/>
      <c r="Q162" s="505"/>
      <c r="R162" s="505"/>
      <c r="S162" s="505"/>
      <c r="T162" s="505"/>
      <c r="U162" s="505"/>
      <c r="V162" s="505"/>
      <c r="W162" s="505"/>
      <c r="X162" s="505"/>
      <c r="Y162" s="505"/>
      <c r="Z162" s="505"/>
      <c r="AA162" s="505"/>
      <c r="AB162" s="505"/>
      <c r="AC162" s="505"/>
    </row>
    <row r="163" spans="1:29">
      <c r="A163" s="505"/>
      <c r="B163" s="505"/>
      <c r="C163" s="505"/>
      <c r="D163" s="505"/>
      <c r="E163" s="505"/>
      <c r="F163" s="505"/>
      <c r="G163" s="505"/>
      <c r="H163" s="505"/>
      <c r="I163" s="505"/>
      <c r="J163" s="505"/>
      <c r="K163" s="517"/>
      <c r="L163" s="518"/>
      <c r="M163" s="505"/>
      <c r="N163" s="505"/>
      <c r="O163" s="505"/>
      <c r="P163" s="505"/>
      <c r="Q163" s="505"/>
      <c r="R163" s="505"/>
      <c r="S163" s="505"/>
      <c r="T163" s="505"/>
      <c r="U163" s="505"/>
      <c r="V163" s="505"/>
      <c r="W163" s="505"/>
      <c r="X163" s="505"/>
      <c r="Y163" s="505"/>
      <c r="Z163" s="505"/>
      <c r="AA163" s="505"/>
      <c r="AB163" s="505"/>
      <c r="AC163" s="505"/>
    </row>
    <row r="164" spans="1:29">
      <c r="A164" s="505"/>
      <c r="B164" s="505"/>
      <c r="C164" s="505"/>
      <c r="D164" s="505"/>
      <c r="E164" s="505"/>
      <c r="F164" s="505"/>
      <c r="G164" s="505"/>
      <c r="H164" s="505"/>
      <c r="I164" s="505"/>
      <c r="J164" s="505"/>
      <c r="K164" s="517"/>
      <c r="L164" s="518"/>
      <c r="M164" s="505"/>
      <c r="N164" s="505"/>
      <c r="O164" s="505"/>
      <c r="P164" s="505"/>
      <c r="Q164" s="505"/>
      <c r="R164" s="505"/>
      <c r="S164" s="505"/>
      <c r="T164" s="505"/>
      <c r="U164" s="505"/>
      <c r="V164" s="505"/>
      <c r="W164" s="505"/>
      <c r="X164" s="505"/>
      <c r="Y164" s="505"/>
      <c r="Z164" s="505"/>
      <c r="AA164" s="505"/>
      <c r="AB164" s="505"/>
      <c r="AC164" s="505"/>
    </row>
    <row r="165" spans="1:29">
      <c r="A165" s="505"/>
      <c r="B165" s="505"/>
      <c r="C165" s="505"/>
      <c r="D165" s="505"/>
      <c r="E165" s="505"/>
      <c r="F165" s="505"/>
      <c r="G165" s="505"/>
      <c r="H165" s="505"/>
      <c r="I165" s="505"/>
      <c r="J165" s="505"/>
      <c r="K165" s="517"/>
      <c r="L165" s="518"/>
      <c r="M165" s="505"/>
      <c r="N165" s="505"/>
      <c r="O165" s="505"/>
      <c r="P165" s="505"/>
      <c r="Q165" s="505"/>
      <c r="R165" s="505"/>
      <c r="S165" s="505"/>
      <c r="T165" s="505"/>
      <c r="U165" s="505"/>
      <c r="V165" s="505"/>
      <c r="W165" s="505"/>
      <c r="X165" s="505"/>
      <c r="Y165" s="505"/>
      <c r="Z165" s="505"/>
      <c r="AA165" s="505"/>
      <c r="AB165" s="505"/>
      <c r="AC165" s="505"/>
    </row>
    <row r="166" spans="1:29">
      <c r="A166" s="505"/>
      <c r="B166" s="505"/>
      <c r="C166" s="505"/>
      <c r="D166" s="505"/>
      <c r="E166" s="505"/>
      <c r="F166" s="505"/>
      <c r="G166" s="505"/>
      <c r="H166" s="505"/>
      <c r="I166" s="505"/>
      <c r="J166" s="505"/>
      <c r="K166" s="517"/>
      <c r="L166" s="518"/>
      <c r="M166" s="505"/>
      <c r="N166" s="505"/>
      <c r="O166" s="505"/>
      <c r="P166" s="505"/>
      <c r="Q166" s="505"/>
      <c r="R166" s="505"/>
      <c r="S166" s="505"/>
      <c r="T166" s="505"/>
      <c r="U166" s="505"/>
      <c r="V166" s="505"/>
      <c r="W166" s="505"/>
      <c r="X166" s="505"/>
      <c r="Y166" s="505"/>
      <c r="Z166" s="505"/>
      <c r="AA166" s="505"/>
      <c r="AB166" s="505"/>
      <c r="AC166" s="505"/>
    </row>
    <row r="167" spans="1:29">
      <c r="A167" s="505"/>
      <c r="B167" s="505"/>
      <c r="C167" s="505"/>
      <c r="D167" s="505"/>
      <c r="E167" s="505"/>
      <c r="F167" s="505"/>
      <c r="G167" s="505"/>
      <c r="H167" s="505"/>
      <c r="I167" s="505"/>
      <c r="J167" s="505"/>
      <c r="K167" s="517"/>
      <c r="L167" s="518"/>
      <c r="M167" s="505"/>
      <c r="N167" s="505"/>
      <c r="O167" s="505"/>
      <c r="P167" s="505"/>
      <c r="Q167" s="505"/>
      <c r="R167" s="505"/>
      <c r="S167" s="505"/>
      <c r="T167" s="505"/>
      <c r="U167" s="505"/>
      <c r="V167" s="505"/>
      <c r="W167" s="505"/>
      <c r="X167" s="505"/>
      <c r="Y167" s="505"/>
      <c r="Z167" s="505"/>
      <c r="AA167" s="505"/>
      <c r="AB167" s="505"/>
      <c r="AC167" s="505"/>
    </row>
    <row r="168" spans="1:29">
      <c r="A168" s="505"/>
      <c r="B168" s="505"/>
      <c r="C168" s="505"/>
      <c r="D168" s="505"/>
      <c r="E168" s="505"/>
      <c r="F168" s="505"/>
      <c r="G168" s="505"/>
      <c r="H168" s="505"/>
      <c r="I168" s="505"/>
      <c r="J168" s="505"/>
      <c r="K168" s="517"/>
      <c r="L168" s="518"/>
      <c r="M168" s="505"/>
      <c r="N168" s="505"/>
      <c r="O168" s="505"/>
      <c r="P168" s="505"/>
      <c r="Q168" s="505"/>
      <c r="R168" s="505"/>
      <c r="S168" s="505"/>
      <c r="T168" s="505"/>
      <c r="U168" s="505"/>
      <c r="V168" s="505"/>
      <c r="W168" s="505"/>
      <c r="X168" s="505"/>
      <c r="Y168" s="505"/>
      <c r="Z168" s="505"/>
      <c r="AA168" s="505"/>
      <c r="AB168" s="505"/>
      <c r="AC168" s="505"/>
    </row>
    <row r="169" spans="1:29">
      <c r="A169" s="505"/>
      <c r="B169" s="505"/>
      <c r="C169" s="505"/>
      <c r="D169" s="505"/>
      <c r="E169" s="505"/>
      <c r="F169" s="505"/>
      <c r="G169" s="505"/>
      <c r="H169" s="505"/>
      <c r="I169" s="505"/>
      <c r="J169" s="505"/>
      <c r="K169" s="517"/>
      <c r="L169" s="518"/>
      <c r="M169" s="505"/>
      <c r="N169" s="505"/>
      <c r="O169" s="505"/>
      <c r="P169" s="505"/>
      <c r="Q169" s="505"/>
      <c r="R169" s="505"/>
      <c r="S169" s="505"/>
      <c r="T169" s="505"/>
      <c r="U169" s="505"/>
      <c r="V169" s="505"/>
      <c r="W169" s="505"/>
      <c r="X169" s="505"/>
      <c r="Y169" s="505"/>
      <c r="Z169" s="505"/>
      <c r="AA169" s="505"/>
      <c r="AB169" s="505"/>
      <c r="AC169" s="505"/>
    </row>
    <row r="170" spans="1:29">
      <c r="A170" s="505"/>
      <c r="B170" s="505"/>
      <c r="C170" s="505"/>
      <c r="D170" s="505"/>
      <c r="E170" s="505"/>
      <c r="F170" s="505"/>
      <c r="G170" s="505"/>
      <c r="H170" s="505"/>
      <c r="I170" s="505"/>
      <c r="J170" s="505"/>
      <c r="K170" s="517"/>
      <c r="L170" s="518"/>
      <c r="M170" s="505"/>
      <c r="N170" s="505"/>
      <c r="O170" s="505"/>
      <c r="P170" s="505"/>
      <c r="Q170" s="505"/>
      <c r="R170" s="505"/>
      <c r="S170" s="505"/>
      <c r="T170" s="505"/>
      <c r="U170" s="505"/>
      <c r="V170" s="505"/>
      <c r="W170" s="505"/>
      <c r="X170" s="505"/>
      <c r="Y170" s="505"/>
      <c r="Z170" s="505"/>
      <c r="AA170" s="505"/>
      <c r="AB170" s="505"/>
      <c r="AC170" s="505"/>
    </row>
    <row r="171" spans="1:29">
      <c r="A171" s="505"/>
      <c r="B171" s="505"/>
      <c r="C171" s="505"/>
      <c r="D171" s="505"/>
      <c r="E171" s="505"/>
      <c r="F171" s="505"/>
      <c r="G171" s="505"/>
      <c r="H171" s="505"/>
      <c r="I171" s="505"/>
      <c r="J171" s="505"/>
      <c r="K171" s="517"/>
      <c r="L171" s="518"/>
      <c r="M171" s="505"/>
      <c r="N171" s="505"/>
      <c r="O171" s="505"/>
      <c r="P171" s="505"/>
      <c r="Q171" s="505"/>
      <c r="R171" s="505"/>
      <c r="S171" s="505"/>
      <c r="T171" s="505"/>
      <c r="U171" s="505"/>
      <c r="V171" s="505"/>
      <c r="W171" s="505"/>
      <c r="X171" s="505"/>
      <c r="Y171" s="505"/>
      <c r="Z171" s="505"/>
      <c r="AA171" s="505"/>
      <c r="AB171" s="505"/>
      <c r="AC171" s="505"/>
    </row>
    <row r="172" spans="1:29">
      <c r="A172" s="505"/>
      <c r="B172" s="505"/>
      <c r="C172" s="505"/>
      <c r="D172" s="505"/>
      <c r="E172" s="505"/>
      <c r="F172" s="505"/>
      <c r="G172" s="505"/>
      <c r="H172" s="505"/>
      <c r="I172" s="505"/>
      <c r="J172" s="505"/>
      <c r="K172" s="517"/>
      <c r="L172" s="518"/>
      <c r="M172" s="505"/>
      <c r="N172" s="505"/>
      <c r="O172" s="505"/>
      <c r="P172" s="505"/>
      <c r="Q172" s="505"/>
      <c r="R172" s="505"/>
      <c r="S172" s="505"/>
      <c r="T172" s="505"/>
      <c r="U172" s="505"/>
      <c r="V172" s="505"/>
      <c r="W172" s="505"/>
      <c r="X172" s="505"/>
      <c r="Y172" s="505"/>
      <c r="Z172" s="505"/>
      <c r="AA172" s="505"/>
      <c r="AB172" s="505"/>
      <c r="AC172" s="505"/>
    </row>
    <row r="173" spans="1:29">
      <c r="A173" s="505"/>
      <c r="B173" s="505"/>
      <c r="C173" s="505"/>
      <c r="D173" s="505"/>
      <c r="E173" s="505"/>
      <c r="F173" s="505"/>
      <c r="G173" s="505"/>
      <c r="H173" s="505"/>
      <c r="I173" s="505"/>
      <c r="J173" s="505"/>
      <c r="K173" s="517"/>
      <c r="L173" s="518"/>
      <c r="M173" s="505"/>
      <c r="N173" s="505"/>
      <c r="O173" s="505"/>
      <c r="P173" s="505"/>
      <c r="Q173" s="505"/>
      <c r="R173" s="505"/>
      <c r="S173" s="505"/>
      <c r="T173" s="505"/>
      <c r="U173" s="505"/>
      <c r="V173" s="505"/>
      <c r="W173" s="505"/>
      <c r="X173" s="505"/>
      <c r="Y173" s="505"/>
      <c r="Z173" s="505"/>
      <c r="AA173" s="505"/>
      <c r="AB173" s="505"/>
      <c r="AC173" s="505"/>
    </row>
    <row r="174" spans="1:29">
      <c r="A174" s="505"/>
      <c r="B174" s="505"/>
      <c r="C174" s="505"/>
      <c r="D174" s="505"/>
      <c r="E174" s="505"/>
      <c r="F174" s="505"/>
      <c r="G174" s="505"/>
      <c r="H174" s="505"/>
      <c r="I174" s="505"/>
      <c r="J174" s="505"/>
      <c r="K174" s="517"/>
      <c r="L174" s="518"/>
      <c r="M174" s="505"/>
      <c r="N174" s="505"/>
      <c r="O174" s="505"/>
      <c r="P174" s="505"/>
      <c r="Q174" s="505"/>
      <c r="R174" s="505"/>
      <c r="S174" s="505"/>
      <c r="T174" s="505"/>
      <c r="U174" s="505"/>
      <c r="V174" s="505"/>
      <c r="W174" s="505"/>
      <c r="X174" s="505"/>
      <c r="Y174" s="505"/>
      <c r="Z174" s="505"/>
      <c r="AA174" s="505"/>
      <c r="AB174" s="505"/>
      <c r="AC174" s="505"/>
    </row>
    <row r="175" spans="1:29">
      <c r="A175" s="505"/>
      <c r="B175" s="505"/>
      <c r="C175" s="505"/>
      <c r="D175" s="505"/>
      <c r="E175" s="505"/>
      <c r="F175" s="505"/>
      <c r="G175" s="505"/>
      <c r="H175" s="505"/>
      <c r="I175" s="505"/>
      <c r="J175" s="505"/>
      <c r="K175" s="517"/>
      <c r="L175" s="518"/>
      <c r="M175" s="505"/>
      <c r="N175" s="505"/>
      <c r="O175" s="505"/>
      <c r="P175" s="505"/>
      <c r="Q175" s="505"/>
      <c r="R175" s="505"/>
      <c r="S175" s="505"/>
      <c r="T175" s="505"/>
      <c r="U175" s="505"/>
      <c r="V175" s="505"/>
      <c r="W175" s="505"/>
      <c r="X175" s="505"/>
      <c r="Y175" s="505"/>
      <c r="Z175" s="505"/>
      <c r="AA175" s="505"/>
      <c r="AB175" s="505"/>
      <c r="AC175" s="505"/>
    </row>
    <row r="176" spans="1:29">
      <c r="A176" s="505"/>
      <c r="B176" s="505"/>
      <c r="C176" s="505"/>
      <c r="D176" s="505"/>
      <c r="E176" s="505"/>
      <c r="F176" s="505"/>
      <c r="G176" s="505"/>
      <c r="H176" s="505"/>
      <c r="I176" s="505"/>
      <c r="J176" s="505"/>
      <c r="K176" s="517"/>
      <c r="L176" s="518"/>
      <c r="M176" s="505"/>
      <c r="N176" s="505"/>
      <c r="O176" s="505"/>
      <c r="P176" s="505"/>
      <c r="Q176" s="505"/>
      <c r="R176" s="505"/>
      <c r="S176" s="505"/>
      <c r="T176" s="505"/>
      <c r="U176" s="505"/>
      <c r="V176" s="505"/>
      <c r="W176" s="505"/>
      <c r="X176" s="505"/>
      <c r="Y176" s="505"/>
      <c r="Z176" s="505"/>
      <c r="AA176" s="505"/>
      <c r="AB176" s="505"/>
      <c r="AC176" s="505"/>
    </row>
    <row r="177" spans="1:29">
      <c r="A177" s="505"/>
      <c r="B177" s="505"/>
      <c r="C177" s="505"/>
      <c r="D177" s="505"/>
      <c r="E177" s="505"/>
      <c r="F177" s="505"/>
      <c r="G177" s="505"/>
      <c r="H177" s="505"/>
      <c r="I177" s="505"/>
      <c r="J177" s="505"/>
      <c r="K177" s="517"/>
      <c r="L177" s="518"/>
      <c r="M177" s="505"/>
      <c r="N177" s="505"/>
      <c r="O177" s="505"/>
      <c r="P177" s="505"/>
      <c r="Q177" s="505"/>
      <c r="R177" s="505"/>
      <c r="S177" s="505"/>
      <c r="T177" s="505"/>
      <c r="U177" s="505"/>
      <c r="V177" s="505"/>
      <c r="W177" s="505"/>
      <c r="X177" s="505"/>
      <c r="Y177" s="505"/>
      <c r="Z177" s="505"/>
      <c r="AA177" s="505"/>
      <c r="AB177" s="505"/>
      <c r="AC177" s="505"/>
    </row>
    <row r="178" spans="1:29">
      <c r="A178" s="505"/>
      <c r="B178" s="505"/>
      <c r="C178" s="505"/>
      <c r="D178" s="505"/>
      <c r="E178" s="505"/>
      <c r="F178" s="505"/>
      <c r="G178" s="505"/>
      <c r="H178" s="505"/>
      <c r="I178" s="505"/>
      <c r="J178" s="505"/>
      <c r="K178" s="517"/>
      <c r="L178" s="518"/>
      <c r="M178" s="505"/>
      <c r="N178" s="505"/>
      <c r="O178" s="505"/>
      <c r="P178" s="505"/>
      <c r="Q178" s="505"/>
      <c r="R178" s="505"/>
      <c r="S178" s="505"/>
      <c r="T178" s="505"/>
      <c r="U178" s="505"/>
      <c r="V178" s="505"/>
      <c r="W178" s="505"/>
      <c r="X178" s="505"/>
      <c r="Y178" s="505"/>
      <c r="Z178" s="505"/>
      <c r="AA178" s="505"/>
      <c r="AB178" s="505"/>
      <c r="AC178" s="505"/>
    </row>
    <row r="179" spans="1:29">
      <c r="A179" s="505"/>
      <c r="B179" s="505"/>
      <c r="C179" s="505"/>
      <c r="D179" s="505"/>
      <c r="E179" s="505"/>
      <c r="F179" s="505"/>
      <c r="G179" s="505"/>
      <c r="H179" s="505"/>
      <c r="I179" s="505"/>
      <c r="J179" s="505"/>
      <c r="K179" s="517"/>
      <c r="L179" s="518"/>
      <c r="M179" s="505"/>
      <c r="N179" s="505"/>
      <c r="O179" s="505"/>
      <c r="P179" s="505"/>
      <c r="Q179" s="505"/>
      <c r="R179" s="505"/>
      <c r="S179" s="505"/>
      <c r="T179" s="505"/>
      <c r="U179" s="505"/>
      <c r="V179" s="505"/>
      <c r="W179" s="505"/>
      <c r="X179" s="505"/>
      <c r="Y179" s="505"/>
      <c r="Z179" s="505"/>
      <c r="AA179" s="505"/>
      <c r="AB179" s="505"/>
      <c r="AC179" s="505"/>
    </row>
    <row r="180" spans="1:29">
      <c r="A180" s="505"/>
      <c r="B180" s="505"/>
      <c r="C180" s="505"/>
      <c r="D180" s="505"/>
      <c r="E180" s="505"/>
      <c r="F180" s="505"/>
      <c r="G180" s="505"/>
      <c r="H180" s="505"/>
      <c r="I180" s="505"/>
      <c r="J180" s="505"/>
      <c r="K180" s="517"/>
      <c r="L180" s="518"/>
      <c r="M180" s="505"/>
      <c r="N180" s="505"/>
      <c r="O180" s="505"/>
      <c r="P180" s="505"/>
      <c r="Q180" s="505"/>
      <c r="R180" s="505"/>
      <c r="S180" s="505"/>
      <c r="T180" s="505"/>
      <c r="U180" s="505"/>
      <c r="V180" s="505"/>
      <c r="W180" s="505"/>
      <c r="X180" s="505"/>
      <c r="Y180" s="505"/>
      <c r="Z180" s="505"/>
      <c r="AA180" s="505"/>
      <c r="AB180" s="505"/>
      <c r="AC180" s="505"/>
    </row>
    <row r="181" spans="1:29">
      <c r="A181" s="505"/>
      <c r="B181" s="505"/>
      <c r="C181" s="505"/>
      <c r="D181" s="505"/>
      <c r="E181" s="505"/>
      <c r="F181" s="505"/>
      <c r="G181" s="505"/>
      <c r="H181" s="505"/>
      <c r="I181" s="505"/>
      <c r="J181" s="505"/>
      <c r="K181" s="517"/>
      <c r="L181" s="518"/>
      <c r="M181" s="505"/>
      <c r="N181" s="505"/>
      <c r="O181" s="505"/>
      <c r="P181" s="505"/>
      <c r="Q181" s="505"/>
      <c r="R181" s="505"/>
      <c r="S181" s="505"/>
      <c r="T181" s="505"/>
      <c r="U181" s="505"/>
      <c r="V181" s="505"/>
      <c r="W181" s="505"/>
      <c r="X181" s="505"/>
      <c r="Y181" s="505"/>
      <c r="Z181" s="505"/>
      <c r="AA181" s="505"/>
      <c r="AB181" s="505"/>
      <c r="AC181" s="505"/>
    </row>
    <row r="182" spans="1:29">
      <c r="A182" s="505"/>
      <c r="B182" s="505"/>
      <c r="C182" s="505"/>
      <c r="D182" s="505"/>
      <c r="E182" s="505"/>
      <c r="F182" s="505"/>
      <c r="G182" s="505"/>
      <c r="H182" s="505"/>
      <c r="I182" s="505"/>
      <c r="J182" s="505"/>
      <c r="K182" s="517"/>
      <c r="L182" s="518"/>
      <c r="M182" s="505"/>
      <c r="N182" s="505"/>
      <c r="O182" s="505"/>
      <c r="P182" s="505"/>
      <c r="Q182" s="505"/>
      <c r="R182" s="505"/>
      <c r="S182" s="505"/>
      <c r="T182" s="505"/>
      <c r="U182" s="505"/>
      <c r="V182" s="505"/>
      <c r="W182" s="505"/>
      <c r="X182" s="505"/>
      <c r="Y182" s="505"/>
      <c r="Z182" s="505"/>
      <c r="AA182" s="505"/>
      <c r="AB182" s="505"/>
      <c r="AC182" s="505"/>
    </row>
    <row r="183" spans="1:29">
      <c r="A183" s="505"/>
      <c r="B183" s="505"/>
      <c r="C183" s="505"/>
      <c r="D183" s="505"/>
      <c r="E183" s="505"/>
      <c r="F183" s="505"/>
      <c r="G183" s="505"/>
      <c r="H183" s="505"/>
      <c r="I183" s="505"/>
      <c r="J183" s="505"/>
      <c r="K183" s="517"/>
      <c r="L183" s="518"/>
      <c r="M183" s="505"/>
      <c r="N183" s="505"/>
      <c r="O183" s="505"/>
      <c r="P183" s="505"/>
      <c r="Q183" s="505"/>
      <c r="R183" s="505"/>
      <c r="S183" s="505"/>
      <c r="T183" s="505"/>
      <c r="U183" s="505"/>
      <c r="V183" s="505"/>
      <c r="W183" s="505"/>
      <c r="X183" s="505"/>
      <c r="Y183" s="505"/>
      <c r="Z183" s="505"/>
      <c r="AA183" s="505"/>
      <c r="AB183" s="505"/>
      <c r="AC183" s="505"/>
    </row>
    <row r="184" spans="1:29">
      <c r="A184" s="505"/>
      <c r="B184" s="505"/>
      <c r="C184" s="505"/>
      <c r="D184" s="505"/>
      <c r="E184" s="505"/>
      <c r="F184" s="505"/>
      <c r="G184" s="505"/>
      <c r="H184" s="505"/>
      <c r="I184" s="505"/>
      <c r="J184" s="505"/>
      <c r="K184" s="517"/>
      <c r="L184" s="518"/>
      <c r="M184" s="505"/>
      <c r="N184" s="505"/>
      <c r="O184" s="505"/>
      <c r="P184" s="505"/>
      <c r="Q184" s="505"/>
      <c r="R184" s="505"/>
      <c r="S184" s="505"/>
      <c r="T184" s="505"/>
      <c r="U184" s="505"/>
      <c r="V184" s="505"/>
      <c r="W184" s="505"/>
      <c r="X184" s="505"/>
      <c r="Y184" s="505"/>
      <c r="Z184" s="505"/>
      <c r="AA184" s="505"/>
      <c r="AB184" s="505"/>
      <c r="AC184" s="505"/>
    </row>
    <row r="185" spans="1:29">
      <c r="A185" s="505"/>
      <c r="B185" s="505"/>
      <c r="C185" s="505"/>
      <c r="D185" s="505"/>
      <c r="E185" s="505"/>
      <c r="F185" s="505"/>
      <c r="G185" s="505"/>
      <c r="H185" s="505"/>
      <c r="I185" s="505"/>
      <c r="J185" s="505"/>
      <c r="K185" s="517"/>
      <c r="L185" s="518"/>
      <c r="M185" s="505"/>
      <c r="N185" s="505"/>
      <c r="O185" s="505"/>
      <c r="P185" s="505"/>
      <c r="Q185" s="505"/>
      <c r="R185" s="505"/>
      <c r="S185" s="505"/>
      <c r="T185" s="505"/>
      <c r="U185" s="505"/>
      <c r="V185" s="505"/>
      <c r="W185" s="505"/>
      <c r="X185" s="505"/>
      <c r="Y185" s="505"/>
      <c r="Z185" s="505"/>
      <c r="AA185" s="505"/>
      <c r="AB185" s="505"/>
      <c r="AC185" s="505"/>
    </row>
    <row r="186" spans="1:29">
      <c r="A186" s="505"/>
      <c r="B186" s="505"/>
      <c r="C186" s="505"/>
      <c r="D186" s="505"/>
      <c r="E186" s="505"/>
      <c r="F186" s="505"/>
      <c r="G186" s="505"/>
      <c r="H186" s="505"/>
      <c r="I186" s="505"/>
      <c r="J186" s="505"/>
      <c r="K186" s="517"/>
      <c r="L186" s="518"/>
      <c r="M186" s="505"/>
      <c r="N186" s="505"/>
      <c r="O186" s="505"/>
      <c r="P186" s="505"/>
      <c r="Q186" s="505"/>
      <c r="R186" s="505"/>
      <c r="S186" s="505"/>
      <c r="T186" s="505"/>
      <c r="U186" s="505"/>
      <c r="V186" s="505"/>
      <c r="W186" s="505"/>
      <c r="X186" s="505"/>
      <c r="Y186" s="505"/>
      <c r="Z186" s="505"/>
      <c r="AA186" s="505"/>
      <c r="AB186" s="505"/>
      <c r="AC186" s="505"/>
    </row>
    <row r="187" spans="1:29">
      <c r="A187" s="505"/>
      <c r="B187" s="505"/>
      <c r="C187" s="505"/>
      <c r="D187" s="505"/>
      <c r="E187" s="505"/>
      <c r="F187" s="505"/>
      <c r="G187" s="505"/>
      <c r="H187" s="505"/>
      <c r="I187" s="505"/>
      <c r="J187" s="505"/>
      <c r="K187" s="517"/>
      <c r="L187" s="518"/>
      <c r="M187" s="505"/>
      <c r="N187" s="505"/>
      <c r="O187" s="505"/>
      <c r="P187" s="505"/>
      <c r="Q187" s="505"/>
      <c r="R187" s="505"/>
      <c r="S187" s="505"/>
      <c r="T187" s="505"/>
      <c r="U187" s="505"/>
      <c r="V187" s="505"/>
      <c r="W187" s="505"/>
      <c r="X187" s="505"/>
      <c r="Y187" s="505"/>
      <c r="Z187" s="505"/>
      <c r="AA187" s="505"/>
      <c r="AB187" s="505"/>
      <c r="AC187" s="505"/>
    </row>
    <row r="188" spans="1:29">
      <c r="A188" s="505"/>
      <c r="B188" s="505"/>
      <c r="C188" s="505"/>
      <c r="D188" s="505"/>
      <c r="E188" s="505"/>
      <c r="F188" s="505"/>
      <c r="G188" s="505"/>
      <c r="H188" s="505"/>
      <c r="I188" s="505"/>
      <c r="J188" s="505"/>
      <c r="K188" s="517"/>
      <c r="L188" s="518"/>
      <c r="M188" s="505"/>
      <c r="N188" s="505"/>
      <c r="O188" s="505"/>
      <c r="P188" s="505"/>
      <c r="Q188" s="505"/>
      <c r="R188" s="505"/>
      <c r="S188" s="505"/>
      <c r="T188" s="505"/>
      <c r="U188" s="505"/>
      <c r="V188" s="505"/>
      <c r="W188" s="505"/>
      <c r="X188" s="505"/>
      <c r="Y188" s="505"/>
      <c r="Z188" s="505"/>
      <c r="AA188" s="505"/>
      <c r="AB188" s="505"/>
      <c r="AC188" s="505"/>
    </row>
    <row r="189" spans="1:29">
      <c r="A189" s="505"/>
      <c r="B189" s="505"/>
      <c r="C189" s="505"/>
      <c r="D189" s="505"/>
      <c r="E189" s="505"/>
      <c r="F189" s="505"/>
      <c r="G189" s="505"/>
      <c r="H189" s="505"/>
      <c r="I189" s="505"/>
      <c r="J189" s="505"/>
      <c r="K189" s="517"/>
      <c r="L189" s="518"/>
      <c r="M189" s="505"/>
      <c r="N189" s="505"/>
      <c r="O189" s="505"/>
      <c r="P189" s="505"/>
      <c r="Q189" s="505"/>
      <c r="R189" s="505"/>
      <c r="S189" s="505"/>
      <c r="T189" s="505"/>
      <c r="U189" s="505"/>
      <c r="V189" s="505"/>
      <c r="W189" s="505"/>
      <c r="X189" s="505"/>
      <c r="Y189" s="505"/>
      <c r="Z189" s="505"/>
      <c r="AA189" s="505"/>
      <c r="AB189" s="505"/>
      <c r="AC189" s="505"/>
    </row>
    <row r="190" spans="1:29">
      <c r="A190" s="505"/>
      <c r="B190" s="505"/>
      <c r="C190" s="505"/>
      <c r="D190" s="505"/>
      <c r="E190" s="505"/>
      <c r="F190" s="505"/>
      <c r="G190" s="505"/>
      <c r="H190" s="505"/>
      <c r="I190" s="505"/>
      <c r="J190" s="505"/>
      <c r="K190" s="517"/>
      <c r="L190" s="518"/>
      <c r="M190" s="505"/>
      <c r="N190" s="505"/>
      <c r="O190" s="505"/>
      <c r="P190" s="505"/>
      <c r="Q190" s="505"/>
      <c r="R190" s="505"/>
      <c r="S190" s="505"/>
      <c r="T190" s="505"/>
      <c r="U190" s="505"/>
      <c r="V190" s="505"/>
      <c r="W190" s="505"/>
      <c r="X190" s="505"/>
      <c r="Y190" s="505"/>
      <c r="Z190" s="505"/>
      <c r="AA190" s="505"/>
      <c r="AB190" s="505"/>
      <c r="AC190" s="505"/>
    </row>
    <row r="191" spans="1:29">
      <c r="A191" s="505"/>
      <c r="B191" s="505"/>
      <c r="C191" s="505"/>
      <c r="D191" s="505"/>
      <c r="E191" s="505"/>
      <c r="F191" s="505"/>
      <c r="G191" s="505"/>
      <c r="H191" s="505"/>
      <c r="I191" s="505"/>
      <c r="J191" s="505"/>
      <c r="K191" s="517"/>
      <c r="L191" s="518"/>
      <c r="M191" s="505"/>
      <c r="N191" s="505"/>
      <c r="O191" s="505"/>
      <c r="P191" s="505"/>
      <c r="Q191" s="505"/>
      <c r="R191" s="505"/>
      <c r="S191" s="505"/>
      <c r="T191" s="505"/>
      <c r="U191" s="505"/>
      <c r="V191" s="505"/>
      <c r="W191" s="505"/>
      <c r="X191" s="505"/>
      <c r="Y191" s="505"/>
      <c r="Z191" s="505"/>
      <c r="AA191" s="505"/>
      <c r="AB191" s="505"/>
      <c r="AC191" s="505"/>
    </row>
    <row r="192" spans="1:29">
      <c r="A192" s="505"/>
      <c r="B192" s="505"/>
      <c r="C192" s="505"/>
      <c r="D192" s="505"/>
      <c r="E192" s="505"/>
      <c r="F192" s="505"/>
      <c r="G192" s="505"/>
      <c r="H192" s="505"/>
      <c r="I192" s="505"/>
      <c r="J192" s="505"/>
      <c r="K192" s="517"/>
      <c r="L192" s="518"/>
      <c r="M192" s="505"/>
      <c r="N192" s="505"/>
      <c r="O192" s="505"/>
      <c r="P192" s="505"/>
      <c r="Q192" s="505"/>
      <c r="R192" s="505"/>
      <c r="S192" s="505"/>
      <c r="T192" s="505"/>
      <c r="U192" s="505"/>
      <c r="V192" s="505"/>
      <c r="W192" s="505"/>
      <c r="X192" s="505"/>
      <c r="Y192" s="505"/>
      <c r="Z192" s="505"/>
      <c r="AA192" s="505"/>
      <c r="AB192" s="505"/>
      <c r="AC192" s="505"/>
    </row>
    <row r="193" spans="1:29">
      <c r="A193" s="505"/>
      <c r="B193" s="505"/>
      <c r="C193" s="505"/>
      <c r="D193" s="505"/>
      <c r="E193" s="505"/>
      <c r="F193" s="505"/>
      <c r="G193" s="505"/>
      <c r="H193" s="505"/>
      <c r="I193" s="505"/>
      <c r="J193" s="505"/>
      <c r="K193" s="517"/>
      <c r="L193" s="518"/>
      <c r="M193" s="505"/>
      <c r="N193" s="505"/>
      <c r="O193" s="505"/>
      <c r="P193" s="505"/>
      <c r="Q193" s="505"/>
      <c r="R193" s="505"/>
      <c r="S193" s="505"/>
      <c r="T193" s="505"/>
      <c r="U193" s="505"/>
      <c r="V193" s="505"/>
      <c r="W193" s="505"/>
      <c r="X193" s="505"/>
      <c r="Y193" s="505"/>
      <c r="Z193" s="505"/>
      <c r="AA193" s="505"/>
      <c r="AB193" s="505"/>
      <c r="AC193" s="505"/>
    </row>
    <row r="194" spans="1:29">
      <c r="A194" s="505"/>
      <c r="B194" s="505"/>
      <c r="C194" s="505"/>
      <c r="D194" s="505"/>
      <c r="E194" s="505"/>
      <c r="F194" s="505"/>
      <c r="G194" s="505"/>
      <c r="H194" s="505"/>
      <c r="I194" s="505"/>
      <c r="J194" s="505"/>
      <c r="K194" s="517"/>
      <c r="L194" s="518"/>
      <c r="M194" s="505"/>
      <c r="N194" s="505"/>
      <c r="O194" s="505"/>
      <c r="P194" s="505"/>
      <c r="Q194" s="505"/>
      <c r="R194" s="505"/>
      <c r="S194" s="505"/>
      <c r="T194" s="505"/>
      <c r="U194" s="505"/>
      <c r="V194" s="505"/>
      <c r="W194" s="505"/>
      <c r="X194" s="505"/>
      <c r="Y194" s="505"/>
      <c r="Z194" s="505"/>
      <c r="AA194" s="505"/>
      <c r="AB194" s="505"/>
      <c r="AC194" s="505"/>
    </row>
    <row r="195" spans="1:29">
      <c r="A195" s="505"/>
      <c r="B195" s="505"/>
      <c r="C195" s="505"/>
      <c r="D195" s="505"/>
      <c r="E195" s="505"/>
      <c r="F195" s="505"/>
      <c r="G195" s="505"/>
      <c r="H195" s="505"/>
      <c r="I195" s="505"/>
      <c r="J195" s="505"/>
      <c r="K195" s="517"/>
      <c r="L195" s="518"/>
      <c r="M195" s="505"/>
      <c r="N195" s="505"/>
      <c r="O195" s="505"/>
      <c r="P195" s="505"/>
      <c r="Q195" s="505"/>
      <c r="R195" s="505"/>
      <c r="S195" s="505"/>
      <c r="T195" s="505"/>
      <c r="U195" s="505"/>
      <c r="V195" s="505"/>
      <c r="W195" s="505"/>
      <c r="X195" s="505"/>
      <c r="Y195" s="505"/>
      <c r="Z195" s="505"/>
      <c r="AA195" s="505"/>
      <c r="AB195" s="505"/>
      <c r="AC195" s="505"/>
    </row>
    <row r="196" spans="1:29">
      <c r="A196" s="505"/>
      <c r="B196" s="505"/>
      <c r="C196" s="505"/>
      <c r="D196" s="505"/>
      <c r="E196" s="505"/>
      <c r="F196" s="505"/>
      <c r="G196" s="505"/>
      <c r="H196" s="505"/>
      <c r="I196" s="505"/>
      <c r="J196" s="505"/>
      <c r="K196" s="517"/>
      <c r="L196" s="518"/>
      <c r="M196" s="505"/>
      <c r="N196" s="505"/>
      <c r="O196" s="505"/>
      <c r="P196" s="505"/>
      <c r="Q196" s="505"/>
      <c r="R196" s="505"/>
      <c r="S196" s="505"/>
      <c r="T196" s="505"/>
      <c r="U196" s="505"/>
      <c r="V196" s="505"/>
      <c r="W196" s="505"/>
      <c r="X196" s="505"/>
      <c r="Y196" s="505"/>
      <c r="Z196" s="505"/>
      <c r="AA196" s="505"/>
      <c r="AB196" s="505"/>
      <c r="AC196" s="505"/>
    </row>
    <row r="197" spans="1:29">
      <c r="A197" s="505"/>
      <c r="B197" s="505"/>
      <c r="C197" s="505"/>
      <c r="D197" s="505"/>
      <c r="E197" s="505"/>
      <c r="F197" s="505"/>
      <c r="G197" s="505"/>
      <c r="H197" s="505"/>
      <c r="I197" s="505"/>
      <c r="J197" s="505"/>
      <c r="K197" s="517"/>
      <c r="L197" s="518"/>
      <c r="M197" s="505"/>
      <c r="N197" s="505"/>
      <c r="O197" s="505"/>
      <c r="P197" s="505"/>
      <c r="Q197" s="505"/>
      <c r="R197" s="505"/>
      <c r="S197" s="505"/>
      <c r="T197" s="505"/>
      <c r="U197" s="505"/>
      <c r="V197" s="505"/>
      <c r="W197" s="505"/>
      <c r="X197" s="505"/>
      <c r="Y197" s="505"/>
      <c r="Z197" s="505"/>
      <c r="AA197" s="505"/>
      <c r="AB197" s="505"/>
      <c r="AC197" s="505"/>
    </row>
    <row r="198" spans="1:29">
      <c r="A198" s="505"/>
      <c r="B198" s="505"/>
      <c r="C198" s="505"/>
      <c r="D198" s="505"/>
      <c r="E198" s="505"/>
      <c r="F198" s="505"/>
      <c r="G198" s="505"/>
      <c r="H198" s="505"/>
      <c r="I198" s="505"/>
      <c r="J198" s="505"/>
      <c r="K198" s="517"/>
      <c r="L198" s="518"/>
      <c r="M198" s="505"/>
      <c r="N198" s="505"/>
      <c r="O198" s="505"/>
      <c r="P198" s="505"/>
      <c r="Q198" s="505"/>
      <c r="R198" s="505"/>
      <c r="S198" s="505"/>
      <c r="T198" s="505"/>
      <c r="U198" s="505"/>
      <c r="V198" s="505"/>
      <c r="W198" s="505"/>
      <c r="X198" s="505"/>
      <c r="Y198" s="505"/>
      <c r="Z198" s="505"/>
      <c r="AA198" s="505"/>
      <c r="AB198" s="505"/>
      <c r="AC198" s="505"/>
    </row>
    <row r="199" spans="1:29">
      <c r="A199" s="505"/>
      <c r="B199" s="505"/>
      <c r="C199" s="505"/>
      <c r="D199" s="505"/>
      <c r="E199" s="505"/>
      <c r="F199" s="505"/>
      <c r="G199" s="505"/>
      <c r="H199" s="505"/>
      <c r="I199" s="505"/>
      <c r="J199" s="505"/>
      <c r="K199" s="517"/>
      <c r="L199" s="518"/>
      <c r="M199" s="505"/>
      <c r="N199" s="505"/>
      <c r="O199" s="505"/>
      <c r="P199" s="505"/>
      <c r="Q199" s="505"/>
      <c r="R199" s="505"/>
      <c r="S199" s="505"/>
      <c r="T199" s="505"/>
      <c r="U199" s="505"/>
      <c r="V199" s="505"/>
      <c r="W199" s="505"/>
      <c r="X199" s="505"/>
      <c r="Y199" s="505"/>
      <c r="Z199" s="505"/>
      <c r="AA199" s="505"/>
      <c r="AB199" s="505"/>
      <c r="AC199" s="505"/>
    </row>
    <row r="200" spans="1:29">
      <c r="A200" s="505"/>
      <c r="B200" s="505"/>
      <c r="C200" s="505"/>
      <c r="D200" s="505"/>
      <c r="E200" s="505"/>
      <c r="F200" s="505"/>
      <c r="G200" s="505"/>
      <c r="H200" s="505"/>
      <c r="I200" s="505"/>
      <c r="J200" s="505"/>
      <c r="K200" s="517"/>
      <c r="L200" s="518"/>
      <c r="M200" s="505"/>
      <c r="N200" s="505"/>
      <c r="O200" s="505"/>
      <c r="P200" s="505"/>
      <c r="Q200" s="505"/>
      <c r="R200" s="505"/>
      <c r="S200" s="505"/>
      <c r="T200" s="505"/>
      <c r="U200" s="505"/>
      <c r="V200" s="505"/>
      <c r="W200" s="505"/>
      <c r="X200" s="505"/>
      <c r="Y200" s="505"/>
      <c r="Z200" s="505"/>
      <c r="AA200" s="505"/>
      <c r="AB200" s="505"/>
      <c r="AC200" s="505"/>
    </row>
    <row r="201" spans="1:29">
      <c r="A201" s="505"/>
      <c r="B201" s="505"/>
      <c r="C201" s="505"/>
      <c r="D201" s="505"/>
      <c r="E201" s="505"/>
      <c r="F201" s="505"/>
      <c r="G201" s="505"/>
      <c r="H201" s="505"/>
      <c r="I201" s="505"/>
      <c r="J201" s="505"/>
      <c r="K201" s="517"/>
      <c r="L201" s="518"/>
      <c r="M201" s="505"/>
      <c r="N201" s="505"/>
      <c r="O201" s="505"/>
      <c r="P201" s="505"/>
      <c r="Q201" s="505"/>
      <c r="R201" s="505"/>
      <c r="S201" s="505"/>
      <c r="T201" s="505"/>
      <c r="U201" s="505"/>
      <c r="V201" s="505"/>
      <c r="W201" s="505"/>
      <c r="X201" s="505"/>
      <c r="Y201" s="505"/>
      <c r="Z201" s="505"/>
      <c r="AA201" s="505"/>
      <c r="AB201" s="505"/>
      <c r="AC201" s="505"/>
    </row>
    <row r="202" spans="1:29">
      <c r="A202" s="505"/>
      <c r="B202" s="505"/>
      <c r="C202" s="505"/>
      <c r="D202" s="505"/>
      <c r="E202" s="505"/>
      <c r="F202" s="505"/>
      <c r="G202" s="505"/>
      <c r="H202" s="505"/>
      <c r="I202" s="505"/>
      <c r="J202" s="505"/>
      <c r="K202" s="517"/>
      <c r="L202" s="518"/>
      <c r="M202" s="505"/>
      <c r="N202" s="505"/>
      <c r="O202" s="505"/>
      <c r="P202" s="505"/>
      <c r="Q202" s="505"/>
      <c r="R202" s="505"/>
      <c r="S202" s="505"/>
      <c r="T202" s="505"/>
      <c r="U202" s="505"/>
      <c r="V202" s="505"/>
      <c r="W202" s="505"/>
      <c r="X202" s="505"/>
      <c r="Y202" s="505"/>
      <c r="Z202" s="505"/>
      <c r="AA202" s="505"/>
      <c r="AB202" s="505"/>
      <c r="AC202" s="505"/>
    </row>
    <row r="203" spans="1:29">
      <c r="A203" s="505"/>
      <c r="B203" s="505"/>
      <c r="C203" s="505"/>
      <c r="D203" s="505"/>
      <c r="E203" s="505"/>
      <c r="F203" s="505"/>
      <c r="G203" s="505"/>
      <c r="H203" s="505"/>
      <c r="I203" s="505"/>
      <c r="J203" s="505"/>
      <c r="K203" s="517"/>
      <c r="L203" s="518"/>
      <c r="M203" s="505"/>
      <c r="N203" s="505"/>
      <c r="O203" s="505"/>
      <c r="P203" s="505"/>
      <c r="Q203" s="505"/>
      <c r="R203" s="505"/>
      <c r="S203" s="505"/>
      <c r="T203" s="505"/>
      <c r="U203" s="505"/>
      <c r="V203" s="505"/>
      <c r="W203" s="505"/>
      <c r="X203" s="505"/>
      <c r="Y203" s="505"/>
      <c r="Z203" s="505"/>
      <c r="AA203" s="505"/>
      <c r="AB203" s="505"/>
      <c r="AC203" s="505"/>
    </row>
    <row r="204" spans="1:29">
      <c r="A204" s="505"/>
      <c r="B204" s="505"/>
      <c r="C204" s="505"/>
      <c r="D204" s="505"/>
      <c r="E204" s="505"/>
      <c r="F204" s="505"/>
      <c r="G204" s="505"/>
      <c r="H204" s="505"/>
      <c r="I204" s="505"/>
      <c r="J204" s="505"/>
      <c r="K204" s="517"/>
      <c r="L204" s="518"/>
      <c r="M204" s="505"/>
      <c r="N204" s="505"/>
      <c r="O204" s="505"/>
      <c r="P204" s="505"/>
      <c r="Q204" s="505"/>
      <c r="R204" s="505"/>
      <c r="S204" s="505"/>
      <c r="T204" s="505"/>
      <c r="U204" s="505"/>
      <c r="V204" s="505"/>
      <c r="W204" s="505"/>
      <c r="X204" s="505"/>
      <c r="Y204" s="505"/>
      <c r="Z204" s="505"/>
      <c r="AA204" s="505"/>
      <c r="AB204" s="505"/>
      <c r="AC204" s="505"/>
    </row>
    <row r="205" spans="1:29">
      <c r="A205" s="505"/>
      <c r="B205" s="505"/>
      <c r="C205" s="505"/>
      <c r="D205" s="505"/>
      <c r="E205" s="505"/>
      <c r="F205" s="505"/>
      <c r="G205" s="505"/>
      <c r="H205" s="505"/>
      <c r="I205" s="505"/>
      <c r="J205" s="505"/>
      <c r="K205" s="517"/>
      <c r="L205" s="518"/>
      <c r="M205" s="505"/>
      <c r="N205" s="505"/>
      <c r="O205" s="505"/>
      <c r="P205" s="505"/>
      <c r="Q205" s="505"/>
      <c r="R205" s="505"/>
      <c r="S205" s="505"/>
      <c r="T205" s="505"/>
      <c r="U205" s="505"/>
      <c r="V205" s="505"/>
      <c r="W205" s="505"/>
      <c r="X205" s="505"/>
      <c r="Y205" s="505"/>
      <c r="Z205" s="505"/>
      <c r="AA205" s="505"/>
      <c r="AB205" s="505"/>
      <c r="AC205" s="505"/>
    </row>
    <row r="206" spans="1:29">
      <c r="A206" s="505"/>
      <c r="B206" s="505"/>
      <c r="C206" s="505"/>
      <c r="D206" s="505"/>
      <c r="E206" s="505"/>
      <c r="F206" s="505"/>
      <c r="G206" s="505"/>
      <c r="H206" s="505"/>
      <c r="I206" s="505"/>
      <c r="J206" s="505"/>
      <c r="K206" s="517"/>
      <c r="L206" s="518"/>
      <c r="M206" s="505"/>
      <c r="N206" s="505"/>
      <c r="O206" s="505"/>
      <c r="P206" s="505"/>
      <c r="Q206" s="505"/>
      <c r="R206" s="505"/>
      <c r="S206" s="505"/>
      <c r="T206" s="505"/>
      <c r="U206" s="505"/>
      <c r="V206" s="505"/>
      <c r="W206" s="505"/>
      <c r="X206" s="505"/>
      <c r="Y206" s="505"/>
      <c r="Z206" s="505"/>
      <c r="AA206" s="505"/>
      <c r="AB206" s="505"/>
      <c r="AC206" s="505"/>
    </row>
    <row r="207" spans="1:29">
      <c r="A207" s="505"/>
      <c r="B207" s="505"/>
      <c r="C207" s="505"/>
      <c r="D207" s="505"/>
      <c r="E207" s="505"/>
      <c r="F207" s="505"/>
      <c r="G207" s="505"/>
      <c r="H207" s="505"/>
      <c r="I207" s="505"/>
      <c r="J207" s="505"/>
      <c r="K207" s="517"/>
      <c r="L207" s="518"/>
      <c r="M207" s="505"/>
      <c r="N207" s="505"/>
      <c r="O207" s="505"/>
      <c r="P207" s="505"/>
      <c r="Q207" s="505"/>
      <c r="R207" s="505"/>
      <c r="S207" s="505"/>
      <c r="T207" s="505"/>
      <c r="U207" s="505"/>
      <c r="V207" s="505"/>
      <c r="W207" s="505"/>
      <c r="X207" s="505"/>
      <c r="Y207" s="505"/>
      <c r="Z207" s="505"/>
      <c r="AA207" s="505"/>
      <c r="AB207" s="505"/>
      <c r="AC207" s="505"/>
    </row>
    <row r="208" spans="1:29">
      <c r="A208" s="505"/>
      <c r="B208" s="505"/>
      <c r="C208" s="505"/>
      <c r="D208" s="505"/>
      <c r="E208" s="505"/>
      <c r="F208" s="505"/>
      <c r="G208" s="505"/>
      <c r="H208" s="505"/>
      <c r="I208" s="505"/>
      <c r="J208" s="505"/>
      <c r="K208" s="517"/>
      <c r="L208" s="518"/>
      <c r="M208" s="505"/>
      <c r="N208" s="505"/>
      <c r="O208" s="505"/>
      <c r="P208" s="505"/>
      <c r="Q208" s="505"/>
      <c r="R208" s="505"/>
      <c r="S208" s="505"/>
      <c r="T208" s="505"/>
      <c r="U208" s="505"/>
      <c r="V208" s="505"/>
      <c r="W208" s="505"/>
      <c r="X208" s="505"/>
      <c r="Y208" s="505"/>
      <c r="Z208" s="505"/>
      <c r="AA208" s="505"/>
      <c r="AB208" s="505"/>
      <c r="AC208" s="505"/>
    </row>
    <row r="209" spans="1:29">
      <c r="A209" s="505"/>
      <c r="B209" s="505"/>
      <c r="C209" s="505"/>
      <c r="D209" s="505"/>
      <c r="E209" s="505"/>
      <c r="F209" s="505"/>
      <c r="G209" s="505"/>
      <c r="H209" s="505"/>
      <c r="I209" s="505"/>
      <c r="J209" s="505"/>
      <c r="K209" s="517"/>
      <c r="L209" s="518"/>
      <c r="M209" s="505"/>
      <c r="N209" s="505"/>
      <c r="O209" s="505"/>
      <c r="P209" s="505"/>
      <c r="Q209" s="505"/>
      <c r="R209" s="505"/>
      <c r="S209" s="505"/>
      <c r="T209" s="505"/>
      <c r="U209" s="505"/>
      <c r="V209" s="505"/>
      <c r="W209" s="505"/>
      <c r="X209" s="505"/>
      <c r="Y209" s="505"/>
      <c r="Z209" s="505"/>
      <c r="AA209" s="505"/>
      <c r="AB209" s="505"/>
      <c r="AC209" s="505"/>
    </row>
    <row r="210" spans="1:29">
      <c r="A210" s="505"/>
      <c r="B210" s="505"/>
      <c r="C210" s="505"/>
      <c r="D210" s="505"/>
      <c r="E210" s="505"/>
      <c r="F210" s="505"/>
      <c r="G210" s="505"/>
      <c r="H210" s="505"/>
      <c r="I210" s="505"/>
      <c r="J210" s="505"/>
      <c r="K210" s="517"/>
      <c r="L210" s="518"/>
      <c r="M210" s="505"/>
      <c r="N210" s="505"/>
      <c r="O210" s="505"/>
      <c r="P210" s="505"/>
      <c r="Q210" s="505"/>
      <c r="R210" s="505"/>
      <c r="S210" s="505"/>
      <c r="T210" s="505"/>
      <c r="U210" s="505"/>
      <c r="V210" s="505"/>
      <c r="W210" s="505"/>
      <c r="X210" s="505"/>
      <c r="Y210" s="505"/>
      <c r="Z210" s="505"/>
      <c r="AA210" s="505"/>
      <c r="AB210" s="505"/>
      <c r="AC210" s="505"/>
    </row>
    <row r="211" spans="1:29">
      <c r="A211" s="505"/>
      <c r="B211" s="505"/>
      <c r="C211" s="505"/>
      <c r="D211" s="505"/>
      <c r="E211" s="505"/>
      <c r="F211" s="505"/>
      <c r="G211" s="505"/>
      <c r="H211" s="505"/>
      <c r="I211" s="505"/>
      <c r="J211" s="505"/>
      <c r="K211" s="517"/>
      <c r="L211" s="518"/>
      <c r="M211" s="505"/>
      <c r="N211" s="505"/>
      <c r="O211" s="505"/>
      <c r="P211" s="505"/>
      <c r="Q211" s="505"/>
      <c r="R211" s="505"/>
      <c r="S211" s="505"/>
      <c r="T211" s="505"/>
      <c r="U211" s="505"/>
      <c r="V211" s="505"/>
      <c r="W211" s="505"/>
      <c r="X211" s="505"/>
      <c r="Y211" s="505"/>
      <c r="Z211" s="505"/>
      <c r="AA211" s="505"/>
      <c r="AB211" s="505"/>
      <c r="AC211" s="505"/>
    </row>
    <row r="212" spans="1:29">
      <c r="A212" s="505"/>
      <c r="B212" s="505"/>
      <c r="C212" s="505"/>
      <c r="D212" s="505"/>
      <c r="E212" s="505"/>
      <c r="F212" s="505"/>
      <c r="G212" s="505"/>
      <c r="H212" s="505"/>
      <c r="I212" s="505"/>
      <c r="J212" s="505"/>
      <c r="K212" s="517"/>
      <c r="L212" s="518"/>
      <c r="M212" s="505"/>
      <c r="N212" s="505"/>
      <c r="O212" s="505"/>
      <c r="P212" s="505"/>
      <c r="Q212" s="505"/>
      <c r="R212" s="505"/>
      <c r="S212" s="505"/>
      <c r="T212" s="505"/>
      <c r="U212" s="505"/>
      <c r="V212" s="505"/>
      <c r="W212" s="505"/>
      <c r="X212" s="505"/>
      <c r="Y212" s="505"/>
      <c r="Z212" s="505"/>
      <c r="AA212" s="505"/>
      <c r="AB212" s="505"/>
      <c r="AC212" s="505"/>
    </row>
    <row r="213" spans="1:29">
      <c r="A213" s="505"/>
      <c r="B213" s="505"/>
      <c r="C213" s="505"/>
      <c r="D213" s="505"/>
      <c r="E213" s="505"/>
      <c r="F213" s="505"/>
      <c r="G213" s="505"/>
      <c r="H213" s="505"/>
      <c r="I213" s="505"/>
      <c r="J213" s="505"/>
      <c r="K213" s="517"/>
      <c r="L213" s="518"/>
      <c r="M213" s="505"/>
      <c r="N213" s="505"/>
      <c r="O213" s="505"/>
      <c r="P213" s="505"/>
      <c r="Q213" s="505"/>
      <c r="R213" s="505"/>
      <c r="S213" s="505"/>
      <c r="T213" s="505"/>
      <c r="U213" s="505"/>
      <c r="V213" s="505"/>
      <c r="W213" s="505"/>
      <c r="X213" s="505"/>
      <c r="Y213" s="505"/>
      <c r="Z213" s="505"/>
      <c r="AA213" s="505"/>
      <c r="AB213" s="505"/>
      <c r="AC213" s="505"/>
    </row>
    <row r="214" spans="1:29">
      <c r="A214" s="505"/>
      <c r="B214" s="505"/>
      <c r="C214" s="505"/>
      <c r="D214" s="505"/>
      <c r="E214" s="505"/>
      <c r="F214" s="505"/>
      <c r="G214" s="505"/>
      <c r="H214" s="505"/>
      <c r="I214" s="505"/>
      <c r="J214" s="505"/>
      <c r="K214" s="517"/>
      <c r="L214" s="518"/>
      <c r="M214" s="505"/>
      <c r="N214" s="505"/>
      <c r="O214" s="505"/>
      <c r="P214" s="505"/>
      <c r="Q214" s="505"/>
      <c r="R214" s="505"/>
      <c r="S214" s="505"/>
      <c r="T214" s="505"/>
      <c r="U214" s="505"/>
      <c r="V214" s="505"/>
      <c r="W214" s="505"/>
      <c r="X214" s="505"/>
      <c r="Y214" s="505"/>
      <c r="Z214" s="505"/>
      <c r="AA214" s="505"/>
      <c r="AB214" s="505"/>
      <c r="AC214" s="505"/>
    </row>
    <row r="215" spans="1:29">
      <c r="A215" s="505"/>
      <c r="B215" s="505"/>
      <c r="C215" s="505"/>
      <c r="D215" s="505"/>
      <c r="E215" s="505"/>
      <c r="F215" s="505"/>
      <c r="G215" s="505"/>
      <c r="H215" s="505"/>
      <c r="I215" s="505"/>
      <c r="J215" s="505"/>
      <c r="K215" s="517"/>
      <c r="L215" s="518"/>
      <c r="M215" s="505"/>
      <c r="N215" s="505"/>
      <c r="O215" s="505"/>
      <c r="P215" s="505"/>
      <c r="Q215" s="505"/>
      <c r="R215" s="505"/>
      <c r="S215" s="505"/>
      <c r="T215" s="505"/>
      <c r="U215" s="505"/>
      <c r="V215" s="505"/>
      <c r="W215" s="505"/>
      <c r="X215" s="505"/>
      <c r="Y215" s="505"/>
      <c r="Z215" s="505"/>
      <c r="AA215" s="505"/>
      <c r="AB215" s="505"/>
      <c r="AC215" s="505"/>
    </row>
    <row r="216" spans="1:29">
      <c r="A216" s="505"/>
      <c r="B216" s="505"/>
      <c r="C216" s="505"/>
      <c r="D216" s="505"/>
      <c r="E216" s="505"/>
      <c r="F216" s="505"/>
      <c r="G216" s="505"/>
      <c r="H216" s="505"/>
      <c r="I216" s="505"/>
      <c r="J216" s="505"/>
      <c r="K216" s="517"/>
      <c r="L216" s="518"/>
      <c r="M216" s="505"/>
      <c r="N216" s="505"/>
      <c r="O216" s="505"/>
      <c r="P216" s="505"/>
      <c r="Q216" s="505"/>
      <c r="R216" s="505"/>
      <c r="S216" s="505"/>
      <c r="T216" s="505"/>
      <c r="U216" s="505"/>
      <c r="V216" s="505"/>
      <c r="W216" s="505"/>
      <c r="X216" s="505"/>
      <c r="Y216" s="505"/>
      <c r="Z216" s="505"/>
      <c r="AA216" s="505"/>
      <c r="AB216" s="505"/>
      <c r="AC216" s="505"/>
    </row>
    <row r="217" spans="1:29">
      <c r="A217" s="505"/>
      <c r="B217" s="505"/>
      <c r="C217" s="505"/>
      <c r="D217" s="505"/>
      <c r="E217" s="505"/>
      <c r="F217" s="505"/>
      <c r="G217" s="505"/>
      <c r="H217" s="505"/>
      <c r="I217" s="505"/>
      <c r="J217" s="505"/>
      <c r="K217" s="517"/>
      <c r="L217" s="518"/>
      <c r="M217" s="505"/>
      <c r="N217" s="505"/>
      <c r="O217" s="505"/>
      <c r="P217" s="505"/>
      <c r="Q217" s="505"/>
      <c r="R217" s="505"/>
      <c r="S217" s="505"/>
      <c r="T217" s="505"/>
      <c r="U217" s="505"/>
      <c r="V217" s="505"/>
      <c r="W217" s="505"/>
      <c r="X217" s="505"/>
      <c r="Y217" s="505"/>
      <c r="Z217" s="505"/>
      <c r="AA217" s="505"/>
      <c r="AB217" s="505"/>
      <c r="AC217" s="505"/>
    </row>
    <row r="218" spans="1:29">
      <c r="A218" s="505"/>
      <c r="B218" s="505"/>
      <c r="C218" s="505"/>
      <c r="D218" s="505"/>
      <c r="E218" s="505"/>
      <c r="F218" s="505"/>
      <c r="G218" s="505"/>
      <c r="H218" s="505"/>
      <c r="I218" s="505"/>
      <c r="J218" s="505"/>
      <c r="K218" s="517"/>
      <c r="L218" s="518"/>
      <c r="M218" s="505"/>
      <c r="N218" s="505"/>
      <c r="O218" s="505"/>
      <c r="P218" s="505"/>
      <c r="Q218" s="505"/>
      <c r="R218" s="505"/>
      <c r="S218" s="505"/>
      <c r="T218" s="505"/>
      <c r="U218" s="505"/>
      <c r="V218" s="505"/>
      <c r="W218" s="505"/>
      <c r="X218" s="505"/>
      <c r="Y218" s="505"/>
      <c r="Z218" s="505"/>
      <c r="AA218" s="505"/>
      <c r="AB218" s="505"/>
      <c r="AC218" s="505"/>
    </row>
    <row r="219" spans="1:29">
      <c r="A219" s="505"/>
      <c r="B219" s="505"/>
      <c r="C219" s="505"/>
      <c r="D219" s="505"/>
      <c r="E219" s="505"/>
      <c r="F219" s="505"/>
      <c r="G219" s="505"/>
      <c r="H219" s="505"/>
      <c r="I219" s="505"/>
      <c r="J219" s="505"/>
      <c r="K219" s="517"/>
      <c r="L219" s="518"/>
      <c r="M219" s="505"/>
      <c r="N219" s="505"/>
      <c r="O219" s="505"/>
      <c r="P219" s="505"/>
      <c r="Q219" s="505"/>
      <c r="R219" s="505"/>
      <c r="S219" s="505"/>
      <c r="T219" s="505"/>
      <c r="U219" s="505"/>
      <c r="V219" s="505"/>
      <c r="W219" s="505"/>
      <c r="X219" s="505"/>
      <c r="Y219" s="505"/>
      <c r="Z219" s="505"/>
      <c r="AA219" s="505"/>
      <c r="AB219" s="505"/>
      <c r="AC219" s="505"/>
    </row>
    <row r="220" spans="1:29">
      <c r="A220" s="505"/>
      <c r="B220" s="505"/>
      <c r="C220" s="505"/>
      <c r="D220" s="505"/>
      <c r="E220" s="505"/>
      <c r="F220" s="505"/>
      <c r="G220" s="505"/>
      <c r="H220" s="505"/>
      <c r="I220" s="505"/>
      <c r="J220" s="505"/>
      <c r="K220" s="517"/>
      <c r="L220" s="518"/>
      <c r="M220" s="505"/>
      <c r="N220" s="505"/>
      <c r="O220" s="505"/>
      <c r="P220" s="505"/>
      <c r="Q220" s="505"/>
      <c r="R220" s="505"/>
      <c r="S220" s="505"/>
      <c r="T220" s="505"/>
      <c r="U220" s="505"/>
      <c r="V220" s="505"/>
      <c r="W220" s="505"/>
      <c r="X220" s="505"/>
      <c r="Y220" s="505"/>
      <c r="Z220" s="505"/>
      <c r="AA220" s="505"/>
      <c r="AB220" s="505"/>
      <c r="AC220" s="505"/>
    </row>
    <row r="221" spans="1:29">
      <c r="A221" s="505"/>
      <c r="B221" s="505"/>
      <c r="C221" s="505"/>
      <c r="D221" s="505"/>
      <c r="E221" s="505"/>
      <c r="F221" s="505"/>
      <c r="G221" s="505"/>
      <c r="H221" s="505"/>
      <c r="I221" s="505"/>
      <c r="J221" s="505"/>
      <c r="K221" s="517"/>
      <c r="L221" s="518"/>
      <c r="M221" s="505"/>
      <c r="N221" s="505"/>
      <c r="O221" s="505"/>
      <c r="P221" s="505"/>
      <c r="Q221" s="505"/>
      <c r="R221" s="505"/>
      <c r="S221" s="505"/>
      <c r="T221" s="505"/>
      <c r="U221" s="505"/>
      <c r="V221" s="505"/>
      <c r="W221" s="505"/>
      <c r="X221" s="505"/>
      <c r="Y221" s="505"/>
      <c r="Z221" s="505"/>
      <c r="AA221" s="505"/>
      <c r="AB221" s="505"/>
      <c r="AC221" s="505"/>
    </row>
    <row r="222" spans="1:29">
      <c r="A222" s="505"/>
      <c r="B222" s="505"/>
      <c r="C222" s="505"/>
      <c r="D222" s="505"/>
      <c r="E222" s="505"/>
      <c r="F222" s="505"/>
      <c r="G222" s="505"/>
      <c r="H222" s="505"/>
      <c r="I222" s="505"/>
      <c r="J222" s="505"/>
      <c r="K222" s="517"/>
      <c r="L222" s="518"/>
      <c r="M222" s="505"/>
      <c r="N222" s="505"/>
      <c r="O222" s="505"/>
      <c r="P222" s="505"/>
      <c r="Q222" s="505"/>
      <c r="R222" s="505"/>
      <c r="S222" s="505"/>
      <c r="T222" s="505"/>
      <c r="U222" s="505"/>
      <c r="V222" s="505"/>
      <c r="W222" s="505"/>
      <c r="X222" s="505"/>
      <c r="Y222" s="505"/>
      <c r="Z222" s="505"/>
      <c r="AA222" s="505"/>
      <c r="AB222" s="505"/>
      <c r="AC222" s="505"/>
    </row>
    <row r="223" spans="1:29">
      <c r="A223" s="505"/>
      <c r="B223" s="505"/>
      <c r="C223" s="505"/>
      <c r="D223" s="505"/>
      <c r="E223" s="505"/>
      <c r="F223" s="505"/>
      <c r="G223" s="505"/>
      <c r="H223" s="505"/>
      <c r="I223" s="505"/>
      <c r="J223" s="505"/>
      <c r="K223" s="517"/>
      <c r="L223" s="518"/>
      <c r="M223" s="505"/>
      <c r="N223" s="505"/>
      <c r="O223" s="505"/>
      <c r="P223" s="505"/>
      <c r="Q223" s="505"/>
      <c r="R223" s="505"/>
      <c r="S223" s="505"/>
      <c r="T223" s="505"/>
      <c r="U223" s="505"/>
      <c r="V223" s="505"/>
      <c r="W223" s="505"/>
      <c r="X223" s="505"/>
      <c r="Y223" s="505"/>
      <c r="Z223" s="505"/>
      <c r="AA223" s="505"/>
      <c r="AB223" s="505"/>
      <c r="AC223" s="505"/>
    </row>
    <row r="224" spans="1:29">
      <c r="A224" s="505"/>
      <c r="B224" s="505"/>
      <c r="C224" s="505"/>
      <c r="D224" s="505"/>
      <c r="E224" s="505"/>
      <c r="F224" s="505"/>
      <c r="G224" s="505"/>
      <c r="H224" s="505"/>
      <c r="I224" s="505"/>
      <c r="J224" s="505"/>
      <c r="K224" s="517"/>
      <c r="L224" s="518"/>
      <c r="M224" s="505"/>
      <c r="N224" s="505"/>
      <c r="O224" s="505"/>
      <c r="P224" s="505"/>
      <c r="Q224" s="505"/>
      <c r="R224" s="505"/>
      <c r="S224" s="505"/>
      <c r="T224" s="505"/>
      <c r="U224" s="505"/>
      <c r="V224" s="505"/>
      <c r="W224" s="505"/>
      <c r="X224" s="505"/>
      <c r="Y224" s="505"/>
      <c r="Z224" s="505"/>
      <c r="AA224" s="505"/>
      <c r="AB224" s="505"/>
      <c r="AC224" s="505"/>
    </row>
    <row r="225" spans="1:29">
      <c r="A225" s="505"/>
      <c r="B225" s="505"/>
      <c r="C225" s="505"/>
      <c r="D225" s="505"/>
      <c r="E225" s="505"/>
      <c r="F225" s="505"/>
      <c r="G225" s="505"/>
      <c r="H225" s="505"/>
      <c r="I225" s="505"/>
      <c r="J225" s="505"/>
      <c r="K225" s="517"/>
      <c r="L225" s="518"/>
      <c r="M225" s="505"/>
      <c r="N225" s="505"/>
      <c r="O225" s="505"/>
      <c r="P225" s="505"/>
      <c r="Q225" s="505"/>
      <c r="R225" s="505"/>
      <c r="S225" s="505"/>
      <c r="T225" s="505"/>
      <c r="U225" s="505"/>
      <c r="V225" s="505"/>
      <c r="W225" s="505"/>
      <c r="X225" s="505"/>
      <c r="Y225" s="505"/>
      <c r="Z225" s="505"/>
      <c r="AA225" s="505"/>
      <c r="AB225" s="505"/>
      <c r="AC225" s="505"/>
    </row>
    <row r="226" spans="1:29">
      <c r="A226" s="505"/>
      <c r="B226" s="505"/>
      <c r="C226" s="505"/>
      <c r="D226" s="505"/>
      <c r="E226" s="505"/>
      <c r="F226" s="505"/>
      <c r="G226" s="505"/>
      <c r="H226" s="505"/>
      <c r="I226" s="505"/>
      <c r="J226" s="505"/>
      <c r="K226" s="517"/>
      <c r="L226" s="518"/>
      <c r="M226" s="505"/>
      <c r="N226" s="505"/>
      <c r="O226" s="505"/>
      <c r="P226" s="505"/>
      <c r="Q226" s="505"/>
      <c r="R226" s="505"/>
      <c r="S226" s="505"/>
      <c r="T226" s="505"/>
      <c r="U226" s="505"/>
      <c r="V226" s="505"/>
      <c r="W226" s="505"/>
      <c r="X226" s="505"/>
      <c r="Y226" s="505"/>
      <c r="Z226" s="505"/>
      <c r="AA226" s="505"/>
      <c r="AB226" s="505"/>
      <c r="AC226" s="505"/>
    </row>
    <row r="227" spans="1:29">
      <c r="A227" s="505"/>
      <c r="B227" s="505"/>
      <c r="C227" s="505"/>
      <c r="D227" s="505"/>
      <c r="E227" s="505"/>
      <c r="F227" s="505"/>
      <c r="G227" s="505"/>
      <c r="H227" s="505"/>
      <c r="I227" s="505"/>
      <c r="J227" s="505"/>
      <c r="K227" s="517"/>
      <c r="L227" s="518"/>
      <c r="M227" s="505"/>
      <c r="N227" s="505"/>
      <c r="O227" s="505"/>
      <c r="P227" s="505"/>
      <c r="Q227" s="505"/>
      <c r="R227" s="505"/>
      <c r="S227" s="505"/>
      <c r="T227" s="505"/>
      <c r="U227" s="505"/>
      <c r="V227" s="505"/>
      <c r="W227" s="505"/>
      <c r="X227" s="505"/>
      <c r="Y227" s="505"/>
      <c r="Z227" s="505"/>
      <c r="AA227" s="505"/>
      <c r="AB227" s="505"/>
      <c r="AC227" s="505"/>
    </row>
    <row r="228" spans="1:29">
      <c r="A228" s="505"/>
      <c r="B228" s="505"/>
      <c r="C228" s="505"/>
      <c r="D228" s="505"/>
      <c r="E228" s="505"/>
      <c r="F228" s="505"/>
      <c r="G228" s="505"/>
      <c r="H228" s="505"/>
      <c r="I228" s="505"/>
      <c r="J228" s="505"/>
      <c r="K228" s="517"/>
      <c r="L228" s="518"/>
      <c r="M228" s="505"/>
      <c r="N228" s="505"/>
      <c r="O228" s="505"/>
      <c r="P228" s="505"/>
      <c r="Q228" s="505"/>
      <c r="R228" s="505"/>
      <c r="S228" s="505"/>
      <c r="T228" s="505"/>
      <c r="U228" s="505"/>
      <c r="V228" s="505"/>
      <c r="W228" s="505"/>
      <c r="X228" s="505"/>
      <c r="Y228" s="505"/>
      <c r="Z228" s="505"/>
      <c r="AA228" s="505"/>
      <c r="AB228" s="505"/>
      <c r="AC228" s="505"/>
    </row>
    <row r="229" spans="1:29">
      <c r="A229" s="505"/>
      <c r="B229" s="505"/>
      <c r="C229" s="505"/>
      <c r="D229" s="505"/>
      <c r="E229" s="505"/>
      <c r="F229" s="505"/>
      <c r="G229" s="505"/>
      <c r="H229" s="505"/>
      <c r="I229" s="505"/>
      <c r="J229" s="505"/>
      <c r="K229" s="517"/>
      <c r="L229" s="518"/>
      <c r="M229" s="505"/>
      <c r="N229" s="505"/>
      <c r="O229" s="505"/>
      <c r="P229" s="505"/>
      <c r="Q229" s="505"/>
      <c r="R229" s="505"/>
      <c r="S229" s="505"/>
      <c r="T229" s="505"/>
      <c r="U229" s="505"/>
      <c r="V229" s="505"/>
      <c r="W229" s="505"/>
      <c r="X229" s="505"/>
      <c r="Y229" s="505"/>
      <c r="Z229" s="505"/>
      <c r="AA229" s="505"/>
      <c r="AB229" s="505"/>
      <c r="AC229" s="505"/>
    </row>
    <row r="230" spans="1:29">
      <c r="A230" s="505"/>
      <c r="B230" s="505"/>
      <c r="C230" s="505"/>
      <c r="D230" s="505"/>
      <c r="E230" s="505"/>
      <c r="F230" s="505"/>
      <c r="G230" s="505"/>
      <c r="H230" s="505"/>
      <c r="I230" s="505"/>
      <c r="J230" s="505"/>
      <c r="K230" s="517"/>
      <c r="L230" s="518"/>
      <c r="M230" s="505"/>
      <c r="N230" s="505"/>
      <c r="O230" s="505"/>
      <c r="P230" s="505"/>
      <c r="Q230" s="505"/>
      <c r="R230" s="505"/>
      <c r="S230" s="505"/>
      <c r="T230" s="505"/>
      <c r="U230" s="505"/>
      <c r="V230" s="505"/>
      <c r="W230" s="505"/>
      <c r="X230" s="505"/>
      <c r="Y230" s="505"/>
      <c r="Z230" s="505"/>
      <c r="AA230" s="505"/>
      <c r="AB230" s="505"/>
      <c r="AC230" s="505"/>
    </row>
    <row r="231" spans="1:29">
      <c r="A231" s="505"/>
      <c r="B231" s="505"/>
      <c r="C231" s="505"/>
      <c r="D231" s="505"/>
      <c r="E231" s="505"/>
      <c r="F231" s="505"/>
      <c r="G231" s="505"/>
      <c r="H231" s="505"/>
      <c r="I231" s="505"/>
      <c r="J231" s="505"/>
      <c r="K231" s="517"/>
      <c r="L231" s="518"/>
      <c r="M231" s="505"/>
      <c r="N231" s="505"/>
      <c r="O231" s="505"/>
      <c r="P231" s="505"/>
      <c r="Q231" s="505"/>
      <c r="R231" s="505"/>
      <c r="S231" s="505"/>
      <c r="T231" s="505"/>
      <c r="U231" s="505"/>
      <c r="V231" s="505"/>
      <c r="W231" s="505"/>
      <c r="X231" s="505"/>
      <c r="Y231" s="505"/>
      <c r="Z231" s="505"/>
      <c r="AA231" s="505"/>
      <c r="AB231" s="505"/>
      <c r="AC231" s="505"/>
    </row>
    <row r="232" spans="1:29">
      <c r="A232" s="505"/>
      <c r="B232" s="505"/>
      <c r="C232" s="505"/>
      <c r="D232" s="505"/>
      <c r="E232" s="505"/>
      <c r="F232" s="505"/>
      <c r="G232" s="505"/>
      <c r="H232" s="505"/>
      <c r="I232" s="505"/>
      <c r="J232" s="505"/>
      <c r="K232" s="517"/>
      <c r="L232" s="518"/>
      <c r="M232" s="505"/>
      <c r="N232" s="505"/>
      <c r="O232" s="505"/>
      <c r="P232" s="505"/>
      <c r="Q232" s="505"/>
      <c r="R232" s="505"/>
      <c r="S232" s="505"/>
      <c r="T232" s="505"/>
      <c r="U232" s="505"/>
      <c r="V232" s="505"/>
      <c r="W232" s="505"/>
      <c r="X232" s="505"/>
      <c r="Y232" s="505"/>
      <c r="Z232" s="505"/>
      <c r="AA232" s="505"/>
      <c r="AB232" s="505"/>
      <c r="AC232" s="505"/>
    </row>
    <row r="233" spans="1:29">
      <c r="A233" s="505"/>
      <c r="B233" s="505"/>
      <c r="C233" s="505"/>
      <c r="D233" s="505"/>
      <c r="E233" s="505"/>
      <c r="F233" s="505"/>
      <c r="G233" s="505"/>
      <c r="H233" s="505"/>
      <c r="I233" s="505"/>
      <c r="J233" s="505"/>
      <c r="K233" s="517"/>
      <c r="L233" s="518"/>
      <c r="M233" s="505"/>
      <c r="N233" s="505"/>
      <c r="O233" s="505"/>
      <c r="P233" s="505"/>
      <c r="Q233" s="505"/>
      <c r="R233" s="505"/>
      <c r="S233" s="505"/>
      <c r="T233" s="505"/>
      <c r="U233" s="505"/>
      <c r="V233" s="505"/>
      <c r="W233" s="505"/>
      <c r="X233" s="505"/>
      <c r="Y233" s="505"/>
      <c r="Z233" s="505"/>
      <c r="AA233" s="505"/>
      <c r="AB233" s="505"/>
      <c r="AC233" s="505"/>
    </row>
    <row r="234" spans="1:29">
      <c r="A234" s="505"/>
      <c r="B234" s="505"/>
      <c r="C234" s="505"/>
      <c r="D234" s="505"/>
      <c r="E234" s="505"/>
      <c r="F234" s="505"/>
      <c r="G234" s="505"/>
      <c r="H234" s="505"/>
      <c r="I234" s="505"/>
      <c r="J234" s="505"/>
      <c r="K234" s="517"/>
      <c r="L234" s="518"/>
      <c r="M234" s="505"/>
      <c r="N234" s="505"/>
      <c r="O234" s="505"/>
      <c r="P234" s="505"/>
      <c r="Q234" s="505"/>
      <c r="R234" s="505"/>
      <c r="S234" s="505"/>
      <c r="T234" s="505"/>
      <c r="U234" s="505"/>
      <c r="V234" s="505"/>
      <c r="W234" s="505"/>
      <c r="X234" s="505"/>
      <c r="Y234" s="505"/>
      <c r="Z234" s="505"/>
      <c r="AA234" s="505"/>
      <c r="AB234" s="505"/>
      <c r="AC234" s="505"/>
    </row>
    <row r="235" spans="1:29">
      <c r="A235" s="505"/>
      <c r="B235" s="505"/>
      <c r="C235" s="505"/>
      <c r="D235" s="505"/>
      <c r="E235" s="505"/>
      <c r="F235" s="505"/>
      <c r="G235" s="505"/>
      <c r="H235" s="505"/>
      <c r="I235" s="505"/>
      <c r="J235" s="505"/>
      <c r="K235" s="517"/>
      <c r="L235" s="518"/>
      <c r="M235" s="505"/>
      <c r="N235" s="505"/>
      <c r="O235" s="505"/>
      <c r="P235" s="505"/>
      <c r="Q235" s="505"/>
      <c r="R235" s="505"/>
      <c r="S235" s="505"/>
      <c r="T235" s="505"/>
      <c r="U235" s="505"/>
      <c r="V235" s="505"/>
      <c r="W235" s="505"/>
      <c r="X235" s="505"/>
      <c r="Y235" s="505"/>
      <c r="Z235" s="505"/>
      <c r="AA235" s="505"/>
      <c r="AB235" s="505"/>
      <c r="AC235" s="505"/>
    </row>
    <row r="236" spans="1:29">
      <c r="A236" s="505"/>
      <c r="B236" s="505"/>
      <c r="C236" s="505"/>
      <c r="D236" s="505"/>
      <c r="E236" s="505"/>
      <c r="F236" s="505"/>
      <c r="G236" s="505"/>
      <c r="H236" s="505"/>
      <c r="I236" s="505"/>
      <c r="J236" s="505"/>
      <c r="K236" s="517"/>
      <c r="L236" s="518"/>
      <c r="M236" s="505"/>
      <c r="N236" s="505"/>
      <c r="O236" s="505"/>
      <c r="P236" s="505"/>
      <c r="Q236" s="505"/>
      <c r="R236" s="505"/>
      <c r="S236" s="505"/>
      <c r="T236" s="505"/>
      <c r="U236" s="505"/>
      <c r="V236" s="505"/>
      <c r="W236" s="505"/>
      <c r="X236" s="505"/>
      <c r="Y236" s="505"/>
      <c r="Z236" s="505"/>
      <c r="AA236" s="505"/>
      <c r="AB236" s="505"/>
      <c r="AC236" s="505"/>
    </row>
    <row r="237" spans="1:29">
      <c r="A237" s="505"/>
      <c r="B237" s="505"/>
      <c r="C237" s="505"/>
      <c r="D237" s="505"/>
      <c r="E237" s="505"/>
      <c r="F237" s="505"/>
      <c r="G237" s="505"/>
      <c r="H237" s="505"/>
      <c r="I237" s="505"/>
      <c r="J237" s="505"/>
      <c r="K237" s="517"/>
      <c r="L237" s="518"/>
      <c r="M237" s="505"/>
      <c r="N237" s="505"/>
      <c r="O237" s="505"/>
      <c r="P237" s="505"/>
      <c r="Q237" s="505"/>
      <c r="R237" s="505"/>
      <c r="S237" s="505"/>
      <c r="T237" s="505"/>
      <c r="U237" s="505"/>
      <c r="V237" s="505"/>
      <c r="W237" s="505"/>
      <c r="X237" s="505"/>
      <c r="Y237" s="505"/>
      <c r="Z237" s="505"/>
      <c r="AA237" s="505"/>
      <c r="AB237" s="505"/>
      <c r="AC237" s="505"/>
    </row>
    <row r="238" spans="1:29">
      <c r="A238" s="505"/>
      <c r="B238" s="505"/>
      <c r="C238" s="505"/>
      <c r="D238" s="505"/>
      <c r="E238" s="505"/>
      <c r="F238" s="505"/>
      <c r="G238" s="505"/>
      <c r="H238" s="505"/>
      <c r="I238" s="505"/>
      <c r="J238" s="505"/>
      <c r="K238" s="517"/>
      <c r="L238" s="518"/>
      <c r="M238" s="505"/>
      <c r="N238" s="505"/>
      <c r="O238" s="505"/>
      <c r="P238" s="505"/>
      <c r="Q238" s="505"/>
      <c r="R238" s="505"/>
      <c r="S238" s="505"/>
      <c r="T238" s="505"/>
      <c r="U238" s="505"/>
      <c r="V238" s="505"/>
      <c r="W238" s="505"/>
      <c r="X238" s="505"/>
      <c r="Y238" s="505"/>
      <c r="Z238" s="505"/>
      <c r="AA238" s="505"/>
      <c r="AB238" s="505"/>
      <c r="AC238" s="505"/>
    </row>
    <row r="239" spans="1:29">
      <c r="A239" s="505"/>
      <c r="B239" s="505"/>
      <c r="C239" s="505"/>
      <c r="D239" s="505"/>
      <c r="E239" s="505"/>
      <c r="F239" s="505"/>
      <c r="G239" s="505"/>
      <c r="H239" s="505"/>
      <c r="I239" s="505"/>
      <c r="J239" s="505"/>
      <c r="K239" s="517"/>
      <c r="L239" s="518"/>
      <c r="M239" s="505"/>
      <c r="N239" s="505"/>
      <c r="O239" s="505"/>
      <c r="P239" s="505"/>
      <c r="Q239" s="505"/>
      <c r="R239" s="505"/>
      <c r="S239" s="505"/>
      <c r="T239" s="505"/>
      <c r="U239" s="505"/>
      <c r="V239" s="505"/>
      <c r="W239" s="505"/>
      <c r="X239" s="505"/>
      <c r="Y239" s="505"/>
      <c r="Z239" s="505"/>
      <c r="AA239" s="505"/>
      <c r="AB239" s="505"/>
      <c r="AC239" s="505"/>
    </row>
    <row r="240" spans="1:29">
      <c r="A240" s="505"/>
      <c r="B240" s="505"/>
      <c r="C240" s="505"/>
      <c r="D240" s="505"/>
      <c r="E240" s="505"/>
      <c r="F240" s="505"/>
      <c r="G240" s="505"/>
      <c r="H240" s="505"/>
      <c r="I240" s="505"/>
      <c r="J240" s="505"/>
      <c r="K240" s="517"/>
      <c r="L240" s="518"/>
      <c r="M240" s="505"/>
      <c r="N240" s="505"/>
      <c r="O240" s="505"/>
      <c r="P240" s="505"/>
      <c r="Q240" s="505"/>
      <c r="R240" s="505"/>
      <c r="S240" s="505"/>
      <c r="T240" s="505"/>
      <c r="U240" s="505"/>
      <c r="V240" s="505"/>
      <c r="W240" s="505"/>
      <c r="X240" s="505"/>
      <c r="Y240" s="505"/>
      <c r="Z240" s="505"/>
      <c r="AA240" s="505"/>
      <c r="AB240" s="505"/>
      <c r="AC240" s="505"/>
    </row>
    <row r="241" spans="1:29">
      <c r="A241" s="505"/>
      <c r="B241" s="505"/>
      <c r="C241" s="505"/>
      <c r="D241" s="505"/>
      <c r="E241" s="505"/>
      <c r="F241" s="505"/>
      <c r="G241" s="505"/>
      <c r="H241" s="505"/>
      <c r="I241" s="505"/>
      <c r="J241" s="505"/>
      <c r="K241" s="517"/>
      <c r="L241" s="518"/>
      <c r="M241" s="505"/>
      <c r="N241" s="505"/>
      <c r="O241" s="505"/>
      <c r="P241" s="505"/>
      <c r="Q241" s="505"/>
      <c r="R241" s="505"/>
      <c r="S241" s="505"/>
      <c r="T241" s="505"/>
      <c r="U241" s="505"/>
      <c r="V241" s="505"/>
      <c r="W241" s="505"/>
      <c r="X241" s="505"/>
      <c r="Y241" s="505"/>
      <c r="Z241" s="505"/>
      <c r="AA241" s="505"/>
      <c r="AB241" s="505"/>
      <c r="AC241" s="505"/>
    </row>
    <row r="242" spans="1:29">
      <c r="A242" s="505"/>
      <c r="B242" s="505"/>
      <c r="C242" s="505"/>
      <c r="D242" s="505"/>
      <c r="E242" s="505"/>
      <c r="F242" s="505"/>
      <c r="G242" s="505"/>
      <c r="H242" s="505"/>
      <c r="I242" s="505"/>
      <c r="J242" s="505"/>
      <c r="K242" s="517"/>
      <c r="L242" s="518"/>
      <c r="M242" s="505"/>
      <c r="N242" s="505"/>
      <c r="O242" s="505"/>
      <c r="P242" s="505"/>
      <c r="Q242" s="505"/>
      <c r="R242" s="505"/>
      <c r="S242" s="505"/>
      <c r="T242" s="505"/>
      <c r="U242" s="505"/>
      <c r="V242" s="505"/>
      <c r="W242" s="505"/>
      <c r="X242" s="505"/>
      <c r="Y242" s="505"/>
      <c r="Z242" s="505"/>
      <c r="AA242" s="505"/>
      <c r="AB242" s="505"/>
      <c r="AC242" s="505"/>
    </row>
    <row r="243" spans="1:29">
      <c r="A243" s="505"/>
      <c r="B243" s="505"/>
      <c r="C243" s="505"/>
      <c r="D243" s="505"/>
      <c r="E243" s="505"/>
      <c r="F243" s="505"/>
      <c r="G243" s="505"/>
      <c r="H243" s="505"/>
      <c r="I243" s="505"/>
      <c r="J243" s="505"/>
      <c r="K243" s="517"/>
      <c r="L243" s="518"/>
      <c r="M243" s="505"/>
      <c r="N243" s="505"/>
      <c r="O243" s="505"/>
      <c r="P243" s="505"/>
      <c r="Q243" s="505"/>
      <c r="R243" s="505"/>
      <c r="S243" s="505"/>
      <c r="T243" s="505"/>
      <c r="U243" s="505"/>
      <c r="V243" s="505"/>
      <c r="W243" s="505"/>
      <c r="X243" s="505"/>
      <c r="Y243" s="505"/>
      <c r="Z243" s="505"/>
      <c r="AA243" s="505"/>
      <c r="AB243" s="505"/>
      <c r="AC243" s="505"/>
    </row>
    <row r="244" spans="1:29">
      <c r="A244" s="505"/>
      <c r="B244" s="505"/>
      <c r="C244" s="505"/>
      <c r="D244" s="505"/>
      <c r="E244" s="505"/>
      <c r="F244" s="505"/>
      <c r="G244" s="505"/>
      <c r="H244" s="505"/>
      <c r="I244" s="505"/>
      <c r="J244" s="505"/>
      <c r="K244" s="517"/>
      <c r="L244" s="518"/>
      <c r="M244" s="505"/>
      <c r="N244" s="505"/>
      <c r="O244" s="505"/>
      <c r="P244" s="505"/>
      <c r="Q244" s="505"/>
      <c r="R244" s="505"/>
      <c r="S244" s="505"/>
      <c r="T244" s="505"/>
      <c r="U244" s="505"/>
      <c r="V244" s="505"/>
      <c r="W244" s="505"/>
      <c r="X244" s="505"/>
      <c r="Y244" s="505"/>
      <c r="Z244" s="505"/>
      <c r="AA244" s="505"/>
      <c r="AB244" s="505"/>
      <c r="AC244" s="505"/>
    </row>
    <row r="245" spans="1:29">
      <c r="A245" s="505"/>
      <c r="B245" s="505"/>
      <c r="C245" s="505"/>
      <c r="D245" s="505"/>
      <c r="E245" s="505"/>
      <c r="F245" s="505"/>
      <c r="G245" s="505"/>
      <c r="H245" s="505"/>
      <c r="I245" s="505"/>
      <c r="J245" s="505"/>
      <c r="K245" s="517"/>
      <c r="L245" s="518"/>
      <c r="M245" s="505"/>
      <c r="N245" s="505"/>
      <c r="O245" s="505"/>
      <c r="P245" s="505"/>
      <c r="Q245" s="505"/>
      <c r="R245" s="505"/>
      <c r="S245" s="505"/>
      <c r="T245" s="505"/>
      <c r="U245" s="505"/>
      <c r="V245" s="505"/>
      <c r="W245" s="505"/>
      <c r="X245" s="505"/>
      <c r="Y245" s="505"/>
      <c r="Z245" s="505"/>
      <c r="AA245" s="505"/>
      <c r="AB245" s="505"/>
      <c r="AC245" s="505"/>
    </row>
    <row r="246" spans="1:29">
      <c r="A246" s="505"/>
      <c r="B246" s="505"/>
      <c r="C246" s="505"/>
      <c r="D246" s="505"/>
      <c r="E246" s="505"/>
      <c r="F246" s="505"/>
      <c r="G246" s="505"/>
      <c r="H246" s="505"/>
      <c r="I246" s="505"/>
      <c r="J246" s="505"/>
      <c r="K246" s="517"/>
      <c r="L246" s="518"/>
      <c r="M246" s="505"/>
      <c r="N246" s="505"/>
      <c r="O246" s="505"/>
      <c r="P246" s="505"/>
      <c r="Q246" s="505"/>
      <c r="R246" s="505"/>
      <c r="S246" s="505"/>
      <c r="T246" s="505"/>
      <c r="U246" s="505"/>
      <c r="V246" s="505"/>
      <c r="W246" s="505"/>
      <c r="X246" s="505"/>
      <c r="Y246" s="505"/>
      <c r="Z246" s="505"/>
      <c r="AA246" s="505"/>
      <c r="AB246" s="505"/>
      <c r="AC246" s="505"/>
    </row>
    <row r="247" spans="1:29">
      <c r="A247" s="505"/>
      <c r="B247" s="505"/>
      <c r="C247" s="505"/>
      <c r="D247" s="505"/>
      <c r="E247" s="505"/>
      <c r="F247" s="505"/>
      <c r="G247" s="505"/>
      <c r="H247" s="505"/>
      <c r="I247" s="505"/>
      <c r="J247" s="505"/>
      <c r="K247" s="517"/>
      <c r="L247" s="518"/>
      <c r="M247" s="505"/>
      <c r="N247" s="505"/>
      <c r="O247" s="505"/>
      <c r="P247" s="505"/>
      <c r="Q247" s="505"/>
      <c r="R247" s="505"/>
      <c r="S247" s="505"/>
      <c r="T247" s="505"/>
      <c r="U247" s="505"/>
      <c r="V247" s="505"/>
      <c r="W247" s="505"/>
      <c r="X247" s="505"/>
      <c r="Y247" s="505"/>
      <c r="Z247" s="505"/>
      <c r="AA247" s="505"/>
      <c r="AB247" s="505"/>
      <c r="AC247" s="505"/>
    </row>
    <row r="248" spans="1:29">
      <c r="A248" s="505"/>
      <c r="B248" s="505"/>
      <c r="C248" s="505"/>
      <c r="D248" s="505"/>
      <c r="E248" s="505"/>
      <c r="F248" s="505"/>
      <c r="G248" s="505"/>
      <c r="H248" s="505"/>
      <c r="I248" s="505"/>
      <c r="J248" s="505"/>
      <c r="K248" s="517"/>
      <c r="L248" s="518"/>
      <c r="M248" s="505"/>
      <c r="N248" s="505"/>
      <c r="O248" s="505"/>
      <c r="P248" s="505"/>
      <c r="Q248" s="505"/>
      <c r="R248" s="505"/>
      <c r="S248" s="505"/>
      <c r="T248" s="505"/>
      <c r="U248" s="505"/>
      <c r="V248" s="505"/>
      <c r="W248" s="505"/>
      <c r="X248" s="505"/>
      <c r="Y248" s="505"/>
      <c r="Z248" s="505"/>
      <c r="AA248" s="505"/>
      <c r="AB248" s="505"/>
      <c r="AC248" s="505"/>
    </row>
    <row r="249" spans="1:29">
      <c r="A249" s="505"/>
      <c r="B249" s="505"/>
      <c r="C249" s="505"/>
      <c r="D249" s="505"/>
      <c r="E249" s="505"/>
      <c r="F249" s="505"/>
      <c r="G249" s="505"/>
      <c r="H249" s="505"/>
      <c r="I249" s="505"/>
      <c r="J249" s="505"/>
      <c r="K249" s="517"/>
      <c r="L249" s="518"/>
      <c r="M249" s="505"/>
      <c r="N249" s="505"/>
      <c r="O249" s="505"/>
      <c r="P249" s="505"/>
      <c r="Q249" s="505"/>
      <c r="R249" s="505"/>
      <c r="S249" s="505"/>
      <c r="T249" s="505"/>
      <c r="U249" s="505"/>
      <c r="V249" s="505"/>
      <c r="W249" s="505"/>
      <c r="X249" s="505"/>
      <c r="Y249" s="505"/>
      <c r="Z249" s="505"/>
      <c r="AA249" s="505"/>
      <c r="AB249" s="505"/>
      <c r="AC249" s="505"/>
    </row>
    <row r="250" spans="1:29">
      <c r="A250" s="505"/>
      <c r="B250" s="505"/>
      <c r="C250" s="505"/>
      <c r="D250" s="505"/>
      <c r="E250" s="505"/>
      <c r="F250" s="505"/>
      <c r="G250" s="505"/>
      <c r="H250" s="505"/>
      <c r="I250" s="505"/>
      <c r="J250" s="505"/>
      <c r="K250" s="517"/>
      <c r="L250" s="518"/>
      <c r="M250" s="505"/>
      <c r="N250" s="505"/>
      <c r="O250" s="505"/>
      <c r="P250" s="505"/>
      <c r="Q250" s="505"/>
      <c r="R250" s="505"/>
      <c r="S250" s="505"/>
      <c r="T250" s="505"/>
      <c r="U250" s="505"/>
      <c r="V250" s="505"/>
      <c r="W250" s="505"/>
      <c r="X250" s="505"/>
      <c r="Y250" s="505"/>
      <c r="Z250" s="505"/>
      <c r="AA250" s="505"/>
      <c r="AB250" s="505"/>
      <c r="AC250" s="505"/>
    </row>
    <row r="251" spans="1:29">
      <c r="A251" s="505"/>
      <c r="B251" s="505"/>
      <c r="C251" s="505"/>
      <c r="D251" s="505"/>
      <c r="E251" s="505"/>
      <c r="F251" s="505"/>
      <c r="G251" s="505"/>
      <c r="H251" s="505"/>
      <c r="I251" s="505"/>
      <c r="J251" s="505"/>
      <c r="K251" s="517"/>
      <c r="L251" s="518"/>
      <c r="M251" s="505"/>
      <c r="N251" s="505"/>
      <c r="O251" s="505"/>
      <c r="P251" s="505"/>
      <c r="Q251" s="505"/>
      <c r="R251" s="505"/>
      <c r="S251" s="505"/>
      <c r="T251" s="505"/>
      <c r="U251" s="505"/>
      <c r="V251" s="505"/>
      <c r="W251" s="505"/>
      <c r="X251" s="505"/>
      <c r="Y251" s="505"/>
      <c r="Z251" s="505"/>
      <c r="AA251" s="505"/>
      <c r="AB251" s="505"/>
      <c r="AC251" s="505"/>
    </row>
    <row r="252" spans="1:29">
      <c r="A252" s="505"/>
      <c r="B252" s="505"/>
      <c r="C252" s="505"/>
      <c r="D252" s="505"/>
      <c r="E252" s="505"/>
      <c r="F252" s="505"/>
      <c r="G252" s="505"/>
      <c r="H252" s="505"/>
      <c r="I252" s="505"/>
      <c r="J252" s="505"/>
      <c r="K252" s="517"/>
      <c r="L252" s="518"/>
      <c r="M252" s="505"/>
      <c r="N252" s="505"/>
      <c r="O252" s="505"/>
      <c r="P252" s="505"/>
      <c r="Q252" s="505"/>
      <c r="R252" s="505"/>
      <c r="S252" s="505"/>
      <c r="T252" s="505"/>
      <c r="U252" s="505"/>
      <c r="V252" s="505"/>
      <c r="W252" s="505"/>
      <c r="X252" s="505"/>
      <c r="Y252" s="505"/>
      <c r="Z252" s="505"/>
      <c r="AA252" s="505"/>
      <c r="AB252" s="505"/>
      <c r="AC252" s="505"/>
    </row>
    <row r="253" spans="1:29">
      <c r="A253" s="505"/>
      <c r="B253" s="505"/>
      <c r="C253" s="505"/>
      <c r="D253" s="505"/>
      <c r="E253" s="505"/>
      <c r="F253" s="505"/>
      <c r="G253" s="505"/>
      <c r="H253" s="505"/>
      <c r="I253" s="505"/>
      <c r="J253" s="505"/>
      <c r="K253" s="517"/>
      <c r="L253" s="518"/>
      <c r="M253" s="505"/>
      <c r="N253" s="505"/>
      <c r="O253" s="505"/>
      <c r="P253" s="505"/>
      <c r="Q253" s="505"/>
      <c r="R253" s="505"/>
      <c r="S253" s="505"/>
      <c r="T253" s="505"/>
      <c r="U253" s="505"/>
      <c r="V253" s="505"/>
      <c r="W253" s="505"/>
      <c r="X253" s="505"/>
      <c r="Y253" s="505"/>
      <c r="Z253" s="505"/>
      <c r="AA253" s="505"/>
      <c r="AB253" s="505"/>
      <c r="AC253" s="505"/>
    </row>
    <row r="254" spans="1:29">
      <c r="A254" s="505"/>
      <c r="B254" s="505"/>
      <c r="C254" s="505"/>
      <c r="D254" s="505"/>
      <c r="E254" s="505"/>
      <c r="F254" s="505"/>
      <c r="G254" s="505"/>
      <c r="H254" s="505"/>
      <c r="I254" s="505"/>
      <c r="J254" s="505"/>
      <c r="K254" s="517"/>
      <c r="L254" s="518"/>
      <c r="M254" s="505"/>
      <c r="N254" s="505"/>
      <c r="O254" s="505"/>
      <c r="P254" s="505"/>
      <c r="Q254" s="505"/>
      <c r="R254" s="505"/>
      <c r="S254" s="505"/>
      <c r="T254" s="505"/>
      <c r="U254" s="505"/>
      <c r="V254" s="505"/>
      <c r="W254" s="505"/>
      <c r="X254" s="505"/>
      <c r="Y254" s="505"/>
      <c r="Z254" s="505"/>
      <c r="AA254" s="505"/>
      <c r="AB254" s="505"/>
      <c r="AC254" s="505"/>
    </row>
    <row r="255" spans="1:29">
      <c r="A255" s="505"/>
      <c r="B255" s="505"/>
      <c r="C255" s="505"/>
      <c r="D255" s="505"/>
      <c r="E255" s="505"/>
      <c r="F255" s="505"/>
      <c r="G255" s="505"/>
      <c r="H255" s="505"/>
      <c r="I255" s="505"/>
      <c r="J255" s="505"/>
      <c r="K255" s="517"/>
      <c r="L255" s="518"/>
      <c r="M255" s="505"/>
      <c r="N255" s="505"/>
      <c r="O255" s="505"/>
      <c r="P255" s="505"/>
      <c r="Q255" s="505"/>
      <c r="R255" s="505"/>
      <c r="S255" s="505"/>
      <c r="T255" s="505"/>
      <c r="U255" s="505"/>
      <c r="V255" s="505"/>
      <c r="W255" s="505"/>
      <c r="X255" s="505"/>
      <c r="Y255" s="505"/>
      <c r="Z255" s="505"/>
      <c r="AA255" s="505"/>
      <c r="AB255" s="505"/>
      <c r="AC255" s="505"/>
    </row>
    <row r="256" spans="1:29">
      <c r="A256" s="505"/>
      <c r="B256" s="505"/>
      <c r="C256" s="505"/>
      <c r="D256" s="505"/>
      <c r="E256" s="505"/>
      <c r="F256" s="505"/>
      <c r="G256" s="505"/>
      <c r="H256" s="505"/>
      <c r="I256" s="505"/>
      <c r="J256" s="505"/>
      <c r="K256" s="517"/>
      <c r="L256" s="518"/>
      <c r="M256" s="505"/>
      <c r="N256" s="505"/>
      <c r="O256" s="505"/>
      <c r="P256" s="505"/>
      <c r="Q256" s="505"/>
      <c r="R256" s="505"/>
      <c r="S256" s="505"/>
      <c r="T256" s="505"/>
      <c r="U256" s="505"/>
      <c r="V256" s="505"/>
      <c r="W256" s="505"/>
      <c r="X256" s="505"/>
      <c r="Y256" s="505"/>
      <c r="Z256" s="505"/>
      <c r="AA256" s="505"/>
      <c r="AB256" s="505"/>
      <c r="AC256" s="505"/>
    </row>
    <row r="257" spans="1:29">
      <c r="A257" s="505"/>
      <c r="B257" s="505"/>
      <c r="C257" s="505"/>
      <c r="D257" s="505"/>
      <c r="E257" s="505"/>
      <c r="F257" s="505"/>
      <c r="G257" s="505"/>
      <c r="H257" s="505"/>
      <c r="I257" s="505"/>
      <c r="J257" s="505"/>
      <c r="K257" s="517"/>
      <c r="L257" s="518"/>
      <c r="M257" s="505"/>
      <c r="N257" s="505"/>
      <c r="O257" s="505"/>
      <c r="P257" s="505"/>
      <c r="Q257" s="505"/>
      <c r="R257" s="505"/>
      <c r="S257" s="505"/>
      <c r="T257" s="505"/>
      <c r="U257" s="505"/>
      <c r="V257" s="505"/>
      <c r="W257" s="505"/>
      <c r="X257" s="505"/>
      <c r="Y257" s="505"/>
      <c r="Z257" s="505"/>
      <c r="AA257" s="505"/>
      <c r="AB257" s="505"/>
      <c r="AC257" s="505"/>
    </row>
    <row r="258" spans="1:29">
      <c r="A258" s="505"/>
      <c r="B258" s="505"/>
      <c r="C258" s="505"/>
      <c r="D258" s="505"/>
      <c r="E258" s="505"/>
      <c r="F258" s="505"/>
      <c r="G258" s="505"/>
      <c r="H258" s="505"/>
      <c r="I258" s="505"/>
      <c r="J258" s="505"/>
      <c r="K258" s="517"/>
      <c r="L258" s="518"/>
      <c r="M258" s="505"/>
      <c r="N258" s="505"/>
      <c r="O258" s="505"/>
      <c r="P258" s="505"/>
      <c r="Q258" s="505"/>
      <c r="R258" s="505"/>
      <c r="S258" s="505"/>
      <c r="T258" s="505"/>
      <c r="U258" s="505"/>
      <c r="V258" s="505"/>
      <c r="W258" s="505"/>
      <c r="X258" s="505"/>
      <c r="Y258" s="505"/>
      <c r="Z258" s="505"/>
      <c r="AA258" s="505"/>
      <c r="AB258" s="505"/>
      <c r="AC258" s="505"/>
    </row>
    <row r="259" spans="1:29">
      <c r="A259" s="505"/>
      <c r="B259" s="505"/>
      <c r="C259" s="505"/>
      <c r="D259" s="505"/>
      <c r="E259" s="505"/>
      <c r="F259" s="505"/>
      <c r="G259" s="505"/>
      <c r="H259" s="505"/>
      <c r="I259" s="505"/>
      <c r="J259" s="505"/>
      <c r="K259" s="517"/>
      <c r="L259" s="518"/>
      <c r="M259" s="505"/>
      <c r="N259" s="505"/>
      <c r="O259" s="505"/>
      <c r="P259" s="505"/>
      <c r="Q259" s="505"/>
      <c r="R259" s="505"/>
      <c r="S259" s="505"/>
      <c r="T259" s="505"/>
      <c r="U259" s="505"/>
      <c r="V259" s="505"/>
      <c r="W259" s="505"/>
      <c r="X259" s="505"/>
      <c r="Y259" s="505"/>
      <c r="Z259" s="505"/>
      <c r="AA259" s="505"/>
      <c r="AB259" s="505"/>
      <c r="AC259" s="505"/>
    </row>
    <row r="260" spans="1:29">
      <c r="A260" s="505"/>
      <c r="B260" s="505"/>
      <c r="C260" s="505"/>
      <c r="D260" s="505"/>
      <c r="E260" s="505"/>
      <c r="F260" s="505"/>
      <c r="G260" s="505"/>
      <c r="H260" s="505"/>
      <c r="I260" s="505"/>
      <c r="J260" s="505"/>
      <c r="K260" s="517"/>
      <c r="L260" s="518"/>
      <c r="M260" s="505"/>
      <c r="N260" s="505"/>
      <c r="O260" s="505"/>
      <c r="P260" s="505"/>
      <c r="Q260" s="505"/>
      <c r="R260" s="505"/>
      <c r="S260" s="505"/>
      <c r="T260" s="505"/>
      <c r="U260" s="505"/>
      <c r="V260" s="505"/>
      <c r="W260" s="505"/>
      <c r="X260" s="505"/>
      <c r="Y260" s="505"/>
      <c r="Z260" s="505"/>
      <c r="AA260" s="505"/>
      <c r="AB260" s="505"/>
      <c r="AC260" s="505"/>
    </row>
    <row r="261" spans="1:29">
      <c r="A261" s="505"/>
      <c r="B261" s="505"/>
      <c r="C261" s="505"/>
      <c r="D261" s="505"/>
      <c r="E261" s="505"/>
      <c r="F261" s="505"/>
      <c r="G261" s="505"/>
      <c r="H261" s="505"/>
      <c r="I261" s="505"/>
      <c r="J261" s="505"/>
      <c r="K261" s="517"/>
      <c r="L261" s="518"/>
      <c r="M261" s="505"/>
      <c r="N261" s="505"/>
      <c r="O261" s="505"/>
      <c r="P261" s="505"/>
      <c r="Q261" s="505"/>
      <c r="R261" s="505"/>
      <c r="S261" s="505"/>
      <c r="T261" s="505"/>
      <c r="U261" s="505"/>
      <c r="V261" s="505"/>
      <c r="W261" s="505"/>
      <c r="X261" s="505"/>
      <c r="Y261" s="505"/>
      <c r="Z261" s="505"/>
      <c r="AA261" s="505"/>
      <c r="AB261" s="505"/>
      <c r="AC261" s="505"/>
    </row>
    <row r="262" spans="1:29">
      <c r="A262" s="505"/>
      <c r="B262" s="505"/>
      <c r="C262" s="505"/>
      <c r="D262" s="505"/>
      <c r="E262" s="505"/>
      <c r="F262" s="505"/>
      <c r="G262" s="505"/>
      <c r="H262" s="505"/>
      <c r="I262" s="505"/>
      <c r="J262" s="505"/>
      <c r="K262" s="517"/>
      <c r="L262" s="518"/>
      <c r="M262" s="505"/>
      <c r="N262" s="505"/>
      <c r="O262" s="505"/>
      <c r="P262" s="505"/>
      <c r="Q262" s="505"/>
      <c r="R262" s="505"/>
      <c r="S262" s="505"/>
      <c r="T262" s="505"/>
      <c r="U262" s="505"/>
      <c r="V262" s="505"/>
      <c r="W262" s="505"/>
      <c r="X262" s="505"/>
      <c r="Y262" s="505"/>
      <c r="Z262" s="505"/>
      <c r="AA262" s="505"/>
      <c r="AB262" s="505"/>
      <c r="AC262" s="505"/>
    </row>
    <row r="263" spans="1:29">
      <c r="A263" s="505"/>
      <c r="B263" s="505"/>
      <c r="C263" s="505"/>
      <c r="D263" s="505"/>
      <c r="E263" s="505"/>
      <c r="F263" s="505"/>
      <c r="G263" s="505"/>
      <c r="H263" s="505"/>
      <c r="I263" s="505"/>
      <c r="J263" s="505"/>
      <c r="K263" s="517"/>
      <c r="L263" s="518"/>
      <c r="M263" s="505"/>
      <c r="N263" s="505"/>
      <c r="O263" s="505"/>
      <c r="P263" s="505"/>
      <c r="Q263" s="505"/>
      <c r="R263" s="505"/>
      <c r="S263" s="505"/>
      <c r="T263" s="505"/>
      <c r="U263" s="505"/>
      <c r="V263" s="505"/>
      <c r="W263" s="505"/>
      <c r="X263" s="505"/>
      <c r="Y263" s="505"/>
      <c r="Z263" s="505"/>
      <c r="AA263" s="505"/>
      <c r="AB263" s="505"/>
      <c r="AC263" s="505"/>
    </row>
    <row r="264" spans="1:29">
      <c r="A264" s="505"/>
      <c r="B264" s="505"/>
      <c r="C264" s="505"/>
      <c r="D264" s="505"/>
      <c r="E264" s="505"/>
      <c r="F264" s="505"/>
      <c r="G264" s="505"/>
      <c r="H264" s="505"/>
      <c r="I264" s="505"/>
      <c r="J264" s="505"/>
      <c r="K264" s="517"/>
      <c r="L264" s="518"/>
      <c r="M264" s="505"/>
      <c r="N264" s="505"/>
      <c r="O264" s="505"/>
      <c r="P264" s="505"/>
      <c r="Q264" s="505"/>
      <c r="R264" s="505"/>
      <c r="S264" s="505"/>
      <c r="T264" s="505"/>
      <c r="U264" s="505"/>
      <c r="V264" s="505"/>
      <c r="W264" s="505"/>
      <c r="X264" s="505"/>
      <c r="Y264" s="505"/>
      <c r="Z264" s="505"/>
      <c r="AA264" s="505"/>
      <c r="AB264" s="505"/>
      <c r="AC264" s="505"/>
    </row>
    <row r="265" spans="1:29">
      <c r="A265" s="505"/>
      <c r="B265" s="505"/>
      <c r="C265" s="505"/>
      <c r="D265" s="505"/>
      <c r="E265" s="505"/>
      <c r="F265" s="505"/>
      <c r="G265" s="505"/>
      <c r="H265" s="505"/>
      <c r="I265" s="505"/>
      <c r="J265" s="505"/>
      <c r="K265" s="517"/>
      <c r="L265" s="518"/>
      <c r="M265" s="505"/>
      <c r="N265" s="505"/>
      <c r="O265" s="505"/>
      <c r="P265" s="505"/>
      <c r="Q265" s="505"/>
      <c r="R265" s="505"/>
      <c r="S265" s="505"/>
      <c r="T265" s="505"/>
      <c r="U265" s="505"/>
      <c r="V265" s="505"/>
      <c r="W265" s="505"/>
      <c r="X265" s="505"/>
      <c r="Y265" s="505"/>
      <c r="Z265" s="505"/>
      <c r="AA265" s="505"/>
      <c r="AB265" s="505"/>
      <c r="AC265" s="505"/>
    </row>
    <row r="266" spans="1:29">
      <c r="A266" s="505"/>
      <c r="B266" s="505"/>
      <c r="C266" s="505"/>
      <c r="D266" s="505"/>
      <c r="E266" s="505"/>
      <c r="F266" s="505"/>
      <c r="G266" s="505"/>
      <c r="H266" s="505"/>
      <c r="I266" s="505"/>
      <c r="J266" s="505"/>
      <c r="K266" s="517"/>
      <c r="L266" s="518"/>
      <c r="M266" s="505"/>
      <c r="N266" s="505"/>
      <c r="O266" s="505"/>
      <c r="P266" s="505"/>
      <c r="Q266" s="505"/>
      <c r="R266" s="505"/>
      <c r="S266" s="505"/>
      <c r="T266" s="505"/>
      <c r="U266" s="505"/>
      <c r="V266" s="505"/>
      <c r="W266" s="505"/>
      <c r="X266" s="505"/>
      <c r="Y266" s="505"/>
      <c r="Z266" s="505"/>
      <c r="AA266" s="505"/>
      <c r="AB266" s="505"/>
      <c r="AC266" s="505"/>
    </row>
    <row r="267" spans="1:29">
      <c r="A267" s="505"/>
      <c r="B267" s="505"/>
      <c r="C267" s="505"/>
      <c r="D267" s="505"/>
      <c r="E267" s="505"/>
      <c r="F267" s="505"/>
      <c r="G267" s="505"/>
      <c r="H267" s="505"/>
      <c r="I267" s="505"/>
      <c r="J267" s="505"/>
      <c r="K267" s="517"/>
      <c r="L267" s="518"/>
      <c r="M267" s="505"/>
      <c r="N267" s="505"/>
      <c r="O267" s="505"/>
      <c r="P267" s="505"/>
      <c r="Q267" s="505"/>
      <c r="R267" s="505"/>
      <c r="S267" s="505"/>
      <c r="T267" s="505"/>
      <c r="U267" s="505"/>
      <c r="V267" s="505"/>
      <c r="W267" s="505"/>
      <c r="X267" s="505"/>
      <c r="Y267" s="505"/>
      <c r="Z267" s="505"/>
      <c r="AA267" s="505"/>
      <c r="AB267" s="505"/>
      <c r="AC267" s="505"/>
    </row>
    <row r="268" spans="1:29">
      <c r="A268" s="505"/>
      <c r="B268" s="505"/>
      <c r="C268" s="505"/>
      <c r="D268" s="505"/>
      <c r="E268" s="505"/>
      <c r="F268" s="505"/>
      <c r="G268" s="505"/>
      <c r="H268" s="505"/>
      <c r="I268" s="505"/>
      <c r="J268" s="505"/>
      <c r="K268" s="517"/>
      <c r="L268" s="518"/>
      <c r="M268" s="505"/>
      <c r="N268" s="505"/>
      <c r="O268" s="505"/>
      <c r="P268" s="505"/>
      <c r="Q268" s="505"/>
      <c r="R268" s="505"/>
      <c r="S268" s="505"/>
      <c r="T268" s="505"/>
      <c r="U268" s="505"/>
      <c r="V268" s="505"/>
      <c r="W268" s="505"/>
      <c r="X268" s="505"/>
      <c r="Y268" s="505"/>
      <c r="Z268" s="505"/>
      <c r="AA268" s="505"/>
      <c r="AB268" s="505"/>
      <c r="AC268" s="505"/>
    </row>
    <row r="269" spans="1:29">
      <c r="A269" s="505"/>
      <c r="B269" s="505"/>
      <c r="C269" s="505"/>
      <c r="D269" s="505"/>
      <c r="E269" s="505"/>
      <c r="F269" s="505"/>
      <c r="G269" s="505"/>
      <c r="H269" s="505"/>
      <c r="I269" s="505"/>
      <c r="J269" s="505"/>
      <c r="K269" s="517"/>
      <c r="L269" s="518"/>
      <c r="M269" s="505"/>
      <c r="N269" s="505"/>
      <c r="O269" s="505"/>
      <c r="P269" s="505"/>
      <c r="Q269" s="505"/>
      <c r="R269" s="505"/>
      <c r="S269" s="505"/>
      <c r="T269" s="505"/>
      <c r="U269" s="505"/>
      <c r="V269" s="505"/>
      <c r="W269" s="505"/>
      <c r="X269" s="505"/>
      <c r="Y269" s="505"/>
      <c r="Z269" s="505"/>
      <c r="AA269" s="505"/>
      <c r="AB269" s="505"/>
      <c r="AC269" s="505"/>
    </row>
    <row r="270" spans="1:29">
      <c r="A270" s="505"/>
      <c r="B270" s="505"/>
      <c r="C270" s="505"/>
      <c r="D270" s="505"/>
      <c r="E270" s="505"/>
      <c r="F270" s="505"/>
      <c r="G270" s="505"/>
      <c r="H270" s="505"/>
      <c r="I270" s="505"/>
      <c r="J270" s="505"/>
      <c r="K270" s="517"/>
      <c r="L270" s="518"/>
      <c r="M270" s="505"/>
      <c r="N270" s="505"/>
      <c r="O270" s="505"/>
      <c r="P270" s="505"/>
      <c r="Q270" s="505"/>
      <c r="R270" s="505"/>
      <c r="S270" s="505"/>
      <c r="T270" s="505"/>
      <c r="U270" s="505"/>
      <c r="V270" s="505"/>
      <c r="W270" s="505"/>
      <c r="X270" s="505"/>
      <c r="Y270" s="505"/>
      <c r="Z270" s="505"/>
      <c r="AA270" s="505"/>
      <c r="AB270" s="505"/>
      <c r="AC270" s="505"/>
    </row>
    <row r="271" spans="1:29">
      <c r="A271" s="505"/>
      <c r="B271" s="505"/>
      <c r="C271" s="505"/>
      <c r="D271" s="505"/>
      <c r="E271" s="505"/>
      <c r="F271" s="505"/>
      <c r="G271" s="505"/>
      <c r="H271" s="505"/>
      <c r="I271" s="505"/>
      <c r="J271" s="505"/>
      <c r="K271" s="517"/>
      <c r="L271" s="518"/>
      <c r="M271" s="505"/>
      <c r="N271" s="505"/>
      <c r="O271" s="505"/>
      <c r="P271" s="505"/>
      <c r="Q271" s="505"/>
      <c r="R271" s="505"/>
      <c r="S271" s="505"/>
      <c r="T271" s="505"/>
      <c r="U271" s="505"/>
      <c r="V271" s="505"/>
      <c r="W271" s="505"/>
      <c r="X271" s="505"/>
      <c r="Y271" s="505"/>
      <c r="Z271" s="505"/>
      <c r="AA271" s="505"/>
      <c r="AB271" s="505"/>
      <c r="AC271" s="505"/>
    </row>
    <row r="272" spans="1:29">
      <c r="A272" s="505"/>
      <c r="B272" s="505"/>
      <c r="C272" s="505"/>
      <c r="D272" s="505"/>
      <c r="E272" s="505"/>
      <c r="F272" s="505"/>
      <c r="G272" s="505"/>
      <c r="H272" s="505"/>
      <c r="I272" s="505"/>
      <c r="J272" s="505"/>
      <c r="K272" s="517"/>
      <c r="L272" s="518"/>
      <c r="M272" s="505"/>
      <c r="N272" s="505"/>
      <c r="O272" s="505"/>
      <c r="P272" s="505"/>
      <c r="Q272" s="505"/>
      <c r="R272" s="505"/>
      <c r="S272" s="505"/>
      <c r="T272" s="505"/>
      <c r="U272" s="505"/>
      <c r="V272" s="505"/>
      <c r="W272" s="505"/>
      <c r="X272" s="505"/>
      <c r="Y272" s="505"/>
      <c r="Z272" s="505"/>
      <c r="AA272" s="505"/>
      <c r="AB272" s="505"/>
      <c r="AC272" s="505"/>
    </row>
    <row r="273" spans="1:29">
      <c r="A273" s="505"/>
      <c r="B273" s="505"/>
      <c r="C273" s="505"/>
      <c r="D273" s="505"/>
      <c r="E273" s="505"/>
      <c r="F273" s="505"/>
      <c r="G273" s="505"/>
      <c r="H273" s="505"/>
      <c r="I273" s="505"/>
      <c r="J273" s="505"/>
      <c r="K273" s="517"/>
      <c r="L273" s="518"/>
      <c r="M273" s="505"/>
      <c r="N273" s="505"/>
      <c r="O273" s="505"/>
      <c r="P273" s="505"/>
      <c r="Q273" s="505"/>
      <c r="R273" s="505"/>
      <c r="S273" s="505"/>
      <c r="T273" s="505"/>
      <c r="U273" s="505"/>
      <c r="V273" s="505"/>
      <c r="W273" s="505"/>
      <c r="X273" s="505"/>
      <c r="Y273" s="505"/>
      <c r="Z273" s="505"/>
      <c r="AA273" s="505"/>
      <c r="AB273" s="505"/>
      <c r="AC273" s="505"/>
    </row>
    <row r="274" spans="1:29">
      <c r="A274" s="505"/>
      <c r="B274" s="505"/>
      <c r="C274" s="505"/>
      <c r="D274" s="505"/>
      <c r="E274" s="505"/>
      <c r="F274" s="505"/>
      <c r="G274" s="505"/>
      <c r="H274" s="505"/>
      <c r="I274" s="505"/>
      <c r="J274" s="505"/>
      <c r="K274" s="517"/>
      <c r="L274" s="518"/>
      <c r="M274" s="505"/>
      <c r="N274" s="505"/>
      <c r="O274" s="505"/>
      <c r="P274" s="505"/>
      <c r="Q274" s="505"/>
      <c r="R274" s="505"/>
      <c r="S274" s="505"/>
      <c r="T274" s="505"/>
      <c r="U274" s="505"/>
      <c r="V274" s="505"/>
      <c r="W274" s="505"/>
      <c r="X274" s="505"/>
      <c r="Y274" s="505"/>
      <c r="Z274" s="505"/>
      <c r="AA274" s="505"/>
      <c r="AB274" s="505"/>
      <c r="AC274" s="505"/>
    </row>
    <row r="275" spans="1:29">
      <c r="A275" s="505"/>
      <c r="B275" s="505"/>
      <c r="C275" s="505"/>
      <c r="D275" s="505"/>
      <c r="E275" s="505"/>
      <c r="F275" s="505"/>
      <c r="G275" s="505"/>
      <c r="H275" s="505"/>
      <c r="I275" s="505"/>
      <c r="J275" s="505"/>
      <c r="K275" s="517"/>
      <c r="L275" s="518"/>
      <c r="M275" s="505"/>
      <c r="N275" s="505"/>
      <c r="O275" s="505"/>
      <c r="P275" s="505"/>
      <c r="Q275" s="505"/>
      <c r="R275" s="505"/>
      <c r="S275" s="505"/>
      <c r="T275" s="505"/>
      <c r="U275" s="505"/>
      <c r="V275" s="505"/>
      <c r="W275" s="505"/>
      <c r="X275" s="505"/>
      <c r="Y275" s="505"/>
      <c r="Z275" s="505"/>
      <c r="AA275" s="505"/>
      <c r="AB275" s="505"/>
      <c r="AC275" s="505"/>
    </row>
    <row r="276" spans="1:29">
      <c r="A276" s="505"/>
      <c r="B276" s="505"/>
      <c r="C276" s="505"/>
      <c r="D276" s="505"/>
      <c r="E276" s="505"/>
      <c r="F276" s="505"/>
      <c r="G276" s="505"/>
      <c r="H276" s="505"/>
      <c r="I276" s="505"/>
      <c r="J276" s="505"/>
      <c r="K276" s="517"/>
      <c r="L276" s="518"/>
      <c r="M276" s="505"/>
      <c r="N276" s="505"/>
      <c r="O276" s="505"/>
      <c r="P276" s="505"/>
      <c r="Q276" s="505"/>
      <c r="R276" s="505"/>
      <c r="S276" s="505"/>
      <c r="T276" s="505"/>
      <c r="U276" s="505"/>
      <c r="V276" s="505"/>
      <c r="W276" s="505"/>
      <c r="X276" s="505"/>
      <c r="Y276" s="505"/>
      <c r="Z276" s="505"/>
      <c r="AA276" s="505"/>
      <c r="AB276" s="505"/>
      <c r="AC276" s="505"/>
    </row>
    <row r="277" spans="1:29">
      <c r="A277" s="505"/>
      <c r="B277" s="505"/>
      <c r="C277" s="505"/>
      <c r="D277" s="505"/>
      <c r="E277" s="505"/>
      <c r="F277" s="505"/>
      <c r="G277" s="505"/>
      <c r="H277" s="505"/>
      <c r="I277" s="505"/>
      <c r="J277" s="505"/>
      <c r="K277" s="517"/>
      <c r="L277" s="518"/>
      <c r="M277" s="505"/>
      <c r="N277" s="505"/>
      <c r="O277" s="505"/>
      <c r="P277" s="505"/>
      <c r="Q277" s="505"/>
      <c r="R277" s="505"/>
      <c r="S277" s="505"/>
      <c r="T277" s="505"/>
      <c r="U277" s="505"/>
      <c r="V277" s="505"/>
      <c r="W277" s="505"/>
      <c r="X277" s="505"/>
      <c r="Y277" s="505"/>
      <c r="Z277" s="505"/>
      <c r="AA277" s="505"/>
      <c r="AB277" s="505"/>
      <c r="AC277" s="505"/>
    </row>
    <row r="278" spans="1:29">
      <c r="A278" s="505"/>
      <c r="B278" s="505"/>
      <c r="C278" s="505"/>
      <c r="D278" s="505"/>
      <c r="E278" s="505"/>
      <c r="F278" s="505"/>
      <c r="G278" s="505"/>
      <c r="H278" s="505"/>
      <c r="I278" s="505"/>
      <c r="J278" s="505"/>
      <c r="K278" s="517"/>
      <c r="L278" s="518"/>
      <c r="M278" s="505"/>
      <c r="N278" s="505"/>
      <c r="O278" s="505"/>
      <c r="P278" s="505"/>
      <c r="Q278" s="505"/>
      <c r="R278" s="505"/>
      <c r="S278" s="505"/>
      <c r="T278" s="505"/>
      <c r="U278" s="505"/>
      <c r="V278" s="505"/>
      <c r="W278" s="505"/>
      <c r="X278" s="505"/>
      <c r="Y278" s="505"/>
      <c r="Z278" s="505"/>
      <c r="AA278" s="505"/>
      <c r="AB278" s="505"/>
      <c r="AC278" s="505"/>
    </row>
    <row r="279" spans="1:29">
      <c r="A279" s="505"/>
      <c r="B279" s="505"/>
      <c r="C279" s="505"/>
      <c r="D279" s="505"/>
      <c r="E279" s="505"/>
      <c r="F279" s="505"/>
      <c r="G279" s="505"/>
      <c r="H279" s="505"/>
      <c r="I279" s="505"/>
      <c r="J279" s="505"/>
      <c r="K279" s="517"/>
      <c r="L279" s="518"/>
      <c r="M279" s="505"/>
      <c r="N279" s="505"/>
      <c r="O279" s="505"/>
      <c r="P279" s="505"/>
      <c r="Q279" s="505"/>
      <c r="R279" s="505"/>
      <c r="S279" s="505"/>
      <c r="T279" s="505"/>
      <c r="U279" s="505"/>
      <c r="V279" s="505"/>
      <c r="W279" s="505"/>
      <c r="X279" s="505"/>
      <c r="Y279" s="505"/>
      <c r="Z279" s="505"/>
      <c r="AA279" s="505"/>
      <c r="AB279" s="505"/>
      <c r="AC279" s="505"/>
    </row>
    <row r="280" spans="1:29">
      <c r="A280" s="505"/>
      <c r="B280" s="505"/>
      <c r="C280" s="505"/>
      <c r="D280" s="505"/>
      <c r="E280" s="505"/>
      <c r="F280" s="505"/>
      <c r="G280" s="505"/>
      <c r="H280" s="505"/>
      <c r="I280" s="505"/>
      <c r="J280" s="505"/>
      <c r="K280" s="517"/>
      <c r="L280" s="518"/>
      <c r="M280" s="505"/>
      <c r="N280" s="505"/>
      <c r="O280" s="505"/>
      <c r="P280" s="505"/>
      <c r="Q280" s="505"/>
      <c r="R280" s="505"/>
      <c r="S280" s="505"/>
      <c r="T280" s="505"/>
      <c r="U280" s="505"/>
      <c r="V280" s="505"/>
      <c r="W280" s="505"/>
      <c r="X280" s="505"/>
      <c r="Y280" s="505"/>
      <c r="Z280" s="505"/>
      <c r="AA280" s="505"/>
      <c r="AB280" s="505"/>
      <c r="AC280" s="505"/>
    </row>
    <row r="281" spans="1:29">
      <c r="A281" s="505"/>
      <c r="B281" s="505"/>
      <c r="C281" s="505"/>
      <c r="D281" s="505"/>
      <c r="E281" s="505"/>
      <c r="F281" s="505"/>
      <c r="G281" s="505"/>
      <c r="H281" s="505"/>
      <c r="I281" s="505"/>
      <c r="J281" s="505"/>
      <c r="K281" s="517"/>
      <c r="L281" s="518"/>
      <c r="M281" s="505"/>
      <c r="N281" s="505"/>
      <c r="O281" s="505"/>
      <c r="P281" s="505"/>
      <c r="Q281" s="505"/>
      <c r="R281" s="505"/>
      <c r="S281" s="505"/>
      <c r="T281" s="505"/>
      <c r="U281" s="505"/>
      <c r="V281" s="505"/>
      <c r="W281" s="505"/>
      <c r="X281" s="505"/>
      <c r="Y281" s="505"/>
      <c r="Z281" s="505"/>
      <c r="AA281" s="505"/>
      <c r="AB281" s="505"/>
      <c r="AC281" s="505"/>
    </row>
    <row r="282" spans="1:29">
      <c r="A282" s="505"/>
      <c r="B282" s="505"/>
      <c r="C282" s="505"/>
      <c r="D282" s="505"/>
      <c r="E282" s="505"/>
      <c r="F282" s="505"/>
      <c r="G282" s="505"/>
      <c r="H282" s="505"/>
      <c r="I282" s="505"/>
      <c r="J282" s="505"/>
      <c r="K282" s="517"/>
      <c r="L282" s="518"/>
      <c r="M282" s="505"/>
      <c r="N282" s="505"/>
      <c r="O282" s="505"/>
      <c r="P282" s="505"/>
      <c r="Q282" s="505"/>
      <c r="R282" s="505"/>
      <c r="S282" s="505"/>
      <c r="T282" s="505"/>
      <c r="U282" s="505"/>
      <c r="V282" s="505"/>
      <c r="W282" s="505"/>
      <c r="X282" s="505"/>
      <c r="Y282" s="505"/>
      <c r="Z282" s="505"/>
      <c r="AA282" s="505"/>
      <c r="AB282" s="505"/>
      <c r="AC282" s="505"/>
    </row>
    <row r="283" spans="1:29">
      <c r="A283" s="505"/>
      <c r="B283" s="505"/>
      <c r="C283" s="505"/>
      <c r="D283" s="505"/>
      <c r="E283" s="505"/>
      <c r="F283" s="505"/>
      <c r="G283" s="505"/>
      <c r="H283" s="505"/>
      <c r="I283" s="505"/>
      <c r="J283" s="505"/>
      <c r="K283" s="517"/>
      <c r="L283" s="518"/>
      <c r="M283" s="505"/>
      <c r="N283" s="505"/>
      <c r="O283" s="505"/>
      <c r="P283" s="505"/>
      <c r="Q283" s="505"/>
      <c r="R283" s="505"/>
      <c r="S283" s="505"/>
      <c r="T283" s="505"/>
      <c r="U283" s="505"/>
      <c r="V283" s="505"/>
      <c r="W283" s="505"/>
      <c r="X283" s="505"/>
      <c r="Y283" s="505"/>
      <c r="Z283" s="505"/>
      <c r="AA283" s="505"/>
      <c r="AB283" s="505"/>
      <c r="AC283" s="505"/>
    </row>
    <row r="284" spans="1:29">
      <c r="A284" s="505"/>
      <c r="B284" s="505"/>
      <c r="C284" s="505"/>
      <c r="D284" s="505"/>
      <c r="E284" s="505"/>
      <c r="F284" s="505"/>
      <c r="G284" s="505"/>
      <c r="H284" s="505"/>
      <c r="I284" s="505"/>
      <c r="J284" s="505"/>
      <c r="K284" s="517"/>
      <c r="L284" s="518"/>
      <c r="M284" s="505"/>
      <c r="N284" s="505"/>
      <c r="O284" s="505"/>
      <c r="P284" s="505"/>
      <c r="Q284" s="505"/>
      <c r="R284" s="505"/>
      <c r="S284" s="505"/>
      <c r="T284" s="505"/>
      <c r="U284" s="505"/>
      <c r="V284" s="505"/>
      <c r="W284" s="505"/>
      <c r="X284" s="505"/>
      <c r="Y284" s="505"/>
      <c r="Z284" s="505"/>
      <c r="AA284" s="505"/>
      <c r="AB284" s="505"/>
      <c r="AC284" s="505"/>
    </row>
    <row r="285" spans="1:29">
      <c r="A285" s="505"/>
      <c r="B285" s="505"/>
      <c r="C285" s="505"/>
      <c r="D285" s="505"/>
      <c r="E285" s="505"/>
      <c r="F285" s="505"/>
      <c r="G285" s="505"/>
      <c r="H285" s="505"/>
      <c r="I285" s="505"/>
      <c r="J285" s="505"/>
      <c r="K285" s="517"/>
      <c r="L285" s="518"/>
      <c r="M285" s="505"/>
      <c r="N285" s="505"/>
      <c r="O285" s="505"/>
      <c r="P285" s="505"/>
      <c r="Q285" s="505"/>
      <c r="R285" s="505"/>
      <c r="S285" s="505"/>
      <c r="T285" s="505"/>
      <c r="U285" s="505"/>
      <c r="V285" s="505"/>
      <c r="W285" s="505"/>
      <c r="X285" s="505"/>
      <c r="Y285" s="505"/>
      <c r="Z285" s="505"/>
      <c r="AA285" s="505"/>
      <c r="AB285" s="505"/>
      <c r="AC285" s="505"/>
    </row>
    <row r="286" spans="1:29">
      <c r="A286" s="505"/>
      <c r="B286" s="505"/>
      <c r="C286" s="505"/>
      <c r="D286" s="505"/>
      <c r="E286" s="505"/>
      <c r="F286" s="505"/>
      <c r="G286" s="505"/>
      <c r="H286" s="505"/>
      <c r="I286" s="505"/>
      <c r="J286" s="505"/>
      <c r="K286" s="517"/>
      <c r="L286" s="518"/>
      <c r="M286" s="505"/>
      <c r="N286" s="505"/>
      <c r="O286" s="505"/>
      <c r="P286" s="505"/>
      <c r="Q286" s="505"/>
      <c r="R286" s="505"/>
      <c r="S286" s="505"/>
      <c r="T286" s="505"/>
      <c r="U286" s="505"/>
      <c r="V286" s="505"/>
      <c r="W286" s="505"/>
      <c r="X286" s="505"/>
      <c r="Y286" s="505"/>
      <c r="Z286" s="505"/>
      <c r="AA286" s="505"/>
      <c r="AB286" s="505"/>
      <c r="AC286" s="505"/>
    </row>
    <row r="287" spans="1:29">
      <c r="A287" s="505"/>
      <c r="B287" s="505"/>
      <c r="C287" s="505"/>
      <c r="D287" s="505"/>
      <c r="E287" s="505"/>
      <c r="F287" s="505"/>
      <c r="G287" s="505"/>
      <c r="H287" s="505"/>
      <c r="I287" s="505"/>
      <c r="J287" s="505"/>
      <c r="K287" s="517"/>
      <c r="L287" s="518"/>
      <c r="M287" s="505"/>
      <c r="N287" s="505"/>
      <c r="O287" s="505"/>
      <c r="P287" s="505"/>
      <c r="Q287" s="505"/>
      <c r="R287" s="505"/>
      <c r="S287" s="505"/>
      <c r="T287" s="505"/>
      <c r="U287" s="505"/>
      <c r="V287" s="505"/>
      <c r="W287" s="505"/>
      <c r="X287" s="505"/>
      <c r="Y287" s="505"/>
      <c r="Z287" s="505"/>
      <c r="AA287" s="505"/>
      <c r="AB287" s="505"/>
      <c r="AC287" s="505"/>
    </row>
    <row r="288" spans="1:29">
      <c r="A288" s="505"/>
      <c r="B288" s="505"/>
      <c r="C288" s="505"/>
      <c r="D288" s="505"/>
      <c r="E288" s="505"/>
      <c r="F288" s="505"/>
      <c r="G288" s="505"/>
      <c r="H288" s="505"/>
      <c r="I288" s="505"/>
      <c r="J288" s="505"/>
      <c r="K288" s="517"/>
      <c r="L288" s="518"/>
      <c r="M288" s="505"/>
      <c r="N288" s="505"/>
      <c r="O288" s="505"/>
      <c r="P288" s="505"/>
      <c r="Q288" s="505"/>
      <c r="R288" s="505"/>
      <c r="S288" s="505"/>
      <c r="T288" s="505"/>
      <c r="U288" s="505"/>
      <c r="V288" s="505"/>
      <c r="W288" s="505"/>
      <c r="X288" s="505"/>
      <c r="Y288" s="505"/>
      <c r="Z288" s="505"/>
      <c r="AA288" s="505"/>
      <c r="AB288" s="505"/>
      <c r="AC288" s="505"/>
    </row>
    <row r="289" spans="1:29">
      <c r="A289" s="505"/>
      <c r="B289" s="505"/>
      <c r="C289" s="505"/>
      <c r="D289" s="505"/>
      <c r="E289" s="505"/>
      <c r="F289" s="505"/>
      <c r="G289" s="505"/>
      <c r="H289" s="505"/>
      <c r="I289" s="505"/>
      <c r="J289" s="505"/>
      <c r="K289" s="517"/>
      <c r="L289" s="518"/>
      <c r="M289" s="505"/>
      <c r="N289" s="505"/>
      <c r="O289" s="505"/>
      <c r="P289" s="505"/>
      <c r="Q289" s="505"/>
      <c r="R289" s="505"/>
      <c r="S289" s="505"/>
      <c r="T289" s="505"/>
      <c r="U289" s="505"/>
      <c r="V289" s="505"/>
      <c r="W289" s="505"/>
      <c r="X289" s="505"/>
      <c r="Y289" s="505"/>
      <c r="Z289" s="505"/>
      <c r="AA289" s="505"/>
      <c r="AB289" s="505"/>
      <c r="AC289" s="505"/>
    </row>
    <row r="290" spans="1:29">
      <c r="A290" s="505"/>
      <c r="B290" s="505"/>
      <c r="C290" s="505"/>
      <c r="D290" s="505"/>
      <c r="E290" s="505"/>
      <c r="F290" s="505"/>
      <c r="G290" s="505"/>
      <c r="H290" s="505"/>
      <c r="I290" s="505"/>
      <c r="J290" s="505"/>
      <c r="K290" s="517"/>
      <c r="L290" s="518"/>
      <c r="M290" s="505"/>
      <c r="N290" s="505"/>
      <c r="O290" s="505"/>
      <c r="P290" s="505"/>
      <c r="Q290" s="505"/>
      <c r="R290" s="505"/>
      <c r="S290" s="505"/>
      <c r="T290" s="505"/>
      <c r="U290" s="505"/>
      <c r="V290" s="505"/>
      <c r="W290" s="505"/>
      <c r="X290" s="505"/>
      <c r="Y290" s="505"/>
      <c r="Z290" s="505"/>
      <c r="AA290" s="505"/>
      <c r="AB290" s="505"/>
      <c r="AC290" s="505"/>
    </row>
    <row r="291" spans="1:29">
      <c r="A291" s="505"/>
      <c r="B291" s="505"/>
      <c r="C291" s="505"/>
      <c r="D291" s="505"/>
      <c r="E291" s="505"/>
      <c r="F291" s="505"/>
      <c r="G291" s="505"/>
      <c r="H291" s="505"/>
      <c r="I291" s="505"/>
      <c r="J291" s="505"/>
      <c r="K291" s="517"/>
      <c r="L291" s="518"/>
      <c r="M291" s="505"/>
      <c r="N291" s="505"/>
      <c r="O291" s="505"/>
      <c r="P291" s="505"/>
      <c r="Q291" s="505"/>
      <c r="R291" s="505"/>
      <c r="S291" s="505"/>
      <c r="T291" s="505"/>
      <c r="U291" s="505"/>
      <c r="V291" s="505"/>
      <c r="W291" s="505"/>
      <c r="X291" s="505"/>
      <c r="Y291" s="505"/>
      <c r="Z291" s="505"/>
      <c r="AA291" s="505"/>
      <c r="AB291" s="505"/>
      <c r="AC291" s="505"/>
    </row>
    <row r="292" spans="1:29">
      <c r="A292" s="505"/>
      <c r="B292" s="505"/>
      <c r="C292" s="505"/>
      <c r="D292" s="505"/>
      <c r="E292" s="505"/>
      <c r="F292" s="505"/>
      <c r="G292" s="505"/>
      <c r="H292" s="505"/>
      <c r="I292" s="505"/>
      <c r="J292" s="505"/>
      <c r="K292" s="517"/>
      <c r="L292" s="518"/>
      <c r="M292" s="505"/>
      <c r="N292" s="505"/>
      <c r="O292" s="505"/>
      <c r="P292" s="505"/>
      <c r="Q292" s="505"/>
      <c r="R292" s="505"/>
      <c r="S292" s="505"/>
      <c r="T292" s="505"/>
      <c r="U292" s="505"/>
      <c r="V292" s="505"/>
      <c r="W292" s="505"/>
      <c r="X292" s="505"/>
      <c r="Y292" s="505"/>
      <c r="Z292" s="505"/>
      <c r="AA292" s="505"/>
      <c r="AB292" s="505"/>
      <c r="AC292" s="505"/>
    </row>
    <row r="293" spans="1:29">
      <c r="A293" s="505"/>
      <c r="B293" s="505"/>
      <c r="C293" s="505"/>
      <c r="D293" s="505"/>
      <c r="E293" s="505"/>
      <c r="F293" s="505"/>
      <c r="G293" s="505"/>
      <c r="H293" s="505"/>
      <c r="I293" s="505"/>
      <c r="J293" s="505"/>
      <c r="K293" s="517"/>
      <c r="L293" s="518"/>
      <c r="M293" s="505"/>
      <c r="N293" s="505"/>
      <c r="O293" s="505"/>
      <c r="P293" s="505"/>
      <c r="Q293" s="505"/>
      <c r="R293" s="505"/>
      <c r="S293" s="505"/>
      <c r="T293" s="505"/>
      <c r="U293" s="505"/>
      <c r="V293" s="505"/>
      <c r="W293" s="505"/>
      <c r="X293" s="505"/>
      <c r="Y293" s="505"/>
      <c r="Z293" s="505"/>
      <c r="AA293" s="505"/>
      <c r="AB293" s="505"/>
      <c r="AC293" s="505"/>
    </row>
    <row r="294" spans="1:29">
      <c r="A294" s="505"/>
      <c r="B294" s="505"/>
      <c r="C294" s="505"/>
      <c r="D294" s="505"/>
      <c r="E294" s="505"/>
      <c r="F294" s="505"/>
      <c r="G294" s="505"/>
      <c r="H294" s="505"/>
      <c r="I294" s="505"/>
      <c r="J294" s="505"/>
      <c r="K294" s="517"/>
      <c r="L294" s="518"/>
      <c r="M294" s="505"/>
      <c r="N294" s="505"/>
      <c r="O294" s="505"/>
      <c r="P294" s="505"/>
      <c r="Q294" s="505"/>
      <c r="R294" s="505"/>
      <c r="S294" s="505"/>
      <c r="T294" s="505"/>
      <c r="U294" s="505"/>
      <c r="V294" s="505"/>
      <c r="W294" s="505"/>
      <c r="X294" s="505"/>
      <c r="Y294" s="505"/>
      <c r="Z294" s="505"/>
      <c r="AA294" s="505"/>
      <c r="AB294" s="505"/>
      <c r="AC294" s="505"/>
    </row>
    <row r="295" spans="1:29">
      <c r="A295" s="505"/>
      <c r="B295" s="505"/>
      <c r="C295" s="505"/>
      <c r="D295" s="505"/>
      <c r="E295" s="505"/>
      <c r="F295" s="505"/>
      <c r="G295" s="505"/>
      <c r="H295" s="505"/>
      <c r="I295" s="505"/>
      <c r="J295" s="505"/>
      <c r="K295" s="517"/>
      <c r="L295" s="518"/>
      <c r="M295" s="505"/>
      <c r="N295" s="505"/>
      <c r="O295" s="505"/>
      <c r="P295" s="505"/>
      <c r="Q295" s="505"/>
      <c r="R295" s="505"/>
      <c r="S295" s="505"/>
      <c r="T295" s="505"/>
      <c r="U295" s="505"/>
      <c r="V295" s="505"/>
      <c r="W295" s="505"/>
      <c r="X295" s="505"/>
      <c r="Y295" s="505"/>
      <c r="Z295" s="505"/>
      <c r="AA295" s="505"/>
      <c r="AB295" s="505"/>
      <c r="AC295" s="505"/>
    </row>
    <row r="296" spans="1:29">
      <c r="A296" s="505"/>
      <c r="B296" s="505"/>
      <c r="C296" s="505"/>
      <c r="D296" s="505"/>
      <c r="E296" s="505"/>
      <c r="F296" s="505"/>
      <c r="G296" s="505"/>
      <c r="H296" s="505"/>
      <c r="I296" s="505"/>
      <c r="J296" s="505"/>
      <c r="K296" s="517"/>
      <c r="L296" s="518"/>
      <c r="M296" s="505"/>
      <c r="N296" s="505"/>
      <c r="O296" s="505"/>
      <c r="P296" s="505"/>
      <c r="Q296" s="505"/>
      <c r="R296" s="505"/>
      <c r="S296" s="505"/>
      <c r="T296" s="505"/>
      <c r="U296" s="505"/>
      <c r="V296" s="505"/>
      <c r="W296" s="505"/>
      <c r="X296" s="505"/>
      <c r="Y296" s="505"/>
      <c r="Z296" s="505"/>
      <c r="AA296" s="505"/>
      <c r="AB296" s="505"/>
      <c r="AC296" s="505"/>
    </row>
    <row r="297" spans="1:29">
      <c r="A297" s="505"/>
      <c r="B297" s="505"/>
      <c r="C297" s="505"/>
      <c r="D297" s="505"/>
      <c r="E297" s="505"/>
      <c r="F297" s="505"/>
      <c r="G297" s="505"/>
      <c r="H297" s="505"/>
      <c r="I297" s="505"/>
      <c r="J297" s="505"/>
      <c r="K297" s="517"/>
      <c r="L297" s="518"/>
      <c r="M297" s="505"/>
      <c r="N297" s="505"/>
      <c r="O297" s="505"/>
      <c r="P297" s="505"/>
      <c r="Q297" s="505"/>
      <c r="R297" s="505"/>
      <c r="S297" s="505"/>
      <c r="T297" s="505"/>
      <c r="U297" s="505"/>
      <c r="V297" s="505"/>
      <c r="W297" s="505"/>
      <c r="X297" s="505"/>
      <c r="Y297" s="505"/>
      <c r="Z297" s="505"/>
      <c r="AA297" s="505"/>
      <c r="AB297" s="505"/>
      <c r="AC297" s="505"/>
    </row>
    <row r="298" spans="1:29">
      <c r="A298" s="505"/>
      <c r="B298" s="505"/>
      <c r="C298" s="505"/>
      <c r="D298" s="505"/>
      <c r="E298" s="505"/>
      <c r="F298" s="505"/>
      <c r="G298" s="505"/>
      <c r="H298" s="505"/>
      <c r="I298" s="505"/>
      <c r="J298" s="505"/>
      <c r="K298" s="517"/>
      <c r="L298" s="518"/>
      <c r="M298" s="505"/>
      <c r="N298" s="505"/>
      <c r="O298" s="505"/>
      <c r="P298" s="505"/>
      <c r="Q298" s="505"/>
      <c r="R298" s="505"/>
      <c r="S298" s="505"/>
      <c r="T298" s="505"/>
      <c r="U298" s="505"/>
      <c r="V298" s="505"/>
      <c r="W298" s="505"/>
      <c r="X298" s="505"/>
      <c r="Y298" s="505"/>
      <c r="Z298" s="505"/>
      <c r="AA298" s="505"/>
      <c r="AB298" s="505"/>
      <c r="AC298" s="505"/>
    </row>
    <row r="299" spans="1:29">
      <c r="A299" s="505"/>
      <c r="B299" s="505"/>
      <c r="C299" s="505"/>
      <c r="D299" s="505"/>
      <c r="E299" s="505"/>
      <c r="F299" s="505"/>
      <c r="G299" s="505"/>
      <c r="H299" s="505"/>
      <c r="I299" s="505"/>
      <c r="J299" s="505"/>
      <c r="K299" s="517"/>
      <c r="L299" s="518"/>
      <c r="M299" s="505"/>
      <c r="N299" s="505"/>
      <c r="O299" s="505"/>
      <c r="P299" s="505"/>
      <c r="Q299" s="505"/>
      <c r="R299" s="505"/>
      <c r="S299" s="505"/>
      <c r="T299" s="505"/>
      <c r="U299" s="505"/>
      <c r="V299" s="505"/>
      <c r="W299" s="505"/>
      <c r="X299" s="505"/>
      <c r="Y299" s="505"/>
      <c r="Z299" s="505"/>
      <c r="AA299" s="505"/>
      <c r="AB299" s="505"/>
      <c r="AC299" s="505"/>
    </row>
    <row r="300" spans="1:29">
      <c r="A300" s="505"/>
      <c r="B300" s="505"/>
      <c r="C300" s="505"/>
      <c r="D300" s="505"/>
      <c r="E300" s="505"/>
      <c r="F300" s="505"/>
      <c r="G300" s="505"/>
      <c r="H300" s="505"/>
      <c r="I300" s="505"/>
      <c r="J300" s="505"/>
      <c r="K300" s="517"/>
      <c r="L300" s="518"/>
      <c r="M300" s="505"/>
      <c r="N300" s="505"/>
      <c r="O300" s="505"/>
      <c r="P300" s="505"/>
      <c r="Q300" s="505"/>
      <c r="R300" s="505"/>
      <c r="S300" s="505"/>
      <c r="T300" s="505"/>
      <c r="U300" s="505"/>
      <c r="V300" s="505"/>
      <c r="W300" s="505"/>
      <c r="X300" s="505"/>
      <c r="Y300" s="505"/>
      <c r="Z300" s="505"/>
      <c r="AA300" s="505"/>
      <c r="AB300" s="505"/>
      <c r="AC300" s="505"/>
    </row>
    <row r="301" spans="1:29">
      <c r="A301" s="505"/>
      <c r="B301" s="505"/>
      <c r="C301" s="505"/>
      <c r="D301" s="505"/>
      <c r="E301" s="505"/>
      <c r="F301" s="505"/>
      <c r="G301" s="505"/>
      <c r="H301" s="505"/>
      <c r="I301" s="505"/>
      <c r="J301" s="505"/>
      <c r="K301" s="517"/>
      <c r="L301" s="518"/>
      <c r="M301" s="505"/>
      <c r="N301" s="505"/>
      <c r="O301" s="505"/>
      <c r="P301" s="505"/>
      <c r="Q301" s="505"/>
      <c r="R301" s="505"/>
      <c r="S301" s="505"/>
      <c r="T301" s="505"/>
      <c r="U301" s="505"/>
      <c r="V301" s="505"/>
      <c r="W301" s="505"/>
      <c r="X301" s="505"/>
      <c r="Y301" s="505"/>
      <c r="Z301" s="505"/>
      <c r="AA301" s="505"/>
      <c r="AB301" s="505"/>
      <c r="AC301" s="505"/>
    </row>
    <row r="302" spans="1:29">
      <c r="A302" s="505"/>
      <c r="B302" s="505"/>
      <c r="C302" s="505"/>
      <c r="D302" s="505"/>
      <c r="E302" s="505"/>
      <c r="F302" s="505"/>
      <c r="G302" s="505"/>
      <c r="H302" s="505"/>
      <c r="I302" s="505"/>
      <c r="J302" s="505"/>
      <c r="K302" s="517"/>
      <c r="L302" s="518"/>
      <c r="M302" s="505"/>
      <c r="N302" s="505"/>
      <c r="O302" s="505"/>
      <c r="P302" s="505"/>
      <c r="Q302" s="505"/>
      <c r="R302" s="505"/>
      <c r="S302" s="505"/>
      <c r="T302" s="505"/>
      <c r="U302" s="505"/>
      <c r="V302" s="505"/>
      <c r="W302" s="505"/>
      <c r="X302" s="505"/>
      <c r="Y302" s="505"/>
      <c r="Z302" s="505"/>
      <c r="AA302" s="505"/>
      <c r="AB302" s="505"/>
      <c r="AC302" s="505"/>
    </row>
    <row r="303" spans="1:29">
      <c r="A303" s="505"/>
      <c r="B303" s="505"/>
      <c r="C303" s="505"/>
      <c r="D303" s="505"/>
      <c r="E303" s="505"/>
      <c r="F303" s="505"/>
      <c r="G303" s="505"/>
      <c r="H303" s="505"/>
      <c r="I303" s="505"/>
      <c r="J303" s="505"/>
      <c r="K303" s="517"/>
      <c r="L303" s="518"/>
      <c r="M303" s="505"/>
      <c r="N303" s="505"/>
      <c r="O303" s="505"/>
      <c r="P303" s="505"/>
      <c r="Q303" s="505"/>
      <c r="R303" s="505"/>
      <c r="S303" s="505"/>
      <c r="T303" s="505"/>
      <c r="U303" s="505"/>
      <c r="V303" s="505"/>
      <c r="W303" s="505"/>
      <c r="X303" s="505"/>
      <c r="Y303" s="505"/>
      <c r="Z303" s="505"/>
      <c r="AA303" s="505"/>
      <c r="AB303" s="505"/>
      <c r="AC303" s="505"/>
    </row>
    <row r="304" spans="1:29">
      <c r="A304" s="505"/>
      <c r="B304" s="505"/>
      <c r="C304" s="505"/>
      <c r="D304" s="505"/>
      <c r="E304" s="505"/>
      <c r="F304" s="505"/>
      <c r="G304" s="505"/>
      <c r="H304" s="505"/>
      <c r="I304" s="505"/>
      <c r="J304" s="505"/>
      <c r="K304" s="517"/>
      <c r="L304" s="518"/>
      <c r="M304" s="505"/>
      <c r="N304" s="505"/>
      <c r="O304" s="505"/>
      <c r="P304" s="505"/>
      <c r="Q304" s="505"/>
      <c r="R304" s="505"/>
      <c r="S304" s="505"/>
      <c r="T304" s="505"/>
      <c r="U304" s="505"/>
      <c r="V304" s="505"/>
      <c r="W304" s="505"/>
      <c r="X304" s="505"/>
      <c r="Y304" s="505"/>
      <c r="Z304" s="505"/>
      <c r="AA304" s="505"/>
      <c r="AB304" s="505"/>
      <c r="AC304" s="505"/>
    </row>
    <row r="305" spans="1:29">
      <c r="A305" s="505"/>
      <c r="B305" s="505"/>
      <c r="C305" s="505"/>
      <c r="D305" s="505"/>
      <c r="E305" s="505"/>
      <c r="F305" s="505"/>
      <c r="G305" s="505"/>
      <c r="H305" s="505"/>
      <c r="I305" s="505"/>
      <c r="J305" s="505"/>
      <c r="K305" s="517"/>
      <c r="L305" s="518"/>
      <c r="M305" s="505"/>
      <c r="N305" s="505"/>
      <c r="O305" s="505"/>
      <c r="P305" s="505"/>
      <c r="Q305" s="505"/>
      <c r="R305" s="505"/>
      <c r="S305" s="505"/>
      <c r="T305" s="505"/>
      <c r="U305" s="505"/>
      <c r="V305" s="505"/>
      <c r="W305" s="505"/>
      <c r="X305" s="505"/>
      <c r="Y305" s="505"/>
      <c r="Z305" s="505"/>
      <c r="AA305" s="505"/>
      <c r="AB305" s="505"/>
      <c r="AC305" s="505"/>
    </row>
    <row r="306" spans="1:29">
      <c r="A306" s="505"/>
      <c r="B306" s="505"/>
      <c r="C306" s="505"/>
      <c r="D306" s="505"/>
      <c r="E306" s="505"/>
      <c r="F306" s="505"/>
      <c r="G306" s="505"/>
      <c r="H306" s="505"/>
      <c r="I306" s="505"/>
      <c r="J306" s="505"/>
      <c r="K306" s="517"/>
      <c r="L306" s="518"/>
      <c r="M306" s="505"/>
      <c r="N306" s="505"/>
      <c r="O306" s="505"/>
      <c r="P306" s="505"/>
      <c r="Q306" s="505"/>
      <c r="R306" s="505"/>
      <c r="S306" s="505"/>
      <c r="T306" s="505"/>
      <c r="U306" s="505"/>
      <c r="V306" s="505"/>
      <c r="W306" s="505"/>
      <c r="X306" s="505"/>
      <c r="Y306" s="505"/>
      <c r="Z306" s="505"/>
      <c r="AA306" s="505"/>
      <c r="AB306" s="505"/>
      <c r="AC306" s="505"/>
    </row>
    <row r="307" spans="1:29">
      <c r="A307" s="505"/>
      <c r="B307" s="505"/>
      <c r="C307" s="505"/>
      <c r="D307" s="505"/>
      <c r="E307" s="505"/>
      <c r="F307" s="505"/>
      <c r="G307" s="505"/>
      <c r="H307" s="505"/>
      <c r="I307" s="505"/>
      <c r="J307" s="505"/>
      <c r="K307" s="517"/>
      <c r="L307" s="518"/>
      <c r="M307" s="505"/>
      <c r="N307" s="505"/>
      <c r="O307" s="505"/>
      <c r="P307" s="505"/>
      <c r="Q307" s="505"/>
      <c r="R307" s="505"/>
      <c r="S307" s="505"/>
      <c r="T307" s="505"/>
      <c r="U307" s="505"/>
      <c r="V307" s="505"/>
      <c r="W307" s="505"/>
      <c r="X307" s="505"/>
      <c r="Y307" s="505"/>
      <c r="Z307" s="505"/>
      <c r="AA307" s="505"/>
      <c r="AB307" s="505"/>
      <c r="AC307" s="505"/>
    </row>
    <row r="308" spans="1:29">
      <c r="A308" s="505"/>
      <c r="B308" s="505"/>
      <c r="C308" s="505"/>
      <c r="D308" s="505"/>
      <c r="E308" s="505"/>
      <c r="F308" s="505"/>
      <c r="G308" s="505"/>
      <c r="H308" s="505"/>
      <c r="I308" s="505"/>
      <c r="J308" s="505"/>
      <c r="K308" s="517"/>
      <c r="L308" s="518"/>
      <c r="M308" s="505"/>
      <c r="N308" s="505"/>
      <c r="O308" s="505"/>
      <c r="P308" s="505"/>
      <c r="Q308" s="505"/>
      <c r="R308" s="505"/>
      <c r="S308" s="505"/>
      <c r="T308" s="505"/>
      <c r="U308" s="505"/>
      <c r="V308" s="505"/>
      <c r="W308" s="505"/>
      <c r="X308" s="505"/>
      <c r="Y308" s="505"/>
      <c r="Z308" s="505"/>
      <c r="AA308" s="505"/>
      <c r="AB308" s="505"/>
      <c r="AC308" s="505"/>
    </row>
    <row r="309" spans="1:29">
      <c r="A309" s="505"/>
      <c r="B309" s="505"/>
      <c r="C309" s="505"/>
      <c r="D309" s="505"/>
      <c r="E309" s="505"/>
      <c r="F309" s="505"/>
      <c r="G309" s="505"/>
      <c r="H309" s="505"/>
      <c r="I309" s="505"/>
      <c r="J309" s="505"/>
      <c r="K309" s="517"/>
      <c r="L309" s="518"/>
      <c r="M309" s="505"/>
      <c r="N309" s="505"/>
      <c r="O309" s="505"/>
      <c r="P309" s="505"/>
      <c r="Q309" s="505"/>
      <c r="R309" s="505"/>
      <c r="S309" s="505"/>
      <c r="T309" s="505"/>
      <c r="U309" s="505"/>
      <c r="V309" s="505"/>
      <c r="W309" s="505"/>
      <c r="X309" s="505"/>
      <c r="Y309" s="505"/>
      <c r="Z309" s="505"/>
      <c r="AA309" s="505"/>
      <c r="AB309" s="505"/>
      <c r="AC309" s="505"/>
    </row>
    <row r="310" spans="1:29">
      <c r="A310" s="505"/>
      <c r="B310" s="505"/>
      <c r="C310" s="505"/>
      <c r="D310" s="505"/>
      <c r="E310" s="505"/>
      <c r="F310" s="505"/>
      <c r="G310" s="505"/>
      <c r="H310" s="505"/>
      <c r="I310" s="505"/>
      <c r="J310" s="505"/>
      <c r="K310" s="517"/>
      <c r="L310" s="518"/>
      <c r="M310" s="505"/>
      <c r="N310" s="505"/>
      <c r="O310" s="505"/>
      <c r="P310" s="505"/>
      <c r="Q310" s="505"/>
      <c r="R310" s="505"/>
      <c r="S310" s="505"/>
      <c r="T310" s="505"/>
      <c r="U310" s="505"/>
      <c r="V310" s="505"/>
      <c r="W310" s="505"/>
      <c r="X310" s="505"/>
      <c r="Y310" s="505"/>
      <c r="Z310" s="505"/>
      <c r="AA310" s="505"/>
      <c r="AB310" s="505"/>
      <c r="AC310" s="505"/>
    </row>
    <row r="311" spans="1:29">
      <c r="A311" s="505"/>
      <c r="B311" s="505"/>
      <c r="C311" s="505"/>
      <c r="D311" s="505"/>
      <c r="E311" s="505"/>
      <c r="F311" s="505"/>
      <c r="G311" s="505"/>
      <c r="H311" s="505"/>
      <c r="I311" s="505"/>
      <c r="J311" s="505"/>
      <c r="K311" s="517"/>
      <c r="L311" s="518"/>
      <c r="M311" s="505"/>
      <c r="N311" s="505"/>
      <c r="O311" s="505"/>
      <c r="P311" s="505"/>
      <c r="Q311" s="505"/>
      <c r="R311" s="505"/>
      <c r="S311" s="505"/>
      <c r="T311" s="505"/>
      <c r="U311" s="505"/>
      <c r="V311" s="505"/>
      <c r="W311" s="505"/>
      <c r="X311" s="505"/>
      <c r="Y311" s="505"/>
      <c r="Z311" s="505"/>
      <c r="AA311" s="505"/>
      <c r="AB311" s="505"/>
      <c r="AC311" s="505"/>
    </row>
    <row r="312" spans="1:29">
      <c r="A312" s="505"/>
      <c r="B312" s="505"/>
      <c r="C312" s="505"/>
      <c r="D312" s="505"/>
      <c r="E312" s="505"/>
      <c r="F312" s="505"/>
      <c r="G312" s="505"/>
      <c r="H312" s="505"/>
      <c r="I312" s="505"/>
      <c r="J312" s="505"/>
      <c r="K312" s="517"/>
      <c r="L312" s="518"/>
      <c r="M312" s="505"/>
      <c r="N312" s="505"/>
      <c r="O312" s="505"/>
      <c r="P312" s="505"/>
      <c r="Q312" s="505"/>
      <c r="R312" s="505"/>
      <c r="S312" s="505"/>
      <c r="T312" s="505"/>
      <c r="U312" s="505"/>
      <c r="V312" s="505"/>
      <c r="W312" s="505"/>
      <c r="X312" s="505"/>
      <c r="Y312" s="505"/>
      <c r="Z312" s="505"/>
      <c r="AA312" s="505"/>
      <c r="AB312" s="505"/>
      <c r="AC312" s="505"/>
    </row>
    <row r="313" spans="1:29">
      <c r="A313" s="505"/>
      <c r="B313" s="505"/>
      <c r="C313" s="505"/>
      <c r="D313" s="505"/>
      <c r="E313" s="505"/>
      <c r="F313" s="505"/>
      <c r="G313" s="505"/>
      <c r="H313" s="505"/>
      <c r="I313" s="505"/>
      <c r="J313" s="505"/>
      <c r="K313" s="517"/>
      <c r="L313" s="518"/>
      <c r="M313" s="505"/>
      <c r="N313" s="505"/>
      <c r="O313" s="505"/>
      <c r="P313" s="505"/>
      <c r="Q313" s="505"/>
      <c r="R313" s="505"/>
      <c r="S313" s="505"/>
      <c r="T313" s="505"/>
      <c r="U313" s="505"/>
      <c r="V313" s="505"/>
      <c r="W313" s="505"/>
      <c r="X313" s="505"/>
      <c r="Y313" s="505"/>
      <c r="Z313" s="505"/>
      <c r="AA313" s="505"/>
      <c r="AB313" s="505"/>
      <c r="AC313" s="505"/>
    </row>
    <row r="314" spans="1:29">
      <c r="A314" s="505"/>
      <c r="B314" s="505"/>
      <c r="C314" s="505"/>
      <c r="D314" s="505"/>
      <c r="E314" s="505"/>
      <c r="F314" s="505"/>
      <c r="G314" s="505"/>
      <c r="H314" s="505"/>
      <c r="I314" s="505"/>
      <c r="J314" s="505"/>
      <c r="K314" s="517"/>
      <c r="L314" s="518"/>
      <c r="M314" s="505"/>
      <c r="N314" s="505"/>
      <c r="O314" s="505"/>
      <c r="P314" s="505"/>
      <c r="Q314" s="505"/>
      <c r="R314" s="505"/>
      <c r="S314" s="505"/>
      <c r="T314" s="505"/>
      <c r="U314" s="505"/>
      <c r="V314" s="505"/>
      <c r="W314" s="505"/>
      <c r="X314" s="505"/>
      <c r="Y314" s="505"/>
      <c r="Z314" s="505"/>
      <c r="AA314" s="505"/>
      <c r="AB314" s="505"/>
      <c r="AC314" s="505"/>
    </row>
    <row r="315" spans="1:29">
      <c r="A315" s="505"/>
      <c r="B315" s="505"/>
      <c r="C315" s="505"/>
      <c r="D315" s="505"/>
      <c r="E315" s="505"/>
      <c r="F315" s="505"/>
      <c r="G315" s="505"/>
      <c r="H315" s="505"/>
      <c r="I315" s="505"/>
      <c r="J315" s="505"/>
      <c r="K315" s="517"/>
      <c r="L315" s="518"/>
      <c r="M315" s="505"/>
      <c r="N315" s="505"/>
      <c r="O315" s="505"/>
      <c r="P315" s="505"/>
      <c r="Q315" s="505"/>
      <c r="R315" s="505"/>
      <c r="S315" s="505"/>
      <c r="T315" s="505"/>
      <c r="U315" s="505"/>
      <c r="V315" s="505"/>
      <c r="W315" s="505"/>
      <c r="X315" s="505"/>
      <c r="Y315" s="505"/>
      <c r="Z315" s="505"/>
      <c r="AA315" s="505"/>
      <c r="AB315" s="505"/>
      <c r="AC315" s="505"/>
    </row>
    <row r="316" spans="1:29">
      <c r="A316" s="505"/>
      <c r="B316" s="505"/>
      <c r="C316" s="505"/>
      <c r="D316" s="505"/>
      <c r="E316" s="505"/>
      <c r="F316" s="505"/>
      <c r="G316" s="505"/>
      <c r="H316" s="505"/>
      <c r="I316" s="505"/>
      <c r="J316" s="505"/>
      <c r="K316" s="517"/>
      <c r="L316" s="518"/>
      <c r="M316" s="505"/>
      <c r="N316" s="505"/>
      <c r="O316" s="505"/>
      <c r="P316" s="505"/>
      <c r="Q316" s="505"/>
      <c r="R316" s="505"/>
      <c r="S316" s="505"/>
      <c r="T316" s="505"/>
      <c r="U316" s="505"/>
      <c r="V316" s="505"/>
      <c r="W316" s="505"/>
      <c r="X316" s="505"/>
      <c r="Y316" s="505"/>
      <c r="Z316" s="505"/>
      <c r="AA316" s="505"/>
      <c r="AB316" s="505"/>
      <c r="AC316" s="505"/>
    </row>
    <row r="317" spans="1:29">
      <c r="A317" s="505"/>
      <c r="B317" s="505"/>
      <c r="C317" s="505"/>
      <c r="D317" s="505"/>
      <c r="E317" s="505"/>
      <c r="F317" s="505"/>
      <c r="G317" s="505"/>
      <c r="H317" s="505"/>
      <c r="I317" s="505"/>
      <c r="J317" s="505"/>
      <c r="K317" s="517"/>
      <c r="L317" s="518"/>
      <c r="M317" s="505"/>
      <c r="N317" s="505"/>
      <c r="O317" s="505"/>
      <c r="P317" s="505"/>
      <c r="Q317" s="505"/>
      <c r="R317" s="505"/>
      <c r="S317" s="505"/>
      <c r="T317" s="505"/>
      <c r="U317" s="505"/>
      <c r="V317" s="505"/>
      <c r="W317" s="505"/>
      <c r="X317" s="505"/>
      <c r="Y317" s="505"/>
      <c r="Z317" s="505"/>
      <c r="AA317" s="505"/>
      <c r="AB317" s="505"/>
      <c r="AC317" s="505"/>
    </row>
    <row r="318" spans="1:29">
      <c r="A318" s="505"/>
      <c r="B318" s="505"/>
      <c r="C318" s="505"/>
      <c r="D318" s="505"/>
      <c r="E318" s="505"/>
      <c r="F318" s="505"/>
      <c r="G318" s="505"/>
      <c r="H318" s="505"/>
      <c r="I318" s="505"/>
      <c r="J318" s="505"/>
      <c r="K318" s="517"/>
      <c r="L318" s="518"/>
      <c r="M318" s="505"/>
      <c r="N318" s="505"/>
      <c r="O318" s="505"/>
      <c r="P318" s="505"/>
      <c r="Q318" s="505"/>
      <c r="R318" s="505"/>
      <c r="S318" s="505"/>
      <c r="T318" s="505"/>
      <c r="U318" s="505"/>
      <c r="V318" s="505"/>
      <c r="W318" s="505"/>
      <c r="X318" s="505"/>
      <c r="Y318" s="505"/>
      <c r="Z318" s="505"/>
      <c r="AA318" s="505"/>
      <c r="AB318" s="505"/>
      <c r="AC318" s="505"/>
    </row>
    <row r="319" spans="1:29">
      <c r="N319" s="505"/>
      <c r="O319" s="505"/>
      <c r="P319" s="505"/>
      <c r="Q319" s="505"/>
      <c r="R319" s="505"/>
      <c r="S319" s="505"/>
      <c r="T319" s="505"/>
      <c r="U319" s="505"/>
      <c r="V319" s="505"/>
      <c r="W319" s="505"/>
      <c r="X319" s="505"/>
      <c r="Y319" s="505"/>
      <c r="Z319" s="505"/>
      <c r="AA319" s="505"/>
      <c r="AB319" s="505"/>
      <c r="AC319" s="505"/>
    </row>
    <row r="320" spans="1:29">
      <c r="AC320" s="505"/>
    </row>
    <row r="321" spans="29:29">
      <c r="AC321" s="505"/>
    </row>
    <row r="322" spans="29:29">
      <c r="AC322" s="505"/>
    </row>
    <row r="323" spans="29:29">
      <c r="AC323" s="505"/>
    </row>
    <row r="324" spans="29:29">
      <c r="AC324" s="505"/>
    </row>
    <row r="325" spans="29:29">
      <c r="AC325" s="505"/>
    </row>
    <row r="326" spans="29:29">
      <c r="AC326" s="505"/>
    </row>
    <row r="327" spans="29:29">
      <c r="AC327" s="505"/>
    </row>
    <row r="328" spans="29:29">
      <c r="AC328" s="505"/>
    </row>
    <row r="329" spans="29:29">
      <c r="AC329" s="505"/>
    </row>
    <row r="330" spans="29:29">
      <c r="AC330" s="505"/>
    </row>
    <row r="331" spans="29:29">
      <c r="AC331" s="505"/>
    </row>
    <row r="332" spans="29:29">
      <c r="AC332" s="505"/>
    </row>
    <row r="333" spans="29:29">
      <c r="AC333" s="505"/>
    </row>
    <row r="334" spans="29:29">
      <c r="AC334" s="505"/>
    </row>
    <row r="335" spans="29:29">
      <c r="AC335" s="505"/>
    </row>
    <row r="336" spans="29:29">
      <c r="AC336" s="505"/>
    </row>
    <row r="337" spans="29:29">
      <c r="AC337" s="505"/>
    </row>
    <row r="338" spans="29:29">
      <c r="AC338" s="505"/>
    </row>
    <row r="339" spans="29:29">
      <c r="AC339" s="505"/>
    </row>
    <row r="340" spans="29:29">
      <c r="AC340" s="505"/>
    </row>
    <row r="341" spans="29:29">
      <c r="AC341" s="505"/>
    </row>
    <row r="342" spans="29:29">
      <c r="AC342" s="505"/>
    </row>
    <row r="343" spans="29:29">
      <c r="AC343" s="505"/>
    </row>
    <row r="344" spans="29:29">
      <c r="AC344" s="505"/>
    </row>
    <row r="345" spans="29:29">
      <c r="AC345" s="505"/>
    </row>
    <row r="346" spans="29:29">
      <c r="AC346" s="505"/>
    </row>
    <row r="347" spans="29:29">
      <c r="AC347" s="505"/>
    </row>
    <row r="348" spans="29:29">
      <c r="AC348" s="505"/>
    </row>
    <row r="349" spans="29:29">
      <c r="AC349" s="505"/>
    </row>
    <row r="350" spans="29:29">
      <c r="AC350" s="505"/>
    </row>
    <row r="351" spans="29:29">
      <c r="AC351" s="505"/>
    </row>
    <row r="352" spans="29:29">
      <c r="AC352" s="505"/>
    </row>
    <row r="353" spans="29:29">
      <c r="AC353" s="505"/>
    </row>
    <row r="354" spans="29:29">
      <c r="AC354" s="505"/>
    </row>
    <row r="355" spans="29:29">
      <c r="AC355" s="505"/>
    </row>
    <row r="356" spans="29:29">
      <c r="AC356" s="505"/>
    </row>
    <row r="357" spans="29:29">
      <c r="AC357" s="505"/>
    </row>
    <row r="358" spans="29:29">
      <c r="AC358" s="505"/>
    </row>
    <row r="359" spans="29:29">
      <c r="AC359" s="505"/>
    </row>
    <row r="360" spans="29:29">
      <c r="AC360" s="505"/>
    </row>
    <row r="361" spans="29:29">
      <c r="AC361" s="505"/>
    </row>
    <row r="362" spans="29:29">
      <c r="AC362" s="505"/>
    </row>
    <row r="363" spans="29:29">
      <c r="AC363" s="505"/>
    </row>
    <row r="364" spans="29:29">
      <c r="AC364" s="505"/>
    </row>
    <row r="365" spans="29:29">
      <c r="AC365" s="505"/>
    </row>
    <row r="366" spans="29:29">
      <c r="AC366" s="505"/>
    </row>
    <row r="367" spans="29:29">
      <c r="AC367" s="505"/>
    </row>
    <row r="368" spans="29:29">
      <c r="AC368" s="505"/>
    </row>
    <row r="369" spans="29:29">
      <c r="AC369" s="505"/>
    </row>
    <row r="370" spans="29:29">
      <c r="AC370" s="505"/>
    </row>
    <row r="371" spans="29:29">
      <c r="AC371" s="505"/>
    </row>
    <row r="372" spans="29:29">
      <c r="AC372" s="505"/>
    </row>
    <row r="373" spans="29:29">
      <c r="AC373" s="505"/>
    </row>
    <row r="374" spans="29:29">
      <c r="AC374" s="505"/>
    </row>
    <row r="375" spans="29:29">
      <c r="AC375" s="505"/>
    </row>
    <row r="376" spans="29:29">
      <c r="AC376" s="505"/>
    </row>
    <row r="377" spans="29:29">
      <c r="AC377" s="505"/>
    </row>
    <row r="378" spans="29:29">
      <c r="AC378" s="505"/>
    </row>
    <row r="379" spans="29:29">
      <c r="AC379" s="505"/>
    </row>
    <row r="380" spans="29:29">
      <c r="AC380" s="505"/>
    </row>
    <row r="381" spans="29:29">
      <c r="AC381" s="505"/>
    </row>
    <row r="382" spans="29:29">
      <c r="AC382" s="505"/>
    </row>
    <row r="383" spans="29:29">
      <c r="AC383" s="505"/>
    </row>
    <row r="384" spans="29:29">
      <c r="AC384" s="505"/>
    </row>
    <row r="385" spans="29:29">
      <c r="AC385" s="505"/>
    </row>
    <row r="386" spans="29:29">
      <c r="AC386" s="505"/>
    </row>
    <row r="387" spans="29:29">
      <c r="AC387" s="505"/>
    </row>
    <row r="388" spans="29:29">
      <c r="AC388" s="505"/>
    </row>
    <row r="389" spans="29:29">
      <c r="AC389" s="505"/>
    </row>
    <row r="390" spans="29:29">
      <c r="AC390" s="505"/>
    </row>
    <row r="391" spans="29:29">
      <c r="AC391" s="505"/>
    </row>
    <row r="392" spans="29:29">
      <c r="AC392" s="505"/>
    </row>
    <row r="393" spans="29:29">
      <c r="AC393" s="505"/>
    </row>
    <row r="394" spans="29:29">
      <c r="AC394" s="505"/>
    </row>
    <row r="395" spans="29:29">
      <c r="AC395" s="505"/>
    </row>
    <row r="396" spans="29:29">
      <c r="AC396" s="505"/>
    </row>
    <row r="397" spans="29:29">
      <c r="AC397" s="505"/>
    </row>
    <row r="398" spans="29:29">
      <c r="AC398" s="505"/>
    </row>
    <row r="399" spans="29:29">
      <c r="AC399" s="505"/>
    </row>
    <row r="400" spans="29:29">
      <c r="AC400" s="505"/>
    </row>
    <row r="401" spans="29:29">
      <c r="AC401" s="505"/>
    </row>
    <row r="402" spans="29:29">
      <c r="AC402" s="505"/>
    </row>
    <row r="403" spans="29:29">
      <c r="AC403" s="505"/>
    </row>
    <row r="404" spans="29:29">
      <c r="AC404" s="505"/>
    </row>
    <row r="405" spans="29:29">
      <c r="AC405" s="505"/>
    </row>
    <row r="406" spans="29:29">
      <c r="AC406" s="505"/>
    </row>
    <row r="407" spans="29:29">
      <c r="AC407" s="505"/>
    </row>
    <row r="408" spans="29:29">
      <c r="AC408" s="505"/>
    </row>
    <row r="409" spans="29:29">
      <c r="AC409" s="505"/>
    </row>
    <row r="410" spans="29:29">
      <c r="AC410" s="505"/>
    </row>
    <row r="411" spans="29:29">
      <c r="AC411" s="505"/>
    </row>
    <row r="412" spans="29:29">
      <c r="AC412" s="505"/>
    </row>
    <row r="413" spans="29:29">
      <c r="AC413" s="505"/>
    </row>
    <row r="414" spans="29:29">
      <c r="AC414" s="505"/>
    </row>
    <row r="415" spans="29:29">
      <c r="AC415" s="505"/>
    </row>
    <row r="416" spans="29:29">
      <c r="AC416" s="505"/>
    </row>
    <row r="417" spans="29:29">
      <c r="AC417" s="505"/>
    </row>
    <row r="418" spans="29:29">
      <c r="AC418" s="505"/>
    </row>
    <row r="419" spans="29:29">
      <c r="AC419" s="505"/>
    </row>
    <row r="420" spans="29:29">
      <c r="AC420" s="505"/>
    </row>
    <row r="421" spans="29:29">
      <c r="AC421" s="505"/>
    </row>
    <row r="422" spans="29:29">
      <c r="AC422" s="505"/>
    </row>
    <row r="423" spans="29:29">
      <c r="AC423" s="505"/>
    </row>
    <row r="424" spans="29:29">
      <c r="AC424" s="505"/>
    </row>
    <row r="425" spans="29:29">
      <c r="AC425" s="505"/>
    </row>
    <row r="426" spans="29:29">
      <c r="AC426" s="505"/>
    </row>
    <row r="427" spans="29:29">
      <c r="AC427" s="505"/>
    </row>
    <row r="428" spans="29:29">
      <c r="AC428" s="505"/>
    </row>
    <row r="429" spans="29:29">
      <c r="AC429" s="505"/>
    </row>
    <row r="430" spans="29:29">
      <c r="AC430" s="505"/>
    </row>
    <row r="431" spans="29:29">
      <c r="AC431" s="505"/>
    </row>
    <row r="432" spans="29:29">
      <c r="AC432" s="505"/>
    </row>
    <row r="433" spans="29:29">
      <c r="AC433" s="505"/>
    </row>
    <row r="434" spans="29:29">
      <c r="AC434" s="505"/>
    </row>
    <row r="435" spans="29:29">
      <c r="AC435" s="505"/>
    </row>
    <row r="436" spans="29:29">
      <c r="AC436" s="505"/>
    </row>
    <row r="437" spans="29:29">
      <c r="AC437" s="505"/>
    </row>
    <row r="438" spans="29:29">
      <c r="AC438" s="505"/>
    </row>
    <row r="439" spans="29:29">
      <c r="AC439" s="505"/>
    </row>
    <row r="440" spans="29:29">
      <c r="AC440" s="505"/>
    </row>
    <row r="441" spans="29:29">
      <c r="AC441" s="505"/>
    </row>
    <row r="442" spans="29:29">
      <c r="AC442" s="505"/>
    </row>
    <row r="443" spans="29:29">
      <c r="AC443" s="505"/>
    </row>
    <row r="444" spans="29:29">
      <c r="AC444" s="505"/>
    </row>
    <row r="445" spans="29:29">
      <c r="AC445" s="505"/>
    </row>
    <row r="446" spans="29:29">
      <c r="AC446" s="505"/>
    </row>
    <row r="447" spans="29:29">
      <c r="AC447" s="505"/>
    </row>
    <row r="448" spans="29:29">
      <c r="AC448" s="505"/>
    </row>
    <row r="449" spans="29:29">
      <c r="AC449" s="505"/>
    </row>
    <row r="450" spans="29:29">
      <c r="AC450" s="505"/>
    </row>
    <row r="451" spans="29:29">
      <c r="AC451" s="505"/>
    </row>
    <row r="452" spans="29:29">
      <c r="AC452" s="505"/>
    </row>
    <row r="453" spans="29:29">
      <c r="AC453" s="505"/>
    </row>
    <row r="454" spans="29:29">
      <c r="AC454" s="505"/>
    </row>
    <row r="455" spans="29:29">
      <c r="AC455" s="505"/>
    </row>
    <row r="456" spans="29:29">
      <c r="AC456" s="505"/>
    </row>
    <row r="457" spans="29:29">
      <c r="AC457" s="505"/>
    </row>
    <row r="458" spans="29:29">
      <c r="AC458" s="505"/>
    </row>
    <row r="459" spans="29:29">
      <c r="AC459" s="505"/>
    </row>
    <row r="460" spans="29:29">
      <c r="AC460" s="505"/>
    </row>
    <row r="461" spans="29:29">
      <c r="AC461" s="505"/>
    </row>
    <row r="462" spans="29:29">
      <c r="AC462" s="505"/>
    </row>
    <row r="463" spans="29:29">
      <c r="AC463" s="505"/>
    </row>
    <row r="464" spans="29:29">
      <c r="AC464" s="505"/>
    </row>
    <row r="465" spans="29:29">
      <c r="AC465" s="505"/>
    </row>
    <row r="466" spans="29:29">
      <c r="AC466" s="505"/>
    </row>
    <row r="467" spans="29:29">
      <c r="AC467" s="505"/>
    </row>
    <row r="468" spans="29:29">
      <c r="AC468" s="505"/>
    </row>
    <row r="469" spans="29:29">
      <c r="AC469" s="505"/>
    </row>
    <row r="470" spans="29:29">
      <c r="AC470" s="505"/>
    </row>
    <row r="471" spans="29:29">
      <c r="AC471" s="505"/>
    </row>
    <row r="472" spans="29:29">
      <c r="AC472" s="505"/>
    </row>
    <row r="473" spans="29:29">
      <c r="AC473" s="505"/>
    </row>
    <row r="474" spans="29:29">
      <c r="AC474" s="505"/>
    </row>
    <row r="475" spans="29:29">
      <c r="AC475" s="505"/>
    </row>
    <row r="476" spans="29:29">
      <c r="AC476" s="505"/>
    </row>
    <row r="477" spans="29:29">
      <c r="AC477" s="505"/>
    </row>
    <row r="478" spans="29:29">
      <c r="AC478" s="505"/>
    </row>
    <row r="479" spans="29:29">
      <c r="AC479" s="505"/>
    </row>
    <row r="480" spans="29:29">
      <c r="AC480" s="505"/>
    </row>
    <row r="481" spans="29:29">
      <c r="AC481" s="505"/>
    </row>
    <row r="482" spans="29:29">
      <c r="AC482" s="505"/>
    </row>
    <row r="483" spans="29:29">
      <c r="AC483" s="505"/>
    </row>
    <row r="484" spans="29:29">
      <c r="AC484" s="505"/>
    </row>
    <row r="485" spans="29:29">
      <c r="AC485" s="505"/>
    </row>
    <row r="486" spans="29:29">
      <c r="AC486" s="505"/>
    </row>
    <row r="487" spans="29:29">
      <c r="AC487" s="505"/>
    </row>
    <row r="488" spans="29:29">
      <c r="AC488" s="505"/>
    </row>
    <row r="489" spans="29:29">
      <c r="AC489" s="505"/>
    </row>
    <row r="490" spans="29:29">
      <c r="AC490" s="505"/>
    </row>
    <row r="491" spans="29:29">
      <c r="AC491" s="505"/>
    </row>
    <row r="492" spans="29:29">
      <c r="AC492" s="505"/>
    </row>
    <row r="493" spans="29:29">
      <c r="AC493" s="505"/>
    </row>
    <row r="494" spans="29:29">
      <c r="AC494" s="505"/>
    </row>
    <row r="495" spans="29:29">
      <c r="AC495" s="505"/>
    </row>
    <row r="496" spans="29:29">
      <c r="AC496" s="505"/>
    </row>
    <row r="497" spans="29:29">
      <c r="AC497" s="505"/>
    </row>
    <row r="498" spans="29:29">
      <c r="AC498" s="505"/>
    </row>
    <row r="499" spans="29:29">
      <c r="AC499" s="505"/>
    </row>
    <row r="500" spans="29:29">
      <c r="AC500" s="505"/>
    </row>
    <row r="501" spans="29:29">
      <c r="AC501" s="505"/>
    </row>
    <row r="502" spans="29:29">
      <c r="AC502" s="505"/>
    </row>
    <row r="503" spans="29:29">
      <c r="AC503" s="505"/>
    </row>
    <row r="504" spans="29:29">
      <c r="AC504" s="505"/>
    </row>
    <row r="505" spans="29:29">
      <c r="AC505" s="505"/>
    </row>
    <row r="506" spans="29:29">
      <c r="AC506" s="505"/>
    </row>
    <row r="507" spans="29:29">
      <c r="AC507" s="505"/>
    </row>
    <row r="508" spans="29:29">
      <c r="AC508" s="505"/>
    </row>
    <row r="509" spans="29:29">
      <c r="AC509" s="505"/>
    </row>
    <row r="510" spans="29:29">
      <c r="AC510" s="505"/>
    </row>
    <row r="511" spans="29:29">
      <c r="AC511" s="505"/>
    </row>
    <row r="512" spans="29:29">
      <c r="AC512" s="505"/>
    </row>
    <row r="513" spans="29:29">
      <c r="AC513" s="505"/>
    </row>
    <row r="514" spans="29:29">
      <c r="AC514" s="505"/>
    </row>
    <row r="515" spans="29:29">
      <c r="AC515" s="505"/>
    </row>
    <row r="516" spans="29:29">
      <c r="AC516" s="505"/>
    </row>
    <row r="517" spans="29:29">
      <c r="AC517" s="505"/>
    </row>
    <row r="518" spans="29:29">
      <c r="AC518" s="505"/>
    </row>
    <row r="519" spans="29:29">
      <c r="AC519" s="505"/>
    </row>
    <row r="520" spans="29:29">
      <c r="AC520" s="505"/>
    </row>
    <row r="521" spans="29:29">
      <c r="AC521" s="505"/>
    </row>
    <row r="522" spans="29:29">
      <c r="AC522" s="505"/>
    </row>
    <row r="523" spans="29:29">
      <c r="AC523" s="505"/>
    </row>
    <row r="524" spans="29:29">
      <c r="AC524" s="505"/>
    </row>
    <row r="525" spans="29:29">
      <c r="AC525" s="505"/>
    </row>
    <row r="526" spans="29:29">
      <c r="AC526" s="505"/>
    </row>
    <row r="527" spans="29:29">
      <c r="AC527" s="505"/>
    </row>
    <row r="528" spans="29:29">
      <c r="AC528" s="505"/>
    </row>
    <row r="529" spans="29:29">
      <c r="AC529" s="505"/>
    </row>
    <row r="530" spans="29:29">
      <c r="AC530" s="505"/>
    </row>
    <row r="531" spans="29:29">
      <c r="AC531" s="505"/>
    </row>
    <row r="532" spans="29:29">
      <c r="AC532" s="505"/>
    </row>
    <row r="533" spans="29:29">
      <c r="AC533" s="505"/>
    </row>
    <row r="534" spans="29:29">
      <c r="AC534" s="505"/>
    </row>
    <row r="535" spans="29:29">
      <c r="AC535" s="505"/>
    </row>
    <row r="536" spans="29:29">
      <c r="AC536" s="505"/>
    </row>
    <row r="537" spans="29:29">
      <c r="AC537" s="505"/>
    </row>
    <row r="538" spans="29:29">
      <c r="AC538" s="505"/>
    </row>
    <row r="539" spans="29:29">
      <c r="AC539" s="505"/>
    </row>
    <row r="540" spans="29:29">
      <c r="AC540" s="505"/>
    </row>
    <row r="541" spans="29:29">
      <c r="AC541" s="505"/>
    </row>
    <row r="542" spans="29:29">
      <c r="AC542" s="505"/>
    </row>
    <row r="543" spans="29:29">
      <c r="AC543" s="505"/>
    </row>
    <row r="544" spans="29:29">
      <c r="AC544" s="505"/>
    </row>
    <row r="545" spans="29:29">
      <c r="AC545" s="505"/>
    </row>
    <row r="546" spans="29:29">
      <c r="AC546" s="505"/>
    </row>
    <row r="547" spans="29:29">
      <c r="AC547" s="505"/>
    </row>
    <row r="548" spans="29:29">
      <c r="AC548" s="505"/>
    </row>
    <row r="549" spans="29:29">
      <c r="AC549" s="505"/>
    </row>
    <row r="550" spans="29:29">
      <c r="AC550" s="505"/>
    </row>
    <row r="551" spans="29:29">
      <c r="AC551" s="505"/>
    </row>
    <row r="552" spans="29:29">
      <c r="AC552" s="505"/>
    </row>
    <row r="553" spans="29:29">
      <c r="AC553" s="505"/>
    </row>
    <row r="554" spans="29:29">
      <c r="AC554" s="505"/>
    </row>
    <row r="555" spans="29:29">
      <c r="AC555" s="505"/>
    </row>
    <row r="556" spans="29:29">
      <c r="AC556" s="505"/>
    </row>
    <row r="557" spans="29:29">
      <c r="AC557" s="505"/>
    </row>
    <row r="558" spans="29:29">
      <c r="AC558" s="505"/>
    </row>
    <row r="559" spans="29:29">
      <c r="AC559" s="505"/>
    </row>
    <row r="560" spans="29:29">
      <c r="AC560" s="505"/>
    </row>
    <row r="561" spans="29:29">
      <c r="AC561" s="505"/>
    </row>
    <row r="562" spans="29:29">
      <c r="AC562" s="505"/>
    </row>
    <row r="563" spans="29:29">
      <c r="AC563" s="505"/>
    </row>
    <row r="564" spans="29:29">
      <c r="AC564" s="505"/>
    </row>
    <row r="565" spans="29:29">
      <c r="AC565" s="505"/>
    </row>
    <row r="566" spans="29:29">
      <c r="AC566" s="505"/>
    </row>
    <row r="567" spans="29:29">
      <c r="AC567" s="505"/>
    </row>
    <row r="568" spans="29:29">
      <c r="AC568" s="505"/>
    </row>
    <row r="569" spans="29:29">
      <c r="AC569" s="505"/>
    </row>
    <row r="570" spans="29:29">
      <c r="AC570" s="505"/>
    </row>
    <row r="571" spans="29:29">
      <c r="AC571" s="505"/>
    </row>
    <row r="572" spans="29:29">
      <c r="AC572" s="505"/>
    </row>
    <row r="573" spans="29:29">
      <c r="AC573" s="505"/>
    </row>
    <row r="574" spans="29:29">
      <c r="AC574" s="505"/>
    </row>
    <row r="575" spans="29:29">
      <c r="AC575" s="505"/>
    </row>
    <row r="576" spans="29:29">
      <c r="AC576" s="505"/>
    </row>
    <row r="577" spans="29:29">
      <c r="AC577" s="505"/>
    </row>
    <row r="578" spans="29:29">
      <c r="AC578" s="505"/>
    </row>
    <row r="579" spans="29:29">
      <c r="AC579" s="505"/>
    </row>
    <row r="580" spans="29:29">
      <c r="AC580" s="505"/>
    </row>
    <row r="581" spans="29:29">
      <c r="AC581" s="505"/>
    </row>
    <row r="582" spans="29:29">
      <c r="AC582" s="505"/>
    </row>
    <row r="583" spans="29:29">
      <c r="AC583" s="505"/>
    </row>
    <row r="584" spans="29:29">
      <c r="AC584" s="505"/>
    </row>
    <row r="585" spans="29:29">
      <c r="AC585" s="505"/>
    </row>
    <row r="586" spans="29:29">
      <c r="AC586" s="505"/>
    </row>
    <row r="587" spans="29:29">
      <c r="AC587" s="505"/>
    </row>
    <row r="588" spans="29:29">
      <c r="AC588" s="505"/>
    </row>
    <row r="589" spans="29:29">
      <c r="AC589" s="505"/>
    </row>
    <row r="590" spans="29:29">
      <c r="AC590" s="505"/>
    </row>
    <row r="591" spans="29:29">
      <c r="AC591" s="505"/>
    </row>
    <row r="592" spans="29:29">
      <c r="AC592" s="505"/>
    </row>
    <row r="593" spans="29:29">
      <c r="AC593" s="505"/>
    </row>
    <row r="594" spans="29:29">
      <c r="AC594" s="505"/>
    </row>
    <row r="595" spans="29:29">
      <c r="AC595" s="505"/>
    </row>
    <row r="596" spans="29:29">
      <c r="AC596" s="505"/>
    </row>
    <row r="597" spans="29:29">
      <c r="AC597" s="505"/>
    </row>
    <row r="598" spans="29:29">
      <c r="AC598" s="505"/>
    </row>
    <row r="599" spans="29:29">
      <c r="AC599" s="505"/>
    </row>
    <row r="600" spans="29:29">
      <c r="AC600" s="505"/>
    </row>
    <row r="601" spans="29:29">
      <c r="AC601" s="505"/>
    </row>
    <row r="602" spans="29:29">
      <c r="AC602" s="505"/>
    </row>
    <row r="603" spans="29:29">
      <c r="AC603" s="505"/>
    </row>
    <row r="604" spans="29:29">
      <c r="AC604" s="505"/>
    </row>
    <row r="605" spans="29:29">
      <c r="AC605" s="505"/>
    </row>
    <row r="606" spans="29:29">
      <c r="AC606" s="505"/>
    </row>
    <row r="607" spans="29:29">
      <c r="AC607" s="505"/>
    </row>
    <row r="608" spans="29:29">
      <c r="AC608" s="505"/>
    </row>
    <row r="609" spans="29:29">
      <c r="AC609" s="505"/>
    </row>
    <row r="610" spans="29:29">
      <c r="AC610" s="505"/>
    </row>
    <row r="611" spans="29:29">
      <c r="AC611" s="505"/>
    </row>
    <row r="612" spans="29:29">
      <c r="AC612" s="505"/>
    </row>
    <row r="613" spans="29:29">
      <c r="AC613" s="505"/>
    </row>
    <row r="614" spans="29:29">
      <c r="AC614" s="505"/>
    </row>
    <row r="615" spans="29:29">
      <c r="AC615" s="505"/>
    </row>
    <row r="616" spans="29:29">
      <c r="AC616" s="505"/>
    </row>
    <row r="617" spans="29:29">
      <c r="AC617" s="505"/>
    </row>
    <row r="618" spans="29:29">
      <c r="AC618" s="505"/>
    </row>
    <row r="619" spans="29:29">
      <c r="AC619" s="505"/>
    </row>
    <row r="620" spans="29:29">
      <c r="AC620" s="505"/>
    </row>
    <row r="621" spans="29:29">
      <c r="AC621" s="505"/>
    </row>
    <row r="622" spans="29:29">
      <c r="AC622" s="505"/>
    </row>
    <row r="623" spans="29:29">
      <c r="AC623" s="505"/>
    </row>
    <row r="624" spans="29:29">
      <c r="AC624" s="505"/>
    </row>
    <row r="625" spans="29:29">
      <c r="AC625" s="505"/>
    </row>
    <row r="626" spans="29:29">
      <c r="AC626" s="505"/>
    </row>
    <row r="627" spans="29:29">
      <c r="AC627" s="505"/>
    </row>
    <row r="628" spans="29:29">
      <c r="AC628" s="505"/>
    </row>
    <row r="629" spans="29:29">
      <c r="AC629" s="505"/>
    </row>
    <row r="630" spans="29:29">
      <c r="AC630" s="505"/>
    </row>
    <row r="631" spans="29:29">
      <c r="AC631" s="505"/>
    </row>
    <row r="632" spans="29:29">
      <c r="AC632" s="505"/>
    </row>
    <row r="633" spans="29:29">
      <c r="AC633" s="505"/>
    </row>
    <row r="634" spans="29:29">
      <c r="AC634" s="505"/>
    </row>
    <row r="635" spans="29:29">
      <c r="AC635" s="505"/>
    </row>
    <row r="636" spans="29:29">
      <c r="AC636" s="505"/>
    </row>
    <row r="637" spans="29:29">
      <c r="AC637" s="505"/>
    </row>
    <row r="638" spans="29:29">
      <c r="AC638" s="505"/>
    </row>
    <row r="639" spans="29:29">
      <c r="AC639" s="505"/>
    </row>
    <row r="640" spans="29:29">
      <c r="AC640" s="505"/>
    </row>
    <row r="641" spans="29:29">
      <c r="AC641" s="505"/>
    </row>
    <row r="642" spans="29:29">
      <c r="AC642" s="505"/>
    </row>
    <row r="643" spans="29:29">
      <c r="AC643" s="505"/>
    </row>
    <row r="644" spans="29:29">
      <c r="AC644" s="505"/>
    </row>
    <row r="645" spans="29:29">
      <c r="AC645" s="505"/>
    </row>
    <row r="646" spans="29:29">
      <c r="AC646" s="505"/>
    </row>
    <row r="647" spans="29:29">
      <c r="AC647" s="505"/>
    </row>
    <row r="648" spans="29:29">
      <c r="AC648" s="505"/>
    </row>
    <row r="649" spans="29:29">
      <c r="AC649" s="505"/>
    </row>
    <row r="650" spans="29:29">
      <c r="AC650" s="505"/>
    </row>
    <row r="651" spans="29:29">
      <c r="AC651" s="505"/>
    </row>
    <row r="652" spans="29:29">
      <c r="AC652" s="505"/>
    </row>
    <row r="653" spans="29:29">
      <c r="AC653" s="505"/>
    </row>
    <row r="654" spans="29:29">
      <c r="AC654" s="505"/>
    </row>
    <row r="655" spans="29:29">
      <c r="AC655" s="505"/>
    </row>
    <row r="656" spans="29:29">
      <c r="AC656" s="505"/>
    </row>
    <row r="657" spans="29:29">
      <c r="AC657" s="505"/>
    </row>
    <row r="658" spans="29:29">
      <c r="AC658" s="505"/>
    </row>
    <row r="659" spans="29:29">
      <c r="AC659" s="505"/>
    </row>
    <row r="660" spans="29:29">
      <c r="AC660" s="505"/>
    </row>
    <row r="661" spans="29:29">
      <c r="AC661" s="505"/>
    </row>
    <row r="662" spans="29:29">
      <c r="AC662" s="505"/>
    </row>
    <row r="663" spans="29:29">
      <c r="AC663" s="505"/>
    </row>
    <row r="664" spans="29:29">
      <c r="AC664" s="505"/>
    </row>
    <row r="665" spans="29:29">
      <c r="AC665" s="505"/>
    </row>
    <row r="666" spans="29:29">
      <c r="AC666" s="505"/>
    </row>
    <row r="667" spans="29:29">
      <c r="AC667" s="505"/>
    </row>
    <row r="668" spans="29:29">
      <c r="AC668" s="505"/>
    </row>
    <row r="669" spans="29:29">
      <c r="AC669" s="505"/>
    </row>
    <row r="670" spans="29:29">
      <c r="AC670" s="505"/>
    </row>
    <row r="671" spans="29:29">
      <c r="AC671" s="505"/>
    </row>
    <row r="672" spans="29:29">
      <c r="AC672" s="505"/>
    </row>
    <row r="673" spans="29:29">
      <c r="AC673" s="505"/>
    </row>
    <row r="674" spans="29:29">
      <c r="AC674" s="505"/>
    </row>
    <row r="675" spans="29:29">
      <c r="AC675" s="505"/>
    </row>
    <row r="676" spans="29:29">
      <c r="AC676" s="505"/>
    </row>
    <row r="677" spans="29:29">
      <c r="AC677" s="505"/>
    </row>
    <row r="678" spans="29:29">
      <c r="AC678" s="505"/>
    </row>
    <row r="679" spans="29:29">
      <c r="AC679" s="505"/>
    </row>
    <row r="680" spans="29:29">
      <c r="AC680" s="505"/>
    </row>
    <row r="681" spans="29:29">
      <c r="AC681" s="505"/>
    </row>
    <row r="682" spans="29:29">
      <c r="AC682" s="505"/>
    </row>
    <row r="683" spans="29:29">
      <c r="AC683" s="505"/>
    </row>
    <row r="684" spans="29:29">
      <c r="AC684" s="505"/>
    </row>
    <row r="685" spans="29:29">
      <c r="AC685" s="505"/>
    </row>
    <row r="686" spans="29:29">
      <c r="AC686" s="505"/>
    </row>
    <row r="687" spans="29:29">
      <c r="AC687" s="505"/>
    </row>
    <row r="688" spans="29:29">
      <c r="AC688" s="505"/>
    </row>
    <row r="689" spans="29:29">
      <c r="AC689" s="505"/>
    </row>
    <row r="690" spans="29:29">
      <c r="AC690" s="505"/>
    </row>
    <row r="691" spans="29:29">
      <c r="AC691" s="505"/>
    </row>
    <row r="692" spans="29:29">
      <c r="AC692" s="505"/>
    </row>
    <row r="693" spans="29:29">
      <c r="AC693" s="505"/>
    </row>
    <row r="694" spans="29:29">
      <c r="AC694" s="505"/>
    </row>
    <row r="695" spans="29:29">
      <c r="AC695" s="505"/>
    </row>
    <row r="696" spans="29:29">
      <c r="AC696" s="505"/>
    </row>
    <row r="697" spans="29:29">
      <c r="AC697" s="505"/>
    </row>
    <row r="698" spans="29:29">
      <c r="AC698" s="505"/>
    </row>
    <row r="699" spans="29:29">
      <c r="AC699" s="505"/>
    </row>
    <row r="700" spans="29:29">
      <c r="AC700" s="505"/>
    </row>
    <row r="701" spans="29:29">
      <c r="AC701" s="505"/>
    </row>
    <row r="702" spans="29:29">
      <c r="AC702" s="505"/>
    </row>
    <row r="703" spans="29:29">
      <c r="AC703" s="505"/>
    </row>
    <row r="704" spans="29:29">
      <c r="AC704" s="505"/>
    </row>
    <row r="705" spans="29:29">
      <c r="AC705" s="505"/>
    </row>
    <row r="706" spans="29:29">
      <c r="AC706" s="505"/>
    </row>
    <row r="707" spans="29:29">
      <c r="AC707" s="505"/>
    </row>
    <row r="708" spans="29:29">
      <c r="AC708" s="505"/>
    </row>
    <row r="709" spans="29:29">
      <c r="AC709" s="505"/>
    </row>
    <row r="710" spans="29:29">
      <c r="AC710" s="505"/>
    </row>
    <row r="711" spans="29:29">
      <c r="AC711" s="505"/>
    </row>
    <row r="712" spans="29:29">
      <c r="AC712" s="505"/>
    </row>
    <row r="713" spans="29:29">
      <c r="AC713" s="505"/>
    </row>
    <row r="714" spans="29:29">
      <c r="AC714" s="505"/>
    </row>
    <row r="715" spans="29:29">
      <c r="AC715" s="505"/>
    </row>
    <row r="716" spans="29:29">
      <c r="AC716" s="505"/>
    </row>
    <row r="717" spans="29:29">
      <c r="AC717" s="505"/>
    </row>
    <row r="718" spans="29:29">
      <c r="AC718" s="505"/>
    </row>
    <row r="719" spans="29:29">
      <c r="AC719" s="505"/>
    </row>
    <row r="720" spans="29:29">
      <c r="AC720" s="505"/>
    </row>
    <row r="721" spans="29:29">
      <c r="AC721" s="505"/>
    </row>
    <row r="722" spans="29:29">
      <c r="AC722" s="505"/>
    </row>
    <row r="723" spans="29:29">
      <c r="AC723" s="505"/>
    </row>
    <row r="724" spans="29:29">
      <c r="AC724" s="505"/>
    </row>
    <row r="725" spans="29:29">
      <c r="AC725" s="505"/>
    </row>
    <row r="726" spans="29:29">
      <c r="AC726" s="505"/>
    </row>
    <row r="727" spans="29:29">
      <c r="AC727" s="505"/>
    </row>
    <row r="728" spans="29:29">
      <c r="AC728" s="505"/>
    </row>
    <row r="729" spans="29:29">
      <c r="AC729" s="505"/>
    </row>
    <row r="730" spans="29:29">
      <c r="AC730" s="505"/>
    </row>
    <row r="731" spans="29:29">
      <c r="AC731" s="505"/>
    </row>
    <row r="732" spans="29:29">
      <c r="AC732" s="505"/>
    </row>
    <row r="733" spans="29:29">
      <c r="AC733" s="505"/>
    </row>
    <row r="734" spans="29:29">
      <c r="AC734" s="505"/>
    </row>
    <row r="735" spans="29:29">
      <c r="AC735" s="505"/>
    </row>
    <row r="736" spans="29:29">
      <c r="AC736" s="505"/>
    </row>
    <row r="737" spans="29:29">
      <c r="AC737" s="505"/>
    </row>
    <row r="738" spans="29:29">
      <c r="AC738" s="505"/>
    </row>
    <row r="739" spans="29:29">
      <c r="AC739" s="505"/>
    </row>
    <row r="740" spans="29:29">
      <c r="AC740" s="505"/>
    </row>
    <row r="741" spans="29:29">
      <c r="AC741" s="505"/>
    </row>
    <row r="742" spans="29:29">
      <c r="AC742" s="505"/>
    </row>
    <row r="743" spans="29:29">
      <c r="AC743" s="505"/>
    </row>
    <row r="744" spans="29:29">
      <c r="AC744" s="505"/>
    </row>
    <row r="745" spans="29:29">
      <c r="AC745" s="505"/>
    </row>
    <row r="746" spans="29:29">
      <c r="AC746" s="505"/>
    </row>
    <row r="747" spans="29:29">
      <c r="AC747" s="505"/>
    </row>
    <row r="748" spans="29:29">
      <c r="AC748" s="505"/>
    </row>
    <row r="749" spans="29:29">
      <c r="AC749" s="505"/>
    </row>
    <row r="750" spans="29:29">
      <c r="AC750" s="505"/>
    </row>
    <row r="751" spans="29:29">
      <c r="AC751" s="505"/>
    </row>
    <row r="752" spans="29:29">
      <c r="AC752" s="505"/>
    </row>
    <row r="753" spans="29:29">
      <c r="AC753" s="505"/>
    </row>
    <row r="754" spans="29:29">
      <c r="AC754" s="505"/>
    </row>
    <row r="755" spans="29:29">
      <c r="AC755" s="505"/>
    </row>
    <row r="756" spans="29:29">
      <c r="AC756" s="505"/>
    </row>
    <row r="757" spans="29:29">
      <c r="AC757" s="505"/>
    </row>
    <row r="758" spans="29:29">
      <c r="AC758" s="505"/>
    </row>
    <row r="759" spans="29:29">
      <c r="AC759" s="505"/>
    </row>
    <row r="760" spans="29:29">
      <c r="AC760" s="505"/>
    </row>
    <row r="761" spans="29:29">
      <c r="AC761" s="505"/>
    </row>
    <row r="762" spans="29:29">
      <c r="AC762" s="505"/>
    </row>
    <row r="763" spans="29:29">
      <c r="AC763" s="505"/>
    </row>
    <row r="764" spans="29:29">
      <c r="AC764" s="505"/>
    </row>
    <row r="765" spans="29:29">
      <c r="AC765" s="505"/>
    </row>
    <row r="766" spans="29:29">
      <c r="AC766" s="505"/>
    </row>
    <row r="767" spans="29:29">
      <c r="AC767" s="505"/>
    </row>
    <row r="768" spans="29:29">
      <c r="AC768" s="505"/>
    </row>
    <row r="769" spans="29:29">
      <c r="AC769" s="505"/>
    </row>
    <row r="770" spans="29:29">
      <c r="AC770" s="505"/>
    </row>
    <row r="771" spans="29:29">
      <c r="AC771" s="505"/>
    </row>
    <row r="772" spans="29:29">
      <c r="AC772" s="505"/>
    </row>
    <row r="773" spans="29:29">
      <c r="AC773" s="505"/>
    </row>
    <row r="774" spans="29:29">
      <c r="AC774" s="505"/>
    </row>
    <row r="775" spans="29:29">
      <c r="AC775" s="505"/>
    </row>
    <row r="776" spans="29:29">
      <c r="AC776" s="505"/>
    </row>
    <row r="777" spans="29:29">
      <c r="AC777" s="505"/>
    </row>
    <row r="778" spans="29:29">
      <c r="AC778" s="505"/>
    </row>
    <row r="779" spans="29:29">
      <c r="AC779" s="505"/>
    </row>
    <row r="780" spans="29:29">
      <c r="AC780" s="505"/>
    </row>
    <row r="781" spans="29:29">
      <c r="AC781" s="505"/>
    </row>
    <row r="782" spans="29:29">
      <c r="AC782" s="505"/>
    </row>
    <row r="783" spans="29:29">
      <c r="AC783" s="505"/>
    </row>
    <row r="784" spans="29:29">
      <c r="AC784" s="505"/>
    </row>
    <row r="785" spans="29:29">
      <c r="AC785" s="505"/>
    </row>
    <row r="786" spans="29:29">
      <c r="AC786" s="505"/>
    </row>
    <row r="787" spans="29:29">
      <c r="AC787" s="505"/>
    </row>
    <row r="788" spans="29:29">
      <c r="AC788" s="505"/>
    </row>
    <row r="789" spans="29:29">
      <c r="AC789" s="505"/>
    </row>
    <row r="790" spans="29:29">
      <c r="AC790" s="505"/>
    </row>
    <row r="791" spans="29:29">
      <c r="AC791" s="505"/>
    </row>
    <row r="792" spans="29:29">
      <c r="AC792" s="505"/>
    </row>
    <row r="793" spans="29:29">
      <c r="AC793" s="505"/>
    </row>
    <row r="794" spans="29:29">
      <c r="AC794" s="50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54" type="noConversion"/>
  <conditionalFormatting sqref="F48">
    <cfRule type="expression" dxfId="96" priority="4">
      <formula>$D$48="简单平均"</formula>
    </cfRule>
  </conditionalFormatting>
  <conditionalFormatting sqref="H48">
    <cfRule type="expression" dxfId="95" priority="3">
      <formula>$D$48="简单平均"</formula>
    </cfRule>
  </conditionalFormatting>
  <conditionalFormatting sqref="J48">
    <cfRule type="expression" dxfId="94" priority="2">
      <formula>$D$48="简单平均"</formula>
    </cfRule>
  </conditionalFormatting>
  <conditionalFormatting sqref="E52">
    <cfRule type="expression" dxfId="93" priority="16" stopIfTrue="1">
      <formula>$F$52="超过30%"</formula>
    </cfRule>
  </conditionalFormatting>
  <conditionalFormatting sqref="G52">
    <cfRule type="expression" dxfId="92" priority="12" stopIfTrue="1">
      <formula>$H$52="超过30%"</formula>
    </cfRule>
  </conditionalFormatting>
  <conditionalFormatting sqref="I52">
    <cfRule type="expression" dxfId="91" priority="7" stopIfTrue="1">
      <formula>$J$52="超过30%"</formula>
    </cfRule>
  </conditionalFormatting>
  <conditionalFormatting sqref="J52">
    <cfRule type="containsText" dxfId="90" priority="10" stopIfTrue="1" operator="containsText" text="超过">
      <formula>NOT(ISERROR(SEARCH("超过",J52)))</formula>
    </cfRule>
  </conditionalFormatting>
  <conditionalFormatting sqref="E53">
    <cfRule type="expression" dxfId="89" priority="15" stopIfTrue="1">
      <formula>$F$53="超过20%"</formula>
    </cfRule>
  </conditionalFormatting>
  <conditionalFormatting sqref="G53">
    <cfRule type="expression" dxfId="88" priority="11" stopIfTrue="1">
      <formula>$H$53="超过20%"</formula>
    </cfRule>
  </conditionalFormatting>
  <conditionalFormatting sqref="I53">
    <cfRule type="expression" dxfId="87" priority="6" stopIfTrue="1">
      <formula>$J$53="超过20%"</formula>
    </cfRule>
  </conditionalFormatting>
  <conditionalFormatting sqref="J53">
    <cfRule type="containsText" dxfId="86" priority="8" stopIfTrue="1" operator="containsText" text="超过">
      <formula>NOT(ISERROR(SEARCH("超过",J53)))</formula>
    </cfRule>
  </conditionalFormatting>
  <conditionalFormatting sqref="E54">
    <cfRule type="expression" dxfId="85" priority="14" stopIfTrue="1">
      <formula>$F$54="超过30%"</formula>
    </cfRule>
  </conditionalFormatting>
  <conditionalFormatting sqref="F54">
    <cfRule type="containsText" dxfId="84" priority="18" stopIfTrue="1" operator="containsText" text="超过">
      <formula>NOT(ISERROR(SEARCH("超过",F54)))</formula>
    </cfRule>
  </conditionalFormatting>
  <conditionalFormatting sqref="G54">
    <cfRule type="expression" dxfId="83" priority="13" stopIfTrue="1">
      <formula>$H$54="超过30%"</formula>
    </cfRule>
  </conditionalFormatting>
  <conditionalFormatting sqref="H54">
    <cfRule type="containsText" dxfId="82" priority="19" stopIfTrue="1" operator="containsText" text="超过">
      <formula>NOT(ISERROR(SEARCH("超过",H54)))</formula>
    </cfRule>
  </conditionalFormatting>
  <conditionalFormatting sqref="I54">
    <cfRule type="expression" dxfId="81" priority="5" stopIfTrue="1">
      <formula>$J$54="超过30%"</formula>
    </cfRule>
  </conditionalFormatting>
  <conditionalFormatting sqref="J54">
    <cfRule type="containsText" dxfId="80" priority="9" stopIfTrue="1" operator="containsText" text="超过">
      <formula>NOT(ISERROR(SEARCH("超过",J54)))</formula>
    </cfRule>
  </conditionalFormatting>
  <conditionalFormatting sqref="F7:F46 H7:H46 J7:J46">
    <cfRule type="cellIs" dxfId="79" priority="1" operator="notEqual">
      <formula>100</formula>
    </cfRule>
  </conditionalFormatting>
  <conditionalFormatting sqref="F52 H52">
    <cfRule type="containsText" dxfId="78" priority="21" stopIfTrue="1" operator="containsText" text="超过">
      <formula>NOT(ISERROR(SEARCH("超过",F52)))</formula>
    </cfRule>
  </conditionalFormatting>
  <conditionalFormatting sqref="F53 H53">
    <cfRule type="containsText" dxfId="77" priority="17" stopIfTrue="1" operator="containsText" text="超过">
      <formula>NOT(ISERROR(SEARCH("超过",F53)))</formula>
    </cfRule>
  </conditionalFormatting>
  <dataValidations count="23">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43" zoomScale="60" zoomScaleNormal="60" workbookViewId="0">
      <selection activeCell="T45" sqref="T45"/>
    </sheetView>
  </sheetViews>
  <sheetFormatPr defaultColWidth="9" defaultRowHeight="14.25"/>
  <cols>
    <col min="1" max="1" width="10.5" style="215" customWidth="1"/>
    <col min="2" max="2" width="15.75" style="215" customWidth="1"/>
    <col min="3" max="3" width="14.375" style="215" customWidth="1"/>
    <col min="4" max="4" width="12.25" style="215" customWidth="1"/>
    <col min="5" max="5" width="14.375" style="215" customWidth="1"/>
    <col min="6" max="6" width="12.25" style="215" customWidth="1"/>
    <col min="7" max="7" width="14.5" style="215" customWidth="1"/>
    <col min="8" max="8" width="12.25" style="215" customWidth="1"/>
    <col min="9" max="9" width="14.5" style="215" customWidth="1"/>
    <col min="10" max="10" width="12.25" style="215" customWidth="1"/>
    <col min="11" max="11" width="12.25" style="216" customWidth="1"/>
    <col min="12" max="12" width="12.25" style="217" customWidth="1"/>
    <col min="13" max="15" width="12.25" style="215" customWidth="1"/>
    <col min="16" max="16" width="4.75" style="588" customWidth="1"/>
    <col min="17" max="17" width="19.5" style="215" customWidth="1"/>
    <col min="18" max="22" width="6.125" style="215" customWidth="1"/>
    <col min="23" max="23" width="5.75" style="215" customWidth="1"/>
    <col min="24" max="24" width="4.25" style="215" customWidth="1"/>
    <col min="25" max="25" width="3.5" style="215" customWidth="1"/>
    <col min="26" max="26" width="19.75" style="215" customWidth="1"/>
    <col min="27" max="28" width="9.375" style="215" customWidth="1"/>
    <col min="29" max="16384" width="9" style="215"/>
  </cols>
  <sheetData>
    <row r="1" spans="1:29" s="209" customFormat="1" ht="28.5" customHeight="1">
      <c r="A1" s="218" t="s">
        <v>2406</v>
      </c>
      <c r="B1" s="553" t="s">
        <v>2456</v>
      </c>
      <c r="C1" s="220" t="s">
        <v>2408</v>
      </c>
      <c r="D1" s="221"/>
      <c r="E1" s="222"/>
      <c r="F1" s="223"/>
      <c r="G1" s="224" t="s">
        <v>2409</v>
      </c>
      <c r="H1" s="222"/>
      <c r="I1" s="222"/>
      <c r="J1" s="222"/>
      <c r="K1" s="393"/>
      <c r="L1" s="394"/>
      <c r="M1" s="395"/>
      <c r="N1" s="395"/>
      <c r="O1" s="395"/>
      <c r="P1" s="603"/>
      <c r="Q1" s="396"/>
      <c r="R1" s="396"/>
      <c r="S1" s="396"/>
      <c r="T1" s="396"/>
      <c r="U1" s="396"/>
      <c r="V1" s="396"/>
      <c r="W1" s="396"/>
      <c r="X1" s="396"/>
      <c r="Y1" s="396"/>
      <c r="Z1" s="396"/>
      <c r="AA1" s="396"/>
      <c r="AB1" s="396"/>
      <c r="AC1" s="488"/>
    </row>
    <row r="2" spans="1:29" s="209" customFormat="1" ht="28.5" customHeight="1">
      <c r="A2" s="225" t="s">
        <v>945</v>
      </c>
      <c r="B2" s="226" t="e">
        <f>ROUND(B3*D3/10000,0)</f>
        <v>#DIV/0!</v>
      </c>
      <c r="C2" s="227"/>
      <c r="D2" s="227"/>
      <c r="E2" s="490"/>
      <c r="F2" s="229"/>
      <c r="G2" s="228"/>
      <c r="H2" s="228"/>
      <c r="I2" s="228"/>
      <c r="J2" s="228"/>
      <c r="K2" s="228"/>
      <c r="L2" s="398"/>
      <c r="M2" s="396"/>
      <c r="N2" s="396"/>
      <c r="O2" s="396"/>
      <c r="P2" s="603"/>
      <c r="Q2" s="396"/>
      <c r="R2" s="396"/>
      <c r="S2" s="396"/>
      <c r="T2" s="396"/>
      <c r="U2" s="396"/>
      <c r="V2" s="396"/>
      <c r="W2" s="396"/>
      <c r="X2" s="396"/>
      <c r="Y2" s="396"/>
      <c r="Z2" s="396"/>
      <c r="AA2" s="396"/>
      <c r="AB2" s="396"/>
      <c r="AC2" s="488"/>
    </row>
    <row r="3" spans="1:29" s="209" customFormat="1" ht="28.5" customHeight="1">
      <c r="A3" s="230" t="s">
        <v>2219</v>
      </c>
      <c r="B3" s="231" t="e">
        <f>C50</f>
        <v>#DIV/0!</v>
      </c>
      <c r="C3" s="232" t="s">
        <v>2410</v>
      </c>
      <c r="D3" s="233">
        <f>SUMIF('数据-汇总表'!$C19:$C33,D1,'数据-汇总表'!$E19:$E33)</f>
        <v>0</v>
      </c>
      <c r="E3" s="490"/>
      <c r="F3" s="229"/>
      <c r="G3" s="228"/>
      <c r="H3" s="228"/>
      <c r="I3" s="228"/>
      <c r="J3" s="228"/>
      <c r="K3" s="397"/>
      <c r="L3" s="398"/>
      <c r="M3" s="396"/>
      <c r="N3" s="396"/>
      <c r="O3" s="396"/>
      <c r="P3" s="603"/>
      <c r="Q3" s="396"/>
      <c r="R3" s="396"/>
      <c r="S3" s="396"/>
      <c r="T3" s="396"/>
      <c r="U3" s="396"/>
      <c r="V3" s="396"/>
      <c r="W3" s="396"/>
      <c r="X3" s="396"/>
      <c r="Y3" s="396"/>
      <c r="Z3" s="396"/>
      <c r="AA3" s="396"/>
      <c r="AB3" s="396"/>
      <c r="AC3" s="488"/>
    </row>
    <row r="4" spans="1:29" ht="15">
      <c r="A4" s="234" t="s">
        <v>1030</v>
      </c>
      <c r="B4" s="235"/>
      <c r="C4" s="3823" t="s">
        <v>1031</v>
      </c>
      <c r="D4" s="3824"/>
      <c r="E4" s="3863" t="s">
        <v>1032</v>
      </c>
      <c r="F4" s="3864"/>
      <c r="G4" s="3823" t="s">
        <v>1033</v>
      </c>
      <c r="H4" s="3824"/>
      <c r="I4" s="3823" t="s">
        <v>1034</v>
      </c>
      <c r="J4" s="3824"/>
      <c r="K4" s="399" t="s">
        <v>1035</v>
      </c>
      <c r="L4" s="400"/>
      <c r="M4" s="401"/>
      <c r="N4" s="401"/>
      <c r="O4" s="401"/>
      <c r="P4" s="3953" t="s">
        <v>1036</v>
      </c>
      <c r="Q4" s="3848"/>
      <c r="R4" s="3853" t="s">
        <v>1032</v>
      </c>
      <c r="S4" s="3854"/>
      <c r="T4" s="3853" t="s">
        <v>1033</v>
      </c>
      <c r="U4" s="3854"/>
      <c r="V4" s="3835" t="s">
        <v>1034</v>
      </c>
      <c r="W4" s="3835"/>
      <c r="X4" s="471"/>
      <c r="Y4" s="3853" t="s">
        <v>1036</v>
      </c>
      <c r="Z4" s="3854"/>
      <c r="AA4" s="3844" t="s">
        <v>1032</v>
      </c>
      <c r="AB4" s="3844" t="s">
        <v>1033</v>
      </c>
      <c r="AC4" s="3844" t="s">
        <v>1034</v>
      </c>
    </row>
    <row r="5" spans="1:29" ht="15">
      <c r="A5" s="236"/>
      <c r="B5" s="237"/>
      <c r="C5" s="3825" t="s">
        <v>1037</v>
      </c>
      <c r="D5" s="3826"/>
      <c r="E5" s="3865" t="s">
        <v>1038</v>
      </c>
      <c r="F5" s="3866"/>
      <c r="G5" s="3825" t="s">
        <v>1039</v>
      </c>
      <c r="H5" s="3826"/>
      <c r="I5" s="3825" t="s">
        <v>1040</v>
      </c>
      <c r="J5" s="3826"/>
      <c r="K5" s="399"/>
      <c r="L5" s="400"/>
      <c r="M5" s="401"/>
      <c r="N5" s="401"/>
      <c r="O5" s="401"/>
      <c r="P5" s="3954"/>
      <c r="Q5" s="3850"/>
      <c r="R5" s="3855"/>
      <c r="S5" s="3856"/>
      <c r="T5" s="3855"/>
      <c r="U5" s="3856"/>
      <c r="V5" s="3835"/>
      <c r="W5" s="3835"/>
      <c r="X5" s="471"/>
      <c r="Y5" s="3855"/>
      <c r="Z5" s="3856"/>
      <c r="AA5" s="3845"/>
      <c r="AB5" s="3845"/>
      <c r="AC5" s="3845"/>
    </row>
    <row r="6" spans="1:29" ht="15">
      <c r="A6" s="238"/>
      <c r="B6" s="239"/>
      <c r="C6" s="3829" t="s">
        <v>1041</v>
      </c>
      <c r="D6" s="3830"/>
      <c r="E6" s="3867" t="s">
        <v>1041</v>
      </c>
      <c r="F6" s="3868"/>
      <c r="G6" s="3829" t="s">
        <v>1041</v>
      </c>
      <c r="H6" s="3830"/>
      <c r="I6" s="3829" t="s">
        <v>1041</v>
      </c>
      <c r="J6" s="3830"/>
      <c r="K6" s="399" t="s">
        <v>1042</v>
      </c>
      <c r="L6" s="400"/>
      <c r="M6" s="401"/>
      <c r="N6" s="401"/>
      <c r="O6" s="401"/>
      <c r="P6" s="3955"/>
      <c r="Q6" s="3852"/>
      <c r="R6" s="3855"/>
      <c r="S6" s="3856"/>
      <c r="T6" s="3857"/>
      <c r="U6" s="3858"/>
      <c r="V6" s="3835"/>
      <c r="W6" s="3835"/>
      <c r="X6" s="471"/>
      <c r="Y6" s="3857"/>
      <c r="Z6" s="3858"/>
      <c r="AA6" s="3846"/>
      <c r="AB6" s="3846"/>
      <c r="AC6" s="3846"/>
    </row>
    <row r="7" spans="1:29" s="210" customFormat="1" ht="15">
      <c r="A7" s="240"/>
      <c r="B7" s="241" t="s">
        <v>1043</v>
      </c>
      <c r="C7" s="242">
        <f>'数据-取费表'!B2</f>
        <v>45260</v>
      </c>
      <c r="D7" s="243">
        <v>100</v>
      </c>
      <c r="E7" s="244"/>
      <c r="F7" s="245">
        <f>SUMIF(59:59,YEAR(E7)&amp;"-"&amp;MONTH(E7),60:60)</f>
        <v>0</v>
      </c>
      <c r="G7" s="244"/>
      <c r="H7" s="243">
        <f>SUMIF(59:59,YEAR(G7)&amp;"-"&amp;MONTH(G7),60:60)</f>
        <v>0</v>
      </c>
      <c r="I7" s="244"/>
      <c r="J7" s="243">
        <f>SUMIF(59:59,YEAR(I7)&amp;"-"&amp;MONTH(I7),60:60)</f>
        <v>0</v>
      </c>
      <c r="K7" s="402"/>
      <c r="L7" s="403"/>
      <c r="M7" s="404"/>
      <c r="N7" s="404"/>
      <c r="O7" s="404"/>
      <c r="P7" s="3832" t="s">
        <v>1044</v>
      </c>
      <c r="Q7" s="3832"/>
      <c r="R7" s="472" t="s">
        <v>1045</v>
      </c>
      <c r="S7" s="473">
        <f t="shared" ref="S7:S15" si="0">F7</f>
        <v>0</v>
      </c>
      <c r="T7" s="472" t="s">
        <v>1045</v>
      </c>
      <c r="U7" s="473">
        <f t="shared" ref="U7:U15" si="1">H7</f>
        <v>0</v>
      </c>
      <c r="V7" s="472" t="s">
        <v>1045</v>
      </c>
      <c r="W7" s="473">
        <f t="shared" ref="W7:W15" si="2">J7</f>
        <v>0</v>
      </c>
      <c r="X7" s="474"/>
      <c r="Y7" s="3831" t="s">
        <v>1044</v>
      </c>
      <c r="Z7" s="3833"/>
      <c r="AA7" s="491" t="e">
        <f>D7/F7</f>
        <v>#DIV/0!</v>
      </c>
      <c r="AB7" s="491" t="e">
        <f>D7/H7</f>
        <v>#DIV/0!</v>
      </c>
      <c r="AC7" s="491" t="e">
        <f>D7/J7</f>
        <v>#DIV/0!</v>
      </c>
    </row>
    <row r="8" spans="1:29" s="210" customFormat="1" ht="15">
      <c r="A8" s="247"/>
      <c r="B8" s="248" t="s">
        <v>1046</v>
      </c>
      <c r="C8" s="249" t="s">
        <v>1047</v>
      </c>
      <c r="D8" s="243">
        <v>100</v>
      </c>
      <c r="E8" s="249"/>
      <c r="F8" s="245">
        <f>SUMIF(62:62,E8,63:63)-SUMIF(62:62,C8,63:63)+100</f>
        <v>0</v>
      </c>
      <c r="G8" s="249"/>
      <c r="H8" s="243">
        <f>SUMIF(62:62,G8,63:63)-SUMIF(62:62,C8,63:63)+100</f>
        <v>0</v>
      </c>
      <c r="I8" s="249"/>
      <c r="J8" s="243">
        <f>SUMIF(62:62,I8,63:63)-SUMIF(62:62,C8,63:63)+100</f>
        <v>0</v>
      </c>
      <c r="K8" s="402"/>
      <c r="L8" s="403"/>
      <c r="M8" s="404"/>
      <c r="N8" s="404"/>
      <c r="O8" s="404"/>
      <c r="P8" s="3832" t="s">
        <v>1048</v>
      </c>
      <c r="Q8" s="3833"/>
      <c r="R8" s="472" t="s">
        <v>1045</v>
      </c>
      <c r="S8" s="473">
        <f t="shared" si="0"/>
        <v>0</v>
      </c>
      <c r="T8" s="472" t="s">
        <v>1045</v>
      </c>
      <c r="U8" s="473">
        <f t="shared" si="1"/>
        <v>0</v>
      </c>
      <c r="V8" s="472" t="s">
        <v>1045</v>
      </c>
      <c r="W8" s="473">
        <f t="shared" si="2"/>
        <v>0</v>
      </c>
      <c r="X8" s="474"/>
      <c r="Y8" s="3831" t="s">
        <v>1048</v>
      </c>
      <c r="Z8" s="3833"/>
      <c r="AA8" s="491" t="e">
        <f t="shared" ref="AA8:AA47" si="3">D8/F8</f>
        <v>#DIV/0!</v>
      </c>
      <c r="AB8" s="491" t="e">
        <f t="shared" ref="AB8:AB47" si="4">D8/H8</f>
        <v>#DIV/0!</v>
      </c>
      <c r="AC8" s="491" t="e">
        <f t="shared" ref="AC8:AC47" si="5">D8/J8</f>
        <v>#DIV/0!</v>
      </c>
    </row>
    <row r="9" spans="1:29" s="210" customFormat="1" ht="15">
      <c r="A9" s="250"/>
      <c r="B9" s="251" t="s">
        <v>1049</v>
      </c>
      <c r="C9" s="252"/>
      <c r="D9" s="253">
        <v>100</v>
      </c>
      <c r="E9" s="254"/>
      <c r="F9" s="253">
        <f>SUMIF(64:64,E9,65:65)-SUMIF(64:64,C9,65:65)+100</f>
        <v>100</v>
      </c>
      <c r="G9" s="521"/>
      <c r="H9" s="253">
        <f>SUMIF(64:64,G9,65:65)-SUMIF(64:64,C9,65:65)+100</f>
        <v>100</v>
      </c>
      <c r="I9" s="521"/>
      <c r="J9" s="253">
        <f>SUMIF(64:64,I9,65:65)-SUMIF(64:64,C9,65:65)+100</f>
        <v>100</v>
      </c>
      <c r="K9" s="402"/>
      <c r="L9" s="403"/>
      <c r="M9" s="404"/>
      <c r="N9" s="404"/>
      <c r="O9" s="404"/>
      <c r="P9" s="3834" t="s">
        <v>1050</v>
      </c>
      <c r="Q9" s="475" t="str">
        <f t="shared" ref="Q9:Q15" si="6">B9</f>
        <v>用途</v>
      </c>
      <c r="R9" s="472" t="s">
        <v>1045</v>
      </c>
      <c r="S9" s="473">
        <f t="shared" si="0"/>
        <v>100</v>
      </c>
      <c r="T9" s="472" t="s">
        <v>1045</v>
      </c>
      <c r="U9" s="473">
        <f t="shared" si="1"/>
        <v>100</v>
      </c>
      <c r="V9" s="472" t="s">
        <v>1045</v>
      </c>
      <c r="W9" s="473">
        <f t="shared" si="2"/>
        <v>100</v>
      </c>
      <c r="X9" s="474"/>
      <c r="Y9" s="3802" t="s">
        <v>1051</v>
      </c>
      <c r="Z9" s="492" t="str">
        <f t="shared" ref="Z9:Z15" si="7">Q9</f>
        <v>用途</v>
      </c>
      <c r="AA9" s="491">
        <f t="shared" si="3"/>
        <v>1</v>
      </c>
      <c r="AB9" s="491">
        <f t="shared" si="4"/>
        <v>1</v>
      </c>
      <c r="AC9" s="491">
        <f t="shared" si="5"/>
        <v>1</v>
      </c>
    </row>
    <row r="10" spans="1:29" s="211" customFormat="1" ht="27">
      <c r="A10" s="255"/>
      <c r="B10" s="248" t="s">
        <v>1052</v>
      </c>
      <c r="C10" s="256"/>
      <c r="D10" s="257">
        <v>100</v>
      </c>
      <c r="E10" s="256"/>
      <c r="F10" s="257">
        <f>SUMIF(66:66,E10,67:67)-SUMIF(66:66,C10,67:67)+100</f>
        <v>100</v>
      </c>
      <c r="G10" s="258"/>
      <c r="H10" s="257">
        <f>SUMIF(66:66,G10,67:67)-SUMIF(66:66,C10,67:67)+100</f>
        <v>100</v>
      </c>
      <c r="I10" s="256"/>
      <c r="J10" s="257">
        <f>SUMIF(66:66,I10,67:67)-SUMIF(66:66,C10,67:67)+100</f>
        <v>100</v>
      </c>
      <c r="K10" s="402"/>
      <c r="L10" s="407"/>
      <c r="M10" s="408"/>
      <c r="N10" s="408"/>
      <c r="O10" s="408"/>
      <c r="P10" s="3834"/>
      <c r="Q10" s="475" t="str">
        <f t="shared" si="6"/>
        <v>土地使用年限（年）</v>
      </c>
      <c r="R10" s="472" t="s">
        <v>1045</v>
      </c>
      <c r="S10" s="473">
        <f t="shared" si="0"/>
        <v>100</v>
      </c>
      <c r="T10" s="472" t="s">
        <v>1045</v>
      </c>
      <c r="U10" s="473">
        <f t="shared" si="1"/>
        <v>100</v>
      </c>
      <c r="V10" s="472" t="s">
        <v>1045</v>
      </c>
      <c r="W10" s="473">
        <f t="shared" si="2"/>
        <v>100</v>
      </c>
      <c r="X10" s="474"/>
      <c r="Y10" s="3802"/>
      <c r="Z10" s="492" t="str">
        <f t="shared" si="7"/>
        <v>土地使用年限（年）</v>
      </c>
      <c r="AA10" s="491">
        <f t="shared" si="3"/>
        <v>1</v>
      </c>
      <c r="AB10" s="491">
        <f t="shared" si="4"/>
        <v>1</v>
      </c>
      <c r="AC10" s="491">
        <f t="shared" si="5"/>
        <v>1</v>
      </c>
    </row>
    <row r="11" spans="1:29" ht="15">
      <c r="A11" s="554"/>
      <c r="B11" s="248" t="s">
        <v>1053</v>
      </c>
      <c r="C11" s="555"/>
      <c r="D11" s="257">
        <v>100</v>
      </c>
      <c r="E11" s="555"/>
      <c r="F11" s="257" t="e">
        <f>LOOKUP(E11,69:69,70:70)-LOOKUP(C11,69:69,70:70)+100</f>
        <v>#N/A</v>
      </c>
      <c r="G11" s="556"/>
      <c r="H11" s="257" t="e">
        <f>LOOKUP(G11,69:69,70:70)-LOOKUP(C11,69:69,70:70)+100</f>
        <v>#N/A</v>
      </c>
      <c r="I11" s="555"/>
      <c r="J11" s="257" t="e">
        <f>LOOKUP(I11,69:69,70:70)-LOOKUP(C11,69:69,70:70)+100</f>
        <v>#N/A</v>
      </c>
      <c r="K11" s="417"/>
      <c r="L11" s="411"/>
      <c r="M11" s="401"/>
      <c r="N11" s="401"/>
      <c r="O11" s="401"/>
      <c r="P11" s="3834"/>
      <c r="Q11" s="475" t="str">
        <f t="shared" si="6"/>
        <v>容积率</v>
      </c>
      <c r="R11" s="472" t="s">
        <v>1045</v>
      </c>
      <c r="S11" s="473" t="e">
        <f t="shared" si="0"/>
        <v>#N/A</v>
      </c>
      <c r="T11" s="472" t="s">
        <v>1045</v>
      </c>
      <c r="U11" s="473" t="e">
        <f t="shared" si="1"/>
        <v>#N/A</v>
      </c>
      <c r="V11" s="472" t="s">
        <v>1045</v>
      </c>
      <c r="W11" s="473" t="e">
        <f t="shared" si="2"/>
        <v>#N/A</v>
      </c>
      <c r="X11" s="474"/>
      <c r="Y11" s="3802"/>
      <c r="Z11" s="492" t="str">
        <f t="shared" si="7"/>
        <v>容积率</v>
      </c>
      <c r="AA11" s="491" t="e">
        <f t="shared" si="3"/>
        <v>#N/A</v>
      </c>
      <c r="AB11" s="491" t="e">
        <f t="shared" si="4"/>
        <v>#N/A</v>
      </c>
      <c r="AC11" s="491" t="e">
        <f t="shared" si="5"/>
        <v>#N/A</v>
      </c>
    </row>
    <row r="12" spans="1:29" s="210" customFormat="1" ht="15">
      <c r="A12" s="259"/>
      <c r="B12" s="260">
        <v>111</v>
      </c>
      <c r="C12" s="261"/>
      <c r="D12" s="263">
        <v>100</v>
      </c>
      <c r="E12" s="261"/>
      <c r="F12" s="257">
        <f>SUMIF(71:71,E12,72:72)-SUMIF(71:71,C12,72:72)+100</f>
        <v>100</v>
      </c>
      <c r="G12" s="589"/>
      <c r="H12" s="257">
        <f>SUMIF(71:71,G12,72:72)-SUMIF(71:71,C12,72:72)+100</f>
        <v>100</v>
      </c>
      <c r="I12" s="261"/>
      <c r="J12" s="257">
        <f>SUMIF(71:71,I12,72:72)-SUMIF(71:71,C12,72:72)+100</f>
        <v>100</v>
      </c>
      <c r="K12" s="410"/>
      <c r="L12" s="403"/>
      <c r="M12" s="404"/>
      <c r="N12" s="404"/>
      <c r="O12" s="404"/>
      <c r="P12" s="3834"/>
      <c r="Q12" s="475">
        <f t="shared" si="6"/>
        <v>111</v>
      </c>
      <c r="R12" s="472" t="s">
        <v>1045</v>
      </c>
      <c r="S12" s="473">
        <f t="shared" si="0"/>
        <v>100</v>
      </c>
      <c r="T12" s="472" t="s">
        <v>1045</v>
      </c>
      <c r="U12" s="473">
        <f t="shared" si="1"/>
        <v>100</v>
      </c>
      <c r="V12" s="472" t="s">
        <v>1045</v>
      </c>
      <c r="W12" s="473">
        <f t="shared" si="2"/>
        <v>100</v>
      </c>
      <c r="X12" s="474"/>
      <c r="Y12" s="3802"/>
      <c r="Z12" s="492">
        <f t="shared" si="7"/>
        <v>111</v>
      </c>
      <c r="AA12" s="491">
        <f t="shared" si="3"/>
        <v>1</v>
      </c>
      <c r="AB12" s="491">
        <f t="shared" si="4"/>
        <v>1</v>
      </c>
      <c r="AC12" s="491">
        <f t="shared" si="5"/>
        <v>1</v>
      </c>
    </row>
    <row r="13" spans="1:29" ht="15">
      <c r="A13" s="259"/>
      <c r="B13" s="260">
        <v>111</v>
      </c>
      <c r="C13" s="266"/>
      <c r="D13" s="267">
        <v>100</v>
      </c>
      <c r="E13" s="261"/>
      <c r="F13" s="257">
        <f>SUMIF(73:73,E13,74:74)-SUMIF(73:73,C13,74:74)+100</f>
        <v>100</v>
      </c>
      <c r="G13" s="589"/>
      <c r="H13" s="267">
        <f>SUMIF(73:73,G13,74:74)-SUMIF(73:73,C13,74:74)+100</f>
        <v>100</v>
      </c>
      <c r="I13" s="261"/>
      <c r="J13" s="267">
        <f>SUMIF(73:73,I13,74:74)-SUMIF(73:73,C13,74:74)+100</f>
        <v>100</v>
      </c>
      <c r="K13" s="410"/>
      <c r="L13" s="413"/>
      <c r="M13" s="401"/>
      <c r="N13" s="401"/>
      <c r="O13" s="401"/>
      <c r="P13" s="3834"/>
      <c r="Q13" s="475">
        <f t="shared" si="6"/>
        <v>111</v>
      </c>
      <c r="R13" s="472" t="s">
        <v>1045</v>
      </c>
      <c r="S13" s="473">
        <f t="shared" si="0"/>
        <v>100</v>
      </c>
      <c r="T13" s="472" t="s">
        <v>1045</v>
      </c>
      <c r="U13" s="473">
        <f t="shared" si="1"/>
        <v>100</v>
      </c>
      <c r="V13" s="472" t="s">
        <v>1045</v>
      </c>
      <c r="W13" s="473">
        <f t="shared" si="2"/>
        <v>100</v>
      </c>
      <c r="X13" s="474"/>
      <c r="Y13" s="3802"/>
      <c r="Z13" s="492">
        <f t="shared" si="7"/>
        <v>111</v>
      </c>
      <c r="AA13" s="491">
        <f t="shared" si="3"/>
        <v>1</v>
      </c>
      <c r="AB13" s="491">
        <f t="shared" si="4"/>
        <v>1</v>
      </c>
      <c r="AC13" s="491">
        <f t="shared" si="5"/>
        <v>1</v>
      </c>
    </row>
    <row r="14" spans="1:29" ht="15">
      <c r="A14" s="264"/>
      <c r="B14" s="265">
        <v>111</v>
      </c>
      <c r="C14" s="319"/>
      <c r="D14" s="320">
        <v>100</v>
      </c>
      <c r="E14" s="529"/>
      <c r="F14" s="320">
        <f>SUMIF(75:75,E14,76:76)-SUMIF(75:75,C14,76:76)+100</f>
        <v>100</v>
      </c>
      <c r="G14" s="589"/>
      <c r="H14" s="320">
        <f>SUMIF(75:75,G14,76:76)-SUMIF(75:75,C14,76:76)+100</f>
        <v>100</v>
      </c>
      <c r="I14" s="261"/>
      <c r="J14" s="320">
        <f>SUMIF(75:75,I14,76:76)-SUMIF(75:75,C14,76:76)+100</f>
        <v>100</v>
      </c>
      <c r="K14" s="410"/>
      <c r="L14" s="413"/>
      <c r="M14" s="401"/>
      <c r="N14" s="401"/>
      <c r="O14" s="401"/>
      <c r="P14" s="3834"/>
      <c r="Q14" s="475">
        <f t="shared" si="6"/>
        <v>111</v>
      </c>
      <c r="R14" s="472" t="s">
        <v>1045</v>
      </c>
      <c r="S14" s="473">
        <f t="shared" si="0"/>
        <v>100</v>
      </c>
      <c r="T14" s="472" t="s">
        <v>1045</v>
      </c>
      <c r="U14" s="473">
        <f t="shared" si="1"/>
        <v>100</v>
      </c>
      <c r="V14" s="472" t="s">
        <v>1045</v>
      </c>
      <c r="W14" s="473">
        <f t="shared" si="2"/>
        <v>100</v>
      </c>
      <c r="X14" s="474"/>
      <c r="Y14" s="3802"/>
      <c r="Z14" s="492">
        <f t="shared" si="7"/>
        <v>111</v>
      </c>
      <c r="AA14" s="491">
        <f t="shared" si="3"/>
        <v>1</v>
      </c>
      <c r="AB14" s="491">
        <f t="shared" si="4"/>
        <v>1</v>
      </c>
      <c r="AC14" s="491">
        <f t="shared" si="5"/>
        <v>1</v>
      </c>
    </row>
    <row r="15" spans="1:29" ht="71.25">
      <c r="A15" s="268" t="s">
        <v>1055</v>
      </c>
      <c r="B15" s="522" t="s">
        <v>225</v>
      </c>
      <c r="C15" s="590" t="str">
        <f>估价对象房地状况!C5</f>
        <v>估价对象位于XX商圈，周边办公楼项目较多，入驻率高，办公集聚程度较好</v>
      </c>
      <c r="D15" s="271">
        <v>100</v>
      </c>
      <c r="E15" s="274"/>
      <c r="F15" s="271">
        <f>SUMIF(77:77,E16,78:78)-SUMIF(77:77,C16,78:78)+100</f>
        <v>100</v>
      </c>
      <c r="G15" s="272"/>
      <c r="H15" s="271">
        <f>SUMIF(77:77,G16,78:78)-SUMIF(77:77,C16,78:78)+100</f>
        <v>100</v>
      </c>
      <c r="I15" s="272"/>
      <c r="J15" s="271">
        <f>SUMIF(77:77,I16,78:78)-SUMIF(77:77,C16,78:78)+100</f>
        <v>100</v>
      </c>
      <c r="K15" s="414"/>
      <c r="L15" s="413"/>
      <c r="M15" s="401"/>
      <c r="N15" s="401"/>
      <c r="O15" s="401"/>
      <c r="P15" s="3840" t="s">
        <v>1056</v>
      </c>
      <c r="Q15" s="406" t="str">
        <f t="shared" si="6"/>
        <v>办公集聚程度</v>
      </c>
      <c r="R15" s="476" t="s">
        <v>1045</v>
      </c>
      <c r="S15" s="477">
        <f t="shared" si="0"/>
        <v>100</v>
      </c>
      <c r="T15" s="476" t="s">
        <v>1045</v>
      </c>
      <c r="U15" s="477">
        <f t="shared" si="1"/>
        <v>100</v>
      </c>
      <c r="V15" s="476" t="s">
        <v>1045</v>
      </c>
      <c r="W15" s="477">
        <f t="shared" si="2"/>
        <v>100</v>
      </c>
      <c r="X15" s="471"/>
      <c r="Y15" s="3840" t="s">
        <v>1056</v>
      </c>
      <c r="Z15" s="470" t="str">
        <f t="shared" si="7"/>
        <v>办公集聚程度</v>
      </c>
      <c r="AA15" s="482">
        <f t="shared" si="3"/>
        <v>1</v>
      </c>
      <c r="AB15" s="482">
        <f t="shared" si="4"/>
        <v>1</v>
      </c>
      <c r="AC15" s="482">
        <f t="shared" si="5"/>
        <v>1</v>
      </c>
    </row>
    <row r="16" spans="1:29" ht="15">
      <c r="A16" s="275"/>
      <c r="B16" s="591"/>
      <c r="C16" s="592"/>
      <c r="D16" s="278"/>
      <c r="E16" s="277"/>
      <c r="F16" s="278"/>
      <c r="G16" s="592"/>
      <c r="H16" s="280"/>
      <c r="I16" s="277"/>
      <c r="J16" s="278"/>
      <c r="K16" s="415"/>
      <c r="L16" s="413"/>
      <c r="M16" s="401"/>
      <c r="N16" s="401"/>
      <c r="O16" s="401"/>
      <c r="P16" s="3841"/>
      <c r="Q16" s="406"/>
      <c r="R16" s="476"/>
      <c r="S16" s="477"/>
      <c r="T16" s="476"/>
      <c r="U16" s="477"/>
      <c r="V16" s="476"/>
      <c r="W16" s="477"/>
      <c r="X16" s="471"/>
      <c r="Y16" s="3841"/>
      <c r="Z16" s="470"/>
      <c r="AA16" s="482">
        <v>1</v>
      </c>
      <c r="AB16" s="482">
        <v>1</v>
      </c>
      <c r="AC16" s="482">
        <v>1</v>
      </c>
    </row>
    <row r="17" spans="1:29" ht="85.5">
      <c r="A17" s="275"/>
      <c r="B17" s="524" t="s">
        <v>227</v>
      </c>
      <c r="C17" s="593" t="str">
        <f>估价对象房地状况!C6</f>
        <v>估价对象周边道路状况、公共交通通达情况、停车便捷程度，综合评价交通便捷度较好</v>
      </c>
      <c r="D17" s="280">
        <v>100</v>
      </c>
      <c r="E17" s="292"/>
      <c r="F17" s="280">
        <f>SUMIF(79:79,E18,80:80)-SUMIF(79:79,C18,80:80)+100</f>
        <v>100</v>
      </c>
      <c r="G17" s="290"/>
      <c r="H17" s="283">
        <f>SUMIF(79:79,G18,80:80)-SUMIF(79:79,C18,80:80)+100</f>
        <v>100</v>
      </c>
      <c r="I17" s="290"/>
      <c r="J17" s="283">
        <f>SUMIF(79:79,I18,80:80)-SUMIF(79:79,C18,80:80)+100</f>
        <v>100</v>
      </c>
      <c r="K17" s="414"/>
      <c r="L17" s="413"/>
      <c r="M17" s="401"/>
      <c r="N17" s="401"/>
      <c r="O17" s="401"/>
      <c r="P17" s="3841"/>
      <c r="Q17" s="406" t="str">
        <f>B17</f>
        <v>交通便捷度</v>
      </c>
      <c r="R17" s="476" t="s">
        <v>1045</v>
      </c>
      <c r="S17" s="477">
        <f>F17</f>
        <v>100</v>
      </c>
      <c r="T17" s="476" t="s">
        <v>1045</v>
      </c>
      <c r="U17" s="477">
        <f>H17</f>
        <v>100</v>
      </c>
      <c r="V17" s="476" t="s">
        <v>1045</v>
      </c>
      <c r="W17" s="477">
        <f>J17</f>
        <v>100</v>
      </c>
      <c r="X17" s="471"/>
      <c r="Y17" s="3841"/>
      <c r="Z17" s="470" t="str">
        <f>Q17</f>
        <v>交通便捷度</v>
      </c>
      <c r="AA17" s="482">
        <f t="shared" si="3"/>
        <v>1</v>
      </c>
      <c r="AB17" s="482">
        <f t="shared" si="4"/>
        <v>1</v>
      </c>
      <c r="AC17" s="482">
        <f t="shared" si="5"/>
        <v>1</v>
      </c>
    </row>
    <row r="18" spans="1:29" ht="15">
      <c r="A18" s="275"/>
      <c r="B18" s="287"/>
      <c r="C18" s="594"/>
      <c r="D18" s="280"/>
      <c r="E18" s="559"/>
      <c r="F18" s="280"/>
      <c r="G18" s="558"/>
      <c r="H18" s="278"/>
      <c r="I18" s="558"/>
      <c r="J18" s="278"/>
      <c r="K18" s="415"/>
      <c r="L18" s="413"/>
      <c r="M18" s="401"/>
      <c r="N18" s="401"/>
      <c r="O18" s="401"/>
      <c r="P18" s="3841"/>
      <c r="Q18" s="406"/>
      <c r="R18" s="476"/>
      <c r="S18" s="477"/>
      <c r="T18" s="476"/>
      <c r="U18" s="477"/>
      <c r="V18" s="476"/>
      <c r="W18" s="477"/>
      <c r="X18" s="471"/>
      <c r="Y18" s="3841"/>
      <c r="Z18" s="470"/>
      <c r="AA18" s="482">
        <v>1</v>
      </c>
      <c r="AB18" s="482">
        <v>1</v>
      </c>
      <c r="AC18" s="482">
        <v>1</v>
      </c>
    </row>
    <row r="19" spans="1:29" ht="42.75">
      <c r="A19" s="275"/>
      <c r="B19" s="281" t="s">
        <v>229</v>
      </c>
      <c r="C19" s="593" t="str">
        <f>估价对象房地状况!C7</f>
        <v>估价对象所在区域公共配套设施齐备情况</v>
      </c>
      <c r="D19" s="283">
        <v>100</v>
      </c>
      <c r="E19" s="286"/>
      <c r="F19" s="283">
        <f>SUMIF(81:81,E20,82:82)-SUMIF(81:81,C20,82:82)+100</f>
        <v>100</v>
      </c>
      <c r="G19" s="284"/>
      <c r="H19" s="280">
        <f>SUMIF(81:81,G20,82:82)-SUMIF(81:81,C20,82:82)+100</f>
        <v>100</v>
      </c>
      <c r="I19" s="284"/>
      <c r="J19" s="280">
        <f>SUMIF(81:81,I20,82:82)-SUMIF(81:81,C20,82:82)+100</f>
        <v>100</v>
      </c>
      <c r="K19" s="414"/>
      <c r="L19" s="413"/>
      <c r="M19" s="401"/>
      <c r="N19" s="401"/>
      <c r="O19" s="401"/>
      <c r="P19" s="3841"/>
      <c r="Q19" s="406" t="str">
        <f>B19</f>
        <v>公共配套设施</v>
      </c>
      <c r="R19" s="476" t="s">
        <v>1045</v>
      </c>
      <c r="S19" s="477">
        <f>F19</f>
        <v>100</v>
      </c>
      <c r="T19" s="476" t="s">
        <v>1045</v>
      </c>
      <c r="U19" s="477">
        <f>H19</f>
        <v>100</v>
      </c>
      <c r="V19" s="476" t="s">
        <v>1045</v>
      </c>
      <c r="W19" s="477">
        <f>J19</f>
        <v>100</v>
      </c>
      <c r="X19" s="471"/>
      <c r="Y19" s="3841"/>
      <c r="Z19" s="470" t="str">
        <f>Q19</f>
        <v>公共配套设施</v>
      </c>
      <c r="AA19" s="482">
        <f t="shared" si="3"/>
        <v>1</v>
      </c>
      <c r="AB19" s="482">
        <f t="shared" si="4"/>
        <v>1</v>
      </c>
      <c r="AC19" s="482">
        <f t="shared" si="5"/>
        <v>1</v>
      </c>
    </row>
    <row r="20" spans="1:29" ht="15">
      <c r="A20" s="275"/>
      <c r="B20" s="287"/>
      <c r="C20" s="592"/>
      <c r="D20" s="278"/>
      <c r="E20" s="561"/>
      <c r="F20" s="278"/>
      <c r="G20" s="560"/>
      <c r="H20" s="278"/>
      <c r="I20" s="560"/>
      <c r="J20" s="278"/>
      <c r="K20" s="415"/>
      <c r="L20" s="413"/>
      <c r="M20" s="401"/>
      <c r="N20" s="401"/>
      <c r="O20" s="401"/>
      <c r="P20" s="3841"/>
      <c r="Q20" s="406"/>
      <c r="R20" s="476"/>
      <c r="S20" s="477"/>
      <c r="T20" s="476"/>
      <c r="U20" s="477"/>
      <c r="V20" s="476"/>
      <c r="W20" s="477"/>
      <c r="X20" s="471"/>
      <c r="Y20" s="3841"/>
      <c r="Z20" s="470"/>
      <c r="AA20" s="482">
        <v>1</v>
      </c>
      <c r="AB20" s="482">
        <v>1</v>
      </c>
      <c r="AC20" s="482">
        <v>1</v>
      </c>
    </row>
    <row r="21" spans="1:29" ht="28.5">
      <c r="A21" s="275"/>
      <c r="B21" s="289" t="s">
        <v>230</v>
      </c>
      <c r="C21" s="593" t="str">
        <f>估价对象房地状况!C8</f>
        <v>估价对象所在区域基础设施水平</v>
      </c>
      <c r="D21" s="283">
        <v>100</v>
      </c>
      <c r="E21" s="286"/>
      <c r="F21" s="283">
        <f>SUMIF(83:83,E22,84:84)-SUMIF(83:83,C22,84:84)+100</f>
        <v>100</v>
      </c>
      <c r="G21" s="284"/>
      <c r="H21" s="283">
        <f>SUMIF(83:83,G22,84:84)-SUMIF(83:83,C22,84:84)+100</f>
        <v>100</v>
      </c>
      <c r="I21" s="284"/>
      <c r="J21" s="283">
        <f>SUMIF(83:83,I22,84:84)-SUMIF(83:83,C22,84:84)+100</f>
        <v>100</v>
      </c>
      <c r="K21" s="414"/>
      <c r="L21" s="413"/>
      <c r="M21" s="401"/>
      <c r="N21" s="401"/>
      <c r="O21" s="401"/>
      <c r="P21" s="3841"/>
      <c r="Q21" s="406" t="str">
        <f>B21</f>
        <v>基础设施水平</v>
      </c>
      <c r="R21" s="476" t="s">
        <v>1045</v>
      </c>
      <c r="S21" s="477">
        <f>F21</f>
        <v>100</v>
      </c>
      <c r="T21" s="476" t="s">
        <v>1045</v>
      </c>
      <c r="U21" s="477">
        <f>H21</f>
        <v>100</v>
      </c>
      <c r="V21" s="476" t="s">
        <v>1045</v>
      </c>
      <c r="W21" s="477">
        <f>J21</f>
        <v>100</v>
      </c>
      <c r="X21" s="471"/>
      <c r="Y21" s="3841"/>
      <c r="Z21" s="470" t="str">
        <f>Q21</f>
        <v>基础设施水平</v>
      </c>
      <c r="AA21" s="482">
        <f>D21/F21</f>
        <v>1</v>
      </c>
      <c r="AB21" s="482">
        <f>D21/H21</f>
        <v>1</v>
      </c>
      <c r="AC21" s="482">
        <f>D21/J21</f>
        <v>1</v>
      </c>
    </row>
    <row r="22" spans="1:29" ht="15">
      <c r="A22" s="275"/>
      <c r="B22" s="293"/>
      <c r="C22" s="594"/>
      <c r="D22" s="278"/>
      <c r="E22" s="277"/>
      <c r="F22" s="278"/>
      <c r="G22" s="592"/>
      <c r="H22" s="278"/>
      <c r="I22" s="592"/>
      <c r="J22" s="278"/>
      <c r="K22" s="416"/>
      <c r="L22" s="413"/>
      <c r="M22" s="401"/>
      <c r="N22" s="401"/>
      <c r="O22" s="401"/>
      <c r="P22" s="3841"/>
      <c r="Q22" s="406"/>
      <c r="R22" s="476"/>
      <c r="S22" s="477"/>
      <c r="T22" s="476"/>
      <c r="U22" s="477"/>
      <c r="V22" s="476"/>
      <c r="W22" s="477"/>
      <c r="X22" s="471"/>
      <c r="Y22" s="3841"/>
      <c r="Z22" s="470"/>
      <c r="AA22" s="482">
        <v>1</v>
      </c>
      <c r="AB22" s="482">
        <v>1</v>
      </c>
      <c r="AC22" s="482">
        <v>1</v>
      </c>
    </row>
    <row r="23" spans="1:29" ht="57">
      <c r="A23" s="275"/>
      <c r="B23" s="524" t="s">
        <v>231</v>
      </c>
      <c r="C23" s="593" t="str">
        <f>估价对象房地状况!C9</f>
        <v>区域自然环境：；人文环境；综合评价环境状况一般</v>
      </c>
      <c r="D23" s="280">
        <v>100</v>
      </c>
      <c r="E23" s="292"/>
      <c r="F23" s="280">
        <f>SUMIF(85:85,E24,86:86)-SUMIF(85:85,C24,86:86)+100</f>
        <v>100</v>
      </c>
      <c r="G23" s="290"/>
      <c r="H23" s="280">
        <f>SUMIF(85:85,G24,86:86)-SUMIF(85:85,C24,86:86)+100</f>
        <v>100</v>
      </c>
      <c r="I23" s="290"/>
      <c r="J23" s="280">
        <f>SUMIF(85:85,I24,86:86)-SUMIF(85:85,C24,86:86)+100</f>
        <v>100</v>
      </c>
      <c r="K23" s="414"/>
      <c r="L23" s="413"/>
      <c r="M23" s="401"/>
      <c r="N23" s="401"/>
      <c r="O23" s="401"/>
      <c r="P23" s="3841"/>
      <c r="Q23" s="406" t="str">
        <f>B23</f>
        <v>环境质量</v>
      </c>
      <c r="R23" s="476" t="s">
        <v>1045</v>
      </c>
      <c r="S23" s="477">
        <f>F23</f>
        <v>100</v>
      </c>
      <c r="T23" s="476" t="s">
        <v>1045</v>
      </c>
      <c r="U23" s="477">
        <f>H23</f>
        <v>100</v>
      </c>
      <c r="V23" s="476" t="s">
        <v>1045</v>
      </c>
      <c r="W23" s="477">
        <f>J23</f>
        <v>100</v>
      </c>
      <c r="X23" s="471"/>
      <c r="Y23" s="3841"/>
      <c r="Z23" s="470" t="str">
        <f>Q23</f>
        <v>环境质量</v>
      </c>
      <c r="AA23" s="482">
        <f t="shared" si="3"/>
        <v>1</v>
      </c>
      <c r="AB23" s="482">
        <f t="shared" si="4"/>
        <v>1</v>
      </c>
      <c r="AC23" s="482">
        <f t="shared" si="5"/>
        <v>1</v>
      </c>
    </row>
    <row r="24" spans="1:29" ht="15">
      <c r="A24" s="275"/>
      <c r="B24" s="293"/>
      <c r="C24" s="592"/>
      <c r="D24" s="278"/>
      <c r="E24" s="561"/>
      <c r="F24" s="278"/>
      <c r="G24" s="560"/>
      <c r="H24" s="278"/>
      <c r="I24" s="560"/>
      <c r="J24" s="278"/>
      <c r="K24" s="415"/>
      <c r="L24" s="413"/>
      <c r="M24" s="401"/>
      <c r="N24" s="401"/>
      <c r="O24" s="401"/>
      <c r="P24" s="3841"/>
      <c r="Q24" s="406"/>
      <c r="R24" s="476"/>
      <c r="S24" s="477"/>
      <c r="T24" s="476"/>
      <c r="U24" s="477"/>
      <c r="V24" s="476"/>
      <c r="W24" s="477"/>
      <c r="X24" s="471"/>
      <c r="Y24" s="3841"/>
      <c r="Z24" s="470"/>
      <c r="AA24" s="482">
        <v>1</v>
      </c>
      <c r="AB24" s="482">
        <v>1</v>
      </c>
      <c r="AC24" s="482">
        <v>1</v>
      </c>
    </row>
    <row r="25" spans="1:29" ht="27">
      <c r="A25" s="236"/>
      <c r="B25" s="524" t="s">
        <v>1058</v>
      </c>
      <c r="C25" s="595"/>
      <c r="D25" s="267">
        <v>100</v>
      </c>
      <c r="E25" s="266"/>
      <c r="F25" s="267">
        <f>SUMIF(87:87,E26,88:88)-SUMIF(87:87,C26,88:88)+100</f>
        <v>100</v>
      </c>
      <c r="G25" s="595"/>
      <c r="H25" s="267">
        <f>SUMIF(87:87,G26,88:88)-SUMIF(87:87,C26,88:88)+100</f>
        <v>100</v>
      </c>
      <c r="I25" s="266"/>
      <c r="J25" s="267">
        <f>SUMIF(87:87,I26,88:88)-SUMIF(87:87,C26,88:88)+100</f>
        <v>100</v>
      </c>
      <c r="K25" s="414"/>
      <c r="L25" s="413"/>
      <c r="M25" s="401"/>
      <c r="N25" s="401"/>
      <c r="O25" s="401"/>
      <c r="P25" s="3841"/>
      <c r="Q25" s="406" t="str">
        <f>B25</f>
        <v>毗邻道路的类型与等级</v>
      </c>
      <c r="R25" s="476" t="s">
        <v>1045</v>
      </c>
      <c r="S25" s="477">
        <f>F25</f>
        <v>100</v>
      </c>
      <c r="T25" s="476" t="s">
        <v>1045</v>
      </c>
      <c r="U25" s="477">
        <f>H25</f>
        <v>100</v>
      </c>
      <c r="V25" s="476" t="s">
        <v>1045</v>
      </c>
      <c r="W25" s="477">
        <f>J25</f>
        <v>100</v>
      </c>
      <c r="X25" s="471"/>
      <c r="Y25" s="3841"/>
      <c r="Z25" s="470" t="str">
        <f>Q25</f>
        <v>毗邻道路的类型与等级</v>
      </c>
      <c r="AA25" s="482">
        <f t="shared" si="3"/>
        <v>1</v>
      </c>
      <c r="AB25" s="482">
        <f t="shared" si="4"/>
        <v>1</v>
      </c>
      <c r="AC25" s="482">
        <f t="shared" si="5"/>
        <v>1</v>
      </c>
    </row>
    <row r="26" spans="1:29" ht="15">
      <c r="A26" s="236"/>
      <c r="B26" s="287"/>
      <c r="C26" s="596"/>
      <c r="D26" s="267"/>
      <c r="E26" s="296"/>
      <c r="F26" s="267"/>
      <c r="G26" s="596"/>
      <c r="H26" s="267"/>
      <c r="I26" s="296"/>
      <c r="J26" s="267"/>
      <c r="K26" s="415"/>
      <c r="L26" s="413"/>
      <c r="M26" s="401"/>
      <c r="N26" s="401"/>
      <c r="O26" s="401"/>
      <c r="P26" s="3841"/>
      <c r="Q26" s="406"/>
      <c r="R26" s="476"/>
      <c r="S26" s="477"/>
      <c r="T26" s="476"/>
      <c r="U26" s="477"/>
      <c r="V26" s="476"/>
      <c r="W26" s="477"/>
      <c r="X26" s="471"/>
      <c r="Y26" s="3841"/>
      <c r="Z26" s="470"/>
      <c r="AA26" s="482">
        <v>1</v>
      </c>
      <c r="AB26" s="482">
        <v>1</v>
      </c>
      <c r="AC26" s="482">
        <v>1</v>
      </c>
    </row>
    <row r="27" spans="1:29" ht="15">
      <c r="A27" s="275"/>
      <c r="B27" s="287" t="s">
        <v>2449</v>
      </c>
      <c r="C27" s="596"/>
      <c r="D27" s="267">
        <v>100</v>
      </c>
      <c r="E27" s="296"/>
      <c r="F27" s="267">
        <f>SUMIF(89:89,E27,90:90)-SUMIF(89:89,C27,90:90)+100</f>
        <v>100</v>
      </c>
      <c r="G27" s="596"/>
      <c r="H27" s="267">
        <f>SUMIF(89:89,G27,90:90)-SUMIF(89:89,C27,90:90)+100</f>
        <v>100</v>
      </c>
      <c r="I27" s="296"/>
      <c r="J27" s="267">
        <f>SUMIF(89:89,I27,90:90)-SUMIF(89:89,C27,90:90)+100</f>
        <v>100</v>
      </c>
      <c r="K27" s="417"/>
      <c r="L27" s="413"/>
      <c r="M27" s="401"/>
      <c r="N27" s="401"/>
      <c r="O27" s="401"/>
      <c r="P27" s="3841"/>
      <c r="Q27" s="406" t="str">
        <f t="shared" ref="Q27:Q47" si="8">B27</f>
        <v>楼层</v>
      </c>
      <c r="R27" s="476" t="s">
        <v>1045</v>
      </c>
      <c r="S27" s="477">
        <f>F27</f>
        <v>100</v>
      </c>
      <c r="T27" s="476" t="s">
        <v>1045</v>
      </c>
      <c r="U27" s="477">
        <f>H27</f>
        <v>100</v>
      </c>
      <c r="V27" s="476" t="s">
        <v>1045</v>
      </c>
      <c r="W27" s="477">
        <f>J27</f>
        <v>100</v>
      </c>
      <c r="X27" s="471"/>
      <c r="Y27" s="3841"/>
      <c r="Z27" s="470" t="str">
        <f>Q27</f>
        <v>楼层</v>
      </c>
      <c r="AA27" s="482">
        <f t="shared" si="3"/>
        <v>1</v>
      </c>
      <c r="AB27" s="482">
        <f t="shared" si="4"/>
        <v>1</v>
      </c>
      <c r="AC27" s="482">
        <f t="shared" si="5"/>
        <v>1</v>
      </c>
    </row>
    <row r="28" spans="1:29" s="210" customFormat="1" ht="15">
      <c r="A28" s="299"/>
      <c r="B28" s="524" t="s">
        <v>2413</v>
      </c>
      <c r="C28" s="597"/>
      <c r="D28" s="564">
        <v>100</v>
      </c>
      <c r="E28" s="598"/>
      <c r="F28" s="564">
        <f>SUMIF(91:91,E28,92:92)-SUMIF(91:91,C28,92:92)+100</f>
        <v>100</v>
      </c>
      <c r="G28" s="597"/>
      <c r="H28" s="564">
        <f>SUMIF(91:91,G28,92:92)-SUMIF(91:91,C28,92:92)+100</f>
        <v>100</v>
      </c>
      <c r="I28" s="598"/>
      <c r="J28" s="564">
        <f>SUMIF(91:91,I28,92:92)-SUMIF(91:91,C28,92:92)+100</f>
        <v>100</v>
      </c>
      <c r="K28" s="417"/>
      <c r="L28" s="403"/>
      <c r="M28" s="404"/>
      <c r="N28" s="404"/>
      <c r="O28" s="404"/>
      <c r="P28" s="3841"/>
      <c r="Q28" s="475" t="str">
        <f t="shared" si="8"/>
        <v>朝向</v>
      </c>
      <c r="R28" s="472" t="s">
        <v>1045</v>
      </c>
      <c r="S28" s="473">
        <f>F28</f>
        <v>100</v>
      </c>
      <c r="T28" s="472" t="s">
        <v>1045</v>
      </c>
      <c r="U28" s="473">
        <f>H28</f>
        <v>100</v>
      </c>
      <c r="V28" s="472" t="s">
        <v>1045</v>
      </c>
      <c r="W28" s="473">
        <f>J28</f>
        <v>100</v>
      </c>
      <c r="X28" s="474"/>
      <c r="Y28" s="3841"/>
      <c r="Z28" s="492" t="str">
        <f>Q28</f>
        <v>朝向</v>
      </c>
      <c r="AA28" s="482">
        <f t="shared" si="3"/>
        <v>1</v>
      </c>
      <c r="AB28" s="482">
        <f t="shared" si="4"/>
        <v>1</v>
      </c>
      <c r="AC28" s="482">
        <f t="shared" si="5"/>
        <v>1</v>
      </c>
    </row>
    <row r="29" spans="1:29" ht="15">
      <c r="A29" s="275"/>
      <c r="B29" s="599">
        <v>111</v>
      </c>
      <c r="C29" s="595"/>
      <c r="D29" s="267">
        <v>100</v>
      </c>
      <c r="E29" s="261"/>
      <c r="F29" s="267">
        <f>SUMIF(93:93,E29,94:94)-SUMIF(93:93,C29,94:94)+100</f>
        <v>100</v>
      </c>
      <c r="G29" s="589"/>
      <c r="H29" s="267">
        <f>SUMIF(93:93,G29,94:94)-SUMIF(93:93,C29,94:94)+100</f>
        <v>100</v>
      </c>
      <c r="I29" s="261"/>
      <c r="J29" s="267">
        <f>SUMIF(93:93,I29,94:94)-SUMIF(93:93,C29,94:94)+100</f>
        <v>100</v>
      </c>
      <c r="K29" s="410"/>
      <c r="L29" s="413"/>
      <c r="M29" s="401"/>
      <c r="N29" s="401"/>
      <c r="O29" s="401"/>
      <c r="P29" s="3841"/>
      <c r="Q29" s="406">
        <f t="shared" si="8"/>
        <v>111</v>
      </c>
      <c r="R29" s="476" t="s">
        <v>1045</v>
      </c>
      <c r="S29" s="477">
        <f t="shared" ref="S29:S47" si="9">F29</f>
        <v>100</v>
      </c>
      <c r="T29" s="476" t="s">
        <v>1045</v>
      </c>
      <c r="U29" s="477">
        <f t="shared" ref="U29:U47" si="10">H29</f>
        <v>100</v>
      </c>
      <c r="V29" s="476" t="s">
        <v>1045</v>
      </c>
      <c r="W29" s="477">
        <f t="shared" ref="W29:W47" si="11">J29</f>
        <v>100</v>
      </c>
      <c r="X29" s="471"/>
      <c r="Y29" s="3841"/>
      <c r="Z29" s="470">
        <f t="shared" ref="Z29:Z47" si="12">Q29</f>
        <v>111</v>
      </c>
      <c r="AA29" s="482">
        <f t="shared" si="3"/>
        <v>1</v>
      </c>
      <c r="AB29" s="482">
        <f t="shared" si="4"/>
        <v>1</v>
      </c>
      <c r="AC29" s="482">
        <f t="shared" si="5"/>
        <v>1</v>
      </c>
    </row>
    <row r="30" spans="1:29" ht="15">
      <c r="A30" s="275"/>
      <c r="B30" s="599">
        <v>111</v>
      </c>
      <c r="C30" s="595"/>
      <c r="D30" s="267">
        <v>100</v>
      </c>
      <c r="E30" s="261"/>
      <c r="F30" s="267">
        <f>SUMIF(95:95,E30,96:96)-SUMIF(95:95,C30,96:96)+100</f>
        <v>100</v>
      </c>
      <c r="G30" s="589"/>
      <c r="H30" s="267">
        <f>SUMIF(95:95,G30,96:96)-SUMIF(95:95,C30,96:96)+100</f>
        <v>100</v>
      </c>
      <c r="I30" s="261"/>
      <c r="J30" s="267">
        <f>SUMIF(95:95,I30,96:96)-SUMIF(95:95,C30,96:96)+100</f>
        <v>100</v>
      </c>
      <c r="K30" s="410"/>
      <c r="L30" s="413"/>
      <c r="M30" s="401"/>
      <c r="N30" s="401"/>
      <c r="O30" s="401"/>
      <c r="P30" s="3841"/>
      <c r="Q30" s="406">
        <f t="shared" si="8"/>
        <v>111</v>
      </c>
      <c r="R30" s="476" t="s">
        <v>1045</v>
      </c>
      <c r="S30" s="477">
        <f t="shared" si="9"/>
        <v>100</v>
      </c>
      <c r="T30" s="476" t="s">
        <v>1045</v>
      </c>
      <c r="U30" s="477">
        <f t="shared" si="10"/>
        <v>100</v>
      </c>
      <c r="V30" s="476" t="s">
        <v>1045</v>
      </c>
      <c r="W30" s="477">
        <f t="shared" si="11"/>
        <v>100</v>
      </c>
      <c r="X30" s="471"/>
      <c r="Y30" s="3841"/>
      <c r="Z30" s="470">
        <f t="shared" si="12"/>
        <v>111</v>
      </c>
      <c r="AA30" s="482">
        <f t="shared" si="3"/>
        <v>1</v>
      </c>
      <c r="AB30" s="482">
        <f t="shared" si="4"/>
        <v>1</v>
      </c>
      <c r="AC30" s="482">
        <f t="shared" si="5"/>
        <v>1</v>
      </c>
    </row>
    <row r="31" spans="1:29" ht="15">
      <c r="A31" s="275"/>
      <c r="B31" s="599">
        <v>111</v>
      </c>
      <c r="C31" s="595"/>
      <c r="D31" s="267">
        <v>100</v>
      </c>
      <c r="E31" s="261"/>
      <c r="F31" s="267">
        <f>SUMIF(97:97,E31,98:98)-SUMIF(97:97,C31,98:98)+100</f>
        <v>100</v>
      </c>
      <c r="G31" s="589"/>
      <c r="H31" s="267">
        <f>SUMIF(97:97,G31,98:98)-SUMIF(97:97,C31,98:98)+100</f>
        <v>100</v>
      </c>
      <c r="I31" s="261"/>
      <c r="J31" s="267">
        <f>SUMIF(97:97,I31,98:98)-SUMIF(97:97,C31,98:98)+100</f>
        <v>100</v>
      </c>
      <c r="K31" s="410"/>
      <c r="L31" s="413"/>
      <c r="M31" s="401"/>
      <c r="N31" s="401"/>
      <c r="O31" s="401"/>
      <c r="P31" s="3841"/>
      <c r="Q31" s="406">
        <f t="shared" si="8"/>
        <v>111</v>
      </c>
      <c r="R31" s="476" t="s">
        <v>1045</v>
      </c>
      <c r="S31" s="477">
        <f t="shared" si="9"/>
        <v>100</v>
      </c>
      <c r="T31" s="476" t="s">
        <v>1045</v>
      </c>
      <c r="U31" s="477">
        <f t="shared" si="10"/>
        <v>100</v>
      </c>
      <c r="V31" s="476" t="s">
        <v>1045</v>
      </c>
      <c r="W31" s="477">
        <f t="shared" si="11"/>
        <v>100</v>
      </c>
      <c r="X31" s="471"/>
      <c r="Y31" s="3841"/>
      <c r="Z31" s="470">
        <f t="shared" si="12"/>
        <v>111</v>
      </c>
      <c r="AA31" s="482">
        <f t="shared" si="3"/>
        <v>1</v>
      </c>
      <c r="AB31" s="482">
        <f t="shared" si="4"/>
        <v>1</v>
      </c>
      <c r="AC31" s="482">
        <f t="shared" si="5"/>
        <v>1</v>
      </c>
    </row>
    <row r="32" spans="1:29" ht="15">
      <c r="A32" s="566"/>
      <c r="B32" s="527">
        <v>111</v>
      </c>
      <c r="C32" s="600"/>
      <c r="D32" s="320">
        <v>100</v>
      </c>
      <c r="E32" s="529"/>
      <c r="F32" s="320">
        <f>SUMIF(99:99,E32,100:100)-SUMIF(99:99,C32,100:100)+100</f>
        <v>100</v>
      </c>
      <c r="G32" s="589"/>
      <c r="H32" s="320">
        <f>SUMIF(99:99,G32,100:100)-SUMIF(99:99,C32,100:100)+100</f>
        <v>100</v>
      </c>
      <c r="I32" s="261"/>
      <c r="J32" s="320">
        <f>SUMIF(99:99,I32,100:100)-SUMIF(99:99,C32,100:100)+100</f>
        <v>100</v>
      </c>
      <c r="K32" s="410"/>
      <c r="L32" s="413"/>
      <c r="M32" s="401"/>
      <c r="N32" s="401"/>
      <c r="O32" s="401"/>
      <c r="P32" s="3841"/>
      <c r="Q32" s="406">
        <f t="shared" si="8"/>
        <v>111</v>
      </c>
      <c r="R32" s="476" t="s">
        <v>1045</v>
      </c>
      <c r="S32" s="477">
        <f t="shared" si="9"/>
        <v>100</v>
      </c>
      <c r="T32" s="476" t="s">
        <v>1045</v>
      </c>
      <c r="U32" s="477">
        <f t="shared" si="10"/>
        <v>100</v>
      </c>
      <c r="V32" s="476" t="s">
        <v>1045</v>
      </c>
      <c r="W32" s="477">
        <f t="shared" si="11"/>
        <v>100</v>
      </c>
      <c r="X32" s="471"/>
      <c r="Y32" s="3841"/>
      <c r="Z32" s="470">
        <f t="shared" si="12"/>
        <v>111</v>
      </c>
      <c r="AA32" s="482">
        <f t="shared" si="3"/>
        <v>1</v>
      </c>
      <c r="AB32" s="482">
        <f t="shared" si="4"/>
        <v>1</v>
      </c>
      <c r="AC32" s="482">
        <f t="shared" si="5"/>
        <v>1</v>
      </c>
    </row>
    <row r="33" spans="1:29" ht="15">
      <c r="A33" s="303" t="s">
        <v>1061</v>
      </c>
      <c r="B33" s="304" t="s">
        <v>2415</v>
      </c>
      <c r="C33" s="305"/>
      <c r="D33" s="306">
        <v>100</v>
      </c>
      <c r="E33" s="305"/>
      <c r="F33" s="297">
        <f>SUMIF(101:101,E33,102:102)-SUMIF(101:101,C33,102:102)+100</f>
        <v>100</v>
      </c>
      <c r="G33" s="305"/>
      <c r="H33" s="267">
        <f>SUMIF(101:101,G33,102:102)-SUMIF(101:101,C33,102:102)+100</f>
        <v>100</v>
      </c>
      <c r="I33" s="305"/>
      <c r="J33" s="306">
        <f>SUMIF(101:101,I33,102:102)-SUMIF(101:101,C33,102:102)+100</f>
        <v>100</v>
      </c>
      <c r="K33" s="417"/>
      <c r="L33" s="413"/>
      <c r="M33" s="401"/>
      <c r="N33" s="401"/>
      <c r="O33" s="401"/>
      <c r="P33" s="3842" t="s">
        <v>1060</v>
      </c>
      <c r="Q33" s="406" t="str">
        <f t="shared" si="8"/>
        <v>建筑类型</v>
      </c>
      <c r="R33" s="476" t="s">
        <v>1045</v>
      </c>
      <c r="S33" s="477">
        <f t="shared" si="9"/>
        <v>100</v>
      </c>
      <c r="T33" s="476" t="s">
        <v>1045</v>
      </c>
      <c r="U33" s="477">
        <f t="shared" si="10"/>
        <v>100</v>
      </c>
      <c r="V33" s="476" t="s">
        <v>1045</v>
      </c>
      <c r="W33" s="477">
        <f t="shared" si="11"/>
        <v>100</v>
      </c>
      <c r="X33" s="471"/>
      <c r="Y33" s="3843" t="s">
        <v>1060</v>
      </c>
      <c r="Z33" s="470" t="str">
        <f t="shared" si="12"/>
        <v>建筑类型</v>
      </c>
      <c r="AA33" s="482">
        <f t="shared" si="3"/>
        <v>1</v>
      </c>
      <c r="AB33" s="482">
        <f t="shared" si="4"/>
        <v>1</v>
      </c>
      <c r="AC33" s="482">
        <f t="shared" si="5"/>
        <v>1</v>
      </c>
    </row>
    <row r="34" spans="1:29" s="212" customFormat="1" ht="15">
      <c r="A34" s="308"/>
      <c r="B34" s="309" t="s">
        <v>2416</v>
      </c>
      <c r="C34" s="262"/>
      <c r="D34" s="257">
        <v>100</v>
      </c>
      <c r="E34" s="556"/>
      <c r="F34" s="567" t="e">
        <f>LOOKUP(E34,104:104,105:105)-LOOKUP(C34,104:104,105:105)+100</f>
        <v>#N/A</v>
      </c>
      <c r="G34" s="555"/>
      <c r="H34" s="257" t="e">
        <f>LOOKUP(G34,104:104,105:105)-LOOKUP(C34,104:104,105:105)+100</f>
        <v>#N/A</v>
      </c>
      <c r="I34" s="555"/>
      <c r="J34" s="257" t="e">
        <f>LOOKUP(I34,104:104,105:105)-LOOKUP(C34,104:104,105:105)+100</f>
        <v>#N/A</v>
      </c>
      <c r="K34" s="410"/>
      <c r="L34" s="411"/>
      <c r="M34" s="418"/>
      <c r="N34" s="418"/>
      <c r="O34" s="418"/>
      <c r="P34" s="3843"/>
      <c r="Q34" s="478" t="str">
        <f t="shared" si="8"/>
        <v>项目建筑规模</v>
      </c>
      <c r="R34" s="479" t="s">
        <v>1045</v>
      </c>
      <c r="S34" s="480" t="e">
        <f t="shared" si="9"/>
        <v>#N/A</v>
      </c>
      <c r="T34" s="479" t="s">
        <v>1045</v>
      </c>
      <c r="U34" s="480" t="e">
        <f t="shared" si="10"/>
        <v>#N/A</v>
      </c>
      <c r="V34" s="479" t="s">
        <v>1045</v>
      </c>
      <c r="W34" s="480" t="e">
        <f t="shared" si="11"/>
        <v>#N/A</v>
      </c>
      <c r="X34" s="481"/>
      <c r="Y34" s="3843"/>
      <c r="Z34" s="493" t="str">
        <f t="shared" si="12"/>
        <v>项目建筑规模</v>
      </c>
      <c r="AA34" s="482" t="e">
        <f t="shared" si="3"/>
        <v>#N/A</v>
      </c>
      <c r="AB34" s="482" t="e">
        <f t="shared" si="4"/>
        <v>#N/A</v>
      </c>
      <c r="AC34" s="482" t="e">
        <f t="shared" si="5"/>
        <v>#N/A</v>
      </c>
    </row>
    <row r="35" spans="1:29" ht="15">
      <c r="A35" s="313"/>
      <c r="B35" s="309" t="s">
        <v>2417</v>
      </c>
      <c r="C35" s="314"/>
      <c r="D35" s="267">
        <v>100</v>
      </c>
      <c r="E35" s="314"/>
      <c r="F35" s="297">
        <f>SUMIF(106:106,E35,107:107)-SUMIF(106:106,C35,107:107)+100</f>
        <v>100</v>
      </c>
      <c r="G35" s="314"/>
      <c r="H35" s="267">
        <f>SUMIF(106:106,G35,107:107)-SUMIF(106:106,C35,107:107)+100</f>
        <v>100</v>
      </c>
      <c r="I35" s="314"/>
      <c r="J35" s="267">
        <f>SUMIF(106:106,I35,107:107)-SUMIF(106:106,C35,107:107)+100</f>
        <v>100</v>
      </c>
      <c r="K35" s="417"/>
      <c r="L35" s="413"/>
      <c r="M35" s="401"/>
      <c r="N35" s="401"/>
      <c r="O35" s="401"/>
      <c r="P35" s="3843"/>
      <c r="Q35" s="406" t="str">
        <f t="shared" si="8"/>
        <v>建筑结构</v>
      </c>
      <c r="R35" s="476" t="s">
        <v>1045</v>
      </c>
      <c r="S35" s="477">
        <f t="shared" si="9"/>
        <v>100</v>
      </c>
      <c r="T35" s="476" t="s">
        <v>1045</v>
      </c>
      <c r="U35" s="477">
        <f t="shared" si="10"/>
        <v>100</v>
      </c>
      <c r="V35" s="476" t="s">
        <v>1045</v>
      </c>
      <c r="W35" s="477">
        <f t="shared" si="11"/>
        <v>100</v>
      </c>
      <c r="X35" s="471"/>
      <c r="Y35" s="3843"/>
      <c r="Z35" s="470" t="str">
        <f t="shared" si="12"/>
        <v>建筑结构</v>
      </c>
      <c r="AA35" s="482">
        <f t="shared" si="3"/>
        <v>1</v>
      </c>
      <c r="AB35" s="482">
        <f t="shared" si="4"/>
        <v>1</v>
      </c>
      <c r="AC35" s="482">
        <f t="shared" si="5"/>
        <v>1</v>
      </c>
    </row>
    <row r="36" spans="1:29" ht="15">
      <c r="A36" s="313"/>
      <c r="B36" s="309" t="s">
        <v>2419</v>
      </c>
      <c r="C36" s="314"/>
      <c r="D36" s="267">
        <v>100</v>
      </c>
      <c r="E36" s="314"/>
      <c r="F36" s="297">
        <f>SUMIF(108:108,E36,109:109)-SUMIF(108:108,C36,109:109)+100</f>
        <v>100</v>
      </c>
      <c r="G36" s="314"/>
      <c r="H36" s="267">
        <f>SUMIF(108:108,G36,109:109)-SUMIF(108:108,C36,109:109)+100</f>
        <v>100</v>
      </c>
      <c r="I36" s="314"/>
      <c r="J36" s="267">
        <f>SUMIF(108:108,I36,109:109)-SUMIF(108:108,C36,109:109)+100</f>
        <v>100</v>
      </c>
      <c r="K36" s="417"/>
      <c r="L36" s="413"/>
      <c r="M36" s="401"/>
      <c r="N36" s="401"/>
      <c r="O36" s="401"/>
      <c r="P36" s="3843"/>
      <c r="Q36" s="406" t="str">
        <f t="shared" si="8"/>
        <v>公共部分装修</v>
      </c>
      <c r="R36" s="476" t="s">
        <v>1045</v>
      </c>
      <c r="S36" s="477">
        <f t="shared" si="9"/>
        <v>100</v>
      </c>
      <c r="T36" s="476" t="s">
        <v>1045</v>
      </c>
      <c r="U36" s="477">
        <f t="shared" si="10"/>
        <v>100</v>
      </c>
      <c r="V36" s="476" t="s">
        <v>1045</v>
      </c>
      <c r="W36" s="477">
        <f t="shared" si="11"/>
        <v>100</v>
      </c>
      <c r="X36" s="471"/>
      <c r="Y36" s="3843"/>
      <c r="Z36" s="470" t="str">
        <f t="shared" si="12"/>
        <v>公共部分装修</v>
      </c>
      <c r="AA36" s="482">
        <f t="shared" si="3"/>
        <v>1</v>
      </c>
      <c r="AB36" s="482">
        <f t="shared" si="4"/>
        <v>1</v>
      </c>
      <c r="AC36" s="482">
        <f t="shared" si="5"/>
        <v>1</v>
      </c>
    </row>
    <row r="37" spans="1:29" ht="15">
      <c r="A37" s="313"/>
      <c r="B37" s="309" t="s">
        <v>2420</v>
      </c>
      <c r="C37" s="310"/>
      <c r="D37" s="267">
        <v>100</v>
      </c>
      <c r="E37" s="310"/>
      <c r="F37" s="297" t="e">
        <f>LOOKUP(E37,111:111,112:112)-LOOKUP(C37,111:111,112:112)+100</f>
        <v>#N/A</v>
      </c>
      <c r="G37" s="310"/>
      <c r="H37" s="297" t="e">
        <f>LOOKUP(G37,111:111,112:112)-LOOKUP(C37,111:111,112:112)+100</f>
        <v>#N/A</v>
      </c>
      <c r="I37" s="310"/>
      <c r="J37" s="267" t="e">
        <f>LOOKUP(I37,111:111,112:112)-LOOKUP(C37,111:111,112:112)+100</f>
        <v>#N/A</v>
      </c>
      <c r="K37" s="417"/>
      <c r="L37" s="413"/>
      <c r="M37" s="401"/>
      <c r="N37" s="401"/>
      <c r="O37" s="401"/>
      <c r="P37" s="3843"/>
      <c r="Q37" s="406" t="str">
        <f t="shared" si="8"/>
        <v>成新度</v>
      </c>
      <c r="R37" s="476" t="s">
        <v>1045</v>
      </c>
      <c r="S37" s="477" t="e">
        <f t="shared" si="9"/>
        <v>#N/A</v>
      </c>
      <c r="T37" s="476" t="s">
        <v>1045</v>
      </c>
      <c r="U37" s="477" t="e">
        <f t="shared" si="10"/>
        <v>#N/A</v>
      </c>
      <c r="V37" s="476" t="s">
        <v>1045</v>
      </c>
      <c r="W37" s="477" t="e">
        <f t="shared" si="11"/>
        <v>#N/A</v>
      </c>
      <c r="X37" s="471"/>
      <c r="Y37" s="3843"/>
      <c r="Z37" s="470" t="str">
        <f t="shared" si="12"/>
        <v>成新度</v>
      </c>
      <c r="AA37" s="482" t="e">
        <f t="shared" si="3"/>
        <v>#N/A</v>
      </c>
      <c r="AB37" s="482" t="e">
        <f t="shared" si="4"/>
        <v>#N/A</v>
      </c>
      <c r="AC37" s="482" t="e">
        <f t="shared" si="5"/>
        <v>#N/A</v>
      </c>
    </row>
    <row r="38" spans="1:29" s="210" customFormat="1" ht="15">
      <c r="A38" s="316"/>
      <c r="B38" s="309" t="s">
        <v>2457</v>
      </c>
      <c r="C38" s="314"/>
      <c r="D38" s="257">
        <v>100</v>
      </c>
      <c r="E38" s="314"/>
      <c r="F38" s="297">
        <f>SUMIF(113:113,E38,114:114)-SUMIF(113:113,C38,114:114)+100</f>
        <v>100</v>
      </c>
      <c r="G38" s="314"/>
      <c r="H38" s="267">
        <f>SUMIF(113:113,G38,114:114)-SUMIF(113:113,C38,114:114)+100</f>
        <v>100</v>
      </c>
      <c r="I38" s="314"/>
      <c r="J38" s="267">
        <f>SUMIF(113:113,I38,114:114)-SUMIF(113:113,C38,114:114)+100</f>
        <v>100</v>
      </c>
      <c r="K38" s="417"/>
      <c r="L38" s="403"/>
      <c r="M38" s="404"/>
      <c r="N38" s="404"/>
      <c r="O38" s="404"/>
      <c r="P38" s="3843"/>
      <c r="Q38" s="475" t="str">
        <f t="shared" si="8"/>
        <v>写字楼等级</v>
      </c>
      <c r="R38" s="472" t="s">
        <v>1045</v>
      </c>
      <c r="S38" s="473">
        <f t="shared" si="9"/>
        <v>100</v>
      </c>
      <c r="T38" s="472" t="s">
        <v>1045</v>
      </c>
      <c r="U38" s="473">
        <f t="shared" si="10"/>
        <v>100</v>
      </c>
      <c r="V38" s="472" t="s">
        <v>1045</v>
      </c>
      <c r="W38" s="473">
        <f t="shared" si="11"/>
        <v>100</v>
      </c>
      <c r="X38" s="474"/>
      <c r="Y38" s="3843"/>
      <c r="Z38" s="492" t="str">
        <f t="shared" si="12"/>
        <v>写字楼等级</v>
      </c>
      <c r="AA38" s="491">
        <f t="shared" si="3"/>
        <v>1</v>
      </c>
      <c r="AB38" s="491">
        <f t="shared" si="4"/>
        <v>1</v>
      </c>
      <c r="AC38" s="491">
        <f t="shared" si="5"/>
        <v>1</v>
      </c>
    </row>
    <row r="39" spans="1:29" ht="15">
      <c r="A39" s="313"/>
      <c r="B39" s="309" t="s">
        <v>2421</v>
      </c>
      <c r="C39" s="314"/>
      <c r="D39" s="267">
        <v>100</v>
      </c>
      <c r="E39" s="314"/>
      <c r="F39" s="297">
        <f>SUMIF(115:115,E39,116:116)-SUMIF(115:115,C39,116:116)+100</f>
        <v>100</v>
      </c>
      <c r="G39" s="314"/>
      <c r="H39" s="267">
        <f>SUMIF(115:115,G39,116:116)-SUMIF(115:115,C39,116:116)+100</f>
        <v>100</v>
      </c>
      <c r="I39" s="314"/>
      <c r="J39" s="267">
        <f>SUMIF(115:115,I39,116:116)-SUMIF(115:115,C39,116:116)+100</f>
        <v>100</v>
      </c>
      <c r="K39" s="417"/>
      <c r="L39" s="413"/>
      <c r="M39" s="401"/>
      <c r="N39" s="401"/>
      <c r="O39" s="401"/>
      <c r="P39" s="3843" t="s">
        <v>1060</v>
      </c>
      <c r="Q39" s="406" t="str">
        <f t="shared" si="8"/>
        <v>物业管理</v>
      </c>
      <c r="R39" s="476" t="s">
        <v>1045</v>
      </c>
      <c r="S39" s="477">
        <f t="shared" si="9"/>
        <v>100</v>
      </c>
      <c r="T39" s="476" t="s">
        <v>1045</v>
      </c>
      <c r="U39" s="477">
        <f t="shared" si="10"/>
        <v>100</v>
      </c>
      <c r="V39" s="476" t="s">
        <v>1045</v>
      </c>
      <c r="W39" s="477">
        <f t="shared" si="11"/>
        <v>100</v>
      </c>
      <c r="X39" s="471"/>
      <c r="Y39" s="3843" t="s">
        <v>1060</v>
      </c>
      <c r="Z39" s="470" t="str">
        <f t="shared" si="12"/>
        <v>物业管理</v>
      </c>
      <c r="AA39" s="482">
        <f t="shared" si="3"/>
        <v>1</v>
      </c>
      <c r="AB39" s="482">
        <f t="shared" si="4"/>
        <v>1</v>
      </c>
      <c r="AC39" s="482">
        <f t="shared" si="5"/>
        <v>1</v>
      </c>
    </row>
    <row r="40" spans="1:29" ht="15">
      <c r="A40" s="313"/>
      <c r="B40" s="568" t="s">
        <v>2422</v>
      </c>
      <c r="C40" s="314"/>
      <c r="D40" s="267">
        <v>100</v>
      </c>
      <c r="E40" s="314"/>
      <c r="F40" s="297">
        <f>SUMIF(117:117,E40,118:118)-SUMIF(117:117,C40,118:118)+100</f>
        <v>100</v>
      </c>
      <c r="G40" s="314"/>
      <c r="H40" s="267">
        <f>SUMIF(117:117,G40,118:118)-SUMIF(117:117,C40,118:118)+100</f>
        <v>100</v>
      </c>
      <c r="I40" s="314"/>
      <c r="J40" s="267">
        <f>SUMIF(117:117,I40,118:118)-SUMIF(117:117,C40,118:118)+100</f>
        <v>100</v>
      </c>
      <c r="K40" s="417"/>
      <c r="L40" s="413"/>
      <c r="M40" s="401"/>
      <c r="N40" s="401"/>
      <c r="O40" s="401"/>
      <c r="P40" s="3843"/>
      <c r="Q40" s="406" t="str">
        <f t="shared" si="8"/>
        <v>市政基础设施</v>
      </c>
      <c r="R40" s="476" t="s">
        <v>1045</v>
      </c>
      <c r="S40" s="477">
        <f t="shared" si="9"/>
        <v>100</v>
      </c>
      <c r="T40" s="476" t="s">
        <v>1045</v>
      </c>
      <c r="U40" s="477">
        <f t="shared" si="10"/>
        <v>100</v>
      </c>
      <c r="V40" s="476" t="s">
        <v>1045</v>
      </c>
      <c r="W40" s="477">
        <f t="shared" si="11"/>
        <v>100</v>
      </c>
      <c r="X40" s="471"/>
      <c r="Y40" s="3843"/>
      <c r="Z40" s="470" t="str">
        <f t="shared" si="12"/>
        <v>市政基础设施</v>
      </c>
      <c r="AA40" s="482">
        <f t="shared" si="3"/>
        <v>1</v>
      </c>
      <c r="AB40" s="482">
        <f t="shared" si="4"/>
        <v>1</v>
      </c>
      <c r="AC40" s="482">
        <f t="shared" si="5"/>
        <v>1</v>
      </c>
    </row>
    <row r="41" spans="1:29" ht="15">
      <c r="A41" s="313"/>
      <c r="B41" s="309" t="s">
        <v>2452</v>
      </c>
      <c r="C41" s="296"/>
      <c r="D41" s="267">
        <v>100</v>
      </c>
      <c r="E41" s="296"/>
      <c r="F41" s="297">
        <f>SUMIF(119:119,E41,120:120)-SUMIF(119:119,C41,120:120)+100</f>
        <v>100</v>
      </c>
      <c r="G41" s="296"/>
      <c r="H41" s="267">
        <f>SUMIF(119:119,G41,120:120)-SUMIF(119:119,C41,120:120)+100</f>
        <v>100</v>
      </c>
      <c r="I41" s="296"/>
      <c r="J41" s="267">
        <f>SUMIF(119:119,I41,120:120)-SUMIF(119:119,C41,120:120)+100</f>
        <v>100</v>
      </c>
      <c r="K41" s="417"/>
      <c r="L41" s="413"/>
      <c r="M41" s="401"/>
      <c r="N41" s="401"/>
      <c r="O41" s="401"/>
      <c r="P41" s="3843"/>
      <c r="Q41" s="406" t="str">
        <f t="shared" si="8"/>
        <v>层高</v>
      </c>
      <c r="R41" s="476" t="s">
        <v>1045</v>
      </c>
      <c r="S41" s="477">
        <f t="shared" si="9"/>
        <v>100</v>
      </c>
      <c r="T41" s="476" t="s">
        <v>1045</v>
      </c>
      <c r="U41" s="477">
        <f t="shared" si="10"/>
        <v>100</v>
      </c>
      <c r="V41" s="476" t="s">
        <v>1045</v>
      </c>
      <c r="W41" s="477">
        <f t="shared" si="11"/>
        <v>100</v>
      </c>
      <c r="X41" s="471"/>
      <c r="Y41" s="3843"/>
      <c r="Z41" s="470" t="str">
        <f t="shared" si="12"/>
        <v>层高</v>
      </c>
      <c r="AA41" s="482">
        <f t="shared" si="3"/>
        <v>1</v>
      </c>
      <c r="AB41" s="482">
        <f t="shared" si="4"/>
        <v>1</v>
      </c>
      <c r="AC41" s="482">
        <f t="shared" si="5"/>
        <v>1</v>
      </c>
    </row>
    <row r="42" spans="1:29" s="212" customFormat="1" ht="15">
      <c r="A42" s="308"/>
      <c r="B42" s="424" t="s">
        <v>2458</v>
      </c>
      <c r="C42" s="266"/>
      <c r="D42" s="267">
        <v>100</v>
      </c>
      <c r="E42" s="266"/>
      <c r="F42" s="297">
        <f>SUMIF(121:121,E42,122:122)-SUMIF(121:121,C42,122:122)+100</f>
        <v>100</v>
      </c>
      <c r="G42" s="266"/>
      <c r="H42" s="267">
        <f>SUMIF(121:121,G42,122:122)-SUMIF(121:121,C42,122:122)+100</f>
        <v>100</v>
      </c>
      <c r="I42" s="266"/>
      <c r="J42" s="267">
        <f>SUMIF(121:121,I42,122:122)-SUMIF(121:121,C42,122:122)+100</f>
        <v>100</v>
      </c>
      <c r="K42" s="410"/>
      <c r="L42" s="411"/>
      <c r="M42" s="418"/>
      <c r="N42" s="418"/>
      <c r="O42" s="418"/>
      <c r="P42" s="3843"/>
      <c r="Q42" s="478" t="str">
        <f t="shared" si="8"/>
        <v>单套建筑面积</v>
      </c>
      <c r="R42" s="479" t="s">
        <v>1045</v>
      </c>
      <c r="S42" s="480">
        <f t="shared" si="9"/>
        <v>100</v>
      </c>
      <c r="T42" s="479" t="s">
        <v>1045</v>
      </c>
      <c r="U42" s="480">
        <f t="shared" si="10"/>
        <v>100</v>
      </c>
      <c r="V42" s="479" t="s">
        <v>1045</v>
      </c>
      <c r="W42" s="480">
        <f t="shared" si="11"/>
        <v>100</v>
      </c>
      <c r="X42" s="481"/>
      <c r="Y42" s="3843"/>
      <c r="Z42" s="493" t="str">
        <f t="shared" si="12"/>
        <v>单套建筑面积</v>
      </c>
      <c r="AA42" s="482">
        <f t="shared" si="3"/>
        <v>1</v>
      </c>
      <c r="AB42" s="482">
        <f t="shared" si="4"/>
        <v>1</v>
      </c>
      <c r="AC42" s="482">
        <f t="shared" si="5"/>
        <v>1</v>
      </c>
    </row>
    <row r="43" spans="1:29" ht="15">
      <c r="A43" s="313"/>
      <c r="B43" s="309" t="s">
        <v>2425</v>
      </c>
      <c r="C43" s="314"/>
      <c r="D43" s="267">
        <v>100</v>
      </c>
      <c r="E43" s="314"/>
      <c r="F43" s="297">
        <f>SUMIF(123:123,E43,124:124)-SUMIF(123:123,C43,124:124)+100</f>
        <v>100</v>
      </c>
      <c r="G43" s="314"/>
      <c r="H43" s="267">
        <f>SUMIF(123:123,G43,124:124)-SUMIF(123:123,C43,124:124)+100</f>
        <v>100</v>
      </c>
      <c r="I43" s="314"/>
      <c r="J43" s="267">
        <f>SUMIF(123:123,I43,124:124)-SUMIF(123:123,C43,124:124)+100</f>
        <v>100</v>
      </c>
      <c r="K43" s="417"/>
      <c r="L43" s="413"/>
      <c r="M43" s="401"/>
      <c r="N43" s="401"/>
      <c r="O43" s="401"/>
      <c r="P43" s="3843"/>
      <c r="Q43" s="406" t="str">
        <f t="shared" si="8"/>
        <v>内部装修</v>
      </c>
      <c r="R43" s="476" t="s">
        <v>1045</v>
      </c>
      <c r="S43" s="477">
        <f t="shared" si="9"/>
        <v>100</v>
      </c>
      <c r="T43" s="476" t="s">
        <v>1045</v>
      </c>
      <c r="U43" s="477">
        <f t="shared" si="10"/>
        <v>100</v>
      </c>
      <c r="V43" s="476" t="s">
        <v>1045</v>
      </c>
      <c r="W43" s="477">
        <f t="shared" si="11"/>
        <v>100</v>
      </c>
      <c r="X43" s="471"/>
      <c r="Y43" s="3843"/>
      <c r="Z43" s="470" t="str">
        <f t="shared" si="12"/>
        <v>内部装修</v>
      </c>
      <c r="AA43" s="482">
        <f t="shared" si="3"/>
        <v>1</v>
      </c>
      <c r="AB43" s="482">
        <f t="shared" si="4"/>
        <v>1</v>
      </c>
      <c r="AC43" s="482">
        <f t="shared" si="5"/>
        <v>1</v>
      </c>
    </row>
    <row r="44" spans="1:29" ht="15">
      <c r="A44" s="313"/>
      <c r="B44" s="309" t="s">
        <v>233</v>
      </c>
      <c r="C44" s="314"/>
      <c r="D44" s="267">
        <v>100</v>
      </c>
      <c r="E44" s="601"/>
      <c r="F44" s="297">
        <f>SUMIF(125:125,E44,126:126)-SUMIF(125:125,C44,126:126)+100</f>
        <v>100</v>
      </c>
      <c r="G44" s="601"/>
      <c r="H44" s="267">
        <f>SUMIF(125:125,G44,126:126)-SUMIF(125:125,C44,126:126)+100</f>
        <v>100</v>
      </c>
      <c r="I44" s="601"/>
      <c r="J44" s="267">
        <f>SUMIF(125:125,I44,126:126)-SUMIF(125:125,C44,126:126)+100</f>
        <v>100</v>
      </c>
      <c r="K44" s="417"/>
      <c r="L44" s="413"/>
      <c r="M44" s="401"/>
      <c r="N44" s="401"/>
      <c r="O44" s="401"/>
      <c r="P44" s="3843"/>
      <c r="Q44" s="406" t="str">
        <f t="shared" si="8"/>
        <v>内部装修维护情况</v>
      </c>
      <c r="R44" s="476" t="s">
        <v>1045</v>
      </c>
      <c r="S44" s="477">
        <f t="shared" si="9"/>
        <v>100</v>
      </c>
      <c r="T44" s="476" t="s">
        <v>1045</v>
      </c>
      <c r="U44" s="477">
        <f t="shared" si="10"/>
        <v>100</v>
      </c>
      <c r="V44" s="476" t="s">
        <v>1045</v>
      </c>
      <c r="W44" s="477">
        <f t="shared" si="11"/>
        <v>100</v>
      </c>
      <c r="X44" s="471"/>
      <c r="Y44" s="3843"/>
      <c r="Z44" s="470" t="str">
        <f t="shared" si="12"/>
        <v>内部装修维护情况</v>
      </c>
      <c r="AA44" s="482">
        <f t="shared" si="3"/>
        <v>1</v>
      </c>
      <c r="AB44" s="482">
        <f t="shared" si="4"/>
        <v>1</v>
      </c>
      <c r="AC44" s="482">
        <f t="shared" si="5"/>
        <v>1</v>
      </c>
    </row>
    <row r="45" spans="1:29" s="210" customFormat="1" ht="15">
      <c r="A45" s="316"/>
      <c r="B45" s="563">
        <v>111</v>
      </c>
      <c r="C45" s="262"/>
      <c r="D45" s="257">
        <v>100</v>
      </c>
      <c r="E45" s="261"/>
      <c r="F45" s="567">
        <f>SUMIF(127:127,E45,128:128)-SUMIF(127:127,C45,128:128)+100</f>
        <v>100</v>
      </c>
      <c r="G45" s="261"/>
      <c r="H45" s="257">
        <f>SUMIF(127:127,G45,128:128)-SUMIF(127:127,C45,128:128)+100</f>
        <v>100</v>
      </c>
      <c r="I45" s="261"/>
      <c r="J45" s="257">
        <f>SUMIF(127:127,I45,128:128)-SUMIF(127:127,C45,128:128)+100</f>
        <v>100</v>
      </c>
      <c r="K45" s="410"/>
      <c r="L45" s="403"/>
      <c r="M45" s="404"/>
      <c r="N45" s="404"/>
      <c r="O45" s="404"/>
      <c r="P45" s="3843"/>
      <c r="Q45" s="475">
        <f t="shared" si="8"/>
        <v>111</v>
      </c>
      <c r="R45" s="472" t="s">
        <v>1045</v>
      </c>
      <c r="S45" s="473">
        <f t="shared" si="9"/>
        <v>100</v>
      </c>
      <c r="T45" s="472" t="s">
        <v>1045</v>
      </c>
      <c r="U45" s="473">
        <f t="shared" si="10"/>
        <v>100</v>
      </c>
      <c r="V45" s="472" t="s">
        <v>1045</v>
      </c>
      <c r="W45" s="473">
        <f t="shared" si="11"/>
        <v>100</v>
      </c>
      <c r="X45" s="474"/>
      <c r="Y45" s="3843"/>
      <c r="Z45" s="492">
        <f t="shared" si="12"/>
        <v>111</v>
      </c>
      <c r="AA45" s="491">
        <f t="shared" si="3"/>
        <v>1</v>
      </c>
      <c r="AB45" s="491">
        <f t="shared" si="4"/>
        <v>1</v>
      </c>
      <c r="AC45" s="491">
        <f t="shared" si="5"/>
        <v>1</v>
      </c>
    </row>
    <row r="46" spans="1:29" ht="15">
      <c r="A46" s="313"/>
      <c r="B46" s="563">
        <v>111</v>
      </c>
      <c r="C46" s="266"/>
      <c r="D46" s="267">
        <v>100</v>
      </c>
      <c r="E46" s="261"/>
      <c r="F46" s="297">
        <f>SUMIF(129:129,E46,130:130)-SUMIF(129:129,C46,130:130)+100</f>
        <v>100</v>
      </c>
      <c r="G46" s="261"/>
      <c r="H46" s="267">
        <f>SUMIF(129:129,G46,130:130)-SUMIF(129:129,C46,130:130)+100</f>
        <v>100</v>
      </c>
      <c r="I46" s="261"/>
      <c r="J46" s="267">
        <f>SUMIF(129:129,I46,130:130)-SUMIF(129:129,C46,130:130)+100</f>
        <v>100</v>
      </c>
      <c r="K46" s="410"/>
      <c r="L46" s="413"/>
      <c r="M46" s="401"/>
      <c r="N46" s="401"/>
      <c r="O46" s="401"/>
      <c r="P46" s="3843"/>
      <c r="Q46" s="406">
        <f t="shared" si="8"/>
        <v>111</v>
      </c>
      <c r="R46" s="476" t="s">
        <v>1045</v>
      </c>
      <c r="S46" s="477">
        <f t="shared" si="9"/>
        <v>100</v>
      </c>
      <c r="T46" s="476" t="s">
        <v>1045</v>
      </c>
      <c r="U46" s="477">
        <f t="shared" si="10"/>
        <v>100</v>
      </c>
      <c r="V46" s="476" t="s">
        <v>1045</v>
      </c>
      <c r="W46" s="477">
        <f t="shared" si="11"/>
        <v>100</v>
      </c>
      <c r="X46" s="471"/>
      <c r="Y46" s="3843"/>
      <c r="Z46" s="470">
        <f t="shared" si="12"/>
        <v>111</v>
      </c>
      <c r="AA46" s="482">
        <f t="shared" si="3"/>
        <v>1</v>
      </c>
      <c r="AB46" s="482">
        <f t="shared" si="4"/>
        <v>1</v>
      </c>
      <c r="AC46" s="482">
        <f t="shared" si="5"/>
        <v>1</v>
      </c>
    </row>
    <row r="47" spans="1:29" ht="15">
      <c r="A47" s="317"/>
      <c r="B47" s="318">
        <v>111</v>
      </c>
      <c r="C47" s="319"/>
      <c r="D47" s="320">
        <v>100</v>
      </c>
      <c r="E47" s="261"/>
      <c r="F47" s="322">
        <f>SUMIF(131:131,E47,132:132)-SUMIF(131:131,C47,132:132)+100</f>
        <v>100</v>
      </c>
      <c r="G47" s="261"/>
      <c r="H47" s="320">
        <f>SUMIF(131:131,G47,132:132)-SUMIF(131:131,C47,132:132)+100</f>
        <v>100</v>
      </c>
      <c r="I47" s="261"/>
      <c r="J47" s="320">
        <f>SUMIF(131:131,I47,132:132)-SUMIF(131:131,C47,132:132)+100</f>
        <v>100</v>
      </c>
      <c r="K47" s="410"/>
      <c r="L47" s="413"/>
      <c r="M47" s="401"/>
      <c r="N47" s="401"/>
      <c r="O47" s="401"/>
      <c r="P47" s="3951"/>
      <c r="Q47" s="406">
        <f t="shared" si="8"/>
        <v>111</v>
      </c>
      <c r="R47" s="476" t="s">
        <v>1045</v>
      </c>
      <c r="S47" s="477">
        <f t="shared" si="9"/>
        <v>100</v>
      </c>
      <c r="T47" s="476" t="s">
        <v>1045</v>
      </c>
      <c r="U47" s="477">
        <f t="shared" si="10"/>
        <v>100</v>
      </c>
      <c r="V47" s="476" t="s">
        <v>1045</v>
      </c>
      <c r="W47" s="477">
        <f t="shared" si="11"/>
        <v>100</v>
      </c>
      <c r="X47" s="471"/>
      <c r="Y47" s="3951"/>
      <c r="Z47" s="470">
        <f t="shared" si="12"/>
        <v>111</v>
      </c>
      <c r="AA47" s="482">
        <f t="shared" si="3"/>
        <v>1</v>
      </c>
      <c r="AB47" s="482">
        <f t="shared" si="4"/>
        <v>1</v>
      </c>
      <c r="AC47" s="482">
        <f t="shared" si="5"/>
        <v>1</v>
      </c>
    </row>
    <row r="48" spans="1:29" ht="15">
      <c r="A48" s="323" t="s">
        <v>2426</v>
      </c>
      <c r="B48" s="324"/>
      <c r="C48" s="325" t="s">
        <v>138</v>
      </c>
      <c r="D48" s="326"/>
      <c r="E48" s="327"/>
      <c r="F48" s="328"/>
      <c r="G48" s="329"/>
      <c r="H48" s="330"/>
      <c r="I48" s="327"/>
      <c r="J48" s="330"/>
      <c r="K48" s="420"/>
      <c r="L48" s="421"/>
      <c r="M48" s="401"/>
      <c r="N48" s="401"/>
      <c r="O48" s="401"/>
      <c r="P48" s="3838" t="str">
        <f>A48</f>
        <v>成交单价（元/平方米）</v>
      </c>
      <c r="Q48" s="3834"/>
      <c r="R48" s="3949">
        <f>E48</f>
        <v>0</v>
      </c>
      <c r="S48" s="3949"/>
      <c r="T48" s="3949">
        <f>G48</f>
        <v>0</v>
      </c>
      <c r="U48" s="3949"/>
      <c r="V48" s="3949">
        <f>I48</f>
        <v>0</v>
      </c>
      <c r="W48" s="3949"/>
      <c r="X48" s="353"/>
      <c r="Y48" s="494"/>
      <c r="Z48" s="353"/>
      <c r="AA48" s="353"/>
      <c r="AB48" s="353"/>
      <c r="AC48" s="353"/>
    </row>
    <row r="49" spans="1:29" ht="15">
      <c r="A49" s="331" t="s">
        <v>1069</v>
      </c>
      <c r="B49" s="332"/>
      <c r="C49" s="333" t="e">
        <f>R50</f>
        <v>#DIV/0!</v>
      </c>
      <c r="D49" s="334" t="s">
        <v>1070</v>
      </c>
      <c r="E49" s="335" t="e">
        <f>R49</f>
        <v>#DIV/0!</v>
      </c>
      <c r="F49" s="336"/>
      <c r="G49" s="333" t="e">
        <f>T49</f>
        <v>#DIV/0!</v>
      </c>
      <c r="H49" s="336"/>
      <c r="I49" s="335" t="e">
        <f>V49</f>
        <v>#DIV/0!</v>
      </c>
      <c r="J49" s="336"/>
      <c r="K49" s="422">
        <f>F49+H49+J49</f>
        <v>0</v>
      </c>
      <c r="L49" s="421"/>
      <c r="M49" s="401"/>
      <c r="N49" s="401"/>
      <c r="O49" s="401"/>
      <c r="P49" s="3838" t="str">
        <f>A49</f>
        <v>比较价格（元/平方米）</v>
      </c>
      <c r="Q49" s="3834"/>
      <c r="R49" s="3949" t="e">
        <f>IF(F1="售价",ROUND(PRODUCT(R48,AA7:AA47),0),ROUND(PRODUCT(R48,AA7:AA47),1))</f>
        <v>#DIV/0!</v>
      </c>
      <c r="S49" s="3949"/>
      <c r="T49" s="3949" t="e">
        <f>IF(F1="售价",ROUND(PRODUCT(T48,AB7:AB47),0),ROUND(PRODUCT(T48,AB7:AB47),1))</f>
        <v>#DIV/0!</v>
      </c>
      <c r="U49" s="3949"/>
      <c r="V49" s="3949" t="e">
        <f>IF(F1="售价",ROUND(PRODUCT(V48,AC7:AC47),0),ROUND(PRODUCT(V48,AC7:AC47),1))</f>
        <v>#DIV/0!</v>
      </c>
      <c r="W49" s="3949"/>
      <c r="X49" s="353"/>
      <c r="Y49" s="353"/>
      <c r="Z49" s="353"/>
      <c r="AA49" s="353"/>
      <c r="AB49" s="353"/>
      <c r="AC49" s="353"/>
    </row>
    <row r="50" spans="1:29" ht="15">
      <c r="A50" s="337" t="s">
        <v>1071</v>
      </c>
      <c r="B50" s="338"/>
      <c r="C50" s="339" t="e">
        <f>R50</f>
        <v>#DIV/0!</v>
      </c>
      <c r="D50" s="339"/>
      <c r="E50" s="339"/>
      <c r="F50" s="339"/>
      <c r="G50" s="339"/>
      <c r="H50" s="339"/>
      <c r="I50" s="339"/>
      <c r="J50" s="339"/>
      <c r="K50" s="423"/>
      <c r="L50" s="421"/>
      <c r="M50" s="401"/>
      <c r="N50" s="401"/>
      <c r="O50" s="401"/>
      <c r="P50" s="3952" t="str">
        <f>A50</f>
        <v>估价对象XX用房的比较价格（楼面单价，元/平方米）</v>
      </c>
      <c r="Q50" s="3838"/>
      <c r="R50" s="3950" t="e">
        <f>IF(F1="售价",ROUND(IF(D49="简单平均",AVERAGE(R49:V49),R49*F49+T49*H49+V49*J49),0),ROUND(IF(D49="简单平均",AVERAGE(R49:V49),R49*F49+T49*H49+V49*J49),1))</f>
        <v>#DIV/0!</v>
      </c>
      <c r="S50" s="3950"/>
      <c r="T50" s="3950"/>
      <c r="U50" s="3950"/>
      <c r="V50" s="3950"/>
      <c r="W50" s="3950"/>
      <c r="X50" s="353"/>
      <c r="Y50" s="353"/>
      <c r="Z50" s="353"/>
      <c r="AA50" s="353"/>
      <c r="AB50" s="353"/>
      <c r="AC50" s="353"/>
    </row>
    <row r="51" spans="1:29">
      <c r="A51" s="340"/>
      <c r="B51" s="340"/>
      <c r="C51" s="340"/>
      <c r="D51" s="340"/>
      <c r="E51" s="340"/>
      <c r="F51" s="340"/>
      <c r="G51" s="341"/>
      <c r="H51" s="340"/>
      <c r="I51" s="340"/>
      <c r="J51" s="340"/>
      <c r="K51" s="425"/>
      <c r="L51" s="426"/>
      <c r="M51" s="351"/>
      <c r="N51" s="351"/>
      <c r="O51" s="351"/>
      <c r="P51" s="604"/>
      <c r="Q51" s="351"/>
      <c r="R51" s="351"/>
      <c r="S51" s="351"/>
      <c r="T51" s="351"/>
      <c r="U51" s="351"/>
      <c r="V51" s="351"/>
      <c r="W51" s="351"/>
      <c r="X51" s="351"/>
      <c r="Y51" s="351"/>
      <c r="Z51" s="351"/>
      <c r="AA51" s="351"/>
      <c r="AB51" s="351"/>
      <c r="AC51" s="351"/>
    </row>
    <row r="52" spans="1:29">
      <c r="A52" s="340"/>
      <c r="B52" s="340"/>
      <c r="C52" s="340"/>
      <c r="D52" s="340"/>
      <c r="E52" s="340"/>
      <c r="F52" s="340"/>
      <c r="G52" s="340"/>
      <c r="H52" s="340"/>
      <c r="I52" s="340"/>
      <c r="J52" s="340"/>
      <c r="K52" s="425"/>
      <c r="L52" s="426"/>
      <c r="M52" s="351"/>
      <c r="N52" s="351"/>
      <c r="O52" s="351"/>
      <c r="P52" s="604"/>
      <c r="Q52" s="351"/>
      <c r="R52" s="351"/>
      <c r="S52" s="351"/>
      <c r="T52" s="351"/>
      <c r="U52" s="351"/>
      <c r="V52" s="351"/>
      <c r="W52" s="351"/>
      <c r="X52" s="351"/>
      <c r="Y52" s="351"/>
      <c r="Z52" s="351"/>
      <c r="AA52" s="351"/>
      <c r="AB52" s="351"/>
      <c r="AC52" s="351"/>
    </row>
    <row r="53" spans="1:29" ht="13.5" customHeight="1">
      <c r="A53" s="340"/>
      <c r="B53" s="340"/>
      <c r="C53" s="342" t="s">
        <v>1072</v>
      </c>
      <c r="D53" s="343"/>
      <c r="E53" s="344" t="e">
        <f>IF(E48&lt;E49,E49/E48-1,E48/E49-1)</f>
        <v>#DIV/0!</v>
      </c>
      <c r="F53" s="345" t="e">
        <f>IF(OR(E53&gt;=0.3,E53&lt;=-0.3),"超过30%","")</f>
        <v>#DIV/0!</v>
      </c>
      <c r="G53" s="344" t="e">
        <f>IF(G48&lt;G49,G49/G48-1,G48/G49-1)</f>
        <v>#DIV/0!</v>
      </c>
      <c r="H53" s="345" t="e">
        <f>IF(OR(G53&gt;=0.3,G53&lt;=-0.3),"超过30%","")</f>
        <v>#DIV/0!</v>
      </c>
      <c r="I53" s="344" t="e">
        <f>IF(I48&lt;I49,I49/I48-1,I48/I49-1)</f>
        <v>#DIV/0!</v>
      </c>
      <c r="J53" s="345" t="e">
        <f>IF(OR(I53&gt;=0.3,I53&lt;=-0.3),"超过30%","")</f>
        <v>#DIV/0!</v>
      </c>
      <c r="K53" s="425"/>
      <c r="L53" s="426"/>
      <c r="M53" s="351"/>
      <c r="N53" s="351"/>
      <c r="O53" s="351"/>
      <c r="P53" s="604"/>
      <c r="Q53" s="351"/>
      <c r="R53" s="351"/>
      <c r="S53" s="351"/>
      <c r="T53" s="351"/>
      <c r="U53" s="351"/>
      <c r="V53" s="351"/>
      <c r="W53" s="351"/>
      <c r="X53" s="351"/>
      <c r="Y53" s="351"/>
      <c r="Z53" s="351"/>
      <c r="AA53" s="351"/>
      <c r="AB53" s="351"/>
      <c r="AC53" s="351"/>
    </row>
    <row r="54" spans="1:29" ht="13.5" customHeight="1">
      <c r="A54" s="340"/>
      <c r="B54" s="340"/>
      <c r="C54" s="342" t="s">
        <v>1073</v>
      </c>
      <c r="D54" s="346"/>
      <c r="E54" s="344" t="e">
        <f>IF(E49&lt;G49,G49/E49-1,E49/G49-1)</f>
        <v>#DIV/0!</v>
      </c>
      <c r="F54" s="345" t="e">
        <f>IF(OR(E54&gt;=0.2,E54&lt;=-0.2),"超过20%","")</f>
        <v>#DIV/0!</v>
      </c>
      <c r="G54" s="344" t="e">
        <f>IF(G49&lt;I49,I49/G49-1,G49/I49-1)</f>
        <v>#DIV/0!</v>
      </c>
      <c r="H54" s="345" t="e">
        <f>IF(OR(G54&gt;=0.2,G54&lt;=-0.2),"超过20%","")</f>
        <v>#DIV/0!</v>
      </c>
      <c r="I54" s="344" t="e">
        <f>IF(I49&lt;E49,E49/I49-1,I49/E49-1)</f>
        <v>#DIV/0!</v>
      </c>
      <c r="J54" s="345" t="e">
        <f>IF(OR(I54&gt;=0.2,I54&lt;=-0.2),"超过20%","")</f>
        <v>#DIV/0!</v>
      </c>
      <c r="K54" s="425"/>
      <c r="L54" s="426"/>
      <c r="M54" s="351"/>
      <c r="N54" s="351"/>
      <c r="O54" s="351"/>
      <c r="P54" s="604"/>
      <c r="Q54" s="351"/>
      <c r="R54" s="351"/>
      <c r="S54" s="351"/>
      <c r="T54" s="351"/>
      <c r="U54" s="351"/>
      <c r="V54" s="351"/>
      <c r="W54" s="351"/>
      <c r="X54" s="351"/>
      <c r="Y54" s="351"/>
      <c r="Z54" s="351"/>
      <c r="AA54" s="351"/>
      <c r="AB54" s="351"/>
      <c r="AC54" s="351"/>
    </row>
    <row r="55" spans="1:29" s="213" customFormat="1" ht="13.5" customHeight="1">
      <c r="A55" s="347"/>
      <c r="B55" s="347"/>
      <c r="C55" s="342" t="s">
        <v>1074</v>
      </c>
      <c r="D55" s="346"/>
      <c r="E55" s="344" t="e">
        <f>IF(E48&lt;G48,G48/E48-1,E48/G48-1)</f>
        <v>#DIV/0!</v>
      </c>
      <c r="F55" s="345" t="e">
        <f>IF(OR(E55&gt;=0.3,E55&lt;=-0.3),"超过30%","")</f>
        <v>#DIV/0!</v>
      </c>
      <c r="G55" s="344" t="e">
        <f>IF(G48&lt;I48,I48/G48-1,G48/I48-1)</f>
        <v>#DIV/0!</v>
      </c>
      <c r="H55" s="345" t="e">
        <f>IF(OR(G55&gt;=0.3,G55&lt;=-0.3),"超过30%","")</f>
        <v>#DIV/0!</v>
      </c>
      <c r="I55" s="344" t="e">
        <f>IF(I48&lt;E48,E48/I48-1,I48/E48-1)</f>
        <v>#DIV/0!</v>
      </c>
      <c r="J55" s="345" t="e">
        <f>IF(OR(I55&gt;=0.3,I55&lt;=-0.3),"超过30%","")</f>
        <v>#DIV/0!</v>
      </c>
      <c r="K55" s="427"/>
      <c r="L55" s="428"/>
      <c r="M55" s="348"/>
      <c r="N55" s="348"/>
      <c r="O55" s="348"/>
      <c r="P55" s="605"/>
      <c r="Q55" s="348"/>
      <c r="R55" s="348"/>
      <c r="S55" s="348"/>
      <c r="T55" s="348"/>
      <c r="U55" s="348"/>
      <c r="V55" s="348"/>
      <c r="W55" s="348"/>
      <c r="X55" s="348"/>
      <c r="Y55" s="348"/>
      <c r="Z55" s="348"/>
      <c r="AA55" s="348"/>
      <c r="AB55" s="348"/>
      <c r="AC55" s="348"/>
    </row>
    <row r="56" spans="1:29" s="213" customFormat="1">
      <c r="A56" s="348"/>
      <c r="B56" s="349"/>
      <c r="C56" s="350"/>
      <c r="D56" s="348"/>
      <c r="E56" s="348"/>
      <c r="F56" s="348"/>
      <c r="G56" s="348"/>
      <c r="H56" s="348"/>
      <c r="I56" s="348"/>
      <c r="J56" s="348"/>
      <c r="K56" s="429"/>
      <c r="L56" s="428"/>
      <c r="M56" s="348"/>
      <c r="N56" s="348"/>
      <c r="O56" s="348"/>
      <c r="P56" s="605"/>
      <c r="Q56" s="348"/>
      <c r="R56" s="348"/>
      <c r="S56" s="348"/>
      <c r="T56" s="348"/>
      <c r="U56" s="348"/>
      <c r="V56" s="348"/>
      <c r="W56" s="348"/>
      <c r="X56" s="348"/>
      <c r="Y56" s="348"/>
      <c r="Z56" s="348"/>
      <c r="AA56" s="348"/>
      <c r="AB56" s="348"/>
      <c r="AC56" s="348"/>
    </row>
    <row r="57" spans="1:29">
      <c r="A57" s="351"/>
      <c r="B57" s="349"/>
      <c r="C57" s="350"/>
      <c r="D57" s="351"/>
      <c r="E57" s="351"/>
      <c r="F57" s="351"/>
      <c r="G57" s="351"/>
      <c r="H57" s="351"/>
      <c r="I57" s="351"/>
      <c r="J57" s="351"/>
      <c r="K57" s="430"/>
      <c r="L57" s="426"/>
      <c r="M57" s="351"/>
      <c r="N57" s="351"/>
      <c r="O57" s="351"/>
      <c r="P57" s="604"/>
      <c r="Q57" s="351"/>
      <c r="R57" s="351"/>
      <c r="S57" s="351"/>
      <c r="T57" s="351"/>
      <c r="U57" s="351"/>
      <c r="V57" s="351"/>
      <c r="W57" s="351"/>
      <c r="X57" s="351"/>
      <c r="Y57" s="351"/>
      <c r="Z57" s="351"/>
      <c r="AA57" s="351"/>
      <c r="AB57" s="351"/>
      <c r="AC57" s="351"/>
    </row>
    <row r="58" spans="1:29" ht="21">
      <c r="A58" s="352" t="s">
        <v>1095</v>
      </c>
      <c r="B58" s="353"/>
      <c r="C58" s="354"/>
      <c r="D58" s="354"/>
      <c r="E58" s="354"/>
      <c r="F58" s="355"/>
      <c r="G58" s="355"/>
      <c r="H58" s="354"/>
      <c r="I58" s="354"/>
      <c r="J58" s="354"/>
      <c r="K58" s="431"/>
      <c r="L58" s="432"/>
      <c r="M58" s="354"/>
      <c r="N58" s="433"/>
      <c r="O58" s="433"/>
      <c r="P58" s="606"/>
      <c r="Q58" s="437"/>
      <c r="R58" s="351"/>
      <c r="S58" s="351"/>
      <c r="T58" s="351"/>
      <c r="U58" s="351"/>
      <c r="V58" s="351"/>
      <c r="W58" s="351"/>
      <c r="X58" s="351"/>
      <c r="Y58" s="351"/>
      <c r="Z58" s="351"/>
      <c r="AA58" s="351"/>
      <c r="AB58" s="351"/>
      <c r="AC58" s="351"/>
    </row>
    <row r="59" spans="1:29" s="214" customFormat="1" ht="15">
      <c r="A59" s="356" t="s">
        <v>1043</v>
      </c>
      <c r="B59" s="357"/>
      <c r="C59" s="358" t="str">
        <f>YEAR(C7)&amp;"-"&amp;MONTH(C7)</f>
        <v>2023-11</v>
      </c>
      <c r="D59" s="359">
        <f>EDATE(C59,-1)</f>
        <v>45200</v>
      </c>
      <c r="E59" s="359">
        <f t="shared" ref="E59:O59" si="13">EDATE(D59,-1)</f>
        <v>45170</v>
      </c>
      <c r="F59" s="359">
        <f t="shared" si="13"/>
        <v>45139</v>
      </c>
      <c r="G59" s="359">
        <f t="shared" si="13"/>
        <v>45108</v>
      </c>
      <c r="H59" s="359">
        <f t="shared" si="13"/>
        <v>45078</v>
      </c>
      <c r="I59" s="359">
        <f t="shared" si="13"/>
        <v>45047</v>
      </c>
      <c r="J59" s="359">
        <f t="shared" si="13"/>
        <v>45017</v>
      </c>
      <c r="K59" s="359">
        <f t="shared" si="13"/>
        <v>44986</v>
      </c>
      <c r="L59" s="359">
        <f t="shared" si="13"/>
        <v>44958</v>
      </c>
      <c r="M59" s="359">
        <f t="shared" si="13"/>
        <v>44927</v>
      </c>
      <c r="N59" s="359">
        <f t="shared" si="13"/>
        <v>44896</v>
      </c>
      <c r="O59" s="359">
        <f t="shared" si="13"/>
        <v>44866</v>
      </c>
      <c r="P59" s="607"/>
      <c r="Q59" s="483"/>
      <c r="R59" s="483"/>
      <c r="S59" s="483"/>
      <c r="T59" s="483"/>
      <c r="U59" s="483"/>
      <c r="V59" s="483"/>
      <c r="W59" s="483"/>
      <c r="X59" s="483"/>
      <c r="Y59" s="483"/>
      <c r="Z59" s="483"/>
      <c r="AA59" s="483"/>
      <c r="AB59" s="483"/>
      <c r="AC59" s="483"/>
    </row>
    <row r="60" spans="1:29" s="210" customFormat="1" ht="15">
      <c r="A60" s="360"/>
      <c r="B60" s="361"/>
      <c r="C60" s="362">
        <v>100</v>
      </c>
      <c r="D60" s="363"/>
      <c r="E60" s="363"/>
      <c r="F60" s="363"/>
      <c r="G60" s="363"/>
      <c r="H60" s="363"/>
      <c r="I60" s="363"/>
      <c r="J60" s="363"/>
      <c r="K60" s="363"/>
      <c r="L60" s="363"/>
      <c r="M60" s="435"/>
      <c r="N60" s="363"/>
      <c r="O60" s="435"/>
      <c r="P60" s="608"/>
      <c r="Q60" s="484"/>
      <c r="R60" s="484"/>
      <c r="S60" s="484"/>
      <c r="T60" s="484"/>
      <c r="U60" s="484"/>
      <c r="V60" s="484"/>
      <c r="W60" s="484"/>
      <c r="X60" s="484"/>
      <c r="Y60" s="484"/>
      <c r="Z60" s="484"/>
      <c r="AA60" s="484"/>
      <c r="AB60" s="484"/>
      <c r="AC60" s="484"/>
    </row>
    <row r="61" spans="1:29" s="210" customFormat="1" ht="15">
      <c r="A61" s="364" t="s">
        <v>1114</v>
      </c>
      <c r="B61" s="365"/>
      <c r="C61" s="366"/>
      <c r="D61" s="367"/>
      <c r="E61" s="367"/>
      <c r="F61" s="367"/>
      <c r="G61" s="367"/>
      <c r="H61" s="367"/>
      <c r="I61" s="367"/>
      <c r="J61" s="367"/>
      <c r="K61" s="367"/>
      <c r="L61" s="367"/>
      <c r="M61" s="438"/>
      <c r="N61" s="367"/>
      <c r="O61" s="438"/>
      <c r="P61" s="608"/>
      <c r="Q61" s="437"/>
      <c r="R61" s="484"/>
      <c r="S61" s="484"/>
      <c r="T61" s="484"/>
      <c r="U61" s="484"/>
      <c r="V61" s="484"/>
      <c r="W61" s="484"/>
      <c r="X61" s="484"/>
      <c r="Y61" s="484"/>
      <c r="Z61" s="484"/>
      <c r="AA61" s="484"/>
      <c r="AB61" s="484"/>
      <c r="AC61" s="484"/>
    </row>
    <row r="62" spans="1:29" s="210" customFormat="1" ht="15">
      <c r="A62" s="368" t="s">
        <v>1046</v>
      </c>
      <c r="B62" s="361"/>
      <c r="C62" s="369" t="s">
        <v>1047</v>
      </c>
      <c r="D62" s="370"/>
      <c r="E62" s="370"/>
      <c r="F62" s="370"/>
      <c r="G62" s="370"/>
      <c r="H62" s="370"/>
      <c r="I62" s="370"/>
      <c r="J62" s="370"/>
      <c r="K62" s="370"/>
      <c r="L62" s="440"/>
      <c r="M62" s="441"/>
      <c r="N62" s="442"/>
      <c r="O62" s="442"/>
      <c r="P62" s="609"/>
      <c r="Q62" s="437"/>
      <c r="R62" s="484"/>
      <c r="S62" s="484"/>
      <c r="T62" s="484"/>
      <c r="U62" s="484"/>
      <c r="V62" s="484"/>
      <c r="W62" s="484"/>
      <c r="X62" s="484"/>
      <c r="Y62" s="484"/>
      <c r="Z62" s="484"/>
      <c r="AA62" s="484"/>
      <c r="AB62" s="484"/>
      <c r="AC62" s="484"/>
    </row>
    <row r="63" spans="1:29" s="210" customFormat="1" ht="15">
      <c r="A63" s="368"/>
      <c r="B63" s="361"/>
      <c r="C63" s="602">
        <v>100</v>
      </c>
      <c r="D63" s="363"/>
      <c r="E63" s="363"/>
      <c r="F63" s="363"/>
      <c r="G63" s="363"/>
      <c r="H63" s="363"/>
      <c r="I63" s="363"/>
      <c r="J63" s="363"/>
      <c r="K63" s="363"/>
      <c r="L63" s="363"/>
      <c r="M63" s="436"/>
      <c r="N63" s="442"/>
      <c r="O63" s="442"/>
      <c r="P63" s="608"/>
      <c r="Q63" s="437"/>
      <c r="R63" s="484"/>
      <c r="S63" s="484"/>
      <c r="T63" s="484"/>
      <c r="U63" s="484"/>
      <c r="V63" s="484"/>
      <c r="W63" s="484"/>
      <c r="X63" s="484"/>
      <c r="Y63" s="484"/>
      <c r="Z63" s="484"/>
      <c r="AA63" s="484"/>
      <c r="AB63" s="484"/>
      <c r="AC63" s="484"/>
    </row>
    <row r="64" spans="1:29">
      <c r="A64" s="371" t="s">
        <v>1099</v>
      </c>
      <c r="B64" s="372" t="s">
        <v>1100</v>
      </c>
      <c r="C64" s="373">
        <f>C9</f>
        <v>0</v>
      </c>
      <c r="D64" s="374"/>
      <c r="E64" s="374"/>
      <c r="F64" s="374"/>
      <c r="G64" s="374"/>
      <c r="H64" s="374"/>
      <c r="I64" s="374"/>
      <c r="J64" s="374"/>
      <c r="K64" s="444"/>
      <c r="L64" s="445"/>
      <c r="M64" s="446"/>
      <c r="N64" s="447"/>
      <c r="O64" s="447"/>
      <c r="P64" s="610"/>
      <c r="Q64" s="437"/>
      <c r="R64" s="351"/>
      <c r="S64" s="351"/>
      <c r="T64" s="351"/>
      <c r="U64" s="351"/>
      <c r="V64" s="351"/>
      <c r="W64" s="351"/>
      <c r="X64" s="351"/>
      <c r="Y64" s="351"/>
      <c r="Z64" s="351"/>
      <c r="AA64" s="351"/>
      <c r="AB64" s="351"/>
      <c r="AC64" s="351"/>
    </row>
    <row r="65" spans="1:29" ht="15">
      <c r="A65" s="375"/>
      <c r="B65" s="376"/>
      <c r="C65" s="377"/>
      <c r="D65" s="377"/>
      <c r="E65" s="377"/>
      <c r="F65" s="377"/>
      <c r="G65" s="377"/>
      <c r="H65" s="377"/>
      <c r="I65" s="377"/>
      <c r="J65" s="377"/>
      <c r="K65" s="377"/>
      <c r="L65" s="377"/>
      <c r="M65" s="449"/>
      <c r="N65" s="450"/>
      <c r="O65" s="450"/>
      <c r="P65" s="610"/>
      <c r="Q65" s="437"/>
      <c r="R65" s="351"/>
      <c r="S65" s="351"/>
      <c r="T65" s="351"/>
      <c r="U65" s="351"/>
      <c r="V65" s="351"/>
      <c r="W65" s="351"/>
      <c r="X65" s="351"/>
      <c r="Y65" s="351"/>
      <c r="Z65" s="351"/>
      <c r="AA65" s="351"/>
      <c r="AB65" s="351"/>
      <c r="AC65" s="351"/>
    </row>
    <row r="66" spans="1:29" ht="27">
      <c r="A66" s="375"/>
      <c r="B66" s="378" t="s">
        <v>1101</v>
      </c>
      <c r="C66" s="379"/>
      <c r="D66" s="379"/>
      <c r="E66" s="379"/>
      <c r="F66" s="379"/>
      <c r="G66" s="379"/>
      <c r="H66" s="379"/>
      <c r="I66" s="379"/>
      <c r="J66" s="379"/>
      <c r="K66" s="451"/>
      <c r="L66" s="452"/>
      <c r="M66" s="453"/>
      <c r="N66" s="447"/>
      <c r="O66" s="447"/>
      <c r="P66" s="610"/>
      <c r="Q66" s="437"/>
      <c r="R66" s="351"/>
      <c r="S66" s="351"/>
      <c r="T66" s="351"/>
      <c r="U66" s="351"/>
      <c r="V66" s="351"/>
      <c r="W66" s="351"/>
      <c r="X66" s="351"/>
      <c r="Y66" s="351"/>
      <c r="Z66" s="351"/>
      <c r="AA66" s="351"/>
      <c r="AB66" s="351"/>
      <c r="AC66" s="351"/>
    </row>
    <row r="67" spans="1:29" ht="15">
      <c r="A67" s="375"/>
      <c r="B67" s="380"/>
      <c r="C67" s="377"/>
      <c r="D67" s="377"/>
      <c r="E67" s="377"/>
      <c r="F67" s="377"/>
      <c r="G67" s="377"/>
      <c r="H67" s="377"/>
      <c r="I67" s="377"/>
      <c r="J67" s="377"/>
      <c r="K67" s="377"/>
      <c r="L67" s="377"/>
      <c r="M67" s="449"/>
      <c r="N67" s="450"/>
      <c r="O67" s="450"/>
      <c r="P67" s="610"/>
      <c r="Q67" s="437"/>
      <c r="R67" s="351"/>
      <c r="S67" s="351"/>
      <c r="T67" s="351"/>
      <c r="U67" s="351"/>
      <c r="V67" s="351"/>
      <c r="W67" s="351"/>
      <c r="X67" s="351"/>
      <c r="Y67" s="351"/>
      <c r="Z67" s="351"/>
      <c r="AA67" s="351"/>
      <c r="AB67" s="351"/>
      <c r="AC67" s="351"/>
    </row>
    <row r="68" spans="1:29" ht="15">
      <c r="A68" s="375"/>
      <c r="B68" s="497" t="s">
        <v>1102</v>
      </c>
      <c r="C68" s="569" t="str">
        <f>C69&amp;"（含）"&amp;"-"&amp;D69</f>
        <v>（含）-</v>
      </c>
      <c r="D68" s="569" t="str">
        <f t="shared" ref="D68:L68" si="14">D69&amp;"（含）"&amp;"-"&amp;E69</f>
        <v>（含）-</v>
      </c>
      <c r="E68" s="569" t="str">
        <f t="shared" si="14"/>
        <v>（含）-</v>
      </c>
      <c r="F68" s="569" t="str">
        <f t="shared" si="14"/>
        <v>（含）-</v>
      </c>
      <c r="G68" s="569" t="str">
        <f t="shared" si="14"/>
        <v>（含）-</v>
      </c>
      <c r="H68" s="569" t="str">
        <f t="shared" si="14"/>
        <v>（含）-</v>
      </c>
      <c r="I68" s="569" t="str">
        <f t="shared" si="14"/>
        <v>（含）-</v>
      </c>
      <c r="J68" s="569" t="str">
        <f t="shared" si="14"/>
        <v>（含）-</v>
      </c>
      <c r="K68" s="569" t="str">
        <f t="shared" si="14"/>
        <v>（含）-</v>
      </c>
      <c r="L68" s="569" t="str">
        <f t="shared" si="14"/>
        <v>（含）-</v>
      </c>
      <c r="M68" s="278" t="str">
        <f>M69&amp;"（含）"&amp;"-"&amp;P69</f>
        <v>（含）-</v>
      </c>
      <c r="N68" s="450"/>
      <c r="O68" s="450"/>
      <c r="P68" s="610"/>
      <c r="Q68" s="437"/>
      <c r="R68" s="351"/>
      <c r="S68" s="351"/>
      <c r="T68" s="351"/>
      <c r="U68" s="351"/>
      <c r="V68" s="351"/>
      <c r="W68" s="351"/>
      <c r="X68" s="351"/>
      <c r="Y68" s="351"/>
      <c r="Z68" s="351"/>
      <c r="AA68" s="351"/>
      <c r="AB68" s="351"/>
      <c r="AC68" s="351"/>
    </row>
    <row r="69" spans="1:29" ht="15">
      <c r="A69" s="375"/>
      <c r="B69" s="570"/>
      <c r="C69" s="382"/>
      <c r="D69" s="382"/>
      <c r="E69" s="382"/>
      <c r="F69" s="382"/>
      <c r="G69" s="382"/>
      <c r="H69" s="382"/>
      <c r="I69" s="382"/>
      <c r="J69" s="382"/>
      <c r="K69" s="454"/>
      <c r="L69" s="455"/>
      <c r="M69" s="456"/>
      <c r="N69" s="447"/>
      <c r="O69" s="447"/>
      <c r="P69" s="610"/>
      <c r="Q69" s="437"/>
      <c r="R69" s="351"/>
      <c r="S69" s="351"/>
      <c r="T69" s="351"/>
      <c r="U69" s="351"/>
      <c r="V69" s="351"/>
      <c r="W69" s="351"/>
      <c r="X69" s="351"/>
      <c r="Y69" s="351"/>
      <c r="Z69" s="351"/>
      <c r="AA69" s="351"/>
      <c r="AB69" s="351"/>
      <c r="AC69" s="351"/>
    </row>
    <row r="70" spans="1:29" ht="15">
      <c r="A70" s="375"/>
      <c r="B70" s="376"/>
      <c r="C70" s="389">
        <v>100</v>
      </c>
      <c r="D70" s="389">
        <f t="shared" ref="D70:M70" si="15">C70-$K11</f>
        <v>100</v>
      </c>
      <c r="E70" s="389">
        <f t="shared" si="15"/>
        <v>100</v>
      </c>
      <c r="F70" s="389">
        <f t="shared" si="15"/>
        <v>100</v>
      </c>
      <c r="G70" s="389">
        <f t="shared" si="15"/>
        <v>100</v>
      </c>
      <c r="H70" s="389">
        <f t="shared" si="15"/>
        <v>100</v>
      </c>
      <c r="I70" s="389">
        <f t="shared" si="15"/>
        <v>100</v>
      </c>
      <c r="J70" s="389">
        <f t="shared" si="15"/>
        <v>100</v>
      </c>
      <c r="K70" s="389">
        <f t="shared" si="15"/>
        <v>100</v>
      </c>
      <c r="L70" s="389">
        <f t="shared" si="15"/>
        <v>100</v>
      </c>
      <c r="M70" s="466">
        <f t="shared" si="15"/>
        <v>100</v>
      </c>
      <c r="N70" s="450"/>
      <c r="O70" s="450"/>
      <c r="P70" s="610"/>
      <c r="Q70" s="437"/>
      <c r="R70" s="351"/>
      <c r="S70" s="351"/>
      <c r="T70" s="351"/>
      <c r="U70" s="351"/>
      <c r="V70" s="351"/>
      <c r="W70" s="351"/>
      <c r="X70" s="351"/>
      <c r="Y70" s="351"/>
      <c r="Z70" s="351"/>
      <c r="AA70" s="351"/>
      <c r="AB70" s="351"/>
      <c r="AC70" s="351"/>
    </row>
    <row r="71" spans="1:29" s="212" customFormat="1" ht="15">
      <c r="A71" s="384"/>
      <c r="B71" s="378">
        <f>B12</f>
        <v>111</v>
      </c>
      <c r="C71" s="385"/>
      <c r="D71" s="385"/>
      <c r="E71" s="385"/>
      <c r="F71" s="385"/>
      <c r="G71" s="385"/>
      <c r="H71" s="386"/>
      <c r="I71" s="386"/>
      <c r="J71" s="386"/>
      <c r="K71" s="386"/>
      <c r="L71" s="457"/>
      <c r="M71" s="458"/>
      <c r="N71" s="459"/>
      <c r="O71" s="459"/>
      <c r="P71" s="612"/>
      <c r="Q71" s="485"/>
      <c r="R71" s="486"/>
      <c r="S71" s="486"/>
      <c r="T71" s="486"/>
      <c r="U71" s="486"/>
      <c r="V71" s="486"/>
      <c r="W71" s="486"/>
      <c r="X71" s="486"/>
      <c r="Y71" s="486"/>
      <c r="Z71" s="486"/>
      <c r="AA71" s="486"/>
      <c r="AB71" s="486"/>
      <c r="AC71" s="486"/>
    </row>
    <row r="72" spans="1:29" s="212" customFormat="1" ht="15">
      <c r="A72" s="384"/>
      <c r="B72" s="380"/>
      <c r="C72" s="383"/>
      <c r="D72" s="377"/>
      <c r="E72" s="377"/>
      <c r="F72" s="377"/>
      <c r="G72" s="377"/>
      <c r="H72" s="377"/>
      <c r="I72" s="377"/>
      <c r="J72" s="377"/>
      <c r="K72" s="377"/>
      <c r="L72" s="377"/>
      <c r="M72" s="449"/>
      <c r="N72" s="450"/>
      <c r="O72" s="450"/>
      <c r="P72" s="612"/>
      <c r="Q72" s="485"/>
      <c r="R72" s="486"/>
      <c r="S72" s="486"/>
      <c r="T72" s="486"/>
      <c r="U72" s="486"/>
      <c r="V72" s="486"/>
      <c r="W72" s="486"/>
      <c r="X72" s="486"/>
      <c r="Y72" s="486"/>
      <c r="Z72" s="486"/>
      <c r="AA72" s="486"/>
      <c r="AB72" s="486"/>
      <c r="AC72" s="486"/>
    </row>
    <row r="73" spans="1:29" s="212" customFormat="1" ht="15">
      <c r="A73" s="384"/>
      <c r="B73" s="378">
        <f>B13</f>
        <v>111</v>
      </c>
      <c r="C73" s="385"/>
      <c r="D73" s="385"/>
      <c r="E73" s="385"/>
      <c r="F73" s="385"/>
      <c r="G73" s="385"/>
      <c r="H73" s="386"/>
      <c r="I73" s="386"/>
      <c r="J73" s="386"/>
      <c r="K73" s="386"/>
      <c r="L73" s="457"/>
      <c r="M73" s="458"/>
      <c r="N73" s="459"/>
      <c r="O73" s="459"/>
      <c r="P73" s="613"/>
      <c r="Q73" s="487"/>
      <c r="R73" s="486"/>
      <c r="S73" s="486"/>
      <c r="T73" s="486"/>
      <c r="U73" s="486"/>
      <c r="V73" s="486"/>
      <c r="W73" s="486"/>
      <c r="X73" s="486"/>
      <c r="Y73" s="486"/>
      <c r="Z73" s="486"/>
      <c r="AA73" s="486"/>
      <c r="AB73" s="486"/>
      <c r="AC73" s="486"/>
    </row>
    <row r="74" spans="1:29" s="212" customFormat="1" ht="15">
      <c r="A74" s="384"/>
      <c r="B74" s="380"/>
      <c r="C74" s="383"/>
      <c r="D74" s="383"/>
      <c r="E74" s="383"/>
      <c r="F74" s="383"/>
      <c r="G74" s="383"/>
      <c r="H74" s="387"/>
      <c r="I74" s="387"/>
      <c r="J74" s="387"/>
      <c r="K74" s="387"/>
      <c r="L74" s="387"/>
      <c r="M74" s="461"/>
      <c r="N74" s="459"/>
      <c r="O74" s="459"/>
      <c r="P74" s="612"/>
      <c r="Q74" s="485"/>
      <c r="R74" s="486"/>
      <c r="S74" s="486"/>
      <c r="T74" s="486"/>
      <c r="U74" s="486"/>
      <c r="V74" s="486"/>
      <c r="W74" s="486"/>
      <c r="X74" s="486"/>
      <c r="Y74" s="486"/>
      <c r="Z74" s="486"/>
      <c r="AA74" s="486"/>
      <c r="AB74" s="486"/>
      <c r="AC74" s="486"/>
    </row>
    <row r="75" spans="1:29" s="212" customFormat="1" ht="15">
      <c r="A75" s="384"/>
      <c r="B75" s="497">
        <f>B14</f>
        <v>111</v>
      </c>
      <c r="C75" s="370"/>
      <c r="D75" s="370"/>
      <c r="E75" s="370"/>
      <c r="F75" s="370"/>
      <c r="G75" s="370"/>
      <c r="H75" s="571"/>
      <c r="I75" s="571"/>
      <c r="J75" s="571"/>
      <c r="K75" s="571"/>
      <c r="L75" s="580"/>
      <c r="M75" s="581"/>
      <c r="N75" s="459"/>
      <c r="O75" s="459"/>
      <c r="P75" s="614"/>
      <c r="Q75" s="485"/>
      <c r="R75" s="486"/>
      <c r="S75" s="486"/>
      <c r="T75" s="486"/>
      <c r="U75" s="486"/>
      <c r="V75" s="486"/>
      <c r="W75" s="486"/>
      <c r="X75" s="486"/>
      <c r="Y75" s="486"/>
      <c r="Z75" s="486"/>
      <c r="AA75" s="486"/>
      <c r="AB75" s="486"/>
      <c r="AC75" s="486"/>
    </row>
    <row r="76" spans="1:29" s="212" customFormat="1" ht="15">
      <c r="A76" s="572"/>
      <c r="B76" s="573"/>
      <c r="C76" s="574"/>
      <c r="D76" s="574"/>
      <c r="E76" s="574"/>
      <c r="F76" s="574"/>
      <c r="G76" s="574"/>
      <c r="H76" s="575"/>
      <c r="I76" s="575"/>
      <c r="J76" s="575"/>
      <c r="K76" s="575"/>
      <c r="L76" s="575"/>
      <c r="M76" s="583"/>
      <c r="N76" s="459"/>
      <c r="O76" s="459"/>
      <c r="P76" s="612"/>
      <c r="Q76" s="485"/>
      <c r="R76" s="486"/>
      <c r="S76" s="486"/>
      <c r="T76" s="486"/>
      <c r="U76" s="486"/>
      <c r="V76" s="486"/>
      <c r="W76" s="486"/>
      <c r="X76" s="486"/>
      <c r="Y76" s="486"/>
      <c r="Z76" s="486"/>
      <c r="AA76" s="486"/>
      <c r="AB76" s="486"/>
      <c r="AC76" s="486"/>
    </row>
    <row r="77" spans="1:29">
      <c r="A77" s="371" t="s">
        <v>1103</v>
      </c>
      <c r="B77" s="372" t="s">
        <v>225</v>
      </c>
      <c r="C77" s="388" t="s">
        <v>244</v>
      </c>
      <c r="D77" s="388" t="s">
        <v>256</v>
      </c>
      <c r="E77" s="388" t="s">
        <v>267</v>
      </c>
      <c r="F77" s="388" t="s">
        <v>277</v>
      </c>
      <c r="G77" s="388" t="s">
        <v>285</v>
      </c>
      <c r="H77" s="373"/>
      <c r="I77" s="373"/>
      <c r="J77" s="373"/>
      <c r="K77" s="462"/>
      <c r="L77" s="463"/>
      <c r="M77" s="464"/>
      <c r="N77" s="447"/>
      <c r="O77" s="447"/>
      <c r="P77" s="615"/>
      <c r="Q77" s="437"/>
      <c r="R77" s="351"/>
      <c r="S77" s="351"/>
      <c r="T77" s="351"/>
      <c r="U77" s="351"/>
      <c r="V77" s="351"/>
      <c r="W77" s="351"/>
      <c r="X77" s="351"/>
      <c r="Y77" s="351"/>
      <c r="Z77" s="351"/>
      <c r="AA77" s="351"/>
      <c r="AB77" s="351"/>
      <c r="AC77" s="351"/>
    </row>
    <row r="78" spans="1:29" ht="15">
      <c r="A78" s="375"/>
      <c r="B78" s="380"/>
      <c r="C78" s="389">
        <v>100</v>
      </c>
      <c r="D78" s="389">
        <f>C78-$K15</f>
        <v>100</v>
      </c>
      <c r="E78" s="389">
        <f>D78-$K15</f>
        <v>100</v>
      </c>
      <c r="F78" s="389">
        <f>E78-$K15</f>
        <v>100</v>
      </c>
      <c r="G78" s="389">
        <f>F78-$K15</f>
        <v>100</v>
      </c>
      <c r="H78" s="389"/>
      <c r="I78" s="389"/>
      <c r="J78" s="389"/>
      <c r="K78" s="389"/>
      <c r="L78" s="389"/>
      <c r="M78" s="466"/>
      <c r="N78" s="450"/>
      <c r="O78" s="450"/>
      <c r="P78" s="610"/>
      <c r="Q78" s="437"/>
      <c r="R78" s="351"/>
      <c r="S78" s="351"/>
      <c r="T78" s="351"/>
      <c r="U78" s="351"/>
      <c r="V78" s="351"/>
      <c r="W78" s="351"/>
      <c r="X78" s="351"/>
      <c r="Y78" s="351"/>
      <c r="Z78" s="351"/>
      <c r="AA78" s="351"/>
      <c r="AB78" s="351"/>
      <c r="AC78" s="351"/>
    </row>
    <row r="79" spans="1:29" ht="15">
      <c r="A79" s="375"/>
      <c r="B79" s="378" t="s">
        <v>227</v>
      </c>
      <c r="C79" s="391" t="s">
        <v>244</v>
      </c>
      <c r="D79" s="391" t="s">
        <v>256</v>
      </c>
      <c r="E79" s="391" t="s">
        <v>267</v>
      </c>
      <c r="F79" s="391" t="s">
        <v>277</v>
      </c>
      <c r="G79" s="391" t="s">
        <v>285</v>
      </c>
      <c r="H79" s="392"/>
      <c r="I79" s="392"/>
      <c r="J79" s="392"/>
      <c r="K79" s="467"/>
      <c r="L79" s="468"/>
      <c r="M79" s="469"/>
      <c r="N79" s="447"/>
      <c r="O79" s="447"/>
      <c r="P79" s="610"/>
      <c r="Q79" s="437"/>
      <c r="R79" s="351"/>
      <c r="S79" s="351"/>
      <c r="T79" s="351"/>
      <c r="U79" s="351"/>
      <c r="V79" s="351"/>
      <c r="W79" s="351"/>
      <c r="X79" s="351"/>
      <c r="Y79" s="351"/>
      <c r="Z79" s="351"/>
      <c r="AA79" s="351"/>
      <c r="AB79" s="351"/>
      <c r="AC79" s="351"/>
    </row>
    <row r="80" spans="1:29" ht="15">
      <c r="A80" s="375"/>
      <c r="B80" s="380"/>
      <c r="C80" s="389">
        <v>100</v>
      </c>
      <c r="D80" s="389">
        <f>C80-$K17</f>
        <v>100</v>
      </c>
      <c r="E80" s="389">
        <f>D80-$K17</f>
        <v>100</v>
      </c>
      <c r="F80" s="389">
        <f>E80-$K17</f>
        <v>100</v>
      </c>
      <c r="G80" s="389">
        <f>F80-$K17</f>
        <v>100</v>
      </c>
      <c r="H80" s="389"/>
      <c r="I80" s="389"/>
      <c r="J80" s="389"/>
      <c r="K80" s="389"/>
      <c r="L80" s="389"/>
      <c r="M80" s="466"/>
      <c r="N80" s="450"/>
      <c r="O80" s="450"/>
      <c r="P80" s="610"/>
      <c r="Q80" s="437"/>
      <c r="R80" s="351"/>
      <c r="S80" s="351"/>
      <c r="T80" s="351"/>
      <c r="U80" s="351"/>
      <c r="V80" s="351"/>
      <c r="W80" s="351"/>
      <c r="X80" s="351"/>
      <c r="Y80" s="351"/>
      <c r="Z80" s="351"/>
      <c r="AA80" s="351"/>
      <c r="AB80" s="351"/>
      <c r="AC80" s="351"/>
    </row>
    <row r="81" spans="1:29" ht="15">
      <c r="A81" s="375"/>
      <c r="B81" s="390" t="s">
        <v>229</v>
      </c>
      <c r="C81" s="391" t="s">
        <v>244</v>
      </c>
      <c r="D81" s="391" t="s">
        <v>256</v>
      </c>
      <c r="E81" s="391" t="s">
        <v>267</v>
      </c>
      <c r="F81" s="391" t="s">
        <v>277</v>
      </c>
      <c r="G81" s="391" t="s">
        <v>285</v>
      </c>
      <c r="H81" s="392"/>
      <c r="I81" s="392"/>
      <c r="J81" s="392"/>
      <c r="K81" s="467"/>
      <c r="L81" s="468"/>
      <c r="M81" s="469"/>
      <c r="N81" s="447"/>
      <c r="O81" s="447"/>
      <c r="P81" s="610"/>
      <c r="Q81" s="437"/>
      <c r="R81" s="351"/>
      <c r="S81" s="351"/>
      <c r="T81" s="351"/>
      <c r="U81" s="351"/>
      <c r="V81" s="351"/>
      <c r="W81" s="351"/>
      <c r="X81" s="351"/>
      <c r="Y81" s="351"/>
      <c r="Z81" s="351"/>
      <c r="AA81" s="351"/>
      <c r="AB81" s="351"/>
      <c r="AC81" s="351"/>
    </row>
    <row r="82" spans="1:29" ht="15">
      <c r="A82" s="375"/>
      <c r="B82" s="380"/>
      <c r="C82" s="389">
        <v>100</v>
      </c>
      <c r="D82" s="389">
        <f>C82-$K19</f>
        <v>100</v>
      </c>
      <c r="E82" s="389">
        <f>D82-$K19</f>
        <v>100</v>
      </c>
      <c r="F82" s="389">
        <f>E82-$K19</f>
        <v>100</v>
      </c>
      <c r="G82" s="389">
        <f>F82-$K19</f>
        <v>100</v>
      </c>
      <c r="H82" s="389"/>
      <c r="I82" s="389"/>
      <c r="J82" s="389"/>
      <c r="K82" s="389"/>
      <c r="L82" s="389"/>
      <c r="M82" s="466"/>
      <c r="N82" s="450"/>
      <c r="O82" s="450"/>
      <c r="P82" s="610"/>
      <c r="Q82" s="437"/>
      <c r="R82" s="351"/>
      <c r="S82" s="351"/>
      <c r="T82" s="351"/>
      <c r="U82" s="351"/>
      <c r="V82" s="351"/>
      <c r="W82" s="351"/>
      <c r="X82" s="351"/>
      <c r="Y82" s="351"/>
      <c r="Z82" s="351"/>
      <c r="AA82" s="351"/>
      <c r="AB82" s="351"/>
      <c r="AC82" s="351"/>
    </row>
    <row r="83" spans="1:29" ht="15">
      <c r="A83" s="375"/>
      <c r="B83" s="495" t="s">
        <v>230</v>
      </c>
      <c r="C83" s="496" t="s">
        <v>245</v>
      </c>
      <c r="D83" s="496" t="s">
        <v>257</v>
      </c>
      <c r="E83" s="496" t="s">
        <v>268</v>
      </c>
      <c r="F83" s="496" t="s">
        <v>278</v>
      </c>
      <c r="G83" s="496" t="s">
        <v>286</v>
      </c>
      <c r="H83" s="392"/>
      <c r="I83" s="392"/>
      <c r="J83" s="392"/>
      <c r="K83" s="392"/>
      <c r="L83" s="392"/>
      <c r="M83" s="506"/>
      <c r="N83" s="450"/>
      <c r="O83" s="450"/>
      <c r="P83" s="610"/>
      <c r="Q83" s="437"/>
      <c r="R83" s="351"/>
      <c r="S83" s="351"/>
      <c r="T83" s="351"/>
      <c r="U83" s="351"/>
      <c r="V83" s="351"/>
      <c r="W83" s="351"/>
      <c r="X83" s="351"/>
      <c r="Y83" s="351"/>
      <c r="Z83" s="351"/>
      <c r="AA83" s="351"/>
      <c r="AB83" s="351"/>
      <c r="AC83" s="351"/>
    </row>
    <row r="84" spans="1:29" ht="15">
      <c r="A84" s="375"/>
      <c r="B84" s="497"/>
      <c r="C84" s="389">
        <v>100</v>
      </c>
      <c r="D84" s="389">
        <f>C84-$K21</f>
        <v>100</v>
      </c>
      <c r="E84" s="389">
        <f>D84-$K21</f>
        <v>100</v>
      </c>
      <c r="F84" s="389">
        <f>E84-$K21</f>
        <v>100</v>
      </c>
      <c r="G84" s="389">
        <f>F84-$K21</f>
        <v>100</v>
      </c>
      <c r="H84" s="381"/>
      <c r="I84" s="381"/>
      <c r="J84" s="381"/>
      <c r="K84" s="381"/>
      <c r="L84" s="381"/>
      <c r="M84" s="280"/>
      <c r="N84" s="450"/>
      <c r="O84" s="450"/>
      <c r="P84" s="610"/>
      <c r="Q84" s="437"/>
      <c r="R84" s="351"/>
      <c r="S84" s="351"/>
      <c r="T84" s="351"/>
      <c r="U84" s="351"/>
      <c r="V84" s="351"/>
      <c r="W84" s="351"/>
      <c r="X84" s="351"/>
      <c r="Y84" s="351"/>
      <c r="Z84" s="351"/>
      <c r="AA84" s="351"/>
      <c r="AB84" s="351"/>
      <c r="AC84" s="351"/>
    </row>
    <row r="85" spans="1:29" ht="15">
      <c r="A85" s="375"/>
      <c r="B85" s="378" t="s">
        <v>231</v>
      </c>
      <c r="C85" s="391" t="s">
        <v>244</v>
      </c>
      <c r="D85" s="391" t="s">
        <v>256</v>
      </c>
      <c r="E85" s="391" t="s">
        <v>267</v>
      </c>
      <c r="F85" s="391" t="s">
        <v>277</v>
      </c>
      <c r="G85" s="391" t="s">
        <v>285</v>
      </c>
      <c r="H85" s="392"/>
      <c r="I85" s="392"/>
      <c r="J85" s="392"/>
      <c r="K85" s="467"/>
      <c r="L85" s="468"/>
      <c r="M85" s="469"/>
      <c r="N85" s="447"/>
      <c r="O85" s="447"/>
      <c r="P85" s="610"/>
      <c r="Q85" s="437"/>
      <c r="R85" s="351"/>
      <c r="S85" s="351"/>
      <c r="T85" s="351"/>
      <c r="U85" s="351"/>
      <c r="V85" s="351"/>
      <c r="W85" s="351"/>
      <c r="X85" s="351"/>
      <c r="Y85" s="351"/>
      <c r="Z85" s="351"/>
      <c r="AA85" s="351"/>
      <c r="AB85" s="351"/>
      <c r="AC85" s="351"/>
    </row>
    <row r="86" spans="1:29" ht="15">
      <c r="A86" s="375"/>
      <c r="B86" s="380"/>
      <c r="C86" s="389">
        <v>100</v>
      </c>
      <c r="D86" s="389">
        <f>C86-$K23</f>
        <v>100</v>
      </c>
      <c r="E86" s="389">
        <f>D86-$K23</f>
        <v>100</v>
      </c>
      <c r="F86" s="389">
        <f>E86-$K23</f>
        <v>100</v>
      </c>
      <c r="G86" s="389">
        <f>F86-$K23</f>
        <v>100</v>
      </c>
      <c r="H86" s="389"/>
      <c r="I86" s="389"/>
      <c r="J86" s="389"/>
      <c r="K86" s="389"/>
      <c r="L86" s="389"/>
      <c r="M86" s="466"/>
      <c r="N86" s="450"/>
      <c r="O86" s="450"/>
      <c r="P86" s="610"/>
      <c r="Q86" s="437"/>
      <c r="R86" s="351"/>
      <c r="S86" s="351"/>
      <c r="T86" s="351"/>
      <c r="U86" s="351"/>
      <c r="V86" s="351"/>
      <c r="W86" s="351"/>
      <c r="X86" s="351"/>
      <c r="Y86" s="351"/>
      <c r="Z86" s="351"/>
      <c r="AA86" s="351"/>
      <c r="AB86" s="351"/>
      <c r="AC86" s="351"/>
    </row>
    <row r="87" spans="1:29" s="210" customFormat="1" ht="27">
      <c r="A87" s="498"/>
      <c r="B87" s="378" t="s">
        <v>1058</v>
      </c>
      <c r="C87" s="385"/>
      <c r="D87" s="385"/>
      <c r="E87" s="385"/>
      <c r="F87" s="385"/>
      <c r="G87" s="385"/>
      <c r="H87" s="385"/>
      <c r="I87" s="385"/>
      <c r="J87" s="385"/>
      <c r="K87" s="385"/>
      <c r="L87" s="507"/>
      <c r="M87" s="508"/>
      <c r="N87" s="442"/>
      <c r="O87" s="442"/>
      <c r="P87" s="610"/>
      <c r="Q87" s="437"/>
      <c r="R87" s="484"/>
      <c r="S87" s="484"/>
      <c r="T87" s="484"/>
      <c r="U87" s="484"/>
      <c r="V87" s="484"/>
      <c r="W87" s="484"/>
      <c r="X87" s="484"/>
      <c r="Y87" s="484"/>
      <c r="Z87" s="484"/>
      <c r="AA87" s="484"/>
      <c r="AB87" s="484"/>
      <c r="AC87" s="484"/>
    </row>
    <row r="88" spans="1:29" s="210" customFormat="1" ht="15">
      <c r="A88" s="498"/>
      <c r="B88" s="380"/>
      <c r="C88" s="500">
        <v>100</v>
      </c>
      <c r="D88" s="389">
        <f t="shared" ref="D88:M88" si="16">C88-$K25</f>
        <v>100</v>
      </c>
      <c r="E88" s="389">
        <f t="shared" si="16"/>
        <v>100</v>
      </c>
      <c r="F88" s="389">
        <f t="shared" si="16"/>
        <v>100</v>
      </c>
      <c r="G88" s="389">
        <f t="shared" si="16"/>
        <v>100</v>
      </c>
      <c r="H88" s="389">
        <f t="shared" si="16"/>
        <v>100</v>
      </c>
      <c r="I88" s="389">
        <f t="shared" si="16"/>
        <v>100</v>
      </c>
      <c r="J88" s="389">
        <f t="shared" si="16"/>
        <v>100</v>
      </c>
      <c r="K88" s="389">
        <f t="shared" si="16"/>
        <v>100</v>
      </c>
      <c r="L88" s="389">
        <f t="shared" si="16"/>
        <v>100</v>
      </c>
      <c r="M88" s="389">
        <f t="shared" si="16"/>
        <v>100</v>
      </c>
      <c r="N88" s="450"/>
      <c r="O88" s="450"/>
      <c r="P88" s="610"/>
      <c r="Q88" s="437"/>
      <c r="R88" s="484"/>
      <c r="S88" s="484"/>
      <c r="T88" s="484"/>
      <c r="U88" s="484"/>
      <c r="V88" s="484"/>
      <c r="W88" s="484"/>
      <c r="X88" s="484"/>
      <c r="Y88" s="484"/>
      <c r="Z88" s="484"/>
      <c r="AA88" s="484"/>
      <c r="AB88" s="484"/>
      <c r="AC88" s="484"/>
    </row>
    <row r="89" spans="1:29" s="210" customFormat="1" ht="15">
      <c r="A89" s="498"/>
      <c r="B89" s="378" t="str">
        <f>B27</f>
        <v>楼层</v>
      </c>
      <c r="C89" s="385"/>
      <c r="D89" s="385"/>
      <c r="E89" s="385"/>
      <c r="F89" s="611"/>
      <c r="G89" s="385"/>
      <c r="H89" s="385"/>
      <c r="I89" s="385"/>
      <c r="J89" s="385"/>
      <c r="K89" s="385"/>
      <c r="L89" s="385"/>
      <c r="M89" s="508"/>
      <c r="N89" s="442"/>
      <c r="O89" s="442"/>
      <c r="P89" s="610"/>
      <c r="Q89" s="437"/>
      <c r="R89" s="484"/>
      <c r="S89" s="484"/>
      <c r="T89" s="484"/>
      <c r="U89" s="484"/>
      <c r="V89" s="484"/>
      <c r="W89" s="484"/>
      <c r="X89" s="484"/>
      <c r="Y89" s="484"/>
      <c r="Z89" s="484"/>
      <c r="AA89" s="484"/>
      <c r="AB89" s="484"/>
      <c r="AC89" s="484"/>
    </row>
    <row r="90" spans="1:29" s="210" customFormat="1" ht="15">
      <c r="A90" s="498"/>
      <c r="B90" s="380"/>
      <c r="C90" s="500">
        <v>100</v>
      </c>
      <c r="D90" s="389">
        <f>C90-$K27</f>
        <v>100</v>
      </c>
      <c r="E90" s="389">
        <f t="shared" ref="E90:M90" si="17">D90-$K27</f>
        <v>100</v>
      </c>
      <c r="F90" s="389">
        <f t="shared" si="17"/>
        <v>100</v>
      </c>
      <c r="G90" s="389">
        <f t="shared" si="17"/>
        <v>100</v>
      </c>
      <c r="H90" s="389">
        <f t="shared" si="17"/>
        <v>100</v>
      </c>
      <c r="I90" s="389">
        <f t="shared" si="17"/>
        <v>100</v>
      </c>
      <c r="J90" s="389">
        <f t="shared" si="17"/>
        <v>100</v>
      </c>
      <c r="K90" s="389">
        <f t="shared" si="17"/>
        <v>100</v>
      </c>
      <c r="L90" s="389">
        <f t="shared" si="17"/>
        <v>100</v>
      </c>
      <c r="M90" s="389">
        <f t="shared" si="17"/>
        <v>100</v>
      </c>
      <c r="N90" s="450"/>
      <c r="O90" s="450"/>
      <c r="P90" s="610"/>
      <c r="Q90" s="437"/>
      <c r="R90" s="484"/>
      <c r="S90" s="484"/>
      <c r="T90" s="484"/>
      <c r="U90" s="484"/>
      <c r="V90" s="484"/>
      <c r="W90" s="484"/>
      <c r="X90" s="484"/>
      <c r="Y90" s="484"/>
      <c r="Z90" s="484"/>
      <c r="AA90" s="484"/>
      <c r="AB90" s="484"/>
      <c r="AC90" s="484"/>
    </row>
    <row r="91" spans="1:29" s="212" customFormat="1" ht="15">
      <c r="A91" s="384"/>
      <c r="B91" s="378" t="str">
        <f>B28</f>
        <v>朝向</v>
      </c>
      <c r="C91" s="385"/>
      <c r="D91" s="385"/>
      <c r="E91" s="385"/>
      <c r="F91" s="385"/>
      <c r="G91" s="385"/>
      <c r="H91" s="386"/>
      <c r="I91" s="386"/>
      <c r="J91" s="386"/>
      <c r="K91" s="386"/>
      <c r="L91" s="457"/>
      <c r="M91" s="458"/>
      <c r="N91" s="459"/>
      <c r="O91" s="459"/>
      <c r="P91" s="612"/>
      <c r="Q91" s="485"/>
      <c r="R91" s="486"/>
      <c r="S91" s="486"/>
      <c r="T91" s="486"/>
      <c r="U91" s="486"/>
      <c r="V91" s="486"/>
      <c r="W91" s="486"/>
      <c r="X91" s="486"/>
      <c r="Y91" s="486"/>
      <c r="Z91" s="486"/>
      <c r="AA91" s="486"/>
      <c r="AB91" s="486"/>
      <c r="AC91" s="486"/>
    </row>
    <row r="92" spans="1:29" s="212" customFormat="1" ht="15">
      <c r="A92" s="384"/>
      <c r="B92" s="380"/>
      <c r="C92" s="500">
        <v>100</v>
      </c>
      <c r="D92" s="389">
        <f t="shared" ref="D92:M92" si="18">C92-$K28</f>
        <v>100</v>
      </c>
      <c r="E92" s="389">
        <f t="shared" si="18"/>
        <v>100</v>
      </c>
      <c r="F92" s="389">
        <f t="shared" si="18"/>
        <v>100</v>
      </c>
      <c r="G92" s="389">
        <f t="shared" si="18"/>
        <v>100</v>
      </c>
      <c r="H92" s="389">
        <f t="shared" si="18"/>
        <v>100</v>
      </c>
      <c r="I92" s="389">
        <f t="shared" si="18"/>
        <v>100</v>
      </c>
      <c r="J92" s="389">
        <f t="shared" si="18"/>
        <v>100</v>
      </c>
      <c r="K92" s="389">
        <f t="shared" si="18"/>
        <v>100</v>
      </c>
      <c r="L92" s="389">
        <f t="shared" si="18"/>
        <v>100</v>
      </c>
      <c r="M92" s="389">
        <f t="shared" si="18"/>
        <v>100</v>
      </c>
      <c r="N92" s="459"/>
      <c r="O92" s="459"/>
      <c r="P92" s="612"/>
      <c r="Q92" s="485"/>
      <c r="R92" s="486"/>
      <c r="S92" s="486"/>
      <c r="T92" s="486"/>
      <c r="U92" s="486"/>
      <c r="V92" s="486"/>
      <c r="W92" s="486"/>
      <c r="X92" s="486"/>
      <c r="Y92" s="486"/>
      <c r="Z92" s="486"/>
      <c r="AA92" s="486"/>
      <c r="AB92" s="486"/>
      <c r="AC92" s="486"/>
    </row>
    <row r="93" spans="1:29" ht="15">
      <c r="A93" s="375"/>
      <c r="B93" s="378">
        <f>B29</f>
        <v>111</v>
      </c>
      <c r="C93" s="385"/>
      <c r="D93" s="385"/>
      <c r="E93" s="385"/>
      <c r="F93" s="385"/>
      <c r="G93" s="385"/>
      <c r="H93" s="385"/>
      <c r="I93" s="385"/>
      <c r="J93" s="385"/>
      <c r="K93" s="385"/>
      <c r="L93" s="507"/>
      <c r="M93" s="508"/>
      <c r="N93" s="447"/>
      <c r="O93" s="447"/>
      <c r="P93" s="610"/>
      <c r="Q93" s="437"/>
      <c r="R93" s="351"/>
      <c r="S93" s="351"/>
      <c r="T93" s="351"/>
      <c r="U93" s="351"/>
      <c r="V93" s="351"/>
      <c r="W93" s="351"/>
      <c r="X93" s="351"/>
      <c r="Y93" s="351"/>
      <c r="Z93" s="351"/>
      <c r="AA93" s="351"/>
      <c r="AB93" s="351"/>
      <c r="AC93" s="351"/>
    </row>
    <row r="94" spans="1:29" ht="15">
      <c r="A94" s="375"/>
      <c r="B94" s="380"/>
      <c r="C94" s="383"/>
      <c r="D94" s="377"/>
      <c r="E94" s="377"/>
      <c r="F94" s="377"/>
      <c r="G94" s="377"/>
      <c r="H94" s="377"/>
      <c r="I94" s="377"/>
      <c r="J94" s="377"/>
      <c r="K94" s="377"/>
      <c r="L94" s="377"/>
      <c r="M94" s="449"/>
      <c r="N94" s="450"/>
      <c r="O94" s="450"/>
      <c r="P94" s="610"/>
      <c r="Q94" s="437"/>
      <c r="R94" s="351"/>
      <c r="S94" s="351"/>
      <c r="T94" s="351"/>
      <c r="U94" s="351"/>
      <c r="V94" s="351"/>
      <c r="W94" s="351"/>
      <c r="X94" s="351"/>
      <c r="Y94" s="351"/>
      <c r="Z94" s="351"/>
      <c r="AA94" s="351"/>
      <c r="AB94" s="351"/>
      <c r="AC94" s="351"/>
    </row>
    <row r="95" spans="1:29" ht="15">
      <c r="A95" s="375"/>
      <c r="B95" s="378">
        <f>B30</f>
        <v>111</v>
      </c>
      <c r="C95" s="385"/>
      <c r="D95" s="385"/>
      <c r="E95" s="385"/>
      <c r="F95" s="385"/>
      <c r="G95" s="379"/>
      <c r="H95" s="379"/>
      <c r="I95" s="379"/>
      <c r="J95" s="379"/>
      <c r="K95" s="451"/>
      <c r="L95" s="452"/>
      <c r="M95" s="453"/>
      <c r="N95" s="447"/>
      <c r="O95" s="447"/>
      <c r="P95" s="610"/>
      <c r="Q95" s="437"/>
      <c r="R95" s="351"/>
      <c r="S95" s="351"/>
      <c r="T95" s="351"/>
      <c r="U95" s="351"/>
      <c r="V95" s="351"/>
      <c r="W95" s="351"/>
      <c r="X95" s="351"/>
      <c r="Y95" s="351"/>
      <c r="Z95" s="351"/>
      <c r="AA95" s="351"/>
      <c r="AB95" s="351"/>
      <c r="AC95" s="351"/>
    </row>
    <row r="96" spans="1:29" ht="15">
      <c r="A96" s="375"/>
      <c r="B96" s="380"/>
      <c r="C96" s="383"/>
      <c r="D96" s="383"/>
      <c r="E96" s="383"/>
      <c r="F96" s="383"/>
      <c r="G96" s="377"/>
      <c r="H96" s="377"/>
      <c r="I96" s="377"/>
      <c r="J96" s="377"/>
      <c r="K96" s="377"/>
      <c r="L96" s="377"/>
      <c r="M96" s="449"/>
      <c r="N96" s="450"/>
      <c r="O96" s="450"/>
      <c r="P96" s="610"/>
      <c r="Q96" s="437"/>
      <c r="R96" s="351"/>
      <c r="S96" s="351"/>
      <c r="T96" s="351"/>
      <c r="U96" s="351"/>
      <c r="V96" s="351"/>
      <c r="W96" s="351"/>
      <c r="X96" s="351"/>
      <c r="Y96" s="351"/>
      <c r="Z96" s="351"/>
      <c r="AA96" s="351"/>
      <c r="AB96" s="351"/>
      <c r="AC96" s="351"/>
    </row>
    <row r="97" spans="1:29" ht="15">
      <c r="A97" s="375"/>
      <c r="B97" s="378">
        <f>B31</f>
        <v>111</v>
      </c>
      <c r="C97" s="385"/>
      <c r="D97" s="385"/>
      <c r="E97" s="385"/>
      <c r="F97" s="385"/>
      <c r="G97" s="379"/>
      <c r="H97" s="379"/>
      <c r="I97" s="379"/>
      <c r="J97" s="379"/>
      <c r="K97" s="451"/>
      <c r="L97" s="452"/>
      <c r="M97" s="453"/>
      <c r="N97" s="447"/>
      <c r="O97" s="447"/>
      <c r="P97" s="610"/>
      <c r="Q97" s="437"/>
      <c r="R97" s="351"/>
      <c r="S97" s="351"/>
      <c r="T97" s="351"/>
      <c r="U97" s="351"/>
      <c r="V97" s="351"/>
      <c r="W97" s="351"/>
      <c r="X97" s="351"/>
      <c r="Y97" s="351"/>
      <c r="Z97" s="351"/>
      <c r="AA97" s="351"/>
      <c r="AB97" s="351"/>
      <c r="AC97" s="351"/>
    </row>
    <row r="98" spans="1:29" ht="15">
      <c r="A98" s="375"/>
      <c r="B98" s="380"/>
      <c r="C98" s="383"/>
      <c r="D98" s="377"/>
      <c r="E98" s="377"/>
      <c r="F98" s="377"/>
      <c r="G98" s="377"/>
      <c r="H98" s="377"/>
      <c r="I98" s="377"/>
      <c r="J98" s="377"/>
      <c r="K98" s="377"/>
      <c r="L98" s="377"/>
      <c r="M98" s="449"/>
      <c r="N98" s="450"/>
      <c r="O98" s="450"/>
      <c r="P98" s="610"/>
      <c r="Q98" s="437"/>
      <c r="R98" s="351"/>
      <c r="S98" s="351"/>
      <c r="T98" s="351"/>
      <c r="U98" s="351"/>
      <c r="V98" s="351"/>
      <c r="W98" s="351"/>
      <c r="X98" s="351"/>
      <c r="Y98" s="351"/>
      <c r="Z98" s="351"/>
      <c r="AA98" s="351"/>
      <c r="AB98" s="351"/>
      <c r="AC98" s="351"/>
    </row>
    <row r="99" spans="1:29" ht="15">
      <c r="A99" s="375"/>
      <c r="B99" s="497">
        <f>B32</f>
        <v>111</v>
      </c>
      <c r="C99" s="370"/>
      <c r="D99" s="370"/>
      <c r="E99" s="370"/>
      <c r="F99" s="370"/>
      <c r="G99" s="576"/>
      <c r="H99" s="576"/>
      <c r="I99" s="576"/>
      <c r="J99" s="576"/>
      <c r="K99" s="584"/>
      <c r="L99" s="585"/>
      <c r="M99" s="586"/>
      <c r="N99" s="447"/>
      <c r="O99" s="447"/>
      <c r="P99" s="610"/>
      <c r="Q99" s="437"/>
      <c r="R99" s="351"/>
      <c r="S99" s="351"/>
      <c r="T99" s="351"/>
      <c r="U99" s="351"/>
      <c r="V99" s="351"/>
      <c r="W99" s="351"/>
      <c r="X99" s="351"/>
      <c r="Y99" s="351"/>
      <c r="Z99" s="351"/>
      <c r="AA99" s="351"/>
      <c r="AB99" s="351"/>
      <c r="AC99" s="351"/>
    </row>
    <row r="100" spans="1:29" ht="15">
      <c r="A100" s="577"/>
      <c r="B100" s="573"/>
      <c r="C100" s="574"/>
      <c r="D100" s="574"/>
      <c r="E100" s="574"/>
      <c r="F100" s="574"/>
      <c r="G100" s="578"/>
      <c r="H100" s="578"/>
      <c r="I100" s="578"/>
      <c r="J100" s="578"/>
      <c r="K100" s="578"/>
      <c r="L100" s="578"/>
      <c r="M100" s="587"/>
      <c r="N100" s="450"/>
      <c r="O100" s="450"/>
      <c r="P100" s="610"/>
      <c r="Q100" s="437"/>
      <c r="R100" s="351"/>
      <c r="S100" s="351"/>
      <c r="T100" s="351"/>
      <c r="U100" s="351"/>
      <c r="V100" s="351"/>
      <c r="W100" s="351"/>
      <c r="X100" s="351"/>
      <c r="Y100" s="351"/>
      <c r="Z100" s="351"/>
      <c r="AA100" s="351"/>
      <c r="AB100" s="351"/>
      <c r="AC100" s="351"/>
    </row>
    <row r="101" spans="1:29">
      <c r="A101" s="371" t="s">
        <v>1108</v>
      </c>
      <c r="B101" s="372" t="s">
        <v>2415</v>
      </c>
      <c r="C101" s="374"/>
      <c r="D101" s="374"/>
      <c r="E101" s="374"/>
      <c r="F101" s="374"/>
      <c r="G101" s="374"/>
      <c r="H101" s="374"/>
      <c r="I101" s="374"/>
      <c r="J101" s="374"/>
      <c r="K101" s="444"/>
      <c r="L101" s="445"/>
      <c r="M101" s="446"/>
      <c r="N101" s="447"/>
      <c r="O101" s="447"/>
      <c r="P101" s="610"/>
      <c r="Q101" s="437"/>
      <c r="R101" s="351"/>
      <c r="S101" s="351"/>
      <c r="T101" s="351"/>
      <c r="U101" s="351"/>
      <c r="V101" s="351"/>
      <c r="W101" s="351"/>
      <c r="X101" s="351"/>
      <c r="Y101" s="351"/>
      <c r="Z101" s="351"/>
      <c r="AA101" s="351"/>
      <c r="AB101" s="351"/>
      <c r="AC101" s="351"/>
    </row>
    <row r="102" spans="1:29" ht="15">
      <c r="A102" s="375"/>
      <c r="B102" s="380"/>
      <c r="C102" s="389">
        <v>100</v>
      </c>
      <c r="D102" s="389">
        <f t="shared" ref="D102:M102" si="19">C102-$K33</f>
        <v>100</v>
      </c>
      <c r="E102" s="389">
        <f t="shared" si="19"/>
        <v>100</v>
      </c>
      <c r="F102" s="389">
        <f t="shared" si="19"/>
        <v>100</v>
      </c>
      <c r="G102" s="389">
        <f t="shared" si="19"/>
        <v>100</v>
      </c>
      <c r="H102" s="389">
        <f t="shared" si="19"/>
        <v>100</v>
      </c>
      <c r="I102" s="389">
        <f t="shared" si="19"/>
        <v>100</v>
      </c>
      <c r="J102" s="389">
        <f t="shared" si="19"/>
        <v>100</v>
      </c>
      <c r="K102" s="389">
        <f t="shared" si="19"/>
        <v>100</v>
      </c>
      <c r="L102" s="389">
        <f t="shared" si="19"/>
        <v>100</v>
      </c>
      <c r="M102" s="466">
        <f t="shared" si="19"/>
        <v>100</v>
      </c>
      <c r="N102" s="450"/>
      <c r="O102" s="450"/>
      <c r="P102" s="610"/>
      <c r="Q102" s="437"/>
      <c r="R102" s="351"/>
      <c r="S102" s="351"/>
      <c r="T102" s="351"/>
      <c r="U102" s="351"/>
      <c r="V102" s="351"/>
      <c r="W102" s="351"/>
      <c r="X102" s="351"/>
      <c r="Y102" s="351"/>
      <c r="Z102" s="351"/>
      <c r="AA102" s="351"/>
      <c r="AB102" s="351"/>
      <c r="AC102" s="351"/>
    </row>
    <row r="103" spans="1:29" ht="15">
      <c r="A103" s="375"/>
      <c r="B103" s="378" t="s">
        <v>2416</v>
      </c>
      <c r="C103" s="391" t="str">
        <f>C104&amp;"(含)"&amp;"-"&amp;D104</f>
        <v>(含)-</v>
      </c>
      <c r="D103" s="391" t="str">
        <f t="shared" ref="D103:L103" si="20">D104&amp;"(含)"&amp;"-"&amp;E104</f>
        <v>(含)-</v>
      </c>
      <c r="E103" s="391" t="str">
        <f t="shared" si="20"/>
        <v>(含)-</v>
      </c>
      <c r="F103" s="391" t="str">
        <f t="shared" si="20"/>
        <v>(含)-</v>
      </c>
      <c r="G103" s="391" t="str">
        <f t="shared" si="20"/>
        <v>(含)-</v>
      </c>
      <c r="H103" s="391" t="str">
        <f t="shared" si="20"/>
        <v>(含)-</v>
      </c>
      <c r="I103" s="391" t="str">
        <f t="shared" si="20"/>
        <v>(含)-</v>
      </c>
      <c r="J103" s="391" t="str">
        <f t="shared" si="20"/>
        <v>(含)-</v>
      </c>
      <c r="K103" s="391" t="str">
        <f t="shared" si="20"/>
        <v>(含)-</v>
      </c>
      <c r="L103" s="391" t="str">
        <f t="shared" si="20"/>
        <v>(含)-</v>
      </c>
      <c r="M103" s="512" t="str">
        <f>M104&amp;"(含)"&amp;"-"&amp;P104</f>
        <v>(含)-</v>
      </c>
      <c r="N103" s="442"/>
      <c r="O103" s="442"/>
      <c r="P103" s="610"/>
      <c r="Q103" s="437"/>
      <c r="R103" s="351"/>
      <c r="S103" s="351"/>
      <c r="T103" s="351"/>
      <c r="U103" s="351"/>
      <c r="V103" s="351"/>
      <c r="W103" s="351"/>
      <c r="X103" s="351"/>
      <c r="Y103" s="351"/>
      <c r="Z103" s="351"/>
      <c r="AA103" s="351"/>
      <c r="AB103" s="351"/>
      <c r="AC103" s="351"/>
    </row>
    <row r="104" spans="1:29" s="212" customFormat="1">
      <c r="A104" s="503"/>
      <c r="B104" s="579"/>
      <c r="C104" s="502"/>
      <c r="D104" s="502"/>
      <c r="E104" s="502"/>
      <c r="F104" s="502"/>
      <c r="G104" s="502"/>
      <c r="H104" s="502"/>
      <c r="I104" s="502"/>
      <c r="J104" s="513"/>
      <c r="K104" s="513"/>
      <c r="L104" s="514"/>
      <c r="M104" s="515"/>
      <c r="N104" s="459"/>
      <c r="O104" s="459"/>
      <c r="P104" s="612"/>
      <c r="Q104" s="485"/>
      <c r="R104" s="486"/>
      <c r="S104" s="486"/>
      <c r="T104" s="486"/>
      <c r="U104" s="486"/>
      <c r="V104" s="486"/>
      <c r="W104" s="486"/>
      <c r="X104" s="486"/>
      <c r="Y104" s="486"/>
      <c r="Z104" s="486"/>
      <c r="AA104" s="486"/>
      <c r="AB104" s="486"/>
      <c r="AC104" s="486"/>
    </row>
    <row r="105" spans="1:29" s="212" customFormat="1" ht="15">
      <c r="A105" s="384"/>
      <c r="B105" s="380"/>
      <c r="C105" s="383"/>
      <c r="D105" s="377"/>
      <c r="E105" s="377"/>
      <c r="F105" s="377"/>
      <c r="G105" s="377"/>
      <c r="H105" s="377"/>
      <c r="I105" s="377"/>
      <c r="J105" s="377"/>
      <c r="K105" s="377"/>
      <c r="L105" s="377"/>
      <c r="M105" s="449"/>
      <c r="N105" s="450"/>
      <c r="O105" s="450"/>
      <c r="P105" s="612"/>
      <c r="Q105" s="485"/>
      <c r="R105" s="486"/>
      <c r="S105" s="486"/>
      <c r="T105" s="486"/>
      <c r="U105" s="486"/>
      <c r="V105" s="486"/>
      <c r="W105" s="486"/>
      <c r="X105" s="486"/>
      <c r="Y105" s="486"/>
      <c r="Z105" s="486"/>
      <c r="AA105" s="486"/>
      <c r="AB105" s="486"/>
      <c r="AC105" s="486"/>
    </row>
    <row r="106" spans="1:29">
      <c r="A106" s="501"/>
      <c r="B106" s="378" t="s">
        <v>2417</v>
      </c>
      <c r="C106" s="385"/>
      <c r="D106" s="385"/>
      <c r="E106" s="379"/>
      <c r="F106" s="379"/>
      <c r="G106" s="379"/>
      <c r="H106" s="379"/>
      <c r="I106" s="379"/>
      <c r="J106" s="379"/>
      <c r="K106" s="451"/>
      <c r="L106" s="452"/>
      <c r="M106" s="453"/>
      <c r="N106" s="447"/>
      <c r="O106" s="447"/>
      <c r="P106" s="610"/>
      <c r="Q106" s="437"/>
      <c r="R106" s="351"/>
      <c r="S106" s="351"/>
      <c r="T106" s="351"/>
      <c r="U106" s="351"/>
      <c r="V106" s="351"/>
      <c r="W106" s="351"/>
      <c r="X106" s="351"/>
      <c r="Y106" s="351"/>
      <c r="Z106" s="351"/>
      <c r="AA106" s="351"/>
      <c r="AB106" s="351"/>
      <c r="AC106" s="351"/>
    </row>
    <row r="107" spans="1:29" ht="15">
      <c r="A107" s="375"/>
      <c r="B107" s="380"/>
      <c r="C107" s="389">
        <v>100</v>
      </c>
      <c r="D107" s="389">
        <f t="shared" ref="D107:M107" si="21">C107-$K35</f>
        <v>100</v>
      </c>
      <c r="E107" s="389">
        <f t="shared" si="21"/>
        <v>100</v>
      </c>
      <c r="F107" s="389">
        <f t="shared" si="21"/>
        <v>100</v>
      </c>
      <c r="G107" s="389">
        <f t="shared" si="21"/>
        <v>100</v>
      </c>
      <c r="H107" s="389">
        <f t="shared" si="21"/>
        <v>100</v>
      </c>
      <c r="I107" s="389">
        <f t="shared" si="21"/>
        <v>100</v>
      </c>
      <c r="J107" s="389">
        <f t="shared" si="21"/>
        <v>100</v>
      </c>
      <c r="K107" s="389">
        <f t="shared" si="21"/>
        <v>100</v>
      </c>
      <c r="L107" s="389">
        <f t="shared" si="21"/>
        <v>100</v>
      </c>
      <c r="M107" s="466">
        <f t="shared" si="21"/>
        <v>100</v>
      </c>
      <c r="N107" s="450"/>
      <c r="O107" s="450"/>
      <c r="P107" s="610"/>
      <c r="Q107" s="437"/>
      <c r="R107" s="351"/>
      <c r="S107" s="351"/>
      <c r="T107" s="351"/>
      <c r="U107" s="351"/>
      <c r="V107" s="351"/>
      <c r="W107" s="351"/>
      <c r="X107" s="351"/>
      <c r="Y107" s="351"/>
      <c r="Z107" s="351"/>
      <c r="AA107" s="351"/>
      <c r="AB107" s="351"/>
      <c r="AC107" s="351"/>
    </row>
    <row r="108" spans="1:29">
      <c r="A108" s="501"/>
      <c r="B108" s="378" t="s">
        <v>2419</v>
      </c>
      <c r="C108" s="385"/>
      <c r="D108" s="385"/>
      <c r="E108" s="385"/>
      <c r="F108" s="379"/>
      <c r="G108" s="379"/>
      <c r="H108" s="379"/>
      <c r="I108" s="379"/>
      <c r="J108" s="379"/>
      <c r="K108" s="451"/>
      <c r="L108" s="452"/>
      <c r="M108" s="453"/>
      <c r="N108" s="447"/>
      <c r="O108" s="447"/>
      <c r="P108" s="610"/>
      <c r="Q108" s="437"/>
      <c r="R108" s="351"/>
      <c r="S108" s="351"/>
      <c r="T108" s="351"/>
      <c r="U108" s="351"/>
      <c r="V108" s="351"/>
      <c r="W108" s="351"/>
      <c r="X108" s="351"/>
      <c r="Y108" s="351"/>
      <c r="Z108" s="351"/>
      <c r="AA108" s="351"/>
      <c r="AB108" s="351"/>
      <c r="AC108" s="351"/>
    </row>
    <row r="109" spans="1:29" ht="15">
      <c r="A109" s="375"/>
      <c r="B109" s="380"/>
      <c r="C109" s="389">
        <v>100</v>
      </c>
      <c r="D109" s="389">
        <f t="shared" ref="D109:M109" si="22">C109-$K36</f>
        <v>100</v>
      </c>
      <c r="E109" s="389">
        <f t="shared" si="22"/>
        <v>100</v>
      </c>
      <c r="F109" s="389">
        <f t="shared" si="22"/>
        <v>100</v>
      </c>
      <c r="G109" s="389">
        <f t="shared" si="22"/>
        <v>100</v>
      </c>
      <c r="H109" s="389">
        <f t="shared" si="22"/>
        <v>100</v>
      </c>
      <c r="I109" s="389">
        <f t="shared" si="22"/>
        <v>100</v>
      </c>
      <c r="J109" s="389">
        <f t="shared" si="22"/>
        <v>100</v>
      </c>
      <c r="K109" s="389">
        <f t="shared" si="22"/>
        <v>100</v>
      </c>
      <c r="L109" s="389">
        <f t="shared" si="22"/>
        <v>100</v>
      </c>
      <c r="M109" s="466">
        <f t="shared" si="22"/>
        <v>100</v>
      </c>
      <c r="N109" s="450"/>
      <c r="O109" s="450"/>
      <c r="P109" s="610"/>
      <c r="Q109" s="437"/>
      <c r="R109" s="351"/>
      <c r="S109" s="351"/>
      <c r="T109" s="351"/>
      <c r="U109" s="351"/>
      <c r="V109" s="351"/>
      <c r="W109" s="351"/>
      <c r="X109" s="351"/>
      <c r="Y109" s="351"/>
      <c r="Z109" s="351"/>
      <c r="AA109" s="351"/>
      <c r="AB109" s="351"/>
      <c r="AC109" s="351"/>
    </row>
    <row r="110" spans="1:29">
      <c r="A110" s="501"/>
      <c r="B110" s="378" t="s">
        <v>2420</v>
      </c>
      <c r="C110" s="391" t="str">
        <f>C111&amp;"(含)"&amp;"-"&amp;D111</f>
        <v>0.5(含)-0.6</v>
      </c>
      <c r="D110" s="391" t="str">
        <f>D111&amp;"(含)"&amp;"-"&amp;E111</f>
        <v>0.6(含)-0.7</v>
      </c>
      <c r="E110" s="391" t="str">
        <f>E111&amp;"(含)"&amp;"-"&amp;F111</f>
        <v>0.7(含)-0.8</v>
      </c>
      <c r="F110" s="391" t="str">
        <f>F111&amp;"(含)"&amp;"-"&amp;G111</f>
        <v>0.8(含)-0.9</v>
      </c>
      <c r="G110" s="391" t="str">
        <f>G111&amp;"(含)"&amp;"-"&amp;ROUND(H111,0)</f>
        <v>0.9(含)-1</v>
      </c>
      <c r="H110" s="391"/>
      <c r="I110" s="379"/>
      <c r="J110" s="379"/>
      <c r="K110" s="451"/>
      <c r="L110" s="452"/>
      <c r="M110" s="453"/>
      <c r="N110" s="447"/>
      <c r="O110" s="447"/>
      <c r="P110" s="610"/>
      <c r="Q110" s="437"/>
      <c r="R110" s="351"/>
      <c r="S110" s="351"/>
      <c r="T110" s="351"/>
      <c r="U110" s="351"/>
      <c r="V110" s="351"/>
      <c r="W110" s="351"/>
      <c r="X110" s="351"/>
      <c r="Y110" s="351"/>
      <c r="Z110" s="351"/>
      <c r="AA110" s="351"/>
      <c r="AB110" s="351"/>
      <c r="AC110" s="351"/>
    </row>
    <row r="111" spans="1:29">
      <c r="A111" s="501"/>
      <c r="B111" s="497"/>
      <c r="C111" s="499">
        <v>0.5</v>
      </c>
      <c r="D111" s="499">
        <v>0.6</v>
      </c>
      <c r="E111" s="499">
        <v>0.7</v>
      </c>
      <c r="F111" s="499">
        <v>0.8</v>
      </c>
      <c r="G111" s="499">
        <v>0.9</v>
      </c>
      <c r="H111" s="499">
        <v>1.0001</v>
      </c>
      <c r="I111" s="549"/>
      <c r="J111" s="549"/>
      <c r="K111" s="550"/>
      <c r="L111" s="551"/>
      <c r="M111" s="552"/>
      <c r="N111" s="447"/>
      <c r="O111" s="447"/>
      <c r="P111" s="610"/>
      <c r="Q111" s="437"/>
      <c r="R111" s="351"/>
      <c r="S111" s="351"/>
      <c r="T111" s="351"/>
      <c r="U111" s="351"/>
      <c r="V111" s="351"/>
      <c r="W111" s="351"/>
      <c r="X111" s="351"/>
      <c r="Y111" s="351"/>
      <c r="Z111" s="351"/>
      <c r="AA111" s="351"/>
      <c r="AB111" s="351"/>
      <c r="AC111" s="351"/>
    </row>
    <row r="112" spans="1:29" ht="15">
      <c r="A112" s="375"/>
      <c r="B112" s="380"/>
      <c r="C112" s="500">
        <v>100</v>
      </c>
      <c r="D112" s="389">
        <f>C112+$K37</f>
        <v>100</v>
      </c>
      <c r="E112" s="389">
        <f t="shared" ref="E112:M112" si="23">D112+$K37</f>
        <v>100</v>
      </c>
      <c r="F112" s="389">
        <f t="shared" si="23"/>
        <v>100</v>
      </c>
      <c r="G112" s="389">
        <f t="shared" si="23"/>
        <v>100</v>
      </c>
      <c r="H112" s="389">
        <f t="shared" si="23"/>
        <v>100</v>
      </c>
      <c r="I112" s="389">
        <f t="shared" si="23"/>
        <v>100</v>
      </c>
      <c r="J112" s="389">
        <f t="shared" si="23"/>
        <v>100</v>
      </c>
      <c r="K112" s="389">
        <f t="shared" si="23"/>
        <v>100</v>
      </c>
      <c r="L112" s="389">
        <f t="shared" si="23"/>
        <v>100</v>
      </c>
      <c r="M112" s="389">
        <f t="shared" si="23"/>
        <v>100</v>
      </c>
      <c r="N112" s="450"/>
      <c r="O112" s="450"/>
      <c r="P112" s="610"/>
      <c r="Q112" s="437"/>
      <c r="R112" s="351"/>
      <c r="S112" s="351"/>
      <c r="T112" s="351"/>
      <c r="U112" s="351"/>
      <c r="V112" s="351"/>
      <c r="W112" s="351"/>
      <c r="X112" s="351"/>
      <c r="Y112" s="351"/>
      <c r="Z112" s="351"/>
      <c r="AA112" s="351"/>
      <c r="AB112" s="351"/>
      <c r="AC112" s="351"/>
    </row>
    <row r="113" spans="1:29" s="212" customFormat="1">
      <c r="A113" s="503"/>
      <c r="B113" s="378" t="s">
        <v>2457</v>
      </c>
      <c r="C113" s="385"/>
      <c r="D113" s="385"/>
      <c r="E113" s="385"/>
      <c r="F113" s="385"/>
      <c r="G113" s="385"/>
      <c r="H113" s="379"/>
      <c r="I113" s="379"/>
      <c r="J113" s="379"/>
      <c r="K113" s="451"/>
      <c r="L113" s="452"/>
      <c r="M113" s="453"/>
      <c r="N113" s="459"/>
      <c r="O113" s="459"/>
      <c r="P113" s="612"/>
      <c r="Q113" s="485"/>
      <c r="R113" s="486"/>
      <c r="S113" s="486"/>
      <c r="T113" s="486"/>
      <c r="U113" s="486"/>
      <c r="V113" s="486"/>
      <c r="W113" s="486"/>
      <c r="X113" s="486"/>
      <c r="Y113" s="486"/>
      <c r="Z113" s="486"/>
      <c r="AA113" s="486"/>
      <c r="AB113" s="486"/>
      <c r="AC113" s="486"/>
    </row>
    <row r="114" spans="1:29" s="212" customFormat="1" ht="15">
      <c r="A114" s="384"/>
      <c r="B114" s="380"/>
      <c r="C114" s="389">
        <v>100</v>
      </c>
      <c r="D114" s="389">
        <f>C114-$K38</f>
        <v>100</v>
      </c>
      <c r="E114" s="389">
        <f t="shared" ref="E114:M114" si="24">D114-$K38</f>
        <v>100</v>
      </c>
      <c r="F114" s="389">
        <f t="shared" si="24"/>
        <v>100</v>
      </c>
      <c r="G114" s="389">
        <f t="shared" si="24"/>
        <v>100</v>
      </c>
      <c r="H114" s="389">
        <f t="shared" si="24"/>
        <v>100</v>
      </c>
      <c r="I114" s="389">
        <f t="shared" si="24"/>
        <v>100</v>
      </c>
      <c r="J114" s="389">
        <f t="shared" si="24"/>
        <v>100</v>
      </c>
      <c r="K114" s="389">
        <f t="shared" si="24"/>
        <v>100</v>
      </c>
      <c r="L114" s="389">
        <f t="shared" si="24"/>
        <v>100</v>
      </c>
      <c r="M114" s="389">
        <f t="shared" si="24"/>
        <v>100</v>
      </c>
      <c r="N114" s="459"/>
      <c r="O114" s="459"/>
      <c r="P114" s="612"/>
      <c r="Q114" s="485"/>
      <c r="R114" s="486"/>
      <c r="S114" s="486"/>
      <c r="T114" s="486"/>
      <c r="U114" s="486"/>
      <c r="V114" s="486"/>
      <c r="W114" s="486"/>
      <c r="X114" s="486"/>
      <c r="Y114" s="486"/>
      <c r="Z114" s="486"/>
      <c r="AA114" s="486"/>
      <c r="AB114" s="486"/>
      <c r="AC114" s="486"/>
    </row>
    <row r="115" spans="1:29">
      <c r="A115" s="501"/>
      <c r="B115" s="378" t="s">
        <v>2421</v>
      </c>
      <c r="C115" s="385"/>
      <c r="D115" s="385"/>
      <c r="E115" s="379"/>
      <c r="F115" s="379"/>
      <c r="G115" s="379"/>
      <c r="H115" s="379"/>
      <c r="I115" s="379"/>
      <c r="J115" s="379"/>
      <c r="K115" s="451"/>
      <c r="L115" s="452"/>
      <c r="M115" s="453"/>
      <c r="N115" s="447"/>
      <c r="O115" s="447"/>
      <c r="P115" s="610"/>
      <c r="Q115" s="437"/>
      <c r="R115" s="351"/>
      <c r="S115" s="351"/>
      <c r="T115" s="351"/>
      <c r="U115" s="351"/>
      <c r="V115" s="351"/>
      <c r="W115" s="351"/>
      <c r="X115" s="351"/>
      <c r="Y115" s="351"/>
      <c r="Z115" s="351"/>
      <c r="AA115" s="351"/>
      <c r="AB115" s="351"/>
      <c r="AC115" s="351"/>
    </row>
    <row r="116" spans="1:29" ht="15">
      <c r="A116" s="375"/>
      <c r="B116" s="380"/>
      <c r="C116" s="389">
        <v>100</v>
      </c>
      <c r="D116" s="389">
        <f t="shared" ref="D116:M116" si="25">C116-$K39</f>
        <v>100</v>
      </c>
      <c r="E116" s="389">
        <f t="shared" si="25"/>
        <v>100</v>
      </c>
      <c r="F116" s="389">
        <f t="shared" si="25"/>
        <v>100</v>
      </c>
      <c r="G116" s="389">
        <f t="shared" si="25"/>
        <v>100</v>
      </c>
      <c r="H116" s="389">
        <f t="shared" si="25"/>
        <v>100</v>
      </c>
      <c r="I116" s="389">
        <f t="shared" si="25"/>
        <v>100</v>
      </c>
      <c r="J116" s="389">
        <f t="shared" si="25"/>
        <v>100</v>
      </c>
      <c r="K116" s="389">
        <f t="shared" si="25"/>
        <v>100</v>
      </c>
      <c r="L116" s="389">
        <f t="shared" si="25"/>
        <v>100</v>
      </c>
      <c r="M116" s="466">
        <f t="shared" si="25"/>
        <v>100</v>
      </c>
      <c r="N116" s="450"/>
      <c r="O116" s="450"/>
      <c r="P116" s="610"/>
      <c r="Q116" s="437"/>
      <c r="R116" s="351"/>
      <c r="S116" s="351"/>
      <c r="T116" s="351"/>
      <c r="U116" s="351"/>
      <c r="V116" s="351"/>
      <c r="W116" s="351"/>
      <c r="X116" s="351"/>
      <c r="Y116" s="351"/>
      <c r="Z116" s="351"/>
      <c r="AA116" s="351"/>
      <c r="AB116" s="351"/>
      <c r="AC116" s="351"/>
    </row>
    <row r="117" spans="1:29">
      <c r="A117" s="501"/>
      <c r="B117" s="390" t="s">
        <v>2422</v>
      </c>
      <c r="C117" s="385"/>
      <c r="D117" s="385"/>
      <c r="E117" s="385"/>
      <c r="F117" s="385"/>
      <c r="G117" s="385"/>
      <c r="H117" s="379"/>
      <c r="I117" s="379"/>
      <c r="J117" s="379"/>
      <c r="K117" s="451"/>
      <c r="L117" s="452"/>
      <c r="M117" s="453"/>
      <c r="N117" s="447"/>
      <c r="O117" s="447"/>
      <c r="P117" s="610"/>
      <c r="Q117" s="437"/>
      <c r="R117" s="351"/>
      <c r="S117" s="351"/>
      <c r="T117" s="351"/>
      <c r="U117" s="351"/>
      <c r="V117" s="351"/>
      <c r="W117" s="351"/>
      <c r="X117" s="351"/>
      <c r="Y117" s="351"/>
      <c r="Z117" s="351"/>
      <c r="AA117" s="351"/>
      <c r="AB117" s="351"/>
      <c r="AC117" s="351"/>
    </row>
    <row r="118" spans="1:29" ht="15">
      <c r="A118" s="375"/>
      <c r="B118" s="380"/>
      <c r="C118" s="389">
        <v>100</v>
      </c>
      <c r="D118" s="389">
        <f>C118-$K40</f>
        <v>100</v>
      </c>
      <c r="E118" s="389">
        <f>D118-$K40</f>
        <v>100</v>
      </c>
      <c r="F118" s="389">
        <f>E118-$K40</f>
        <v>100</v>
      </c>
      <c r="G118" s="389">
        <f>F118-$K40</f>
        <v>100</v>
      </c>
      <c r="H118" s="389"/>
      <c r="I118" s="389"/>
      <c r="J118" s="389"/>
      <c r="K118" s="389"/>
      <c r="L118" s="389"/>
      <c r="M118" s="466"/>
      <c r="N118" s="450"/>
      <c r="O118" s="450"/>
      <c r="P118" s="610"/>
      <c r="Q118" s="437"/>
      <c r="R118" s="351"/>
      <c r="S118" s="351"/>
      <c r="T118" s="351"/>
      <c r="U118" s="351"/>
      <c r="V118" s="351"/>
      <c r="W118" s="351"/>
      <c r="X118" s="351"/>
      <c r="Y118" s="351"/>
      <c r="Z118" s="351"/>
      <c r="AA118" s="351"/>
      <c r="AB118" s="351"/>
      <c r="AC118" s="351"/>
    </row>
    <row r="119" spans="1:29">
      <c r="A119" s="501"/>
      <c r="B119" s="504" t="s">
        <v>2459</v>
      </c>
      <c r="C119" s="379"/>
      <c r="D119" s="379"/>
      <c r="E119" s="379"/>
      <c r="F119" s="379"/>
      <c r="G119" s="379"/>
      <c r="H119" s="379"/>
      <c r="I119" s="379"/>
      <c r="J119" s="379"/>
      <c r="K119" s="379"/>
      <c r="L119" s="616"/>
      <c r="M119" s="617"/>
      <c r="N119" s="450"/>
      <c r="O119" s="450"/>
      <c r="P119" s="618"/>
      <c r="Q119" s="519"/>
      <c r="R119" s="351"/>
      <c r="S119" s="351"/>
      <c r="T119" s="351"/>
      <c r="U119" s="351"/>
      <c r="V119" s="351"/>
      <c r="W119" s="351"/>
      <c r="X119" s="351"/>
      <c r="Y119" s="351"/>
      <c r="Z119" s="351"/>
      <c r="AA119" s="351"/>
      <c r="AB119" s="351"/>
      <c r="AC119" s="351"/>
    </row>
    <row r="120" spans="1:29" ht="15">
      <c r="A120" s="375"/>
      <c r="B120" s="380"/>
      <c r="C120" s="500">
        <v>100</v>
      </c>
      <c r="D120" s="389">
        <f>C120-$K41</f>
        <v>100</v>
      </c>
      <c r="E120" s="389">
        <f t="shared" ref="E120:M120" si="26">D120-$K41</f>
        <v>100</v>
      </c>
      <c r="F120" s="389">
        <f t="shared" si="26"/>
        <v>100</v>
      </c>
      <c r="G120" s="389">
        <f t="shared" si="26"/>
        <v>100</v>
      </c>
      <c r="H120" s="389">
        <f t="shared" si="26"/>
        <v>100</v>
      </c>
      <c r="I120" s="389">
        <f t="shared" si="26"/>
        <v>100</v>
      </c>
      <c r="J120" s="389">
        <f t="shared" si="26"/>
        <v>100</v>
      </c>
      <c r="K120" s="389">
        <f t="shared" si="26"/>
        <v>100</v>
      </c>
      <c r="L120" s="389">
        <f t="shared" si="26"/>
        <v>100</v>
      </c>
      <c r="M120" s="389">
        <f t="shared" si="26"/>
        <v>100</v>
      </c>
      <c r="N120" s="450"/>
      <c r="O120" s="450"/>
      <c r="P120" s="610"/>
      <c r="Q120" s="437"/>
      <c r="R120" s="351"/>
      <c r="S120" s="351"/>
      <c r="T120" s="351"/>
      <c r="U120" s="351"/>
      <c r="V120" s="351"/>
      <c r="W120" s="351"/>
      <c r="X120" s="351"/>
      <c r="Y120" s="351"/>
      <c r="Z120" s="351"/>
      <c r="AA120" s="351"/>
      <c r="AB120" s="351"/>
      <c r="AC120" s="351"/>
    </row>
    <row r="121" spans="1:29" s="212" customFormat="1">
      <c r="A121" s="503"/>
      <c r="B121" s="378" t="s">
        <v>2453</v>
      </c>
      <c r="C121" s="385"/>
      <c r="D121" s="385"/>
      <c r="E121" s="385"/>
      <c r="F121" s="379"/>
      <c r="G121" s="386"/>
      <c r="H121" s="386"/>
      <c r="I121" s="386"/>
      <c r="J121" s="386"/>
      <c r="K121" s="386"/>
      <c r="L121" s="457"/>
      <c r="M121" s="458"/>
      <c r="N121" s="459"/>
      <c r="O121" s="459"/>
      <c r="P121" s="612"/>
      <c r="Q121" s="485"/>
      <c r="R121" s="486"/>
      <c r="S121" s="486"/>
      <c r="T121" s="486"/>
      <c r="U121" s="486"/>
      <c r="V121" s="486"/>
      <c r="W121" s="486"/>
      <c r="X121" s="486"/>
      <c r="Y121" s="486"/>
      <c r="Z121" s="486"/>
      <c r="AA121" s="486"/>
      <c r="AB121" s="486"/>
      <c r="AC121" s="486"/>
    </row>
    <row r="122" spans="1:29" s="212" customFormat="1" ht="15">
      <c r="A122" s="384"/>
      <c r="B122" s="376"/>
      <c r="C122" s="383"/>
      <c r="D122" s="383"/>
      <c r="E122" s="383"/>
      <c r="F122" s="383"/>
      <c r="G122" s="383"/>
      <c r="H122" s="383"/>
      <c r="I122" s="383"/>
      <c r="J122" s="383"/>
      <c r="K122" s="383"/>
      <c r="L122" s="383"/>
      <c r="M122" s="383"/>
      <c r="N122" s="459"/>
      <c r="O122" s="459"/>
      <c r="P122" s="612"/>
      <c r="Q122" s="485"/>
      <c r="R122" s="486"/>
      <c r="S122" s="486"/>
      <c r="T122" s="486"/>
      <c r="U122" s="486"/>
      <c r="V122" s="486"/>
      <c r="W122" s="486"/>
      <c r="X122" s="486"/>
      <c r="Y122" s="486"/>
      <c r="Z122" s="486"/>
      <c r="AA122" s="486"/>
      <c r="AB122" s="486"/>
      <c r="AC122" s="486"/>
    </row>
    <row r="123" spans="1:29">
      <c r="A123" s="501"/>
      <c r="B123" s="378" t="s">
        <v>2425</v>
      </c>
      <c r="C123" s="385"/>
      <c r="D123" s="385"/>
      <c r="E123" s="385"/>
      <c r="F123" s="379"/>
      <c r="G123" s="379"/>
      <c r="H123" s="379"/>
      <c r="I123" s="379"/>
      <c r="J123" s="379"/>
      <c r="K123" s="451"/>
      <c r="L123" s="452"/>
      <c r="M123" s="453"/>
      <c r="N123" s="447"/>
      <c r="O123" s="447"/>
      <c r="P123" s="610"/>
      <c r="Q123" s="437"/>
      <c r="R123" s="351"/>
      <c r="S123" s="351"/>
      <c r="T123" s="351"/>
      <c r="U123" s="351"/>
      <c r="V123" s="351"/>
      <c r="W123" s="351"/>
      <c r="X123" s="351"/>
      <c r="Y123" s="351"/>
      <c r="Z123" s="351"/>
      <c r="AA123" s="351"/>
      <c r="AB123" s="351"/>
      <c r="AC123" s="351"/>
    </row>
    <row r="124" spans="1:29" ht="15">
      <c r="A124" s="375"/>
      <c r="B124" s="380"/>
      <c r="C124" s="389">
        <v>100</v>
      </c>
      <c r="D124" s="389">
        <f t="shared" ref="D124:M124" si="27">C124-$K43</f>
        <v>100</v>
      </c>
      <c r="E124" s="389">
        <f t="shared" si="27"/>
        <v>100</v>
      </c>
      <c r="F124" s="389">
        <f t="shared" si="27"/>
        <v>100</v>
      </c>
      <c r="G124" s="389">
        <f t="shared" si="27"/>
        <v>100</v>
      </c>
      <c r="H124" s="389">
        <f t="shared" si="27"/>
        <v>100</v>
      </c>
      <c r="I124" s="389">
        <f t="shared" si="27"/>
        <v>100</v>
      </c>
      <c r="J124" s="389">
        <f t="shared" si="27"/>
        <v>100</v>
      </c>
      <c r="K124" s="389">
        <f t="shared" si="27"/>
        <v>100</v>
      </c>
      <c r="L124" s="389">
        <f t="shared" si="27"/>
        <v>100</v>
      </c>
      <c r="M124" s="466">
        <f t="shared" si="27"/>
        <v>100</v>
      </c>
      <c r="N124" s="450"/>
      <c r="O124" s="450"/>
      <c r="P124" s="610"/>
      <c r="Q124" s="437"/>
      <c r="R124" s="351"/>
      <c r="S124" s="351"/>
      <c r="T124" s="351"/>
      <c r="U124" s="351"/>
      <c r="V124" s="351"/>
      <c r="W124" s="351"/>
      <c r="X124" s="351"/>
      <c r="Y124" s="351"/>
      <c r="Z124" s="351"/>
      <c r="AA124" s="351"/>
      <c r="AB124" s="351"/>
      <c r="AC124" s="351"/>
    </row>
    <row r="125" spans="1:29">
      <c r="A125" s="501"/>
      <c r="B125" s="378" t="s">
        <v>233</v>
      </c>
      <c r="C125" s="391" t="s">
        <v>244</v>
      </c>
      <c r="D125" s="391" t="s">
        <v>256</v>
      </c>
      <c r="E125" s="391" t="s">
        <v>267</v>
      </c>
      <c r="F125" s="391" t="s">
        <v>277</v>
      </c>
      <c r="G125" s="391" t="s">
        <v>285</v>
      </c>
      <c r="H125" s="392"/>
      <c r="I125" s="392"/>
      <c r="J125" s="392"/>
      <c r="K125" s="467"/>
      <c r="L125" s="468"/>
      <c r="M125" s="469"/>
      <c r="N125" s="447"/>
      <c r="O125" s="447"/>
      <c r="P125" s="612"/>
      <c r="Q125" s="437"/>
      <c r="R125" s="351"/>
      <c r="S125" s="351"/>
      <c r="T125" s="351"/>
      <c r="U125" s="351"/>
      <c r="V125" s="351"/>
      <c r="W125" s="351"/>
      <c r="X125" s="351"/>
      <c r="Y125" s="351"/>
      <c r="Z125" s="351"/>
      <c r="AA125" s="351"/>
      <c r="AB125" s="351"/>
      <c r="AC125" s="351"/>
    </row>
    <row r="126" spans="1:29" ht="15">
      <c r="A126" s="375"/>
      <c r="B126" s="380"/>
      <c r="C126" s="389">
        <v>100</v>
      </c>
      <c r="D126" s="389">
        <f>C126-$K44</f>
        <v>100</v>
      </c>
      <c r="E126" s="389">
        <f>D126-$K44</f>
        <v>100</v>
      </c>
      <c r="F126" s="389">
        <f>E126-$K44</f>
        <v>100</v>
      </c>
      <c r="G126" s="389">
        <f>F126-$K44</f>
        <v>100</v>
      </c>
      <c r="H126" s="389"/>
      <c r="I126" s="389"/>
      <c r="J126" s="389"/>
      <c r="K126" s="389"/>
      <c r="L126" s="389"/>
      <c r="M126" s="466"/>
      <c r="N126" s="450"/>
      <c r="O126" s="450"/>
      <c r="P126" s="610"/>
      <c r="Q126" s="437"/>
      <c r="R126" s="351"/>
      <c r="S126" s="351"/>
      <c r="T126" s="351"/>
      <c r="U126" s="351"/>
      <c r="V126" s="351"/>
      <c r="W126" s="351"/>
      <c r="X126" s="351"/>
      <c r="Y126" s="351"/>
      <c r="Z126" s="351"/>
      <c r="AA126" s="351"/>
      <c r="AB126" s="351"/>
      <c r="AC126" s="351"/>
    </row>
    <row r="127" spans="1:29" s="212" customFormat="1">
      <c r="A127" s="503"/>
      <c r="B127" s="378">
        <f>B45</f>
        <v>111</v>
      </c>
      <c r="C127" s="385"/>
      <c r="D127" s="385"/>
      <c r="E127" s="385"/>
      <c r="F127" s="385"/>
      <c r="G127" s="385"/>
      <c r="H127" s="386"/>
      <c r="I127" s="386"/>
      <c r="J127" s="386"/>
      <c r="K127" s="386"/>
      <c r="L127" s="457"/>
      <c r="M127" s="458"/>
      <c r="N127" s="459"/>
      <c r="O127" s="459"/>
      <c r="P127" s="612"/>
      <c r="Q127" s="485"/>
      <c r="R127" s="486"/>
      <c r="S127" s="486"/>
      <c r="T127" s="486"/>
      <c r="U127" s="486"/>
      <c r="V127" s="486"/>
      <c r="W127" s="486"/>
      <c r="X127" s="486"/>
      <c r="Y127" s="486"/>
      <c r="Z127" s="486"/>
      <c r="AA127" s="486"/>
      <c r="AB127" s="486"/>
      <c r="AC127" s="486"/>
    </row>
    <row r="128" spans="1:29" s="212" customFormat="1" ht="15">
      <c r="A128" s="384"/>
      <c r="B128" s="380"/>
      <c r="C128" s="383"/>
      <c r="D128" s="377"/>
      <c r="E128" s="377"/>
      <c r="F128" s="377"/>
      <c r="G128" s="383"/>
      <c r="H128" s="387"/>
      <c r="I128" s="387"/>
      <c r="J128" s="387"/>
      <c r="K128" s="387"/>
      <c r="L128" s="387"/>
      <c r="M128" s="461"/>
      <c r="N128" s="459"/>
      <c r="O128" s="459"/>
      <c r="P128" s="612"/>
      <c r="Q128" s="485"/>
      <c r="R128" s="486"/>
      <c r="S128" s="486"/>
      <c r="T128" s="486"/>
      <c r="U128" s="486"/>
      <c r="V128" s="486"/>
      <c r="W128" s="486"/>
      <c r="X128" s="486"/>
      <c r="Y128" s="486"/>
      <c r="Z128" s="486"/>
      <c r="AA128" s="486"/>
      <c r="AB128" s="486"/>
      <c r="AC128" s="486"/>
    </row>
    <row r="129" spans="1:29">
      <c r="A129" s="501"/>
      <c r="B129" s="378">
        <f>B46</f>
        <v>111</v>
      </c>
      <c r="C129" s="385"/>
      <c r="D129" s="385"/>
      <c r="E129" s="385"/>
      <c r="F129" s="385"/>
      <c r="G129" s="379"/>
      <c r="H129" s="379"/>
      <c r="I129" s="379"/>
      <c r="J129" s="379"/>
      <c r="K129" s="451"/>
      <c r="L129" s="452"/>
      <c r="M129" s="453"/>
      <c r="N129" s="447"/>
      <c r="O129" s="447"/>
      <c r="P129" s="610"/>
      <c r="Q129" s="437"/>
      <c r="R129" s="351"/>
      <c r="S129" s="351"/>
      <c r="T129" s="351"/>
      <c r="U129" s="351"/>
      <c r="V129" s="351"/>
      <c r="W129" s="351"/>
      <c r="X129" s="351"/>
      <c r="Y129" s="351"/>
      <c r="Z129" s="351"/>
      <c r="AA129" s="351"/>
      <c r="AB129" s="351"/>
      <c r="AC129" s="351"/>
    </row>
    <row r="130" spans="1:29" ht="15">
      <c r="A130" s="375"/>
      <c r="B130" s="380"/>
      <c r="C130" s="383"/>
      <c r="D130" s="383"/>
      <c r="E130" s="383"/>
      <c r="F130" s="383"/>
      <c r="G130" s="377"/>
      <c r="H130" s="377"/>
      <c r="I130" s="377"/>
      <c r="J130" s="377"/>
      <c r="K130" s="377"/>
      <c r="L130" s="377"/>
      <c r="M130" s="449"/>
      <c r="N130" s="450"/>
      <c r="O130" s="450"/>
      <c r="P130" s="610"/>
      <c r="Q130" s="437"/>
      <c r="R130" s="351"/>
      <c r="S130" s="351"/>
      <c r="T130" s="351"/>
      <c r="U130" s="351"/>
      <c r="V130" s="351"/>
      <c r="W130" s="351"/>
      <c r="X130" s="351"/>
      <c r="Y130" s="351"/>
      <c r="Z130" s="351"/>
      <c r="AA130" s="351"/>
      <c r="AB130" s="351"/>
      <c r="AC130" s="351"/>
    </row>
    <row r="131" spans="1:29">
      <c r="A131" s="501"/>
      <c r="B131" s="497">
        <f>B47</f>
        <v>111</v>
      </c>
      <c r="C131" s="370"/>
      <c r="D131" s="370"/>
      <c r="E131" s="370"/>
      <c r="F131" s="370"/>
      <c r="G131" s="576"/>
      <c r="H131" s="576"/>
      <c r="I131" s="576"/>
      <c r="J131" s="576"/>
      <c r="K131" s="370"/>
      <c r="L131" s="440"/>
      <c r="M131" s="586"/>
      <c r="N131" s="447"/>
      <c r="O131" s="447"/>
      <c r="P131" s="610"/>
      <c r="Q131" s="437"/>
      <c r="R131" s="351"/>
      <c r="S131" s="351"/>
      <c r="T131" s="351"/>
      <c r="U131" s="351"/>
      <c r="V131" s="351"/>
      <c r="W131" s="351"/>
      <c r="X131" s="351"/>
      <c r="Y131" s="351"/>
      <c r="Z131" s="351"/>
      <c r="AA131" s="351"/>
      <c r="AB131" s="351"/>
      <c r="AC131" s="351"/>
    </row>
    <row r="132" spans="1:29" ht="15">
      <c r="A132" s="577"/>
      <c r="B132" s="573"/>
      <c r="C132" s="574"/>
      <c r="D132" s="574"/>
      <c r="E132" s="574"/>
      <c r="F132" s="574"/>
      <c r="G132" s="578"/>
      <c r="H132" s="578"/>
      <c r="I132" s="578"/>
      <c r="J132" s="578"/>
      <c r="K132" s="578"/>
      <c r="L132" s="578"/>
      <c r="M132" s="587"/>
      <c r="N132" s="450"/>
      <c r="O132" s="450"/>
      <c r="P132" s="610"/>
      <c r="Q132" s="437"/>
      <c r="R132" s="351"/>
      <c r="S132" s="351"/>
      <c r="T132" s="351"/>
      <c r="U132" s="351"/>
      <c r="V132" s="351"/>
      <c r="W132" s="351"/>
      <c r="X132" s="351"/>
      <c r="Y132" s="351"/>
      <c r="Z132" s="351"/>
      <c r="AA132" s="351"/>
      <c r="AB132" s="351"/>
      <c r="AC132" s="351"/>
    </row>
    <row r="133" spans="1:29">
      <c r="A133" s="505"/>
      <c r="B133" s="505"/>
      <c r="C133" s="505"/>
      <c r="D133" s="505"/>
      <c r="E133" s="505"/>
      <c r="F133" s="505"/>
      <c r="G133" s="505"/>
      <c r="H133" s="505"/>
      <c r="I133" s="505"/>
      <c r="J133" s="505"/>
      <c r="K133" s="517"/>
      <c r="L133" s="518"/>
      <c r="M133" s="505"/>
      <c r="N133" s="505"/>
      <c r="O133" s="505"/>
      <c r="P133" s="619"/>
      <c r="Q133" s="505"/>
      <c r="R133" s="505"/>
      <c r="S133" s="505"/>
      <c r="T133" s="505"/>
      <c r="U133" s="505"/>
      <c r="V133" s="505"/>
      <c r="W133" s="505"/>
      <c r="X133" s="505"/>
      <c r="Y133" s="505"/>
      <c r="Z133" s="505"/>
      <c r="AA133" s="505"/>
      <c r="AB133" s="505"/>
      <c r="AC133" s="505"/>
    </row>
    <row r="134" spans="1:29">
      <c r="A134" s="505"/>
      <c r="B134" s="505"/>
      <c r="C134" s="505"/>
      <c r="D134" s="505"/>
      <c r="E134" s="505"/>
      <c r="F134" s="505"/>
      <c r="G134" s="505"/>
      <c r="H134" s="505"/>
      <c r="I134" s="505"/>
      <c r="J134" s="505"/>
      <c r="K134" s="517"/>
      <c r="L134" s="518"/>
      <c r="M134" s="505"/>
      <c r="N134" s="505"/>
      <c r="O134" s="505"/>
      <c r="P134" s="619"/>
      <c r="Q134" s="505"/>
      <c r="R134" s="505"/>
      <c r="S134" s="505"/>
      <c r="T134" s="505"/>
      <c r="U134" s="505"/>
      <c r="V134" s="505"/>
      <c r="W134" s="505"/>
      <c r="X134" s="505"/>
      <c r="Y134" s="505"/>
      <c r="Z134" s="505"/>
      <c r="AA134" s="505"/>
      <c r="AB134" s="505"/>
      <c r="AC134" s="505"/>
    </row>
    <row r="135" spans="1:29">
      <c r="A135" s="505"/>
      <c r="B135" s="505"/>
      <c r="C135" s="505"/>
      <c r="D135" s="505"/>
      <c r="E135" s="505"/>
      <c r="F135" s="505"/>
      <c r="G135" s="505"/>
      <c r="H135" s="505"/>
      <c r="I135" s="505"/>
      <c r="J135" s="505"/>
      <c r="K135" s="517"/>
      <c r="L135" s="518"/>
      <c r="M135" s="505"/>
      <c r="N135" s="505"/>
      <c r="O135" s="505"/>
      <c r="P135" s="619"/>
      <c r="Q135" s="505"/>
      <c r="R135" s="505"/>
      <c r="S135" s="505"/>
      <c r="T135" s="505"/>
      <c r="U135" s="505"/>
      <c r="V135" s="505"/>
      <c r="W135" s="505"/>
      <c r="X135" s="505"/>
      <c r="Y135" s="505"/>
      <c r="Z135" s="505"/>
      <c r="AA135" s="505"/>
      <c r="AB135" s="505"/>
      <c r="AC135" s="505"/>
    </row>
    <row r="136" spans="1:29">
      <c r="A136" s="505"/>
      <c r="B136" s="505"/>
      <c r="C136" s="505"/>
      <c r="D136" s="505"/>
      <c r="E136" s="505"/>
      <c r="F136" s="505"/>
      <c r="G136" s="505"/>
      <c r="H136" s="505"/>
      <c r="I136" s="505"/>
      <c r="J136" s="505"/>
      <c r="K136" s="517"/>
      <c r="L136" s="518"/>
      <c r="M136" s="505"/>
      <c r="N136" s="505"/>
      <c r="O136" s="505"/>
      <c r="P136" s="619"/>
      <c r="Q136" s="505"/>
      <c r="R136" s="505"/>
      <c r="S136" s="505"/>
      <c r="T136" s="505"/>
      <c r="U136" s="505"/>
      <c r="V136" s="505"/>
      <c r="W136" s="505"/>
      <c r="X136" s="505"/>
      <c r="Y136" s="505"/>
      <c r="Z136" s="505"/>
      <c r="AA136" s="505"/>
      <c r="AB136" s="505"/>
      <c r="AC136" s="505"/>
    </row>
    <row r="137" spans="1:29">
      <c r="A137" s="505"/>
      <c r="B137" s="505"/>
      <c r="C137" s="505"/>
      <c r="D137" s="505"/>
      <c r="E137" s="505"/>
      <c r="F137" s="505"/>
      <c r="G137" s="505"/>
      <c r="H137" s="505"/>
      <c r="I137" s="505"/>
      <c r="J137" s="505"/>
      <c r="K137" s="517"/>
      <c r="L137" s="518"/>
      <c r="M137" s="505"/>
      <c r="N137" s="505"/>
      <c r="O137" s="505"/>
      <c r="P137" s="619"/>
      <c r="Q137" s="505"/>
      <c r="R137" s="505"/>
      <c r="S137" s="505"/>
      <c r="T137" s="505"/>
      <c r="U137" s="505"/>
      <c r="V137" s="505"/>
      <c r="W137" s="505"/>
      <c r="X137" s="505"/>
      <c r="Y137" s="505"/>
      <c r="Z137" s="505"/>
      <c r="AA137" s="505"/>
      <c r="AB137" s="505"/>
      <c r="AC137" s="505"/>
    </row>
    <row r="138" spans="1:29">
      <c r="A138" s="505"/>
      <c r="B138" s="505"/>
      <c r="C138" s="505"/>
      <c r="D138" s="505"/>
      <c r="E138" s="505"/>
      <c r="F138" s="505"/>
      <c r="G138" s="505"/>
      <c r="H138" s="505"/>
      <c r="I138" s="505"/>
      <c r="J138" s="505"/>
      <c r="K138" s="517"/>
      <c r="L138" s="518"/>
      <c r="M138" s="505"/>
      <c r="N138" s="505"/>
      <c r="O138" s="505"/>
      <c r="P138" s="619"/>
      <c r="Q138" s="505"/>
      <c r="R138" s="505"/>
      <c r="S138" s="505"/>
      <c r="T138" s="505"/>
      <c r="U138" s="505"/>
      <c r="V138" s="505"/>
      <c r="W138" s="505"/>
      <c r="X138" s="505"/>
      <c r="Y138" s="505"/>
      <c r="Z138" s="505"/>
      <c r="AA138" s="505"/>
      <c r="AB138" s="505"/>
      <c r="AC138" s="505"/>
    </row>
    <row r="139" spans="1:29">
      <c r="A139" s="505"/>
      <c r="B139" s="505"/>
      <c r="C139" s="505"/>
      <c r="D139" s="505"/>
      <c r="E139" s="505"/>
      <c r="F139" s="505"/>
      <c r="G139" s="505"/>
      <c r="H139" s="505"/>
      <c r="I139" s="505"/>
      <c r="J139" s="505"/>
      <c r="K139" s="517"/>
      <c r="L139" s="518"/>
      <c r="M139" s="505"/>
      <c r="N139" s="505"/>
      <c r="O139" s="505"/>
      <c r="P139" s="619"/>
      <c r="Q139" s="505"/>
      <c r="R139" s="505"/>
      <c r="S139" s="505"/>
      <c r="T139" s="505"/>
      <c r="U139" s="505"/>
      <c r="V139" s="505"/>
      <c r="W139" s="505"/>
      <c r="X139" s="505"/>
      <c r="Y139" s="505"/>
      <c r="Z139" s="505"/>
      <c r="AA139" s="505"/>
      <c r="AB139" s="505"/>
      <c r="AC139" s="505"/>
    </row>
    <row r="140" spans="1:29">
      <c r="A140" s="505"/>
      <c r="B140" s="505"/>
      <c r="C140" s="505"/>
      <c r="D140" s="505"/>
      <c r="E140" s="505"/>
      <c r="F140" s="505"/>
      <c r="G140" s="505"/>
      <c r="H140" s="505"/>
      <c r="I140" s="505"/>
      <c r="J140" s="505"/>
      <c r="K140" s="517"/>
      <c r="L140" s="518"/>
      <c r="M140" s="505"/>
      <c r="N140" s="505"/>
      <c r="O140" s="505"/>
      <c r="P140" s="619"/>
      <c r="Q140" s="505"/>
      <c r="R140" s="505"/>
      <c r="S140" s="505"/>
      <c r="T140" s="505"/>
      <c r="U140" s="505"/>
      <c r="V140" s="505"/>
      <c r="W140" s="505"/>
      <c r="X140" s="505"/>
      <c r="Y140" s="505"/>
      <c r="Z140" s="505"/>
      <c r="AA140" s="505"/>
      <c r="AB140" s="505"/>
      <c r="AC140" s="505"/>
    </row>
    <row r="141" spans="1:29">
      <c r="A141" s="505"/>
      <c r="B141" s="505"/>
      <c r="C141" s="505"/>
      <c r="D141" s="505"/>
      <c r="E141" s="505"/>
      <c r="F141" s="505"/>
      <c r="G141" s="505"/>
      <c r="H141" s="505"/>
      <c r="I141" s="505"/>
      <c r="J141" s="505"/>
      <c r="K141" s="517"/>
      <c r="L141" s="518"/>
      <c r="M141" s="505"/>
      <c r="N141" s="505"/>
      <c r="O141" s="505"/>
      <c r="P141" s="619"/>
      <c r="Q141" s="505"/>
      <c r="R141" s="505"/>
      <c r="S141" s="505"/>
      <c r="T141" s="505"/>
      <c r="U141" s="505"/>
      <c r="V141" s="505"/>
      <c r="W141" s="505"/>
      <c r="X141" s="505"/>
      <c r="Y141" s="505"/>
      <c r="Z141" s="505"/>
      <c r="AA141" s="505"/>
      <c r="AB141" s="505"/>
      <c r="AC141" s="505"/>
    </row>
    <row r="142" spans="1:29">
      <c r="A142" s="505"/>
      <c r="B142" s="505"/>
      <c r="C142" s="505"/>
      <c r="D142" s="505"/>
      <c r="E142" s="505"/>
      <c r="F142" s="505"/>
      <c r="G142" s="505"/>
      <c r="H142" s="505"/>
      <c r="I142" s="505"/>
      <c r="J142" s="505"/>
      <c r="K142" s="517"/>
      <c r="L142" s="518"/>
      <c r="M142" s="505"/>
      <c r="N142" s="505"/>
      <c r="O142" s="505"/>
      <c r="P142" s="619"/>
      <c r="Q142" s="505"/>
      <c r="R142" s="505"/>
      <c r="S142" s="505"/>
      <c r="T142" s="505"/>
      <c r="U142" s="505"/>
      <c r="V142" s="505"/>
      <c r="W142" s="505"/>
      <c r="X142" s="505"/>
      <c r="Y142" s="505"/>
      <c r="Z142" s="505"/>
      <c r="AA142" s="505"/>
      <c r="AB142" s="505"/>
      <c r="AC142" s="505"/>
    </row>
    <row r="143" spans="1:29">
      <c r="A143" s="505"/>
      <c r="B143" s="505"/>
      <c r="C143" s="505"/>
      <c r="D143" s="505"/>
      <c r="E143" s="505"/>
      <c r="F143" s="505"/>
      <c r="G143" s="505"/>
      <c r="H143" s="505"/>
      <c r="I143" s="505"/>
      <c r="J143" s="505"/>
      <c r="K143" s="517"/>
      <c r="L143" s="518"/>
      <c r="M143" s="505"/>
      <c r="N143" s="505"/>
      <c r="O143" s="505"/>
      <c r="P143" s="619"/>
      <c r="Q143" s="505"/>
      <c r="R143" s="505"/>
      <c r="S143" s="505"/>
      <c r="T143" s="505"/>
      <c r="U143" s="505"/>
      <c r="V143" s="505"/>
      <c r="W143" s="505"/>
      <c r="X143" s="505"/>
      <c r="Y143" s="505"/>
      <c r="Z143" s="505"/>
      <c r="AA143" s="505"/>
      <c r="AB143" s="505"/>
      <c r="AC143" s="505"/>
    </row>
    <row r="144" spans="1:29">
      <c r="A144" s="505"/>
      <c r="B144" s="505"/>
      <c r="C144" s="505"/>
      <c r="D144" s="505"/>
      <c r="E144" s="505"/>
      <c r="F144" s="505"/>
      <c r="G144" s="505"/>
      <c r="H144" s="505"/>
      <c r="I144" s="505"/>
      <c r="J144" s="505"/>
      <c r="K144" s="517"/>
      <c r="L144" s="518"/>
      <c r="M144" s="505"/>
      <c r="N144" s="505"/>
      <c r="O144" s="505"/>
      <c r="P144" s="619"/>
      <c r="Q144" s="505"/>
      <c r="R144" s="505"/>
      <c r="S144" s="505"/>
      <c r="T144" s="505"/>
      <c r="U144" s="505"/>
      <c r="V144" s="505"/>
      <c r="W144" s="505"/>
      <c r="X144" s="505"/>
      <c r="Y144" s="505"/>
      <c r="Z144" s="505"/>
      <c r="AA144" s="505"/>
      <c r="AB144" s="505"/>
      <c r="AC144" s="505"/>
    </row>
    <row r="145" spans="1:29">
      <c r="A145" s="505"/>
      <c r="B145" s="505"/>
      <c r="C145" s="505"/>
      <c r="D145" s="505"/>
      <c r="E145" s="505"/>
      <c r="F145" s="505"/>
      <c r="G145" s="505"/>
      <c r="H145" s="505"/>
      <c r="I145" s="505"/>
      <c r="J145" s="505"/>
      <c r="K145" s="517"/>
      <c r="L145" s="518"/>
      <c r="M145" s="505"/>
      <c r="N145" s="505"/>
      <c r="O145" s="505"/>
      <c r="P145" s="619"/>
      <c r="Q145" s="505"/>
      <c r="R145" s="505"/>
      <c r="S145" s="505"/>
      <c r="T145" s="505"/>
      <c r="U145" s="505"/>
      <c r="V145" s="505"/>
      <c r="W145" s="505"/>
      <c r="X145" s="505"/>
      <c r="Y145" s="505"/>
      <c r="Z145" s="505"/>
      <c r="AA145" s="505"/>
      <c r="AB145" s="505"/>
      <c r="AC145" s="505"/>
    </row>
    <row r="146" spans="1:29">
      <c r="A146" s="505"/>
      <c r="B146" s="505"/>
      <c r="C146" s="505"/>
      <c r="D146" s="505"/>
      <c r="E146" s="505"/>
      <c r="F146" s="505"/>
      <c r="G146" s="505"/>
      <c r="H146" s="505"/>
      <c r="I146" s="505"/>
      <c r="J146" s="505"/>
      <c r="K146" s="517"/>
      <c r="L146" s="518"/>
      <c r="M146" s="505"/>
      <c r="N146" s="505"/>
      <c r="O146" s="505"/>
      <c r="P146" s="619"/>
      <c r="Q146" s="505"/>
      <c r="R146" s="505"/>
      <c r="S146" s="505"/>
      <c r="T146" s="505"/>
      <c r="U146" s="505"/>
      <c r="V146" s="505"/>
      <c r="W146" s="505"/>
      <c r="X146" s="505"/>
      <c r="Y146" s="505"/>
      <c r="Z146" s="505"/>
      <c r="AA146" s="505"/>
      <c r="AB146" s="505"/>
      <c r="AC146" s="505"/>
    </row>
    <row r="147" spans="1:29">
      <c r="A147" s="505"/>
      <c r="B147" s="505"/>
      <c r="C147" s="505"/>
      <c r="D147" s="505"/>
      <c r="E147" s="505"/>
      <c r="F147" s="505"/>
      <c r="G147" s="505"/>
      <c r="H147" s="505"/>
      <c r="I147" s="505"/>
      <c r="J147" s="505"/>
      <c r="K147" s="517"/>
      <c r="L147" s="518"/>
      <c r="M147" s="505"/>
      <c r="N147" s="505"/>
      <c r="O147" s="505"/>
      <c r="P147" s="619"/>
      <c r="Q147" s="505"/>
      <c r="R147" s="505"/>
      <c r="S147" s="505"/>
      <c r="T147" s="505"/>
      <c r="U147" s="505"/>
      <c r="V147" s="505"/>
      <c r="W147" s="505"/>
      <c r="X147" s="505"/>
      <c r="Y147" s="505"/>
      <c r="Z147" s="505"/>
      <c r="AA147" s="505"/>
      <c r="AB147" s="505"/>
      <c r="AC147" s="505"/>
    </row>
    <row r="148" spans="1:29">
      <c r="A148" s="505"/>
      <c r="B148" s="505"/>
      <c r="C148" s="505"/>
      <c r="D148" s="505"/>
      <c r="E148" s="505"/>
      <c r="F148" s="505"/>
      <c r="G148" s="505"/>
      <c r="H148" s="505"/>
      <c r="I148" s="505"/>
      <c r="J148" s="505"/>
      <c r="K148" s="517"/>
      <c r="L148" s="518"/>
      <c r="M148" s="505"/>
      <c r="N148" s="505"/>
      <c r="O148" s="505"/>
      <c r="P148" s="619"/>
      <c r="Q148" s="505"/>
      <c r="R148" s="505"/>
      <c r="S148" s="505"/>
      <c r="T148" s="505"/>
      <c r="U148" s="505"/>
      <c r="V148" s="505"/>
      <c r="W148" s="505"/>
      <c r="X148" s="505"/>
      <c r="Y148" s="505"/>
      <c r="Z148" s="505"/>
      <c r="AA148" s="505"/>
      <c r="AB148" s="505"/>
      <c r="AC148" s="505"/>
    </row>
    <row r="149" spans="1:29">
      <c r="A149" s="505"/>
      <c r="B149" s="505"/>
      <c r="C149" s="505"/>
      <c r="D149" s="505"/>
      <c r="E149" s="505"/>
      <c r="F149" s="505"/>
      <c r="G149" s="505"/>
      <c r="H149" s="505"/>
      <c r="I149" s="505"/>
      <c r="J149" s="505"/>
      <c r="K149" s="517"/>
      <c r="L149" s="518"/>
      <c r="M149" s="505"/>
      <c r="N149" s="505"/>
      <c r="O149" s="505"/>
      <c r="P149" s="619"/>
      <c r="Q149" s="505"/>
      <c r="R149" s="505"/>
      <c r="S149" s="505"/>
      <c r="T149" s="505"/>
      <c r="U149" s="505"/>
      <c r="V149" s="505"/>
      <c r="W149" s="505"/>
      <c r="X149" s="505"/>
      <c r="Y149" s="505"/>
      <c r="Z149" s="505"/>
      <c r="AA149" s="505"/>
      <c r="AB149" s="505"/>
      <c r="AC149" s="505"/>
    </row>
    <row r="150" spans="1:29">
      <c r="A150" s="505"/>
      <c r="B150" s="505"/>
      <c r="C150" s="505"/>
      <c r="D150" s="505"/>
      <c r="E150" s="505"/>
      <c r="F150" s="505"/>
      <c r="G150" s="505"/>
      <c r="H150" s="505"/>
      <c r="I150" s="505"/>
      <c r="J150" s="505"/>
      <c r="K150" s="517"/>
      <c r="L150" s="518"/>
      <c r="M150" s="505"/>
      <c r="N150" s="505"/>
      <c r="O150" s="505"/>
      <c r="P150" s="619"/>
      <c r="Q150" s="505"/>
      <c r="R150" s="505"/>
      <c r="S150" s="505"/>
      <c r="T150" s="505"/>
      <c r="U150" s="505"/>
      <c r="V150" s="505"/>
      <c r="W150" s="505"/>
      <c r="X150" s="505"/>
      <c r="Y150" s="505"/>
      <c r="Z150" s="505"/>
      <c r="AA150" s="505"/>
      <c r="AB150" s="505"/>
      <c r="AC150" s="505"/>
    </row>
    <row r="151" spans="1:29">
      <c r="A151" s="505"/>
      <c r="B151" s="505"/>
      <c r="C151" s="505"/>
      <c r="D151" s="505"/>
      <c r="E151" s="505"/>
      <c r="F151" s="505"/>
      <c r="G151" s="505"/>
      <c r="H151" s="505"/>
      <c r="I151" s="505"/>
      <c r="J151" s="505"/>
      <c r="K151" s="517"/>
      <c r="L151" s="518"/>
      <c r="M151" s="505"/>
      <c r="N151" s="505"/>
      <c r="O151" s="505"/>
      <c r="P151" s="619"/>
      <c r="Q151" s="505"/>
      <c r="R151" s="505"/>
      <c r="S151" s="505"/>
      <c r="T151" s="505"/>
      <c r="U151" s="505"/>
      <c r="V151" s="505"/>
      <c r="W151" s="505"/>
      <c r="X151" s="505"/>
      <c r="Y151" s="505"/>
      <c r="Z151" s="505"/>
      <c r="AA151" s="505"/>
      <c r="AB151" s="505"/>
      <c r="AC151" s="505"/>
    </row>
    <row r="152" spans="1:29">
      <c r="A152" s="505"/>
      <c r="B152" s="505"/>
      <c r="C152" s="505"/>
      <c r="D152" s="505"/>
      <c r="E152" s="505"/>
      <c r="F152" s="505"/>
      <c r="G152" s="505"/>
      <c r="H152" s="505"/>
      <c r="I152" s="505"/>
      <c r="J152" s="505"/>
      <c r="K152" s="517"/>
      <c r="L152" s="518"/>
      <c r="M152" s="505"/>
      <c r="N152" s="505"/>
      <c r="O152" s="505"/>
      <c r="P152" s="619"/>
      <c r="Q152" s="505"/>
      <c r="R152" s="505"/>
      <c r="S152" s="505"/>
      <c r="T152" s="505"/>
      <c r="U152" s="505"/>
      <c r="V152" s="505"/>
      <c r="W152" s="505"/>
      <c r="X152" s="505"/>
      <c r="Y152" s="505"/>
      <c r="Z152" s="505"/>
      <c r="AA152" s="505"/>
      <c r="AB152" s="505"/>
      <c r="AC152" s="505"/>
    </row>
    <row r="153" spans="1:29">
      <c r="A153" s="505"/>
      <c r="B153" s="505"/>
      <c r="C153" s="505"/>
      <c r="D153" s="505"/>
      <c r="E153" s="505"/>
      <c r="F153" s="505"/>
      <c r="G153" s="505"/>
      <c r="H153" s="505"/>
      <c r="I153" s="505"/>
      <c r="J153" s="505"/>
      <c r="K153" s="517"/>
      <c r="L153" s="518"/>
      <c r="M153" s="505"/>
      <c r="N153" s="505"/>
      <c r="O153" s="505"/>
      <c r="P153" s="619"/>
      <c r="Q153" s="505"/>
      <c r="R153" s="505"/>
      <c r="S153" s="505"/>
      <c r="T153" s="505"/>
      <c r="U153" s="505"/>
      <c r="V153" s="505"/>
      <c r="W153" s="505"/>
      <c r="X153" s="505"/>
      <c r="Y153" s="505"/>
      <c r="Z153" s="505"/>
      <c r="AA153" s="505"/>
      <c r="AB153" s="505"/>
      <c r="AC153" s="505"/>
    </row>
    <row r="154" spans="1:29">
      <c r="A154" s="505"/>
      <c r="B154" s="505"/>
      <c r="C154" s="505"/>
      <c r="D154" s="505"/>
      <c r="E154" s="505"/>
      <c r="F154" s="505"/>
      <c r="G154" s="505"/>
      <c r="H154" s="505"/>
      <c r="I154" s="505"/>
      <c r="J154" s="505"/>
      <c r="K154" s="517"/>
      <c r="L154" s="518"/>
      <c r="M154" s="505"/>
      <c r="N154" s="505"/>
      <c r="O154" s="505"/>
      <c r="P154" s="619"/>
      <c r="Q154" s="505"/>
      <c r="R154" s="505"/>
      <c r="S154" s="505"/>
      <c r="T154" s="505"/>
      <c r="U154" s="505"/>
      <c r="V154" s="505"/>
      <c r="W154" s="505"/>
      <c r="X154" s="505"/>
      <c r="Y154" s="505"/>
      <c r="Z154" s="505"/>
      <c r="AA154" s="505"/>
      <c r="AB154" s="505"/>
      <c r="AC154" s="505"/>
    </row>
    <row r="155" spans="1:29">
      <c r="A155" s="505"/>
      <c r="B155" s="505"/>
      <c r="C155" s="505"/>
      <c r="D155" s="505"/>
      <c r="E155" s="505"/>
      <c r="F155" s="505"/>
      <c r="G155" s="505"/>
      <c r="H155" s="505"/>
      <c r="I155" s="505"/>
      <c r="J155" s="505"/>
      <c r="K155" s="517"/>
      <c r="L155" s="518"/>
      <c r="M155" s="505"/>
      <c r="N155" s="505"/>
      <c r="O155" s="505"/>
      <c r="P155" s="619"/>
      <c r="Q155" s="505"/>
      <c r="R155" s="505"/>
      <c r="S155" s="505"/>
      <c r="T155" s="505"/>
      <c r="U155" s="505"/>
      <c r="V155" s="505"/>
      <c r="W155" s="505"/>
      <c r="X155" s="505"/>
      <c r="Y155" s="505"/>
      <c r="Z155" s="505"/>
      <c r="AA155" s="505"/>
      <c r="AB155" s="505"/>
      <c r="AC155" s="505"/>
    </row>
    <row r="156" spans="1:29">
      <c r="A156" s="505"/>
      <c r="B156" s="505"/>
      <c r="C156" s="505"/>
      <c r="D156" s="505"/>
      <c r="E156" s="505"/>
      <c r="F156" s="505"/>
      <c r="G156" s="505"/>
      <c r="H156" s="505"/>
      <c r="I156" s="505"/>
      <c r="J156" s="505"/>
      <c r="K156" s="517"/>
      <c r="L156" s="518"/>
      <c r="M156" s="505"/>
      <c r="N156" s="505"/>
      <c r="O156" s="505"/>
      <c r="P156" s="619"/>
      <c r="Q156" s="505"/>
      <c r="R156" s="505"/>
      <c r="S156" s="505"/>
      <c r="T156" s="505"/>
      <c r="U156" s="505"/>
      <c r="V156" s="505"/>
      <c r="W156" s="505"/>
      <c r="X156" s="505"/>
      <c r="Y156" s="505"/>
      <c r="Z156" s="505"/>
      <c r="AA156" s="505"/>
      <c r="AB156" s="505"/>
      <c r="AC156" s="505"/>
    </row>
    <row r="157" spans="1:29">
      <c r="A157" s="505"/>
      <c r="B157" s="505"/>
      <c r="C157" s="505"/>
      <c r="D157" s="505"/>
      <c r="E157" s="505"/>
      <c r="F157" s="505"/>
      <c r="G157" s="505"/>
      <c r="H157" s="505"/>
      <c r="I157" s="505"/>
      <c r="J157" s="505"/>
      <c r="K157" s="517"/>
      <c r="L157" s="518"/>
      <c r="M157" s="505"/>
      <c r="N157" s="505"/>
      <c r="O157" s="505"/>
      <c r="P157" s="619"/>
      <c r="Q157" s="505"/>
      <c r="R157" s="505"/>
      <c r="S157" s="505"/>
      <c r="T157" s="505"/>
      <c r="U157" s="505"/>
      <c r="V157" s="505"/>
      <c r="W157" s="505"/>
      <c r="X157" s="505"/>
      <c r="Y157" s="505"/>
      <c r="Z157" s="505"/>
      <c r="AA157" s="505"/>
      <c r="AB157" s="505"/>
      <c r="AC157" s="505"/>
    </row>
    <row r="158" spans="1:29">
      <c r="A158" s="505"/>
      <c r="B158" s="505"/>
      <c r="C158" s="505"/>
      <c r="D158" s="505"/>
      <c r="E158" s="505"/>
      <c r="F158" s="505"/>
      <c r="G158" s="505"/>
      <c r="H158" s="505"/>
      <c r="I158" s="505"/>
      <c r="J158" s="505"/>
      <c r="K158" s="517"/>
      <c r="L158" s="518"/>
      <c r="M158" s="505"/>
      <c r="N158" s="505"/>
      <c r="O158" s="505"/>
      <c r="P158" s="619"/>
      <c r="Q158" s="505"/>
      <c r="R158" s="505"/>
      <c r="S158" s="505"/>
      <c r="T158" s="505"/>
      <c r="U158" s="505"/>
      <c r="V158" s="505"/>
      <c r="W158" s="505"/>
      <c r="X158" s="505"/>
      <c r="Y158" s="505"/>
      <c r="Z158" s="505"/>
      <c r="AA158" s="505"/>
      <c r="AB158" s="505"/>
      <c r="AC158" s="505"/>
    </row>
    <row r="159" spans="1:29">
      <c r="A159" s="505"/>
      <c r="B159" s="505"/>
      <c r="C159" s="505"/>
      <c r="D159" s="505"/>
      <c r="E159" s="505"/>
      <c r="F159" s="505"/>
      <c r="G159" s="505"/>
      <c r="H159" s="505"/>
      <c r="I159" s="505"/>
      <c r="J159" s="505"/>
      <c r="K159" s="517"/>
      <c r="L159" s="518"/>
      <c r="M159" s="505"/>
      <c r="N159" s="505"/>
      <c r="O159" s="505"/>
      <c r="P159" s="619"/>
      <c r="Q159" s="505"/>
      <c r="R159" s="505"/>
      <c r="S159" s="505"/>
      <c r="T159" s="505"/>
      <c r="U159" s="505"/>
      <c r="V159" s="505"/>
      <c r="W159" s="505"/>
      <c r="X159" s="505"/>
      <c r="Y159" s="505"/>
      <c r="Z159" s="505"/>
      <c r="AA159" s="505"/>
      <c r="AB159" s="505"/>
      <c r="AC159" s="505"/>
    </row>
    <row r="160" spans="1:29">
      <c r="A160" s="505"/>
      <c r="B160" s="505"/>
      <c r="C160" s="505"/>
      <c r="D160" s="505"/>
      <c r="E160" s="505"/>
      <c r="F160" s="505"/>
      <c r="G160" s="505"/>
      <c r="H160" s="505"/>
      <c r="I160" s="505"/>
      <c r="J160" s="505"/>
      <c r="K160" s="517"/>
      <c r="L160" s="518"/>
      <c r="M160" s="505"/>
      <c r="N160" s="505"/>
      <c r="O160" s="505"/>
      <c r="P160" s="619"/>
      <c r="Q160" s="505"/>
      <c r="R160" s="505"/>
      <c r="S160" s="505"/>
      <c r="T160" s="505"/>
      <c r="U160" s="505"/>
      <c r="V160" s="505"/>
      <c r="W160" s="505"/>
      <c r="X160" s="505"/>
      <c r="Y160" s="505"/>
      <c r="Z160" s="505"/>
      <c r="AA160" s="505"/>
      <c r="AB160" s="505"/>
      <c r="AC160" s="505"/>
    </row>
    <row r="161" spans="1:29">
      <c r="A161" s="505"/>
      <c r="B161" s="505"/>
      <c r="C161" s="505"/>
      <c r="D161" s="505"/>
      <c r="E161" s="505"/>
      <c r="F161" s="505"/>
      <c r="G161" s="505"/>
      <c r="H161" s="505"/>
      <c r="I161" s="505"/>
      <c r="J161" s="505"/>
      <c r="K161" s="517"/>
      <c r="L161" s="518"/>
      <c r="M161" s="505"/>
      <c r="N161" s="505"/>
      <c r="O161" s="505"/>
      <c r="P161" s="619"/>
      <c r="Q161" s="505"/>
      <c r="R161" s="505"/>
      <c r="S161" s="505"/>
      <c r="T161" s="505"/>
      <c r="U161" s="505"/>
      <c r="V161" s="505"/>
      <c r="W161" s="505"/>
      <c r="X161" s="505"/>
      <c r="Y161" s="505"/>
      <c r="Z161" s="505"/>
      <c r="AA161" s="505"/>
      <c r="AB161" s="505"/>
      <c r="AC161" s="505"/>
    </row>
    <row r="162" spans="1:29">
      <c r="A162" s="505"/>
      <c r="B162" s="505"/>
      <c r="C162" s="505"/>
      <c r="D162" s="505"/>
      <c r="E162" s="505"/>
      <c r="F162" s="505"/>
      <c r="G162" s="505"/>
      <c r="H162" s="505"/>
      <c r="I162" s="505"/>
      <c r="J162" s="505"/>
      <c r="K162" s="517"/>
      <c r="L162" s="518"/>
      <c r="M162" s="505"/>
      <c r="N162" s="505"/>
      <c r="O162" s="505"/>
      <c r="P162" s="619"/>
      <c r="Q162" s="505"/>
      <c r="R162" s="505"/>
      <c r="S162" s="505"/>
      <c r="T162" s="505"/>
      <c r="U162" s="505"/>
      <c r="V162" s="505"/>
      <c r="W162" s="505"/>
      <c r="X162" s="505"/>
      <c r="Y162" s="505"/>
      <c r="Z162" s="505"/>
      <c r="AA162" s="505"/>
      <c r="AB162" s="505"/>
      <c r="AC162" s="505"/>
    </row>
    <row r="163" spans="1:29">
      <c r="A163" s="505"/>
      <c r="B163" s="505"/>
      <c r="C163" s="505"/>
      <c r="D163" s="505"/>
      <c r="E163" s="505"/>
      <c r="F163" s="505"/>
      <c r="G163" s="505"/>
      <c r="H163" s="505"/>
      <c r="I163" s="505"/>
      <c r="J163" s="505"/>
      <c r="K163" s="517"/>
      <c r="L163" s="518"/>
      <c r="M163" s="505"/>
      <c r="N163" s="505"/>
      <c r="O163" s="505"/>
      <c r="P163" s="619"/>
      <c r="Q163" s="505"/>
      <c r="R163" s="505"/>
      <c r="S163" s="505"/>
      <c r="T163" s="505"/>
      <c r="U163" s="505"/>
      <c r="V163" s="505"/>
      <c r="W163" s="505"/>
      <c r="X163" s="505"/>
      <c r="Y163" s="505"/>
      <c r="Z163" s="505"/>
      <c r="AA163" s="505"/>
      <c r="AB163" s="505"/>
      <c r="AC163" s="505"/>
    </row>
    <row r="164" spans="1:29">
      <c r="A164" s="505"/>
      <c r="B164" s="505"/>
      <c r="C164" s="505"/>
      <c r="D164" s="505"/>
      <c r="E164" s="505"/>
      <c r="F164" s="505"/>
      <c r="G164" s="505"/>
      <c r="H164" s="505"/>
      <c r="I164" s="505"/>
      <c r="J164" s="505"/>
      <c r="K164" s="517"/>
      <c r="L164" s="518"/>
      <c r="M164" s="505"/>
      <c r="N164" s="505"/>
      <c r="O164" s="505"/>
      <c r="P164" s="619"/>
      <c r="Q164" s="505"/>
      <c r="R164" s="505"/>
      <c r="S164" s="505"/>
      <c r="T164" s="505"/>
      <c r="U164" s="505"/>
      <c r="V164" s="505"/>
      <c r="W164" s="505"/>
      <c r="X164" s="505"/>
      <c r="Y164" s="505"/>
      <c r="Z164" s="505"/>
      <c r="AA164" s="505"/>
      <c r="AB164" s="505"/>
      <c r="AC164" s="505"/>
    </row>
    <row r="165" spans="1:29">
      <c r="A165" s="505"/>
      <c r="B165" s="505"/>
      <c r="C165" s="505"/>
      <c r="D165" s="505"/>
      <c r="E165" s="505"/>
      <c r="F165" s="505"/>
      <c r="G165" s="505"/>
      <c r="H165" s="505"/>
      <c r="I165" s="505"/>
      <c r="J165" s="505"/>
      <c r="K165" s="517"/>
      <c r="L165" s="518"/>
      <c r="M165" s="505"/>
      <c r="N165" s="505"/>
      <c r="O165" s="505"/>
      <c r="P165" s="619"/>
      <c r="Q165" s="505"/>
      <c r="R165" s="505"/>
      <c r="S165" s="505"/>
      <c r="T165" s="505"/>
      <c r="U165" s="505"/>
      <c r="V165" s="505"/>
      <c r="W165" s="505"/>
      <c r="X165" s="505"/>
      <c r="Y165" s="505"/>
      <c r="Z165" s="505"/>
      <c r="AA165" s="505"/>
      <c r="AB165" s="505"/>
      <c r="AC165" s="505"/>
    </row>
    <row r="166" spans="1:29">
      <c r="A166" s="505"/>
      <c r="B166" s="505"/>
      <c r="C166" s="505"/>
      <c r="D166" s="505"/>
      <c r="E166" s="505"/>
      <c r="F166" s="505"/>
      <c r="G166" s="505"/>
      <c r="H166" s="505"/>
      <c r="I166" s="505"/>
      <c r="J166" s="505"/>
      <c r="K166" s="517"/>
      <c r="L166" s="518"/>
      <c r="M166" s="505"/>
      <c r="N166" s="505"/>
      <c r="O166" s="505"/>
      <c r="P166" s="619"/>
      <c r="Q166" s="505"/>
      <c r="R166" s="505"/>
      <c r="S166" s="505"/>
      <c r="T166" s="505"/>
      <c r="U166" s="505"/>
      <c r="V166" s="505"/>
      <c r="W166" s="505"/>
      <c r="X166" s="505"/>
      <c r="Y166" s="505"/>
      <c r="Z166" s="505"/>
      <c r="AA166" s="505"/>
      <c r="AB166" s="505"/>
      <c r="AC166" s="505"/>
    </row>
    <row r="167" spans="1:29">
      <c r="A167" s="505"/>
      <c r="B167" s="505"/>
      <c r="C167" s="505"/>
      <c r="D167" s="505"/>
      <c r="E167" s="505"/>
      <c r="F167" s="505"/>
      <c r="G167" s="505"/>
      <c r="H167" s="505"/>
      <c r="I167" s="505"/>
      <c r="J167" s="505"/>
      <c r="K167" s="517"/>
      <c r="L167" s="518"/>
      <c r="M167" s="505"/>
      <c r="N167" s="505"/>
      <c r="O167" s="505"/>
      <c r="P167" s="619"/>
      <c r="Q167" s="505"/>
      <c r="R167" s="505"/>
      <c r="S167" s="505"/>
      <c r="T167" s="505"/>
      <c r="U167" s="505"/>
      <c r="V167" s="505"/>
      <c r="W167" s="505"/>
      <c r="X167" s="505"/>
      <c r="Y167" s="505"/>
      <c r="Z167" s="505"/>
      <c r="AA167" s="505"/>
      <c r="AB167" s="505"/>
      <c r="AC167" s="505"/>
    </row>
    <row r="168" spans="1:29">
      <c r="A168" s="505"/>
      <c r="B168" s="505"/>
      <c r="C168" s="505"/>
      <c r="D168" s="505"/>
      <c r="E168" s="505"/>
      <c r="F168" s="505"/>
      <c r="G168" s="505"/>
      <c r="H168" s="505"/>
      <c r="I168" s="505"/>
      <c r="J168" s="505"/>
      <c r="K168" s="517"/>
      <c r="L168" s="518"/>
      <c r="M168" s="505"/>
      <c r="N168" s="505"/>
      <c r="O168" s="505"/>
      <c r="P168" s="619"/>
      <c r="Q168" s="505"/>
      <c r="R168" s="505"/>
      <c r="S168" s="505"/>
      <c r="T168" s="505"/>
      <c r="U168" s="505"/>
      <c r="V168" s="505"/>
      <c r="W168" s="505"/>
      <c r="X168" s="505"/>
      <c r="Y168" s="505"/>
      <c r="Z168" s="505"/>
      <c r="AA168" s="505"/>
      <c r="AB168" s="505"/>
      <c r="AC168" s="505"/>
    </row>
    <row r="169" spans="1:29">
      <c r="A169" s="505"/>
      <c r="B169" s="505"/>
      <c r="C169" s="505"/>
      <c r="D169" s="505"/>
      <c r="E169" s="505"/>
      <c r="F169" s="505"/>
      <c r="G169" s="505"/>
      <c r="H169" s="505"/>
      <c r="I169" s="505"/>
      <c r="J169" s="505"/>
      <c r="K169" s="517"/>
      <c r="L169" s="518"/>
      <c r="M169" s="505"/>
      <c r="N169" s="505"/>
      <c r="O169" s="505"/>
      <c r="P169" s="619"/>
      <c r="Q169" s="505"/>
      <c r="R169" s="505"/>
      <c r="S169" s="505"/>
      <c r="T169" s="505"/>
      <c r="U169" s="505"/>
      <c r="V169" s="505"/>
      <c r="W169" s="505"/>
      <c r="X169" s="505"/>
      <c r="Y169" s="505"/>
      <c r="Z169" s="505"/>
      <c r="AA169" s="505"/>
      <c r="AB169" s="505"/>
      <c r="AC169" s="505"/>
    </row>
    <row r="170" spans="1:29">
      <c r="A170" s="505"/>
      <c r="B170" s="505"/>
      <c r="C170" s="505"/>
      <c r="D170" s="505"/>
      <c r="E170" s="505"/>
      <c r="F170" s="505"/>
      <c r="G170" s="505"/>
      <c r="H170" s="505"/>
      <c r="I170" s="505"/>
      <c r="J170" s="505"/>
      <c r="K170" s="517"/>
      <c r="L170" s="518"/>
      <c r="M170" s="505"/>
      <c r="N170" s="505"/>
      <c r="O170" s="505"/>
      <c r="P170" s="619"/>
      <c r="Q170" s="505"/>
      <c r="R170" s="505"/>
      <c r="S170" s="505"/>
      <c r="T170" s="505"/>
      <c r="U170" s="505"/>
      <c r="V170" s="505"/>
      <c r="W170" s="505"/>
      <c r="X170" s="505"/>
      <c r="Y170" s="505"/>
      <c r="Z170" s="505"/>
      <c r="AA170" s="505"/>
      <c r="AB170" s="505"/>
      <c r="AC170" s="505"/>
    </row>
    <row r="171" spans="1:29">
      <c r="A171" s="505"/>
      <c r="B171" s="505"/>
      <c r="C171" s="505"/>
      <c r="D171" s="505"/>
      <c r="E171" s="505"/>
      <c r="F171" s="505"/>
      <c r="G171" s="505"/>
      <c r="H171" s="505"/>
      <c r="I171" s="505"/>
      <c r="J171" s="505"/>
      <c r="K171" s="517"/>
      <c r="L171" s="518"/>
      <c r="M171" s="505"/>
      <c r="N171" s="505"/>
      <c r="O171" s="505"/>
      <c r="P171" s="619"/>
      <c r="Q171" s="505"/>
      <c r="R171" s="505"/>
      <c r="S171" s="505"/>
      <c r="T171" s="505"/>
      <c r="U171" s="505"/>
      <c r="V171" s="505"/>
      <c r="W171" s="505"/>
      <c r="X171" s="505"/>
      <c r="Y171" s="505"/>
      <c r="Z171" s="505"/>
      <c r="AA171" s="505"/>
      <c r="AB171" s="505"/>
      <c r="AC171" s="505"/>
    </row>
    <row r="172" spans="1:29">
      <c r="A172" s="505"/>
      <c r="B172" s="505"/>
      <c r="C172" s="505"/>
      <c r="D172" s="505"/>
      <c r="E172" s="505"/>
      <c r="F172" s="505"/>
      <c r="G172" s="505"/>
      <c r="H172" s="505"/>
      <c r="I172" s="505"/>
      <c r="J172" s="505"/>
      <c r="K172" s="517"/>
      <c r="L172" s="518"/>
      <c r="M172" s="505"/>
      <c r="N172" s="505"/>
      <c r="O172" s="505"/>
      <c r="P172" s="619"/>
      <c r="Q172" s="505"/>
      <c r="R172" s="505"/>
      <c r="S172" s="505"/>
      <c r="T172" s="505"/>
      <c r="U172" s="505"/>
      <c r="V172" s="505"/>
      <c r="W172" s="505"/>
      <c r="X172" s="505"/>
      <c r="Y172" s="505"/>
      <c r="Z172" s="505"/>
      <c r="AA172" s="505"/>
      <c r="AB172" s="505"/>
      <c r="AC172" s="505"/>
    </row>
    <row r="173" spans="1:29">
      <c r="A173" s="505"/>
      <c r="B173" s="505"/>
      <c r="C173" s="505"/>
      <c r="D173" s="505"/>
      <c r="E173" s="505"/>
      <c r="F173" s="505"/>
      <c r="G173" s="505"/>
      <c r="H173" s="505"/>
      <c r="I173" s="505"/>
      <c r="J173" s="505"/>
      <c r="K173" s="517"/>
      <c r="L173" s="518"/>
      <c r="M173" s="505"/>
      <c r="N173" s="505"/>
      <c r="O173" s="505"/>
      <c r="P173" s="619"/>
      <c r="Q173" s="505"/>
      <c r="R173" s="505"/>
      <c r="S173" s="505"/>
      <c r="T173" s="505"/>
      <c r="U173" s="505"/>
      <c r="V173" s="505"/>
      <c r="W173" s="505"/>
      <c r="X173" s="505"/>
      <c r="Y173" s="505"/>
      <c r="Z173" s="505"/>
      <c r="AA173" s="505"/>
      <c r="AB173" s="505"/>
      <c r="AC173" s="505"/>
    </row>
    <row r="174" spans="1:29">
      <c r="A174" s="505"/>
      <c r="B174" s="505"/>
      <c r="C174" s="505"/>
      <c r="D174" s="505"/>
      <c r="E174" s="505"/>
      <c r="F174" s="505"/>
      <c r="G174" s="505"/>
      <c r="H174" s="505"/>
      <c r="I174" s="505"/>
      <c r="J174" s="505"/>
      <c r="K174" s="517"/>
      <c r="L174" s="518"/>
      <c r="M174" s="505"/>
      <c r="N174" s="505"/>
      <c r="O174" s="505"/>
      <c r="P174" s="619"/>
      <c r="Q174" s="505"/>
      <c r="R174" s="505"/>
      <c r="S174" s="505"/>
      <c r="T174" s="505"/>
      <c r="U174" s="505"/>
      <c r="V174" s="505"/>
      <c r="W174" s="505"/>
      <c r="X174" s="505"/>
      <c r="Y174" s="505"/>
      <c r="Z174" s="505"/>
      <c r="AA174" s="505"/>
      <c r="AB174" s="505"/>
      <c r="AC174" s="505"/>
    </row>
    <row r="175" spans="1:29">
      <c r="A175" s="505"/>
      <c r="B175" s="505"/>
      <c r="C175" s="505"/>
      <c r="D175" s="505"/>
      <c r="E175" s="505"/>
      <c r="F175" s="505"/>
      <c r="G175" s="505"/>
      <c r="H175" s="505"/>
      <c r="I175" s="505"/>
      <c r="J175" s="505"/>
      <c r="K175" s="517"/>
      <c r="L175" s="518"/>
      <c r="M175" s="505"/>
      <c r="N175" s="505"/>
      <c r="O175" s="505"/>
      <c r="P175" s="619"/>
      <c r="Q175" s="505"/>
      <c r="R175" s="505"/>
      <c r="S175" s="505"/>
      <c r="T175" s="505"/>
      <c r="U175" s="505"/>
      <c r="V175" s="505"/>
      <c r="W175" s="505"/>
      <c r="X175" s="505"/>
      <c r="Y175" s="505"/>
      <c r="Z175" s="505"/>
      <c r="AA175" s="505"/>
      <c r="AB175" s="505"/>
      <c r="AC175" s="505"/>
    </row>
    <row r="176" spans="1:29">
      <c r="A176" s="505"/>
      <c r="B176" s="505"/>
      <c r="C176" s="505"/>
      <c r="D176" s="505"/>
      <c r="E176" s="505"/>
      <c r="F176" s="505"/>
      <c r="G176" s="505"/>
      <c r="H176" s="505"/>
      <c r="I176" s="505"/>
      <c r="J176" s="505"/>
      <c r="K176" s="517"/>
      <c r="L176" s="518"/>
      <c r="M176" s="505"/>
      <c r="N176" s="505"/>
      <c r="O176" s="505"/>
      <c r="P176" s="619"/>
      <c r="Q176" s="505"/>
      <c r="R176" s="505"/>
      <c r="S176" s="505"/>
      <c r="T176" s="505"/>
      <c r="U176" s="505"/>
      <c r="V176" s="505"/>
      <c r="W176" s="505"/>
      <c r="X176" s="505"/>
      <c r="Y176" s="505"/>
      <c r="Z176" s="505"/>
      <c r="AA176" s="505"/>
      <c r="AB176" s="505"/>
      <c r="AC176" s="505"/>
    </row>
    <row r="177" spans="1:29">
      <c r="A177" s="505"/>
      <c r="B177" s="505"/>
      <c r="C177" s="505"/>
      <c r="D177" s="505"/>
      <c r="E177" s="505"/>
      <c r="F177" s="505"/>
      <c r="G177" s="505"/>
      <c r="H177" s="505"/>
      <c r="I177" s="505"/>
      <c r="J177" s="505"/>
      <c r="K177" s="517"/>
      <c r="L177" s="518"/>
      <c r="M177" s="505"/>
      <c r="N177" s="505"/>
      <c r="O177" s="505"/>
      <c r="P177" s="619"/>
      <c r="Q177" s="505"/>
      <c r="R177" s="505"/>
      <c r="S177" s="505"/>
      <c r="T177" s="505"/>
      <c r="U177" s="505"/>
      <c r="V177" s="505"/>
      <c r="W177" s="505"/>
      <c r="X177" s="505"/>
      <c r="Y177" s="505"/>
      <c r="Z177" s="505"/>
      <c r="AA177" s="505"/>
      <c r="AB177" s="505"/>
      <c r="AC177" s="505"/>
    </row>
    <row r="178" spans="1:29">
      <c r="A178" s="505"/>
      <c r="B178" s="505"/>
      <c r="C178" s="505"/>
      <c r="D178" s="505"/>
      <c r="E178" s="505"/>
      <c r="F178" s="505"/>
      <c r="G178" s="505"/>
      <c r="H178" s="505"/>
      <c r="I178" s="505"/>
      <c r="J178" s="505"/>
      <c r="K178" s="517"/>
      <c r="L178" s="518"/>
      <c r="M178" s="505"/>
      <c r="N178" s="505"/>
      <c r="O178" s="505"/>
      <c r="P178" s="619"/>
      <c r="Q178" s="505"/>
      <c r="R178" s="505"/>
      <c r="S178" s="505"/>
      <c r="T178" s="505"/>
      <c r="U178" s="505"/>
      <c r="V178" s="505"/>
      <c r="W178" s="505"/>
      <c r="X178" s="505"/>
      <c r="Y178" s="505"/>
      <c r="Z178" s="505"/>
      <c r="AA178" s="505"/>
      <c r="AB178" s="505"/>
      <c r="AC178" s="505"/>
    </row>
    <row r="179" spans="1:29">
      <c r="A179" s="505"/>
      <c r="B179" s="505"/>
      <c r="C179" s="505"/>
      <c r="D179" s="505"/>
      <c r="E179" s="505"/>
      <c r="F179" s="505"/>
      <c r="G179" s="505"/>
      <c r="H179" s="505"/>
      <c r="I179" s="505"/>
      <c r="J179" s="505"/>
      <c r="K179" s="517"/>
      <c r="L179" s="518"/>
      <c r="M179" s="505"/>
      <c r="N179" s="505"/>
      <c r="O179" s="505"/>
      <c r="P179" s="619"/>
      <c r="Q179" s="505"/>
      <c r="R179" s="505"/>
      <c r="S179" s="505"/>
      <c r="T179" s="505"/>
      <c r="U179" s="505"/>
      <c r="V179" s="505"/>
      <c r="W179" s="505"/>
      <c r="X179" s="505"/>
      <c r="Y179" s="505"/>
      <c r="Z179" s="505"/>
      <c r="AA179" s="505"/>
      <c r="AB179" s="505"/>
      <c r="AC179" s="505"/>
    </row>
    <row r="180" spans="1:29">
      <c r="A180" s="505"/>
      <c r="B180" s="505"/>
      <c r="C180" s="505"/>
      <c r="D180" s="505"/>
      <c r="E180" s="505"/>
      <c r="F180" s="505"/>
      <c r="G180" s="505"/>
      <c r="H180" s="505"/>
      <c r="I180" s="505"/>
      <c r="J180" s="505"/>
      <c r="K180" s="517"/>
      <c r="L180" s="518"/>
      <c r="M180" s="505"/>
      <c r="N180" s="505"/>
      <c r="O180" s="505"/>
      <c r="P180" s="619"/>
      <c r="Q180" s="505"/>
      <c r="R180" s="505"/>
      <c r="S180" s="505"/>
      <c r="T180" s="505"/>
      <c r="U180" s="505"/>
      <c r="V180" s="505"/>
      <c r="W180" s="505"/>
      <c r="X180" s="505"/>
      <c r="Y180" s="505"/>
      <c r="Z180" s="505"/>
      <c r="AA180" s="505"/>
      <c r="AB180" s="505"/>
      <c r="AC180" s="505"/>
    </row>
    <row r="181" spans="1:29">
      <c r="A181" s="505"/>
      <c r="B181" s="505"/>
      <c r="C181" s="505"/>
      <c r="D181" s="505"/>
      <c r="E181" s="505"/>
      <c r="F181" s="505"/>
      <c r="G181" s="505"/>
      <c r="H181" s="505"/>
      <c r="I181" s="505"/>
      <c r="J181" s="505"/>
      <c r="K181" s="517"/>
      <c r="L181" s="518"/>
      <c r="M181" s="505"/>
      <c r="N181" s="505"/>
      <c r="O181" s="505"/>
      <c r="P181" s="619"/>
      <c r="Q181" s="505"/>
      <c r="R181" s="505"/>
      <c r="S181" s="505"/>
      <c r="T181" s="505"/>
      <c r="U181" s="505"/>
      <c r="V181" s="505"/>
      <c r="W181" s="505"/>
      <c r="X181" s="505"/>
      <c r="Y181" s="505"/>
      <c r="Z181" s="505"/>
      <c r="AA181" s="505"/>
      <c r="AB181" s="505"/>
      <c r="AC181" s="505"/>
    </row>
    <row r="182" spans="1:29">
      <c r="A182" s="505"/>
      <c r="B182" s="505"/>
      <c r="C182" s="505"/>
      <c r="D182" s="505"/>
      <c r="E182" s="505"/>
      <c r="F182" s="505"/>
      <c r="G182" s="505"/>
      <c r="H182" s="505"/>
      <c r="I182" s="505"/>
      <c r="J182" s="505"/>
      <c r="K182" s="517"/>
      <c r="L182" s="518"/>
      <c r="M182" s="505"/>
      <c r="N182" s="505"/>
      <c r="O182" s="505"/>
      <c r="P182" s="619"/>
      <c r="Q182" s="505"/>
      <c r="R182" s="505"/>
      <c r="S182" s="505"/>
      <c r="T182" s="505"/>
      <c r="U182" s="505"/>
      <c r="V182" s="505"/>
      <c r="W182" s="505"/>
      <c r="X182" s="505"/>
      <c r="Y182" s="505"/>
      <c r="Z182" s="505"/>
      <c r="AA182" s="505"/>
      <c r="AB182" s="505"/>
      <c r="AC182" s="505"/>
    </row>
    <row r="183" spans="1:29">
      <c r="A183" s="505"/>
      <c r="B183" s="505"/>
      <c r="C183" s="505"/>
      <c r="D183" s="505"/>
      <c r="E183" s="505"/>
      <c r="F183" s="505"/>
      <c r="G183" s="505"/>
      <c r="H183" s="505"/>
      <c r="I183" s="505"/>
      <c r="J183" s="505"/>
      <c r="K183" s="517"/>
      <c r="L183" s="518"/>
      <c r="M183" s="505"/>
      <c r="N183" s="505"/>
      <c r="O183" s="505"/>
      <c r="P183" s="619"/>
      <c r="Q183" s="505"/>
      <c r="R183" s="505"/>
      <c r="S183" s="505"/>
      <c r="T183" s="505"/>
      <c r="U183" s="505"/>
      <c r="V183" s="505"/>
      <c r="W183" s="505"/>
      <c r="X183" s="505"/>
      <c r="Y183" s="505"/>
      <c r="Z183" s="505"/>
      <c r="AA183" s="505"/>
      <c r="AB183" s="505"/>
      <c r="AC183" s="505"/>
    </row>
    <row r="184" spans="1:29">
      <c r="A184" s="505"/>
      <c r="B184" s="505"/>
      <c r="C184" s="505"/>
      <c r="D184" s="505"/>
      <c r="E184" s="505"/>
      <c r="F184" s="505"/>
      <c r="G184" s="505"/>
      <c r="H184" s="505"/>
      <c r="I184" s="505"/>
      <c r="J184" s="505"/>
      <c r="K184" s="517"/>
      <c r="L184" s="518"/>
      <c r="M184" s="505"/>
      <c r="N184" s="505"/>
      <c r="O184" s="505"/>
      <c r="P184" s="619"/>
      <c r="Q184" s="505"/>
      <c r="R184" s="505"/>
      <c r="S184" s="505"/>
      <c r="T184" s="505"/>
      <c r="U184" s="505"/>
      <c r="V184" s="505"/>
      <c r="W184" s="505"/>
      <c r="X184" s="505"/>
      <c r="Y184" s="505"/>
      <c r="Z184" s="505"/>
      <c r="AA184" s="505"/>
      <c r="AB184" s="505"/>
      <c r="AC184" s="505"/>
    </row>
    <row r="185" spans="1:29">
      <c r="A185" s="505"/>
      <c r="B185" s="505"/>
      <c r="C185" s="505"/>
      <c r="D185" s="505"/>
      <c r="E185" s="505"/>
      <c r="F185" s="505"/>
      <c r="G185" s="505"/>
      <c r="H185" s="505"/>
      <c r="I185" s="505"/>
      <c r="J185" s="505"/>
      <c r="K185" s="517"/>
      <c r="L185" s="518"/>
      <c r="M185" s="505"/>
      <c r="N185" s="505"/>
      <c r="O185" s="505"/>
      <c r="P185" s="619"/>
      <c r="Q185" s="505"/>
      <c r="R185" s="505"/>
      <c r="S185" s="505"/>
      <c r="T185" s="505"/>
      <c r="U185" s="505"/>
      <c r="V185" s="505"/>
      <c r="W185" s="505"/>
      <c r="X185" s="505"/>
      <c r="Y185" s="505"/>
      <c r="Z185" s="505"/>
      <c r="AA185" s="505"/>
      <c r="AB185" s="505"/>
      <c r="AC185" s="505"/>
    </row>
    <row r="186" spans="1:29">
      <c r="A186" s="505"/>
      <c r="B186" s="505"/>
      <c r="C186" s="505"/>
      <c r="D186" s="505"/>
      <c r="E186" s="505"/>
      <c r="F186" s="505"/>
      <c r="G186" s="505"/>
      <c r="H186" s="505"/>
      <c r="I186" s="505"/>
      <c r="J186" s="505"/>
      <c r="K186" s="517"/>
      <c r="L186" s="518"/>
      <c r="M186" s="505"/>
      <c r="N186" s="505"/>
      <c r="O186" s="505"/>
      <c r="P186" s="619"/>
      <c r="Q186" s="505"/>
      <c r="R186" s="505"/>
      <c r="S186" s="505"/>
      <c r="T186" s="505"/>
      <c r="U186" s="505"/>
      <c r="V186" s="505"/>
      <c r="W186" s="505"/>
      <c r="X186" s="505"/>
      <c r="Y186" s="505"/>
      <c r="Z186" s="505"/>
      <c r="AA186" s="505"/>
      <c r="AB186" s="505"/>
      <c r="AC186" s="505"/>
    </row>
    <row r="187" spans="1:29">
      <c r="A187" s="505"/>
      <c r="B187" s="505"/>
      <c r="C187" s="505"/>
      <c r="D187" s="505"/>
      <c r="E187" s="505"/>
      <c r="F187" s="505"/>
      <c r="G187" s="505"/>
      <c r="H187" s="505"/>
      <c r="I187" s="505"/>
      <c r="J187" s="505"/>
      <c r="K187" s="517"/>
      <c r="L187" s="518"/>
      <c r="M187" s="505"/>
      <c r="N187" s="505"/>
      <c r="O187" s="505"/>
      <c r="P187" s="619"/>
      <c r="Q187" s="505"/>
      <c r="R187" s="505"/>
      <c r="S187" s="505"/>
      <c r="T187" s="505"/>
      <c r="U187" s="505"/>
      <c r="V187" s="505"/>
      <c r="W187" s="505"/>
      <c r="X187" s="505"/>
      <c r="Y187" s="505"/>
      <c r="Z187" s="505"/>
      <c r="AA187" s="505"/>
      <c r="AB187" s="505"/>
      <c r="AC187" s="505"/>
    </row>
    <row r="188" spans="1:29">
      <c r="A188" s="505"/>
      <c r="B188" s="505"/>
      <c r="C188" s="505"/>
      <c r="D188" s="505"/>
      <c r="E188" s="505"/>
      <c r="F188" s="505"/>
      <c r="G188" s="505"/>
      <c r="H188" s="505"/>
      <c r="I188" s="505"/>
      <c r="J188" s="505"/>
      <c r="K188" s="517"/>
      <c r="L188" s="518"/>
      <c r="M188" s="505"/>
      <c r="N188" s="505"/>
      <c r="O188" s="505"/>
      <c r="P188" s="619"/>
      <c r="Q188" s="505"/>
      <c r="R188" s="505"/>
      <c r="S188" s="505"/>
      <c r="T188" s="505"/>
      <c r="U188" s="505"/>
      <c r="V188" s="505"/>
      <c r="W188" s="505"/>
      <c r="X188" s="505"/>
      <c r="Y188" s="505"/>
      <c r="Z188" s="505"/>
      <c r="AA188" s="505"/>
      <c r="AB188" s="505"/>
      <c r="AC188" s="505"/>
    </row>
    <row r="189" spans="1:29">
      <c r="A189" s="505"/>
      <c r="B189" s="505"/>
      <c r="C189" s="505"/>
      <c r="D189" s="505"/>
      <c r="E189" s="505"/>
      <c r="F189" s="505"/>
      <c r="G189" s="505"/>
      <c r="H189" s="505"/>
      <c r="I189" s="505"/>
      <c r="J189" s="505"/>
      <c r="K189" s="517"/>
      <c r="L189" s="518"/>
      <c r="M189" s="505"/>
      <c r="N189" s="505"/>
      <c r="O189" s="505"/>
      <c r="P189" s="619"/>
      <c r="Q189" s="505"/>
      <c r="R189" s="505"/>
      <c r="S189" s="505"/>
      <c r="T189" s="505"/>
      <c r="U189" s="505"/>
      <c r="V189" s="505"/>
      <c r="W189" s="505"/>
      <c r="X189" s="505"/>
      <c r="Y189" s="505"/>
      <c r="Z189" s="505"/>
      <c r="AA189" s="505"/>
      <c r="AB189" s="505"/>
      <c r="AC189" s="505"/>
    </row>
    <row r="190" spans="1:29">
      <c r="A190" s="505"/>
      <c r="B190" s="505"/>
      <c r="C190" s="505"/>
      <c r="D190" s="505"/>
      <c r="E190" s="505"/>
      <c r="F190" s="505"/>
      <c r="G190" s="505"/>
      <c r="H190" s="505"/>
      <c r="I190" s="505"/>
      <c r="J190" s="505"/>
      <c r="K190" s="517"/>
      <c r="L190" s="518"/>
      <c r="M190" s="505"/>
      <c r="N190" s="505"/>
      <c r="O190" s="505"/>
      <c r="P190" s="619"/>
      <c r="Q190" s="505"/>
      <c r="R190" s="505"/>
      <c r="S190" s="505"/>
      <c r="T190" s="505"/>
      <c r="U190" s="505"/>
      <c r="V190" s="505"/>
      <c r="W190" s="505"/>
      <c r="X190" s="505"/>
      <c r="Y190" s="505"/>
      <c r="Z190" s="505"/>
      <c r="AA190" s="505"/>
      <c r="AB190" s="505"/>
      <c r="AC190" s="505"/>
    </row>
    <row r="191" spans="1:29">
      <c r="A191" s="505"/>
      <c r="B191" s="505"/>
      <c r="C191" s="505"/>
      <c r="D191" s="505"/>
      <c r="E191" s="505"/>
      <c r="F191" s="505"/>
      <c r="G191" s="505"/>
      <c r="H191" s="505"/>
      <c r="I191" s="505"/>
      <c r="J191" s="505"/>
      <c r="K191" s="517"/>
      <c r="L191" s="518"/>
      <c r="M191" s="505"/>
      <c r="N191" s="505"/>
      <c r="O191" s="505"/>
      <c r="P191" s="619"/>
      <c r="Q191" s="505"/>
      <c r="R191" s="505"/>
      <c r="S191" s="505"/>
      <c r="T191" s="505"/>
      <c r="U191" s="505"/>
      <c r="V191" s="505"/>
      <c r="W191" s="505"/>
      <c r="X191" s="505"/>
      <c r="Y191" s="505"/>
      <c r="Z191" s="505"/>
      <c r="AA191" s="505"/>
      <c r="AB191" s="505"/>
      <c r="AC191" s="505"/>
    </row>
    <row r="192" spans="1:29">
      <c r="A192" s="505"/>
      <c r="B192" s="505"/>
      <c r="C192" s="505"/>
      <c r="D192" s="505"/>
      <c r="E192" s="505"/>
      <c r="F192" s="505"/>
      <c r="G192" s="505"/>
      <c r="H192" s="505"/>
      <c r="I192" s="505"/>
      <c r="J192" s="505"/>
      <c r="K192" s="517"/>
      <c r="L192" s="518"/>
      <c r="M192" s="505"/>
      <c r="N192" s="505"/>
      <c r="O192" s="505"/>
      <c r="P192" s="619"/>
      <c r="Q192" s="505"/>
      <c r="R192" s="505"/>
      <c r="S192" s="505"/>
      <c r="T192" s="505"/>
      <c r="U192" s="505"/>
      <c r="V192" s="505"/>
      <c r="W192" s="505"/>
      <c r="X192" s="505"/>
      <c r="Y192" s="505"/>
      <c r="Z192" s="505"/>
      <c r="AA192" s="505"/>
      <c r="AB192" s="505"/>
      <c r="AC192" s="505"/>
    </row>
    <row r="193" spans="1:29">
      <c r="A193" s="505"/>
      <c r="B193" s="505"/>
      <c r="C193" s="505"/>
      <c r="D193" s="505"/>
      <c r="E193" s="505"/>
      <c r="F193" s="505"/>
      <c r="G193" s="505"/>
      <c r="H193" s="505"/>
      <c r="I193" s="505"/>
      <c r="J193" s="505"/>
      <c r="K193" s="517"/>
      <c r="L193" s="518"/>
      <c r="M193" s="505"/>
      <c r="N193" s="505"/>
      <c r="O193" s="505"/>
      <c r="P193" s="619"/>
      <c r="Q193" s="505"/>
      <c r="R193" s="505"/>
      <c r="S193" s="505"/>
      <c r="T193" s="505"/>
      <c r="U193" s="505"/>
      <c r="V193" s="505"/>
      <c r="W193" s="505"/>
      <c r="X193" s="505"/>
      <c r="Y193" s="505"/>
      <c r="Z193" s="505"/>
      <c r="AA193" s="505"/>
      <c r="AB193" s="505"/>
      <c r="AC193" s="505"/>
    </row>
    <row r="194" spans="1:29">
      <c r="A194" s="505"/>
      <c r="B194" s="505"/>
      <c r="C194" s="505"/>
      <c r="D194" s="505"/>
      <c r="E194" s="505"/>
      <c r="F194" s="505"/>
      <c r="G194" s="505"/>
      <c r="H194" s="505"/>
      <c r="I194" s="505"/>
      <c r="J194" s="505"/>
      <c r="K194" s="517"/>
      <c r="L194" s="518"/>
      <c r="M194" s="505"/>
      <c r="N194" s="505"/>
      <c r="O194" s="505"/>
      <c r="P194" s="619"/>
      <c r="Q194" s="505"/>
      <c r="R194" s="505"/>
      <c r="S194" s="505"/>
      <c r="T194" s="505"/>
      <c r="U194" s="505"/>
      <c r="V194" s="505"/>
      <c r="W194" s="505"/>
      <c r="X194" s="505"/>
      <c r="Y194" s="505"/>
      <c r="Z194" s="505"/>
      <c r="AA194" s="505"/>
      <c r="AB194" s="505"/>
      <c r="AC194" s="505"/>
    </row>
    <row r="195" spans="1:29">
      <c r="A195" s="505"/>
      <c r="B195" s="505"/>
      <c r="C195" s="505"/>
      <c r="D195" s="505"/>
      <c r="E195" s="505"/>
      <c r="F195" s="505"/>
      <c r="G195" s="505"/>
      <c r="H195" s="505"/>
      <c r="I195" s="505"/>
      <c r="J195" s="505"/>
      <c r="K195" s="517"/>
      <c r="L195" s="518"/>
      <c r="M195" s="505"/>
      <c r="N195" s="505"/>
      <c r="O195" s="505"/>
      <c r="P195" s="619"/>
      <c r="Q195" s="505"/>
      <c r="R195" s="505"/>
      <c r="S195" s="505"/>
      <c r="T195" s="505"/>
      <c r="U195" s="505"/>
      <c r="V195" s="505"/>
      <c r="W195" s="505"/>
      <c r="X195" s="505"/>
      <c r="Y195" s="505"/>
      <c r="Z195" s="505"/>
      <c r="AA195" s="505"/>
      <c r="AB195" s="505"/>
      <c r="AC195" s="505"/>
    </row>
    <row r="196" spans="1:29">
      <c r="A196" s="505"/>
      <c r="B196" s="505"/>
      <c r="C196" s="505"/>
      <c r="D196" s="505"/>
      <c r="E196" s="505"/>
      <c r="F196" s="505"/>
      <c r="G196" s="505"/>
      <c r="H196" s="505"/>
      <c r="I196" s="505"/>
      <c r="J196" s="505"/>
      <c r="K196" s="517"/>
      <c r="L196" s="518"/>
      <c r="M196" s="505"/>
      <c r="N196" s="505"/>
      <c r="O196" s="505"/>
      <c r="P196" s="619"/>
      <c r="Q196" s="505"/>
      <c r="R196" s="505"/>
      <c r="S196" s="505"/>
      <c r="T196" s="505"/>
      <c r="U196" s="505"/>
      <c r="V196" s="505"/>
      <c r="W196" s="505"/>
      <c r="X196" s="505"/>
      <c r="Y196" s="505"/>
      <c r="Z196" s="505"/>
      <c r="AA196" s="505"/>
      <c r="AB196" s="505"/>
      <c r="AC196" s="505"/>
    </row>
    <row r="197" spans="1:29">
      <c r="A197" s="505"/>
      <c r="B197" s="505"/>
      <c r="C197" s="505"/>
      <c r="D197" s="505"/>
      <c r="E197" s="505"/>
      <c r="F197" s="505"/>
      <c r="G197" s="505"/>
      <c r="H197" s="505"/>
      <c r="I197" s="505"/>
      <c r="J197" s="505"/>
      <c r="K197" s="517"/>
      <c r="L197" s="518"/>
      <c r="M197" s="505"/>
      <c r="N197" s="505"/>
      <c r="O197" s="505"/>
      <c r="P197" s="619"/>
      <c r="Q197" s="505"/>
      <c r="R197" s="505"/>
      <c r="S197" s="505"/>
      <c r="T197" s="505"/>
      <c r="U197" s="505"/>
      <c r="V197" s="505"/>
      <c r="W197" s="505"/>
      <c r="X197" s="505"/>
      <c r="Y197" s="505"/>
      <c r="Z197" s="505"/>
      <c r="AA197" s="505"/>
      <c r="AB197" s="505"/>
      <c r="AC197" s="505"/>
    </row>
    <row r="198" spans="1:29">
      <c r="A198" s="505"/>
      <c r="B198" s="505"/>
      <c r="C198" s="505"/>
      <c r="D198" s="505"/>
      <c r="E198" s="505"/>
      <c r="F198" s="505"/>
      <c r="G198" s="505"/>
      <c r="H198" s="505"/>
      <c r="I198" s="505"/>
      <c r="J198" s="505"/>
      <c r="K198" s="517"/>
      <c r="L198" s="518"/>
      <c r="M198" s="505"/>
      <c r="N198" s="505"/>
      <c r="O198" s="505"/>
      <c r="P198" s="619"/>
      <c r="Q198" s="505"/>
      <c r="R198" s="505"/>
      <c r="S198" s="505"/>
      <c r="T198" s="505"/>
      <c r="U198" s="505"/>
      <c r="V198" s="505"/>
      <c r="W198" s="505"/>
      <c r="X198" s="505"/>
      <c r="Y198" s="505"/>
      <c r="Z198" s="505"/>
      <c r="AA198" s="505"/>
      <c r="AB198" s="505"/>
      <c r="AC198" s="505"/>
    </row>
    <row r="199" spans="1:29">
      <c r="A199" s="505"/>
      <c r="B199" s="505"/>
      <c r="C199" s="505"/>
      <c r="D199" s="505"/>
      <c r="E199" s="505"/>
      <c r="F199" s="505"/>
      <c r="G199" s="505"/>
      <c r="H199" s="505"/>
      <c r="I199" s="505"/>
      <c r="J199" s="505"/>
      <c r="K199" s="517"/>
      <c r="L199" s="518"/>
      <c r="M199" s="505"/>
      <c r="N199" s="505"/>
      <c r="O199" s="505"/>
      <c r="P199" s="619"/>
      <c r="Q199" s="505"/>
      <c r="R199" s="505"/>
      <c r="S199" s="505"/>
      <c r="T199" s="505"/>
      <c r="U199" s="505"/>
      <c r="V199" s="505"/>
      <c r="W199" s="505"/>
      <c r="X199" s="505"/>
      <c r="Y199" s="505"/>
      <c r="Z199" s="505"/>
      <c r="AA199" s="505"/>
      <c r="AB199" s="505"/>
      <c r="AC199" s="505"/>
    </row>
    <row r="200" spans="1:29">
      <c r="A200" s="505"/>
      <c r="B200" s="505"/>
      <c r="C200" s="505"/>
      <c r="D200" s="505"/>
      <c r="E200" s="505"/>
      <c r="F200" s="505"/>
      <c r="G200" s="505"/>
      <c r="H200" s="505"/>
      <c r="I200" s="505"/>
      <c r="J200" s="505"/>
      <c r="K200" s="517"/>
      <c r="L200" s="518"/>
      <c r="M200" s="505"/>
      <c r="N200" s="505"/>
      <c r="O200" s="505"/>
      <c r="P200" s="619"/>
      <c r="Q200" s="505"/>
      <c r="R200" s="505"/>
      <c r="S200" s="505"/>
      <c r="T200" s="505"/>
      <c r="U200" s="505"/>
      <c r="V200" s="505"/>
      <c r="W200" s="505"/>
      <c r="X200" s="505"/>
      <c r="Y200" s="505"/>
      <c r="Z200" s="505"/>
      <c r="AA200" s="505"/>
      <c r="AB200" s="505"/>
      <c r="AC200" s="505"/>
    </row>
    <row r="201" spans="1:29">
      <c r="A201" s="505"/>
      <c r="B201" s="505"/>
      <c r="C201" s="505"/>
      <c r="D201" s="505"/>
      <c r="E201" s="505"/>
      <c r="F201" s="505"/>
      <c r="G201" s="505"/>
      <c r="H201" s="505"/>
      <c r="I201" s="505"/>
      <c r="J201" s="505"/>
      <c r="K201" s="517"/>
      <c r="L201" s="518"/>
      <c r="M201" s="505"/>
      <c r="N201" s="505"/>
      <c r="O201" s="505"/>
      <c r="P201" s="619"/>
      <c r="Q201" s="505"/>
      <c r="R201" s="505"/>
      <c r="S201" s="505"/>
      <c r="T201" s="505"/>
      <c r="U201" s="505"/>
      <c r="V201" s="505"/>
      <c r="W201" s="505"/>
      <c r="X201" s="505"/>
      <c r="Y201" s="505"/>
      <c r="Z201" s="505"/>
      <c r="AA201" s="505"/>
      <c r="AB201" s="505"/>
      <c r="AC201" s="505"/>
    </row>
    <row r="202" spans="1:29">
      <c r="A202" s="505"/>
      <c r="B202" s="505"/>
      <c r="C202" s="505"/>
      <c r="D202" s="505"/>
      <c r="E202" s="505"/>
      <c r="F202" s="505"/>
      <c r="G202" s="505"/>
      <c r="H202" s="505"/>
      <c r="I202" s="505"/>
      <c r="J202" s="505"/>
      <c r="K202" s="517"/>
      <c r="L202" s="518"/>
      <c r="M202" s="505"/>
      <c r="N202" s="505"/>
      <c r="O202" s="505"/>
      <c r="P202" s="619"/>
      <c r="Q202" s="505"/>
      <c r="R202" s="505"/>
      <c r="S202" s="505"/>
      <c r="T202" s="505"/>
      <c r="U202" s="505"/>
      <c r="V202" s="505"/>
      <c r="W202" s="505"/>
      <c r="X202" s="505"/>
      <c r="Y202" s="505"/>
      <c r="Z202" s="505"/>
      <c r="AA202" s="505"/>
      <c r="AB202" s="505"/>
      <c r="AC202" s="505"/>
    </row>
    <row r="203" spans="1:29">
      <c r="A203" s="505"/>
      <c r="B203" s="505"/>
      <c r="C203" s="505"/>
      <c r="D203" s="505"/>
      <c r="E203" s="505"/>
      <c r="F203" s="505"/>
      <c r="G203" s="505"/>
      <c r="H203" s="505"/>
      <c r="I203" s="505"/>
      <c r="J203" s="505"/>
      <c r="K203" s="517"/>
      <c r="L203" s="518"/>
      <c r="M203" s="505"/>
      <c r="N203" s="505"/>
      <c r="O203" s="505"/>
      <c r="P203" s="619"/>
      <c r="Q203" s="505"/>
      <c r="R203" s="505"/>
      <c r="S203" s="505"/>
      <c r="T203" s="505"/>
      <c r="U203" s="505"/>
      <c r="V203" s="505"/>
      <c r="W203" s="505"/>
      <c r="X203" s="505"/>
      <c r="Y203" s="505"/>
      <c r="Z203" s="505"/>
      <c r="AA203" s="505"/>
      <c r="AB203" s="505"/>
      <c r="AC203" s="505"/>
    </row>
    <row r="204" spans="1:29">
      <c r="A204" s="505"/>
      <c r="B204" s="505"/>
      <c r="C204" s="505"/>
      <c r="D204" s="505"/>
      <c r="E204" s="505"/>
      <c r="F204" s="505"/>
      <c r="G204" s="505"/>
      <c r="H204" s="505"/>
      <c r="I204" s="505"/>
      <c r="J204" s="505"/>
      <c r="K204" s="517"/>
      <c r="L204" s="518"/>
      <c r="M204" s="505"/>
      <c r="N204" s="505"/>
      <c r="O204" s="505"/>
      <c r="P204" s="619"/>
      <c r="Q204" s="505"/>
      <c r="R204" s="505"/>
      <c r="S204" s="505"/>
      <c r="T204" s="505"/>
      <c r="U204" s="505"/>
      <c r="V204" s="505"/>
      <c r="W204" s="505"/>
      <c r="X204" s="505"/>
      <c r="Y204" s="505"/>
      <c r="Z204" s="505"/>
      <c r="AA204" s="505"/>
      <c r="AB204" s="505"/>
      <c r="AC204" s="505"/>
    </row>
    <row r="205" spans="1:29">
      <c r="A205" s="505"/>
      <c r="B205" s="505"/>
      <c r="C205" s="505"/>
      <c r="D205" s="505"/>
      <c r="E205" s="505"/>
      <c r="F205" s="505"/>
      <c r="G205" s="505"/>
      <c r="H205" s="505"/>
      <c r="I205" s="505"/>
      <c r="J205" s="505"/>
      <c r="K205" s="517"/>
      <c r="L205" s="518"/>
      <c r="M205" s="505"/>
      <c r="N205" s="505"/>
      <c r="O205" s="505"/>
      <c r="P205" s="619"/>
      <c r="Q205" s="505"/>
      <c r="R205" s="505"/>
      <c r="S205" s="505"/>
      <c r="T205" s="505"/>
      <c r="U205" s="505"/>
      <c r="V205" s="505"/>
      <c r="W205" s="505"/>
      <c r="X205" s="505"/>
      <c r="Y205" s="505"/>
      <c r="Z205" s="505"/>
      <c r="AA205" s="505"/>
      <c r="AB205" s="505"/>
      <c r="AC205" s="505"/>
    </row>
    <row r="206" spans="1:29">
      <c r="A206" s="505"/>
      <c r="B206" s="505"/>
      <c r="C206" s="505"/>
      <c r="D206" s="505"/>
      <c r="E206" s="505"/>
      <c r="F206" s="505"/>
      <c r="G206" s="505"/>
      <c r="H206" s="505"/>
      <c r="I206" s="505"/>
      <c r="J206" s="505"/>
      <c r="K206" s="517"/>
      <c r="L206" s="518"/>
      <c r="M206" s="505"/>
      <c r="N206" s="505"/>
      <c r="O206" s="505"/>
      <c r="P206" s="619"/>
      <c r="Q206" s="505"/>
      <c r="R206" s="505"/>
      <c r="S206" s="505"/>
      <c r="T206" s="505"/>
      <c r="U206" s="505"/>
      <c r="V206" s="505"/>
      <c r="W206" s="505"/>
      <c r="X206" s="505"/>
      <c r="Y206" s="505"/>
      <c r="Z206" s="505"/>
      <c r="AA206" s="505"/>
      <c r="AB206" s="505"/>
      <c r="AC206" s="505"/>
    </row>
    <row r="207" spans="1:29">
      <c r="A207" s="505"/>
      <c r="B207" s="505"/>
      <c r="C207" s="505"/>
      <c r="D207" s="505"/>
      <c r="E207" s="505"/>
      <c r="F207" s="505"/>
      <c r="G207" s="505"/>
      <c r="H207" s="505"/>
      <c r="I207" s="505"/>
      <c r="J207" s="505"/>
      <c r="K207" s="517"/>
      <c r="L207" s="518"/>
      <c r="M207" s="505"/>
      <c r="N207" s="505"/>
      <c r="O207" s="505"/>
      <c r="P207" s="619"/>
      <c r="Q207" s="505"/>
      <c r="R207" s="505"/>
      <c r="S207" s="505"/>
      <c r="T207" s="505"/>
      <c r="U207" s="505"/>
      <c r="V207" s="505"/>
      <c r="W207" s="505"/>
      <c r="X207" s="505"/>
      <c r="Y207" s="505"/>
      <c r="Z207" s="505"/>
      <c r="AA207" s="505"/>
      <c r="AB207" s="505"/>
      <c r="AC207" s="505"/>
    </row>
    <row r="208" spans="1:29">
      <c r="A208" s="505"/>
      <c r="B208" s="505"/>
      <c r="C208" s="505"/>
      <c r="D208" s="505"/>
      <c r="E208" s="505"/>
      <c r="F208" s="505"/>
      <c r="G208" s="505"/>
      <c r="H208" s="505"/>
      <c r="I208" s="505"/>
      <c r="J208" s="505"/>
      <c r="K208" s="517"/>
      <c r="L208" s="518"/>
      <c r="M208" s="505"/>
      <c r="N208" s="505"/>
      <c r="O208" s="505"/>
      <c r="P208" s="619"/>
      <c r="Q208" s="505"/>
      <c r="R208" s="505"/>
      <c r="S208" s="505"/>
      <c r="T208" s="505"/>
      <c r="U208" s="505"/>
      <c r="V208" s="505"/>
      <c r="W208" s="505"/>
      <c r="X208" s="505"/>
      <c r="Y208" s="505"/>
      <c r="Z208" s="505"/>
      <c r="AA208" s="505"/>
      <c r="AB208" s="505"/>
      <c r="AC208" s="505"/>
    </row>
    <row r="209" spans="1:29">
      <c r="A209" s="505"/>
      <c r="B209" s="505"/>
      <c r="C209" s="505"/>
      <c r="D209" s="505"/>
      <c r="E209" s="505"/>
      <c r="F209" s="505"/>
      <c r="G209" s="505"/>
      <c r="H209" s="505"/>
      <c r="I209" s="505"/>
      <c r="J209" s="505"/>
      <c r="K209" s="517"/>
      <c r="L209" s="518"/>
      <c r="M209" s="505"/>
      <c r="N209" s="505"/>
      <c r="O209" s="505"/>
      <c r="P209" s="619"/>
      <c r="Q209" s="505"/>
      <c r="R209" s="505"/>
      <c r="S209" s="505"/>
      <c r="T209" s="505"/>
      <c r="U209" s="505"/>
      <c r="V209" s="505"/>
      <c r="W209" s="505"/>
      <c r="X209" s="505"/>
      <c r="Y209" s="505"/>
      <c r="Z209" s="505"/>
      <c r="AA209" s="505"/>
      <c r="AB209" s="505"/>
      <c r="AC209" s="505"/>
    </row>
    <row r="210" spans="1:29">
      <c r="A210" s="505"/>
      <c r="B210" s="505"/>
      <c r="C210" s="505"/>
      <c r="D210" s="505"/>
      <c r="E210" s="505"/>
      <c r="F210" s="505"/>
      <c r="G210" s="505"/>
      <c r="H210" s="505"/>
      <c r="I210" s="505"/>
      <c r="J210" s="505"/>
      <c r="K210" s="517"/>
      <c r="L210" s="518"/>
      <c r="M210" s="505"/>
      <c r="N210" s="505"/>
      <c r="O210" s="505"/>
      <c r="P210" s="619"/>
      <c r="Q210" s="505"/>
      <c r="R210" s="505"/>
      <c r="S210" s="505"/>
      <c r="T210" s="505"/>
      <c r="U210" s="505"/>
      <c r="V210" s="505"/>
      <c r="W210" s="505"/>
      <c r="X210" s="505"/>
      <c r="Y210" s="505"/>
      <c r="Z210" s="505"/>
      <c r="AA210" s="505"/>
      <c r="AB210" s="505"/>
      <c r="AC210" s="505"/>
    </row>
    <row r="211" spans="1:29">
      <c r="A211" s="505"/>
      <c r="B211" s="505"/>
      <c r="C211" s="505"/>
      <c r="D211" s="505"/>
      <c r="E211" s="505"/>
      <c r="F211" s="505"/>
      <c r="G211" s="505"/>
      <c r="H211" s="505"/>
      <c r="I211" s="505"/>
      <c r="J211" s="505"/>
      <c r="K211" s="517"/>
      <c r="L211" s="518"/>
      <c r="M211" s="505"/>
      <c r="N211" s="505"/>
      <c r="O211" s="505"/>
      <c r="P211" s="619"/>
      <c r="Q211" s="505"/>
      <c r="R211" s="505"/>
      <c r="S211" s="505"/>
      <c r="T211" s="505"/>
      <c r="U211" s="505"/>
      <c r="V211" s="505"/>
      <c r="W211" s="505"/>
      <c r="X211" s="505"/>
      <c r="Y211" s="505"/>
      <c r="Z211" s="505"/>
      <c r="AA211" s="505"/>
      <c r="AB211" s="505"/>
      <c r="AC211" s="505"/>
    </row>
    <row r="212" spans="1:29">
      <c r="A212" s="505"/>
      <c r="B212" s="505"/>
      <c r="C212" s="505"/>
      <c r="D212" s="505"/>
      <c r="E212" s="505"/>
      <c r="F212" s="505"/>
      <c r="G212" s="505"/>
      <c r="H212" s="505"/>
      <c r="I212" s="505"/>
      <c r="J212" s="505"/>
      <c r="K212" s="517"/>
      <c r="L212" s="518"/>
      <c r="M212" s="505"/>
      <c r="N212" s="505"/>
      <c r="O212" s="505"/>
      <c r="P212" s="619"/>
      <c r="Q212" s="505"/>
      <c r="R212" s="505"/>
      <c r="S212" s="505"/>
      <c r="T212" s="505"/>
      <c r="U212" s="505"/>
      <c r="V212" s="505"/>
      <c r="W212" s="505"/>
      <c r="X212" s="505"/>
      <c r="Y212" s="505"/>
      <c r="Z212" s="505"/>
      <c r="AA212" s="505"/>
      <c r="AB212" s="505"/>
      <c r="AC212" s="505"/>
    </row>
    <row r="213" spans="1:29">
      <c r="A213" s="505"/>
      <c r="B213" s="505"/>
      <c r="C213" s="505"/>
      <c r="D213" s="505"/>
      <c r="E213" s="505"/>
      <c r="F213" s="505"/>
      <c r="G213" s="505"/>
      <c r="H213" s="505"/>
      <c r="I213" s="505"/>
      <c r="J213" s="505"/>
      <c r="K213" s="517"/>
      <c r="L213" s="518"/>
      <c r="M213" s="505"/>
      <c r="N213" s="505"/>
      <c r="O213" s="505"/>
      <c r="P213" s="619"/>
      <c r="Q213" s="505"/>
      <c r="R213" s="505"/>
      <c r="S213" s="505"/>
      <c r="T213" s="505"/>
      <c r="U213" s="505"/>
      <c r="V213" s="505"/>
      <c r="W213" s="505"/>
      <c r="X213" s="505"/>
      <c r="Y213" s="505"/>
      <c r="Z213" s="505"/>
      <c r="AA213" s="505"/>
      <c r="AB213" s="505"/>
      <c r="AC213" s="505"/>
    </row>
    <row r="214" spans="1:29">
      <c r="A214" s="505"/>
      <c r="B214" s="505"/>
      <c r="C214" s="505"/>
      <c r="D214" s="505"/>
      <c r="E214" s="505"/>
      <c r="F214" s="505"/>
      <c r="G214" s="505"/>
      <c r="H214" s="505"/>
      <c r="I214" s="505"/>
      <c r="J214" s="505"/>
      <c r="K214" s="517"/>
      <c r="L214" s="518"/>
      <c r="M214" s="505"/>
      <c r="N214" s="505"/>
      <c r="O214" s="505"/>
      <c r="P214" s="619"/>
      <c r="Q214" s="505"/>
      <c r="R214" s="505"/>
      <c r="S214" s="505"/>
      <c r="T214" s="505"/>
      <c r="U214" s="505"/>
      <c r="V214" s="505"/>
      <c r="W214" s="505"/>
      <c r="X214" s="505"/>
      <c r="Y214" s="505"/>
      <c r="Z214" s="505"/>
      <c r="AA214" s="505"/>
      <c r="AB214" s="505"/>
      <c r="AC214" s="505"/>
    </row>
    <row r="215" spans="1:29">
      <c r="A215" s="505"/>
      <c r="B215" s="505"/>
      <c r="C215" s="505"/>
      <c r="D215" s="505"/>
      <c r="E215" s="505"/>
      <c r="F215" s="505"/>
      <c r="G215" s="505"/>
      <c r="H215" s="505"/>
      <c r="I215" s="505"/>
      <c r="J215" s="505"/>
      <c r="K215" s="517"/>
      <c r="L215" s="518"/>
      <c r="M215" s="505"/>
      <c r="N215" s="505"/>
      <c r="O215" s="505"/>
      <c r="P215" s="619"/>
      <c r="Q215" s="505"/>
      <c r="R215" s="505"/>
      <c r="S215" s="505"/>
      <c r="T215" s="505"/>
      <c r="U215" s="505"/>
      <c r="V215" s="505"/>
      <c r="W215" s="505"/>
      <c r="X215" s="505"/>
      <c r="Y215" s="505"/>
      <c r="Z215" s="505"/>
      <c r="AA215" s="505"/>
      <c r="AB215" s="505"/>
      <c r="AC215" s="505"/>
    </row>
    <row r="216" spans="1:29">
      <c r="A216" s="505"/>
      <c r="B216" s="505"/>
      <c r="C216" s="505"/>
      <c r="D216" s="505"/>
      <c r="E216" s="505"/>
      <c r="F216" s="505"/>
      <c r="G216" s="505"/>
      <c r="H216" s="505"/>
      <c r="I216" s="505"/>
      <c r="J216" s="505"/>
      <c r="K216" s="517"/>
      <c r="L216" s="518"/>
      <c r="M216" s="505"/>
      <c r="N216" s="505"/>
      <c r="O216" s="505"/>
      <c r="P216" s="619"/>
      <c r="Q216" s="505"/>
      <c r="R216" s="505"/>
      <c r="S216" s="505"/>
      <c r="T216" s="505"/>
      <c r="U216" s="505"/>
      <c r="V216" s="505"/>
      <c r="W216" s="505"/>
      <c r="X216" s="505"/>
      <c r="Y216" s="505"/>
      <c r="Z216" s="505"/>
      <c r="AA216" s="505"/>
      <c r="AB216" s="505"/>
      <c r="AC216" s="505"/>
    </row>
    <row r="217" spans="1:29">
      <c r="A217" s="505"/>
      <c r="B217" s="505"/>
      <c r="C217" s="505"/>
      <c r="D217" s="505"/>
      <c r="E217" s="505"/>
      <c r="F217" s="505"/>
      <c r="G217" s="505"/>
      <c r="H217" s="505"/>
      <c r="I217" s="505"/>
      <c r="J217" s="505"/>
      <c r="K217" s="517"/>
      <c r="L217" s="518"/>
      <c r="M217" s="505"/>
      <c r="N217" s="505"/>
      <c r="O217" s="505"/>
      <c r="P217" s="619"/>
      <c r="Q217" s="505"/>
      <c r="R217" s="505"/>
      <c r="S217" s="505"/>
      <c r="T217" s="505"/>
      <c r="U217" s="505"/>
      <c r="V217" s="505"/>
      <c r="W217" s="505"/>
      <c r="X217" s="505"/>
      <c r="Y217" s="505"/>
      <c r="Z217" s="505"/>
      <c r="AA217" s="505"/>
      <c r="AB217" s="505"/>
      <c r="AC217" s="505"/>
    </row>
    <row r="218" spans="1:29">
      <c r="A218" s="505"/>
      <c r="B218" s="505"/>
      <c r="C218" s="505"/>
      <c r="D218" s="505"/>
      <c r="E218" s="505"/>
      <c r="F218" s="505"/>
      <c r="G218" s="505"/>
      <c r="H218" s="505"/>
      <c r="I218" s="505"/>
      <c r="J218" s="505"/>
      <c r="K218" s="517"/>
      <c r="L218" s="518"/>
      <c r="M218" s="505"/>
      <c r="N218" s="505"/>
      <c r="O218" s="505"/>
      <c r="P218" s="619"/>
      <c r="Q218" s="505"/>
      <c r="R218" s="505"/>
      <c r="S218" s="505"/>
      <c r="T218" s="505"/>
      <c r="U218" s="505"/>
      <c r="V218" s="505"/>
      <c r="W218" s="505"/>
      <c r="X218" s="505"/>
      <c r="Y218" s="505"/>
      <c r="Z218" s="505"/>
      <c r="AA218" s="505"/>
      <c r="AB218" s="505"/>
      <c r="AC218" s="505"/>
    </row>
    <row r="219" spans="1:29">
      <c r="A219" s="505"/>
      <c r="B219" s="505"/>
      <c r="C219" s="505"/>
      <c r="D219" s="505"/>
      <c r="E219" s="505"/>
      <c r="F219" s="505"/>
      <c r="G219" s="505"/>
      <c r="H219" s="505"/>
      <c r="I219" s="505"/>
      <c r="J219" s="505"/>
      <c r="K219" s="517"/>
      <c r="L219" s="518"/>
      <c r="M219" s="505"/>
      <c r="N219" s="505"/>
      <c r="O219" s="505"/>
      <c r="P219" s="619"/>
      <c r="Q219" s="505"/>
      <c r="R219" s="505"/>
      <c r="S219" s="505"/>
      <c r="T219" s="505"/>
      <c r="U219" s="505"/>
      <c r="V219" s="505"/>
      <c r="W219" s="505"/>
      <c r="X219" s="505"/>
      <c r="Y219" s="505"/>
      <c r="Z219" s="505"/>
      <c r="AA219" s="505"/>
      <c r="AB219" s="505"/>
      <c r="AC219" s="505"/>
    </row>
    <row r="220" spans="1:29">
      <c r="A220" s="505"/>
      <c r="B220" s="505"/>
      <c r="C220" s="505"/>
      <c r="D220" s="505"/>
      <c r="E220" s="505"/>
      <c r="F220" s="505"/>
      <c r="G220" s="505"/>
      <c r="H220" s="505"/>
      <c r="I220" s="505"/>
      <c r="J220" s="505"/>
      <c r="K220" s="517"/>
      <c r="L220" s="518"/>
      <c r="M220" s="505"/>
      <c r="N220" s="505"/>
      <c r="O220" s="505"/>
      <c r="P220" s="619"/>
      <c r="Q220" s="505"/>
      <c r="R220" s="505"/>
      <c r="S220" s="505"/>
      <c r="T220" s="505"/>
      <c r="U220" s="505"/>
      <c r="V220" s="505"/>
      <c r="W220" s="505"/>
      <c r="X220" s="505"/>
      <c r="Y220" s="505"/>
      <c r="Z220" s="505"/>
      <c r="AA220" s="505"/>
      <c r="AB220" s="505"/>
      <c r="AC220" s="505"/>
    </row>
    <row r="221" spans="1:29">
      <c r="A221" s="505"/>
      <c r="B221" s="505"/>
      <c r="C221" s="505"/>
      <c r="D221" s="505"/>
      <c r="E221" s="505"/>
      <c r="F221" s="505"/>
      <c r="G221" s="505"/>
      <c r="H221" s="505"/>
      <c r="I221" s="505"/>
      <c r="J221" s="505"/>
      <c r="K221" s="517"/>
      <c r="L221" s="518"/>
      <c r="M221" s="505"/>
      <c r="N221" s="505"/>
      <c r="O221" s="505"/>
      <c r="P221" s="619"/>
      <c r="Q221" s="505"/>
      <c r="R221" s="505"/>
      <c r="S221" s="505"/>
      <c r="T221" s="505"/>
      <c r="U221" s="505"/>
      <c r="V221" s="505"/>
      <c r="W221" s="505"/>
      <c r="X221" s="505"/>
      <c r="Y221" s="505"/>
      <c r="Z221" s="505"/>
      <c r="AA221" s="505"/>
      <c r="AB221" s="505"/>
      <c r="AC221" s="505"/>
    </row>
    <row r="222" spans="1:29">
      <c r="A222" s="505"/>
      <c r="B222" s="505"/>
      <c r="C222" s="505"/>
      <c r="D222" s="505"/>
      <c r="E222" s="505"/>
      <c r="F222" s="505"/>
      <c r="G222" s="505"/>
      <c r="H222" s="505"/>
      <c r="I222" s="505"/>
      <c r="J222" s="505"/>
      <c r="K222" s="517"/>
      <c r="L222" s="518"/>
      <c r="M222" s="505"/>
      <c r="N222" s="505"/>
      <c r="O222" s="505"/>
      <c r="P222" s="619"/>
      <c r="Q222" s="505"/>
      <c r="R222" s="505"/>
      <c r="S222" s="505"/>
      <c r="T222" s="505"/>
      <c r="U222" s="505"/>
      <c r="V222" s="505"/>
      <c r="W222" s="505"/>
      <c r="X222" s="505"/>
      <c r="Y222" s="505"/>
      <c r="Z222" s="505"/>
      <c r="AA222" s="505"/>
      <c r="AB222" s="505"/>
      <c r="AC222" s="505"/>
    </row>
    <row r="223" spans="1:29">
      <c r="A223" s="505"/>
      <c r="B223" s="505"/>
      <c r="C223" s="505"/>
      <c r="D223" s="505"/>
      <c r="E223" s="505"/>
      <c r="F223" s="505"/>
      <c r="G223" s="505"/>
      <c r="H223" s="505"/>
      <c r="I223" s="505"/>
      <c r="J223" s="505"/>
      <c r="K223" s="517"/>
      <c r="L223" s="518"/>
      <c r="M223" s="505"/>
      <c r="N223" s="505"/>
      <c r="O223" s="505"/>
      <c r="P223" s="619"/>
      <c r="Q223" s="505"/>
      <c r="R223" s="505"/>
      <c r="S223" s="505"/>
      <c r="T223" s="505"/>
      <c r="U223" s="505"/>
      <c r="V223" s="505"/>
      <c r="W223" s="505"/>
      <c r="X223" s="505"/>
      <c r="Y223" s="505"/>
      <c r="Z223" s="505"/>
      <c r="AA223" s="505"/>
      <c r="AB223" s="505"/>
      <c r="AC223" s="505"/>
    </row>
    <row r="224" spans="1:29">
      <c r="A224" s="505"/>
      <c r="B224" s="505"/>
      <c r="C224" s="505"/>
      <c r="D224" s="505"/>
      <c r="E224" s="505"/>
      <c r="F224" s="505"/>
      <c r="G224" s="505"/>
      <c r="H224" s="505"/>
      <c r="I224" s="505"/>
      <c r="J224" s="505"/>
      <c r="K224" s="517"/>
      <c r="L224" s="518"/>
      <c r="M224" s="505"/>
      <c r="N224" s="505"/>
      <c r="O224" s="505"/>
      <c r="P224" s="619"/>
      <c r="Q224" s="505"/>
      <c r="R224" s="505"/>
      <c r="S224" s="505"/>
      <c r="T224" s="505"/>
      <c r="U224" s="505"/>
      <c r="V224" s="505"/>
      <c r="W224" s="505"/>
      <c r="X224" s="505"/>
      <c r="Y224" s="505"/>
      <c r="Z224" s="505"/>
      <c r="AA224" s="505"/>
      <c r="AB224" s="505"/>
      <c r="AC224" s="505"/>
    </row>
    <row r="225" spans="1:29">
      <c r="A225" s="505"/>
      <c r="B225" s="505"/>
      <c r="C225" s="505"/>
      <c r="D225" s="505"/>
      <c r="E225" s="505"/>
      <c r="F225" s="505"/>
      <c r="G225" s="505"/>
      <c r="H225" s="505"/>
      <c r="I225" s="505"/>
      <c r="J225" s="505"/>
      <c r="K225" s="517"/>
      <c r="L225" s="518"/>
      <c r="M225" s="505"/>
      <c r="N225" s="505"/>
      <c r="O225" s="505"/>
      <c r="P225" s="619"/>
      <c r="Q225" s="505"/>
      <c r="R225" s="505"/>
      <c r="S225" s="505"/>
      <c r="T225" s="505"/>
      <c r="U225" s="505"/>
      <c r="V225" s="505"/>
      <c r="W225" s="505"/>
      <c r="X225" s="505"/>
      <c r="Y225" s="505"/>
      <c r="Z225" s="505"/>
      <c r="AA225" s="505"/>
      <c r="AB225" s="505"/>
      <c r="AC225" s="505"/>
    </row>
    <row r="226" spans="1:29">
      <c r="A226" s="505"/>
      <c r="B226" s="505"/>
      <c r="C226" s="505"/>
      <c r="D226" s="505"/>
      <c r="E226" s="505"/>
      <c r="F226" s="505"/>
      <c r="G226" s="505"/>
      <c r="H226" s="505"/>
      <c r="I226" s="505"/>
      <c r="J226" s="505"/>
      <c r="K226" s="517"/>
      <c r="L226" s="518"/>
      <c r="M226" s="505"/>
      <c r="N226" s="505"/>
      <c r="O226" s="505"/>
      <c r="P226" s="619"/>
      <c r="Q226" s="505"/>
      <c r="R226" s="505"/>
      <c r="S226" s="505"/>
      <c r="T226" s="505"/>
      <c r="U226" s="505"/>
      <c r="V226" s="505"/>
      <c r="W226" s="505"/>
      <c r="X226" s="505"/>
      <c r="Y226" s="505"/>
      <c r="Z226" s="505"/>
      <c r="AA226" s="505"/>
      <c r="AB226" s="505"/>
      <c r="AC226" s="505"/>
    </row>
    <row r="227" spans="1:29">
      <c r="A227" s="505"/>
      <c r="B227" s="505"/>
      <c r="C227" s="505"/>
      <c r="D227" s="505"/>
      <c r="E227" s="505"/>
      <c r="F227" s="505"/>
      <c r="G227" s="505"/>
      <c r="H227" s="505"/>
      <c r="I227" s="505"/>
      <c r="J227" s="505"/>
      <c r="K227" s="517"/>
      <c r="L227" s="518"/>
      <c r="M227" s="505"/>
      <c r="N227" s="505"/>
      <c r="O227" s="505"/>
      <c r="P227" s="619"/>
      <c r="Q227" s="505"/>
      <c r="R227" s="505"/>
      <c r="S227" s="505"/>
      <c r="T227" s="505"/>
      <c r="U227" s="505"/>
      <c r="V227" s="505"/>
      <c r="W227" s="505"/>
      <c r="X227" s="505"/>
      <c r="Y227" s="505"/>
      <c r="Z227" s="505"/>
      <c r="AA227" s="505"/>
      <c r="AB227" s="505"/>
      <c r="AC227" s="505"/>
    </row>
    <row r="228" spans="1:29">
      <c r="A228" s="505"/>
      <c r="B228" s="505"/>
      <c r="C228" s="505"/>
      <c r="D228" s="505"/>
      <c r="E228" s="505"/>
      <c r="F228" s="505"/>
      <c r="G228" s="505"/>
      <c r="H228" s="505"/>
      <c r="I228" s="505"/>
      <c r="J228" s="505"/>
      <c r="K228" s="517"/>
      <c r="L228" s="518"/>
      <c r="M228" s="505"/>
      <c r="N228" s="505"/>
      <c r="O228" s="505"/>
      <c r="P228" s="619"/>
      <c r="Q228" s="505"/>
      <c r="R228" s="505"/>
      <c r="S228" s="505"/>
      <c r="T228" s="505"/>
      <c r="U228" s="505"/>
      <c r="V228" s="505"/>
      <c r="W228" s="505"/>
      <c r="X228" s="505"/>
      <c r="Y228" s="505"/>
      <c r="Z228" s="505"/>
      <c r="AA228" s="505"/>
      <c r="AB228" s="505"/>
      <c r="AC228" s="505"/>
    </row>
    <row r="229" spans="1:29">
      <c r="A229" s="505"/>
      <c r="B229" s="505"/>
      <c r="C229" s="505"/>
      <c r="D229" s="505"/>
      <c r="E229" s="505"/>
      <c r="F229" s="505"/>
      <c r="G229" s="505"/>
      <c r="H229" s="505"/>
      <c r="I229" s="505"/>
      <c r="J229" s="505"/>
      <c r="K229" s="517"/>
      <c r="L229" s="518"/>
      <c r="M229" s="505"/>
      <c r="N229" s="505"/>
      <c r="O229" s="505"/>
      <c r="P229" s="619"/>
      <c r="Q229" s="505"/>
      <c r="R229" s="505"/>
      <c r="S229" s="505"/>
      <c r="T229" s="505"/>
      <c r="U229" s="505"/>
      <c r="V229" s="505"/>
      <c r="W229" s="505"/>
      <c r="X229" s="505"/>
      <c r="Y229" s="505"/>
      <c r="Z229" s="505"/>
      <c r="AA229" s="505"/>
      <c r="AB229" s="505"/>
      <c r="AC229" s="505"/>
    </row>
    <row r="230" spans="1:29">
      <c r="A230" s="505"/>
      <c r="B230" s="505"/>
      <c r="C230" s="505"/>
      <c r="D230" s="505"/>
      <c r="E230" s="505"/>
      <c r="F230" s="505"/>
      <c r="G230" s="505"/>
      <c r="H230" s="505"/>
      <c r="I230" s="505"/>
      <c r="J230" s="505"/>
      <c r="K230" s="517"/>
      <c r="L230" s="518"/>
      <c r="M230" s="505"/>
      <c r="N230" s="505"/>
      <c r="O230" s="505"/>
      <c r="P230" s="619"/>
      <c r="Q230" s="505"/>
      <c r="R230" s="505"/>
      <c r="S230" s="505"/>
      <c r="T230" s="505"/>
      <c r="U230" s="505"/>
      <c r="V230" s="505"/>
      <c r="W230" s="505"/>
      <c r="X230" s="505"/>
      <c r="Y230" s="505"/>
      <c r="Z230" s="505"/>
      <c r="AA230" s="505"/>
      <c r="AB230" s="505"/>
      <c r="AC230" s="505"/>
    </row>
    <row r="231" spans="1:29">
      <c r="A231" s="505"/>
      <c r="B231" s="505"/>
      <c r="C231" s="505"/>
      <c r="D231" s="505"/>
      <c r="E231" s="505"/>
      <c r="F231" s="505"/>
      <c r="G231" s="505"/>
      <c r="H231" s="505"/>
      <c r="I231" s="505"/>
      <c r="J231" s="505"/>
      <c r="K231" s="517"/>
      <c r="L231" s="518"/>
      <c r="M231" s="505"/>
      <c r="N231" s="505"/>
      <c r="O231" s="505"/>
      <c r="P231" s="619"/>
      <c r="Q231" s="505"/>
      <c r="R231" s="505"/>
      <c r="S231" s="505"/>
      <c r="T231" s="505"/>
      <c r="U231" s="505"/>
      <c r="V231" s="505"/>
      <c r="W231" s="505"/>
      <c r="X231" s="505"/>
      <c r="Y231" s="505"/>
      <c r="Z231" s="505"/>
      <c r="AA231" s="505"/>
      <c r="AB231" s="505"/>
      <c r="AC231" s="505"/>
    </row>
    <row r="232" spans="1:29">
      <c r="A232" s="505"/>
      <c r="B232" s="505"/>
      <c r="C232" s="505"/>
      <c r="D232" s="505"/>
      <c r="E232" s="505"/>
      <c r="F232" s="505"/>
      <c r="G232" s="505"/>
      <c r="H232" s="505"/>
      <c r="I232" s="505"/>
      <c r="J232" s="505"/>
      <c r="K232" s="517"/>
      <c r="L232" s="518"/>
      <c r="M232" s="505"/>
      <c r="N232" s="505"/>
      <c r="O232" s="505"/>
      <c r="P232" s="619"/>
      <c r="Q232" s="505"/>
      <c r="R232" s="505"/>
      <c r="S232" s="505"/>
      <c r="T232" s="505"/>
      <c r="U232" s="505"/>
      <c r="V232" s="505"/>
      <c r="W232" s="505"/>
      <c r="X232" s="505"/>
      <c r="Y232" s="505"/>
      <c r="Z232" s="505"/>
      <c r="AA232" s="505"/>
      <c r="AB232" s="505"/>
      <c r="AC232" s="505"/>
    </row>
    <row r="233" spans="1:29">
      <c r="A233" s="505"/>
      <c r="B233" s="505"/>
      <c r="C233" s="505"/>
      <c r="D233" s="505"/>
      <c r="E233" s="505"/>
      <c r="F233" s="505"/>
      <c r="G233" s="505"/>
      <c r="H233" s="505"/>
      <c r="I233" s="505"/>
      <c r="J233" s="505"/>
      <c r="K233" s="517"/>
      <c r="L233" s="518"/>
      <c r="M233" s="505"/>
      <c r="N233" s="505"/>
      <c r="O233" s="505"/>
      <c r="P233" s="619"/>
      <c r="Q233" s="505"/>
      <c r="R233" s="505"/>
      <c r="S233" s="505"/>
      <c r="T233" s="505"/>
      <c r="U233" s="505"/>
      <c r="V233" s="505"/>
      <c r="W233" s="505"/>
      <c r="X233" s="505"/>
      <c r="Y233" s="505"/>
      <c r="Z233" s="505"/>
      <c r="AA233" s="505"/>
      <c r="AB233" s="505"/>
      <c r="AC233" s="505"/>
    </row>
    <row r="234" spans="1:29">
      <c r="A234" s="505"/>
      <c r="B234" s="505"/>
      <c r="C234" s="505"/>
      <c r="D234" s="505"/>
      <c r="E234" s="505"/>
      <c r="F234" s="505"/>
      <c r="G234" s="505"/>
      <c r="H234" s="505"/>
      <c r="I234" s="505"/>
      <c r="J234" s="505"/>
      <c r="K234" s="517"/>
      <c r="L234" s="518"/>
      <c r="M234" s="505"/>
      <c r="N234" s="505"/>
      <c r="O234" s="505"/>
      <c r="P234" s="619"/>
      <c r="Q234" s="505"/>
      <c r="R234" s="505"/>
      <c r="S234" s="505"/>
      <c r="T234" s="505"/>
      <c r="U234" s="505"/>
      <c r="V234" s="505"/>
      <c r="W234" s="505"/>
      <c r="X234" s="505"/>
      <c r="Y234" s="505"/>
      <c r="Z234" s="505"/>
      <c r="AA234" s="505"/>
      <c r="AB234" s="505"/>
      <c r="AC234" s="505"/>
    </row>
    <row r="235" spans="1:29">
      <c r="A235" s="505"/>
      <c r="B235" s="505"/>
      <c r="C235" s="505"/>
      <c r="D235" s="505"/>
      <c r="E235" s="505"/>
      <c r="F235" s="505"/>
      <c r="G235" s="505"/>
      <c r="H235" s="505"/>
      <c r="I235" s="505"/>
      <c r="J235" s="505"/>
      <c r="K235" s="517"/>
      <c r="L235" s="518"/>
      <c r="M235" s="505"/>
      <c r="N235" s="505"/>
      <c r="O235" s="505"/>
      <c r="P235" s="619"/>
      <c r="Q235" s="505"/>
      <c r="R235" s="505"/>
      <c r="S235" s="505"/>
      <c r="T235" s="505"/>
      <c r="U235" s="505"/>
      <c r="V235" s="505"/>
      <c r="W235" s="505"/>
      <c r="X235" s="505"/>
      <c r="Y235" s="505"/>
      <c r="Z235" s="505"/>
      <c r="AA235" s="505"/>
      <c r="AB235" s="505"/>
      <c r="AC235" s="505"/>
    </row>
    <row r="236" spans="1:29">
      <c r="A236" s="505"/>
      <c r="B236" s="505"/>
      <c r="C236" s="505"/>
      <c r="D236" s="505"/>
      <c r="E236" s="505"/>
      <c r="F236" s="505"/>
      <c r="G236" s="505"/>
      <c r="H236" s="505"/>
      <c r="I236" s="505"/>
      <c r="J236" s="505"/>
      <c r="K236" s="517"/>
      <c r="L236" s="518"/>
      <c r="M236" s="505"/>
      <c r="N236" s="505"/>
      <c r="O236" s="505"/>
      <c r="P236" s="619"/>
      <c r="Q236" s="505"/>
      <c r="R236" s="505"/>
      <c r="S236" s="505"/>
      <c r="T236" s="505"/>
      <c r="U236" s="505"/>
      <c r="V236" s="505"/>
      <c r="W236" s="505"/>
      <c r="X236" s="505"/>
      <c r="Y236" s="505"/>
      <c r="Z236" s="505"/>
      <c r="AA236" s="505"/>
      <c r="AB236" s="505"/>
      <c r="AC236" s="505"/>
    </row>
    <row r="237" spans="1:29">
      <c r="A237" s="505"/>
      <c r="B237" s="505"/>
      <c r="C237" s="505"/>
      <c r="D237" s="505"/>
      <c r="E237" s="505"/>
      <c r="F237" s="505"/>
      <c r="G237" s="505"/>
      <c r="H237" s="505"/>
      <c r="I237" s="505"/>
      <c r="J237" s="505"/>
      <c r="K237" s="517"/>
      <c r="L237" s="518"/>
      <c r="M237" s="505"/>
      <c r="N237" s="505"/>
      <c r="O237" s="505"/>
      <c r="P237" s="619"/>
      <c r="Q237" s="505"/>
      <c r="R237" s="505"/>
      <c r="S237" s="505"/>
      <c r="T237" s="505"/>
      <c r="U237" s="505"/>
      <c r="V237" s="505"/>
      <c r="W237" s="505"/>
      <c r="X237" s="505"/>
      <c r="Y237" s="505"/>
      <c r="Z237" s="505"/>
      <c r="AA237" s="505"/>
      <c r="AB237" s="505"/>
      <c r="AC237" s="505"/>
    </row>
    <row r="238" spans="1:29">
      <c r="A238" s="505"/>
      <c r="B238" s="505"/>
      <c r="C238" s="505"/>
      <c r="D238" s="505"/>
      <c r="E238" s="505"/>
      <c r="F238" s="505"/>
      <c r="G238" s="505"/>
      <c r="H238" s="505"/>
      <c r="I238" s="505"/>
      <c r="J238" s="505"/>
      <c r="K238" s="517"/>
      <c r="L238" s="518"/>
      <c r="M238" s="505"/>
      <c r="N238" s="505"/>
      <c r="O238" s="505"/>
      <c r="P238" s="619"/>
      <c r="Q238" s="505"/>
      <c r="R238" s="505"/>
      <c r="S238" s="505"/>
      <c r="T238" s="505"/>
      <c r="U238" s="505"/>
      <c r="V238" s="505"/>
      <c r="W238" s="505"/>
      <c r="X238" s="505"/>
      <c r="Y238" s="505"/>
      <c r="Z238" s="505"/>
      <c r="AA238" s="505"/>
      <c r="AB238" s="505"/>
      <c r="AC238" s="505"/>
    </row>
    <row r="239" spans="1:29">
      <c r="A239" s="505"/>
      <c r="B239" s="505"/>
      <c r="C239" s="505"/>
      <c r="D239" s="505"/>
      <c r="E239" s="505"/>
      <c r="F239" s="505"/>
      <c r="G239" s="505"/>
      <c r="H239" s="505"/>
      <c r="I239" s="505"/>
      <c r="J239" s="505"/>
      <c r="K239" s="517"/>
      <c r="L239" s="518"/>
      <c r="M239" s="505"/>
      <c r="N239" s="505"/>
      <c r="O239" s="505"/>
      <c r="P239" s="619"/>
      <c r="Q239" s="505"/>
      <c r="R239" s="505"/>
      <c r="S239" s="505"/>
      <c r="T239" s="505"/>
      <c r="U239" s="505"/>
      <c r="V239" s="505"/>
      <c r="W239" s="505"/>
      <c r="X239" s="505"/>
      <c r="Y239" s="505"/>
      <c r="Z239" s="505"/>
      <c r="AA239" s="505"/>
      <c r="AB239" s="505"/>
      <c r="AC239" s="505"/>
    </row>
    <row r="240" spans="1:29">
      <c r="A240" s="505"/>
      <c r="B240" s="505"/>
      <c r="C240" s="505"/>
      <c r="D240" s="505"/>
      <c r="E240" s="505"/>
      <c r="F240" s="505"/>
      <c r="G240" s="505"/>
      <c r="H240" s="505"/>
      <c r="I240" s="505"/>
      <c r="J240" s="505"/>
      <c r="K240" s="517"/>
      <c r="L240" s="518"/>
      <c r="M240" s="505"/>
      <c r="N240" s="505"/>
      <c r="O240" s="505"/>
      <c r="P240" s="619"/>
      <c r="Q240" s="505"/>
      <c r="R240" s="505"/>
      <c r="S240" s="505"/>
      <c r="T240" s="505"/>
      <c r="U240" s="505"/>
      <c r="V240" s="505"/>
      <c r="W240" s="505"/>
      <c r="X240" s="505"/>
      <c r="Y240" s="505"/>
      <c r="Z240" s="505"/>
      <c r="AA240" s="505"/>
      <c r="AB240" s="505"/>
      <c r="AC240" s="505"/>
    </row>
    <row r="241" spans="1:29">
      <c r="A241" s="505"/>
      <c r="B241" s="505"/>
      <c r="C241" s="505"/>
      <c r="D241" s="505"/>
      <c r="E241" s="505"/>
      <c r="F241" s="505"/>
      <c r="G241" s="505"/>
      <c r="H241" s="505"/>
      <c r="I241" s="505"/>
      <c r="J241" s="505"/>
      <c r="K241" s="517"/>
      <c r="L241" s="518"/>
      <c r="M241" s="505"/>
      <c r="N241" s="505"/>
      <c r="O241" s="505"/>
      <c r="P241" s="619"/>
      <c r="Q241" s="505"/>
      <c r="R241" s="505"/>
      <c r="S241" s="505"/>
      <c r="T241" s="505"/>
      <c r="U241" s="505"/>
      <c r="V241" s="505"/>
      <c r="W241" s="505"/>
      <c r="X241" s="505"/>
      <c r="Y241" s="505"/>
      <c r="Z241" s="505"/>
      <c r="AA241" s="505"/>
      <c r="AB241" s="505"/>
      <c r="AC241" s="505"/>
    </row>
    <row r="242" spans="1:29">
      <c r="A242" s="505"/>
      <c r="B242" s="505"/>
      <c r="C242" s="505"/>
      <c r="D242" s="505"/>
      <c r="E242" s="505"/>
      <c r="F242" s="505"/>
      <c r="G242" s="505"/>
      <c r="H242" s="505"/>
      <c r="I242" s="505"/>
      <c r="J242" s="505"/>
      <c r="K242" s="517"/>
      <c r="L242" s="518"/>
      <c r="M242" s="505"/>
      <c r="N242" s="505"/>
      <c r="O242" s="505"/>
      <c r="P242" s="619"/>
      <c r="Q242" s="505"/>
      <c r="R242" s="505"/>
      <c r="S242" s="505"/>
      <c r="T242" s="505"/>
      <c r="U242" s="505"/>
      <c r="V242" s="505"/>
      <c r="W242" s="505"/>
      <c r="X242" s="505"/>
      <c r="Y242" s="505"/>
      <c r="Z242" s="505"/>
      <c r="AA242" s="505"/>
      <c r="AB242" s="505"/>
      <c r="AC242" s="505"/>
    </row>
    <row r="243" spans="1:29">
      <c r="A243" s="505"/>
      <c r="B243" s="505"/>
      <c r="C243" s="505"/>
      <c r="D243" s="505"/>
      <c r="E243" s="505"/>
      <c r="F243" s="505"/>
      <c r="G243" s="505"/>
      <c r="H243" s="505"/>
      <c r="I243" s="505"/>
      <c r="J243" s="505"/>
      <c r="K243" s="517"/>
      <c r="L243" s="518"/>
      <c r="M243" s="505"/>
      <c r="N243" s="505"/>
      <c r="O243" s="505"/>
      <c r="P243" s="619"/>
      <c r="Q243" s="505"/>
      <c r="R243" s="505"/>
      <c r="S243" s="505"/>
      <c r="T243" s="505"/>
      <c r="U243" s="505"/>
      <c r="V243" s="505"/>
      <c r="W243" s="505"/>
      <c r="X243" s="505"/>
      <c r="Y243" s="505"/>
      <c r="Z243" s="505"/>
      <c r="AA243" s="505"/>
      <c r="AB243" s="505"/>
      <c r="AC243" s="505"/>
    </row>
    <row r="244" spans="1:29">
      <c r="A244" s="505"/>
      <c r="B244" s="505"/>
      <c r="C244" s="505"/>
      <c r="D244" s="505"/>
      <c r="E244" s="505"/>
      <c r="F244" s="505"/>
      <c r="G244" s="505"/>
      <c r="H244" s="505"/>
      <c r="I244" s="505"/>
      <c r="J244" s="505"/>
      <c r="K244" s="517"/>
      <c r="L244" s="518"/>
      <c r="M244" s="505"/>
      <c r="N244" s="505"/>
      <c r="O244" s="505"/>
      <c r="P244" s="619"/>
      <c r="Q244" s="505"/>
      <c r="R244" s="505"/>
      <c r="S244" s="505"/>
      <c r="T244" s="505"/>
      <c r="U244" s="505"/>
      <c r="V244" s="505"/>
      <c r="W244" s="505"/>
      <c r="X244" s="505"/>
      <c r="Y244" s="505"/>
      <c r="Z244" s="505"/>
      <c r="AA244" s="505"/>
      <c r="AB244" s="505"/>
      <c r="AC244" s="505"/>
    </row>
    <row r="245" spans="1:29">
      <c r="A245" s="505"/>
      <c r="B245" s="505"/>
      <c r="C245" s="505"/>
      <c r="D245" s="505"/>
      <c r="E245" s="505"/>
      <c r="F245" s="505"/>
      <c r="G245" s="505"/>
      <c r="H245" s="505"/>
      <c r="I245" s="505"/>
      <c r="J245" s="505"/>
      <c r="K245" s="517"/>
      <c r="L245" s="518"/>
      <c r="M245" s="505"/>
      <c r="N245" s="505"/>
      <c r="O245" s="505"/>
      <c r="P245" s="619"/>
      <c r="Q245" s="505"/>
      <c r="R245" s="505"/>
      <c r="S245" s="505"/>
      <c r="T245" s="505"/>
      <c r="U245" s="505"/>
      <c r="V245" s="505"/>
      <c r="W245" s="505"/>
      <c r="X245" s="505"/>
      <c r="Y245" s="505"/>
      <c r="Z245" s="505"/>
      <c r="AA245" s="505"/>
      <c r="AB245" s="505"/>
      <c r="AC245" s="505"/>
    </row>
    <row r="246" spans="1:29">
      <c r="A246" s="505"/>
      <c r="B246" s="505"/>
      <c r="C246" s="505"/>
      <c r="D246" s="505"/>
      <c r="E246" s="505"/>
      <c r="F246" s="505"/>
      <c r="G246" s="505"/>
      <c r="H246" s="505"/>
      <c r="I246" s="505"/>
      <c r="J246" s="505"/>
      <c r="K246" s="517"/>
      <c r="L246" s="518"/>
      <c r="M246" s="505"/>
      <c r="N246" s="505"/>
      <c r="O246" s="505"/>
      <c r="P246" s="619"/>
      <c r="Q246" s="505"/>
      <c r="R246" s="505"/>
      <c r="S246" s="505"/>
      <c r="T246" s="505"/>
      <c r="U246" s="505"/>
      <c r="V246" s="505"/>
      <c r="W246" s="505"/>
      <c r="X246" s="505"/>
      <c r="Y246" s="505"/>
      <c r="Z246" s="505"/>
      <c r="AA246" s="505"/>
      <c r="AB246" s="505"/>
      <c r="AC246" s="505"/>
    </row>
    <row r="247" spans="1:29">
      <c r="A247" s="505"/>
      <c r="B247" s="505"/>
      <c r="C247" s="505"/>
      <c r="D247" s="505"/>
      <c r="E247" s="505"/>
      <c r="F247" s="505"/>
      <c r="G247" s="505"/>
      <c r="H247" s="505"/>
      <c r="I247" s="505"/>
      <c r="J247" s="505"/>
      <c r="K247" s="517"/>
      <c r="L247" s="518"/>
      <c r="M247" s="505"/>
      <c r="N247" s="505"/>
      <c r="O247" s="505"/>
      <c r="P247" s="619"/>
      <c r="Q247" s="505"/>
      <c r="R247" s="505"/>
      <c r="S247" s="505"/>
      <c r="T247" s="505"/>
      <c r="U247" s="505"/>
      <c r="V247" s="505"/>
      <c r="W247" s="505"/>
      <c r="X247" s="505"/>
      <c r="Y247" s="505"/>
      <c r="Z247" s="505"/>
      <c r="AA247" s="505"/>
      <c r="AB247" s="505"/>
      <c r="AC247" s="505"/>
    </row>
    <row r="248" spans="1:29">
      <c r="A248" s="505"/>
      <c r="B248" s="505"/>
      <c r="C248" s="505"/>
      <c r="D248" s="505"/>
      <c r="E248" s="505"/>
      <c r="F248" s="505"/>
      <c r="G248" s="505"/>
      <c r="H248" s="505"/>
      <c r="I248" s="505"/>
      <c r="J248" s="505"/>
      <c r="K248" s="517"/>
      <c r="L248" s="518"/>
      <c r="M248" s="505"/>
      <c r="N248" s="505"/>
      <c r="O248" s="505"/>
      <c r="P248" s="619"/>
      <c r="Q248" s="505"/>
      <c r="R248" s="505"/>
      <c r="S248" s="505"/>
      <c r="T248" s="505"/>
      <c r="U248" s="505"/>
      <c r="V248" s="505"/>
      <c r="W248" s="505"/>
      <c r="X248" s="505"/>
      <c r="Y248" s="505"/>
      <c r="Z248" s="505"/>
      <c r="AA248" s="505"/>
      <c r="AB248" s="505"/>
      <c r="AC248" s="505"/>
    </row>
    <row r="249" spans="1:29">
      <c r="A249" s="505"/>
      <c r="B249" s="505"/>
      <c r="C249" s="505"/>
      <c r="D249" s="505"/>
      <c r="E249" s="505"/>
      <c r="F249" s="505"/>
      <c r="G249" s="505"/>
      <c r="H249" s="505"/>
      <c r="I249" s="505"/>
      <c r="J249" s="505"/>
      <c r="K249" s="517"/>
      <c r="L249" s="518"/>
      <c r="M249" s="505"/>
      <c r="N249" s="505"/>
      <c r="O249" s="505"/>
      <c r="P249" s="619"/>
      <c r="Q249" s="505"/>
      <c r="R249" s="505"/>
      <c r="S249" s="505"/>
      <c r="T249" s="505"/>
      <c r="U249" s="505"/>
      <c r="V249" s="505"/>
      <c r="W249" s="505"/>
      <c r="X249" s="505"/>
      <c r="Y249" s="505"/>
      <c r="Z249" s="505"/>
      <c r="AA249" s="505"/>
      <c r="AB249" s="505"/>
      <c r="AC249" s="505"/>
    </row>
    <row r="250" spans="1:29">
      <c r="A250" s="505"/>
      <c r="B250" s="505"/>
      <c r="C250" s="505"/>
      <c r="D250" s="505"/>
      <c r="E250" s="505"/>
      <c r="F250" s="505"/>
      <c r="G250" s="505"/>
      <c r="H250" s="505"/>
      <c r="I250" s="505"/>
      <c r="J250" s="505"/>
      <c r="K250" s="517"/>
      <c r="L250" s="518"/>
      <c r="M250" s="505"/>
      <c r="N250" s="505"/>
      <c r="O250" s="505"/>
      <c r="P250" s="619"/>
      <c r="Q250" s="505"/>
      <c r="R250" s="505"/>
      <c r="S250" s="505"/>
      <c r="T250" s="505"/>
      <c r="U250" s="505"/>
      <c r="V250" s="505"/>
      <c r="W250" s="505"/>
      <c r="X250" s="505"/>
      <c r="Y250" s="505"/>
      <c r="Z250" s="505"/>
      <c r="AA250" s="505"/>
      <c r="AB250" s="505"/>
      <c r="AC250" s="505"/>
    </row>
    <row r="251" spans="1:29">
      <c r="A251" s="505"/>
      <c r="B251" s="505"/>
      <c r="C251" s="505"/>
      <c r="D251" s="505"/>
      <c r="E251" s="505"/>
      <c r="F251" s="505"/>
      <c r="G251" s="505"/>
      <c r="H251" s="505"/>
      <c r="I251" s="505"/>
      <c r="J251" s="505"/>
      <c r="K251" s="517"/>
      <c r="L251" s="518"/>
      <c r="M251" s="505"/>
      <c r="N251" s="505"/>
      <c r="O251" s="505"/>
      <c r="P251" s="619"/>
      <c r="Q251" s="505"/>
      <c r="R251" s="505"/>
      <c r="S251" s="505"/>
      <c r="T251" s="505"/>
      <c r="U251" s="505"/>
      <c r="V251" s="505"/>
      <c r="W251" s="505"/>
      <c r="X251" s="505"/>
      <c r="Y251" s="505"/>
      <c r="Z251" s="505"/>
      <c r="AA251" s="505"/>
      <c r="AB251" s="505"/>
      <c r="AC251" s="505"/>
    </row>
    <row r="252" spans="1:29">
      <c r="A252" s="505"/>
      <c r="B252" s="505"/>
      <c r="C252" s="505"/>
      <c r="D252" s="505"/>
      <c r="E252" s="505"/>
      <c r="F252" s="505"/>
      <c r="G252" s="505"/>
      <c r="H252" s="505"/>
      <c r="I252" s="505"/>
      <c r="J252" s="505"/>
      <c r="K252" s="517"/>
      <c r="L252" s="518"/>
      <c r="M252" s="505"/>
      <c r="N252" s="505"/>
      <c r="O252" s="505"/>
      <c r="P252" s="619"/>
      <c r="Q252" s="505"/>
      <c r="R252" s="505"/>
      <c r="S252" s="505"/>
      <c r="T252" s="505"/>
      <c r="U252" s="505"/>
      <c r="V252" s="505"/>
      <c r="W252" s="505"/>
      <c r="X252" s="505"/>
      <c r="Y252" s="505"/>
      <c r="Z252" s="505"/>
      <c r="AA252" s="505"/>
      <c r="AB252" s="505"/>
      <c r="AC252" s="505"/>
    </row>
    <row r="253" spans="1:29">
      <c r="A253" s="505"/>
      <c r="B253" s="505"/>
      <c r="C253" s="505"/>
      <c r="D253" s="505"/>
      <c r="E253" s="505"/>
      <c r="F253" s="505"/>
      <c r="G253" s="505"/>
      <c r="H253" s="505"/>
      <c r="I253" s="505"/>
      <c r="J253" s="505"/>
      <c r="K253" s="517"/>
      <c r="L253" s="518"/>
      <c r="M253" s="505"/>
      <c r="N253" s="505"/>
      <c r="O253" s="505"/>
      <c r="P253" s="619"/>
      <c r="Q253" s="505"/>
      <c r="R253" s="505"/>
      <c r="S253" s="505"/>
      <c r="T253" s="505"/>
      <c r="U253" s="505"/>
      <c r="V253" s="505"/>
      <c r="W253" s="505"/>
      <c r="X253" s="505"/>
      <c r="Y253" s="505"/>
      <c r="Z253" s="505"/>
      <c r="AA253" s="505"/>
      <c r="AB253" s="505"/>
      <c r="AC253" s="505"/>
    </row>
    <row r="254" spans="1:29">
      <c r="A254" s="505"/>
      <c r="B254" s="505"/>
      <c r="C254" s="505"/>
      <c r="D254" s="505"/>
      <c r="E254" s="505"/>
      <c r="F254" s="505"/>
      <c r="G254" s="505"/>
      <c r="H254" s="505"/>
      <c r="I254" s="505"/>
      <c r="J254" s="505"/>
      <c r="K254" s="517"/>
      <c r="L254" s="518"/>
      <c r="M254" s="505"/>
      <c r="N254" s="505"/>
      <c r="O254" s="505"/>
      <c r="P254" s="619"/>
      <c r="Q254" s="505"/>
      <c r="R254" s="505"/>
      <c r="S254" s="505"/>
      <c r="T254" s="505"/>
      <c r="U254" s="505"/>
      <c r="V254" s="505"/>
      <c r="W254" s="505"/>
      <c r="X254" s="505"/>
      <c r="Y254" s="505"/>
      <c r="Z254" s="505"/>
      <c r="AA254" s="505"/>
      <c r="AB254" s="505"/>
      <c r="AC254" s="505"/>
    </row>
    <row r="255" spans="1:29">
      <c r="A255" s="505"/>
      <c r="B255" s="505"/>
      <c r="C255" s="505"/>
      <c r="D255" s="505"/>
      <c r="E255" s="505"/>
      <c r="F255" s="505"/>
      <c r="G255" s="505"/>
      <c r="H255" s="505"/>
      <c r="I255" s="505"/>
      <c r="J255" s="505"/>
      <c r="K255" s="517"/>
      <c r="L255" s="518"/>
      <c r="M255" s="505"/>
      <c r="N255" s="505"/>
      <c r="O255" s="505"/>
      <c r="P255" s="619"/>
      <c r="Q255" s="505"/>
      <c r="R255" s="505"/>
      <c r="S255" s="505"/>
      <c r="T255" s="505"/>
      <c r="U255" s="505"/>
      <c r="V255" s="505"/>
      <c r="W255" s="505"/>
      <c r="X255" s="505"/>
      <c r="Y255" s="505"/>
      <c r="Z255" s="505"/>
      <c r="AA255" s="505"/>
      <c r="AB255" s="505"/>
      <c r="AC255" s="505"/>
    </row>
    <row r="256" spans="1:29">
      <c r="A256" s="505"/>
      <c r="B256" s="505"/>
      <c r="C256" s="505"/>
      <c r="D256" s="505"/>
      <c r="E256" s="505"/>
      <c r="F256" s="505"/>
      <c r="G256" s="505"/>
      <c r="H256" s="505"/>
      <c r="I256" s="505"/>
      <c r="J256" s="505"/>
      <c r="K256" s="517"/>
      <c r="L256" s="518"/>
      <c r="M256" s="505"/>
      <c r="N256" s="505"/>
      <c r="O256" s="505"/>
      <c r="P256" s="619"/>
      <c r="Q256" s="505"/>
      <c r="R256" s="505"/>
      <c r="S256" s="505"/>
      <c r="T256" s="505"/>
      <c r="U256" s="505"/>
      <c r="V256" s="505"/>
      <c r="W256" s="505"/>
      <c r="X256" s="505"/>
      <c r="Y256" s="505"/>
      <c r="Z256" s="505"/>
      <c r="AA256" s="505"/>
      <c r="AB256" s="505"/>
      <c r="AC256" s="505"/>
    </row>
    <row r="257" spans="1:29">
      <c r="A257" s="505"/>
      <c r="B257" s="505"/>
      <c r="C257" s="505"/>
      <c r="D257" s="505"/>
      <c r="E257" s="505"/>
      <c r="F257" s="505"/>
      <c r="G257" s="505"/>
      <c r="H257" s="505"/>
      <c r="I257" s="505"/>
      <c r="J257" s="505"/>
      <c r="K257" s="517"/>
      <c r="L257" s="518"/>
      <c r="M257" s="505"/>
      <c r="N257" s="505"/>
      <c r="O257" s="505"/>
      <c r="P257" s="619"/>
      <c r="Q257" s="505"/>
      <c r="R257" s="505"/>
      <c r="S257" s="505"/>
      <c r="T257" s="505"/>
      <c r="U257" s="505"/>
      <c r="V257" s="505"/>
      <c r="W257" s="505"/>
      <c r="X257" s="505"/>
      <c r="Y257" s="505"/>
      <c r="Z257" s="505"/>
      <c r="AA257" s="505"/>
      <c r="AB257" s="505"/>
      <c r="AC257" s="505"/>
    </row>
    <row r="258" spans="1:29">
      <c r="A258" s="505"/>
      <c r="B258" s="505"/>
      <c r="C258" s="505"/>
      <c r="D258" s="505"/>
      <c r="E258" s="505"/>
      <c r="F258" s="505"/>
      <c r="G258" s="505"/>
      <c r="H258" s="505"/>
      <c r="I258" s="505"/>
      <c r="J258" s="505"/>
      <c r="K258" s="517"/>
      <c r="L258" s="518"/>
      <c r="M258" s="505"/>
      <c r="N258" s="505"/>
      <c r="O258" s="505"/>
      <c r="P258" s="619"/>
      <c r="Q258" s="505"/>
      <c r="R258" s="505"/>
      <c r="S258" s="505"/>
      <c r="T258" s="505"/>
      <c r="U258" s="505"/>
      <c r="V258" s="505"/>
      <c r="W258" s="505"/>
      <c r="X258" s="505"/>
      <c r="Y258" s="505"/>
      <c r="Z258" s="505"/>
      <c r="AA258" s="505"/>
      <c r="AB258" s="505"/>
      <c r="AC258" s="505"/>
    </row>
    <row r="259" spans="1:29">
      <c r="A259" s="505"/>
      <c r="B259" s="505"/>
      <c r="C259" s="505"/>
      <c r="D259" s="505"/>
      <c r="E259" s="505"/>
      <c r="F259" s="505"/>
      <c r="G259" s="505"/>
      <c r="H259" s="505"/>
      <c r="I259" s="505"/>
      <c r="J259" s="505"/>
      <c r="K259" s="517"/>
      <c r="L259" s="518"/>
      <c r="M259" s="505"/>
      <c r="N259" s="505"/>
      <c r="O259" s="505"/>
      <c r="P259" s="619"/>
      <c r="Q259" s="505"/>
      <c r="R259" s="505"/>
      <c r="S259" s="505"/>
      <c r="T259" s="505"/>
      <c r="U259" s="505"/>
      <c r="V259" s="505"/>
      <c r="W259" s="505"/>
      <c r="X259" s="505"/>
      <c r="Y259" s="505"/>
      <c r="Z259" s="505"/>
      <c r="AA259" s="505"/>
      <c r="AB259" s="505"/>
      <c r="AC259" s="505"/>
    </row>
    <row r="260" spans="1:29">
      <c r="A260" s="505"/>
      <c r="B260" s="505"/>
      <c r="C260" s="505"/>
      <c r="D260" s="505"/>
      <c r="E260" s="505"/>
      <c r="F260" s="505"/>
      <c r="G260" s="505"/>
      <c r="H260" s="505"/>
      <c r="I260" s="505"/>
      <c r="J260" s="505"/>
      <c r="K260" s="517"/>
      <c r="L260" s="518"/>
      <c r="M260" s="505"/>
      <c r="N260" s="505"/>
      <c r="O260" s="505"/>
      <c r="P260" s="619"/>
      <c r="Q260" s="505"/>
      <c r="R260" s="505"/>
      <c r="S260" s="505"/>
      <c r="T260" s="505"/>
      <c r="U260" s="505"/>
      <c r="V260" s="505"/>
      <c r="W260" s="505"/>
      <c r="X260" s="505"/>
      <c r="Y260" s="505"/>
      <c r="Z260" s="505"/>
      <c r="AA260" s="505"/>
      <c r="AB260" s="505"/>
      <c r="AC260" s="505"/>
    </row>
    <row r="261" spans="1:29">
      <c r="A261" s="505"/>
      <c r="B261" s="505"/>
      <c r="C261" s="505"/>
      <c r="D261" s="505"/>
      <c r="E261" s="505"/>
      <c r="F261" s="505"/>
      <c r="G261" s="505"/>
      <c r="H261" s="505"/>
      <c r="I261" s="505"/>
      <c r="J261" s="505"/>
      <c r="K261" s="517"/>
      <c r="L261" s="518"/>
      <c r="M261" s="505"/>
      <c r="N261" s="505"/>
      <c r="O261" s="505"/>
      <c r="P261" s="619"/>
      <c r="Q261" s="505"/>
      <c r="R261" s="505"/>
      <c r="S261" s="505"/>
      <c r="T261" s="505"/>
      <c r="U261" s="505"/>
      <c r="V261" s="505"/>
      <c r="W261" s="505"/>
      <c r="X261" s="505"/>
      <c r="Y261" s="505"/>
      <c r="Z261" s="505"/>
      <c r="AA261" s="505"/>
      <c r="AB261" s="505"/>
      <c r="AC261" s="505"/>
    </row>
    <row r="262" spans="1:29">
      <c r="A262" s="505"/>
      <c r="B262" s="505"/>
      <c r="C262" s="505"/>
      <c r="D262" s="505"/>
      <c r="E262" s="505"/>
      <c r="F262" s="505"/>
      <c r="G262" s="505"/>
      <c r="H262" s="505"/>
      <c r="I262" s="505"/>
      <c r="J262" s="505"/>
      <c r="K262" s="517"/>
      <c r="L262" s="518"/>
      <c r="M262" s="505"/>
      <c r="N262" s="505"/>
      <c r="O262" s="505"/>
      <c r="P262" s="619"/>
      <c r="Q262" s="505"/>
      <c r="R262" s="505"/>
      <c r="S262" s="505"/>
      <c r="T262" s="505"/>
      <c r="U262" s="505"/>
      <c r="V262" s="505"/>
      <c r="W262" s="505"/>
      <c r="X262" s="505"/>
      <c r="Y262" s="505"/>
      <c r="Z262" s="505"/>
      <c r="AA262" s="505"/>
      <c r="AB262" s="505"/>
      <c r="AC262" s="505"/>
    </row>
    <row r="263" spans="1:29">
      <c r="A263" s="505"/>
      <c r="B263" s="505"/>
      <c r="C263" s="505"/>
      <c r="D263" s="505"/>
      <c r="E263" s="505"/>
      <c r="F263" s="505"/>
      <c r="G263" s="505"/>
      <c r="H263" s="505"/>
      <c r="I263" s="505"/>
      <c r="J263" s="505"/>
      <c r="K263" s="517"/>
      <c r="L263" s="518"/>
      <c r="M263" s="505"/>
      <c r="N263" s="505"/>
      <c r="O263" s="505"/>
      <c r="P263" s="619"/>
      <c r="Q263" s="505"/>
      <c r="R263" s="505"/>
      <c r="S263" s="505"/>
      <c r="T263" s="505"/>
      <c r="U263" s="505"/>
      <c r="V263" s="505"/>
      <c r="W263" s="505"/>
      <c r="X263" s="505"/>
      <c r="Y263" s="505"/>
      <c r="Z263" s="505"/>
      <c r="AA263" s="505"/>
      <c r="AB263" s="505"/>
      <c r="AC263" s="505"/>
    </row>
    <row r="264" spans="1:29">
      <c r="A264" s="505"/>
      <c r="B264" s="505"/>
      <c r="C264" s="505"/>
      <c r="D264" s="505"/>
      <c r="E264" s="505"/>
      <c r="F264" s="505"/>
      <c r="G264" s="505"/>
      <c r="H264" s="505"/>
      <c r="I264" s="505"/>
      <c r="J264" s="505"/>
      <c r="K264" s="517"/>
      <c r="L264" s="518"/>
      <c r="M264" s="505"/>
      <c r="N264" s="505"/>
      <c r="O264" s="505"/>
      <c r="P264" s="619"/>
      <c r="Q264" s="505"/>
      <c r="R264" s="505"/>
      <c r="S264" s="505"/>
      <c r="T264" s="505"/>
      <c r="U264" s="505"/>
      <c r="V264" s="505"/>
      <c r="W264" s="505"/>
      <c r="X264" s="505"/>
      <c r="Y264" s="505"/>
      <c r="Z264" s="505"/>
      <c r="AA264" s="505"/>
      <c r="AB264" s="505"/>
      <c r="AC264" s="505"/>
    </row>
    <row r="265" spans="1:29">
      <c r="A265" s="505"/>
      <c r="B265" s="505"/>
      <c r="C265" s="505"/>
      <c r="D265" s="505"/>
      <c r="E265" s="505"/>
      <c r="F265" s="505"/>
      <c r="G265" s="505"/>
      <c r="H265" s="505"/>
      <c r="I265" s="505"/>
      <c r="J265" s="505"/>
      <c r="K265" s="517"/>
      <c r="L265" s="518"/>
      <c r="M265" s="505"/>
      <c r="N265" s="505"/>
      <c r="O265" s="505"/>
      <c r="P265" s="619"/>
      <c r="Q265" s="505"/>
      <c r="R265" s="505"/>
      <c r="S265" s="505"/>
      <c r="T265" s="505"/>
      <c r="U265" s="505"/>
      <c r="V265" s="505"/>
      <c r="W265" s="505"/>
      <c r="X265" s="505"/>
      <c r="Y265" s="505"/>
      <c r="Z265" s="505"/>
      <c r="AA265" s="505"/>
      <c r="AB265" s="505"/>
      <c r="AC265" s="505"/>
    </row>
    <row r="266" spans="1:29">
      <c r="A266" s="505"/>
      <c r="B266" s="505"/>
      <c r="C266" s="505"/>
      <c r="D266" s="505"/>
      <c r="E266" s="505"/>
      <c r="F266" s="505"/>
      <c r="G266" s="505"/>
      <c r="H266" s="505"/>
      <c r="I266" s="505"/>
      <c r="J266" s="505"/>
      <c r="K266" s="517"/>
      <c r="L266" s="518"/>
      <c r="M266" s="505"/>
      <c r="N266" s="505"/>
      <c r="O266" s="505"/>
      <c r="P266" s="619"/>
      <c r="Q266" s="505"/>
      <c r="R266" s="505"/>
      <c r="S266" s="505"/>
      <c r="T266" s="505"/>
      <c r="U266" s="505"/>
      <c r="V266" s="505"/>
      <c r="W266" s="505"/>
      <c r="X266" s="505"/>
      <c r="Y266" s="505"/>
      <c r="Z266" s="505"/>
      <c r="AA266" s="505"/>
      <c r="AB266" s="505"/>
      <c r="AC266" s="505"/>
    </row>
    <row r="267" spans="1:29">
      <c r="A267" s="505"/>
      <c r="B267" s="505"/>
      <c r="C267" s="505"/>
      <c r="D267" s="505"/>
      <c r="E267" s="505"/>
      <c r="F267" s="505"/>
      <c r="G267" s="505"/>
      <c r="H267" s="505"/>
      <c r="I267" s="505"/>
      <c r="J267" s="505"/>
      <c r="K267" s="517"/>
      <c r="L267" s="518"/>
      <c r="M267" s="505"/>
      <c r="N267" s="505"/>
      <c r="O267" s="505"/>
      <c r="P267" s="619"/>
      <c r="Q267" s="505"/>
      <c r="R267" s="505"/>
      <c r="S267" s="505"/>
      <c r="T267" s="505"/>
      <c r="U267" s="505"/>
      <c r="V267" s="505"/>
      <c r="W267" s="505"/>
      <c r="X267" s="505"/>
      <c r="Y267" s="505"/>
      <c r="Z267" s="505"/>
      <c r="AA267" s="505"/>
      <c r="AB267" s="505"/>
      <c r="AC267" s="505"/>
    </row>
    <row r="268" spans="1:29">
      <c r="A268" s="505"/>
      <c r="B268" s="505"/>
      <c r="C268" s="505"/>
      <c r="D268" s="505"/>
      <c r="E268" s="505"/>
      <c r="F268" s="505"/>
      <c r="G268" s="505"/>
      <c r="H268" s="505"/>
      <c r="I268" s="505"/>
      <c r="J268" s="505"/>
      <c r="K268" s="517"/>
      <c r="L268" s="518"/>
      <c r="M268" s="505"/>
      <c r="N268" s="505"/>
      <c r="O268" s="505"/>
      <c r="P268" s="619"/>
      <c r="Q268" s="505"/>
      <c r="R268" s="505"/>
      <c r="S268" s="505"/>
      <c r="T268" s="505"/>
      <c r="U268" s="505"/>
      <c r="V268" s="505"/>
      <c r="W268" s="505"/>
      <c r="X268" s="505"/>
      <c r="Y268" s="505"/>
      <c r="Z268" s="505"/>
      <c r="AA268" s="505"/>
      <c r="AB268" s="505"/>
      <c r="AC268" s="505"/>
    </row>
    <row r="269" spans="1:29">
      <c r="A269" s="505"/>
      <c r="B269" s="505"/>
      <c r="C269" s="505"/>
      <c r="D269" s="505"/>
      <c r="E269" s="505"/>
      <c r="F269" s="505"/>
      <c r="G269" s="505"/>
      <c r="H269" s="505"/>
      <c r="I269" s="505"/>
      <c r="J269" s="505"/>
      <c r="K269" s="517"/>
      <c r="L269" s="518"/>
      <c r="M269" s="505"/>
      <c r="N269" s="505"/>
      <c r="O269" s="505"/>
      <c r="P269" s="619"/>
      <c r="Q269" s="505"/>
      <c r="R269" s="505"/>
      <c r="S269" s="505"/>
      <c r="T269" s="505"/>
      <c r="U269" s="505"/>
      <c r="V269" s="505"/>
      <c r="W269" s="505"/>
      <c r="X269" s="505"/>
      <c r="Y269" s="505"/>
      <c r="Z269" s="505"/>
      <c r="AA269" s="505"/>
      <c r="AB269" s="505"/>
      <c r="AC269" s="505"/>
    </row>
    <row r="270" spans="1:29">
      <c r="A270" s="505"/>
      <c r="B270" s="505"/>
      <c r="C270" s="505"/>
      <c r="D270" s="505"/>
      <c r="E270" s="505"/>
      <c r="F270" s="505"/>
      <c r="G270" s="505"/>
      <c r="H270" s="505"/>
      <c r="I270" s="505"/>
      <c r="J270" s="505"/>
      <c r="K270" s="517"/>
      <c r="L270" s="518"/>
      <c r="M270" s="505"/>
      <c r="N270" s="505"/>
      <c r="O270" s="505"/>
      <c r="P270" s="619"/>
      <c r="Q270" s="505"/>
      <c r="R270" s="505"/>
      <c r="S270" s="505"/>
      <c r="T270" s="505"/>
      <c r="U270" s="505"/>
      <c r="V270" s="505"/>
      <c r="W270" s="505"/>
      <c r="X270" s="505"/>
      <c r="Y270" s="505"/>
      <c r="Z270" s="505"/>
      <c r="AA270" s="505"/>
      <c r="AB270" s="505"/>
      <c r="AC270" s="505"/>
    </row>
    <row r="271" spans="1:29">
      <c r="A271" s="505"/>
      <c r="B271" s="505"/>
      <c r="C271" s="505"/>
      <c r="D271" s="505"/>
      <c r="E271" s="505"/>
      <c r="F271" s="505"/>
      <c r="G271" s="505"/>
      <c r="H271" s="505"/>
      <c r="I271" s="505"/>
      <c r="J271" s="505"/>
      <c r="K271" s="517"/>
      <c r="L271" s="518"/>
      <c r="M271" s="505"/>
      <c r="N271" s="505"/>
      <c r="O271" s="505"/>
      <c r="P271" s="619"/>
      <c r="Q271" s="505"/>
      <c r="R271" s="505"/>
      <c r="S271" s="505"/>
      <c r="T271" s="505"/>
      <c r="U271" s="505"/>
      <c r="V271" s="505"/>
      <c r="W271" s="505"/>
      <c r="X271" s="505"/>
      <c r="Y271" s="505"/>
      <c r="Z271" s="505"/>
      <c r="AA271" s="505"/>
      <c r="AB271" s="505"/>
      <c r="AC271" s="505"/>
    </row>
    <row r="272" spans="1:29">
      <c r="A272" s="505"/>
      <c r="B272" s="505"/>
      <c r="C272" s="505"/>
      <c r="D272" s="505"/>
      <c r="E272" s="505"/>
      <c r="F272" s="505"/>
      <c r="G272" s="505"/>
      <c r="H272" s="505"/>
      <c r="I272" s="505"/>
      <c r="J272" s="505"/>
      <c r="K272" s="517"/>
      <c r="L272" s="518"/>
      <c r="M272" s="505"/>
      <c r="N272" s="505"/>
      <c r="O272" s="505"/>
      <c r="P272" s="619"/>
      <c r="Q272" s="505"/>
      <c r="R272" s="505"/>
      <c r="S272" s="505"/>
      <c r="T272" s="505"/>
      <c r="U272" s="505"/>
      <c r="V272" s="505"/>
      <c r="W272" s="505"/>
      <c r="X272" s="505"/>
      <c r="Y272" s="505"/>
      <c r="Z272" s="505"/>
      <c r="AA272" s="505"/>
      <c r="AB272" s="505"/>
      <c r="AC272" s="505"/>
    </row>
    <row r="273" spans="1:29">
      <c r="A273" s="505"/>
      <c r="B273" s="505"/>
      <c r="C273" s="505"/>
      <c r="D273" s="505"/>
      <c r="E273" s="505"/>
      <c r="F273" s="505"/>
      <c r="G273" s="505"/>
      <c r="H273" s="505"/>
      <c r="I273" s="505"/>
      <c r="J273" s="505"/>
      <c r="K273" s="517"/>
      <c r="L273" s="518"/>
      <c r="M273" s="505"/>
      <c r="N273" s="505"/>
      <c r="O273" s="505"/>
      <c r="P273" s="619"/>
      <c r="Q273" s="505"/>
      <c r="R273" s="505"/>
      <c r="S273" s="505"/>
      <c r="T273" s="505"/>
      <c r="U273" s="505"/>
      <c r="V273" s="505"/>
      <c r="W273" s="505"/>
      <c r="X273" s="505"/>
      <c r="Y273" s="505"/>
      <c r="Z273" s="505"/>
      <c r="AA273" s="505"/>
      <c r="AB273" s="505"/>
      <c r="AC273" s="505"/>
    </row>
    <row r="274" spans="1:29">
      <c r="A274" s="505"/>
      <c r="B274" s="505"/>
      <c r="C274" s="505"/>
      <c r="D274" s="505"/>
      <c r="E274" s="505"/>
      <c r="F274" s="505"/>
      <c r="G274" s="505"/>
      <c r="H274" s="505"/>
      <c r="I274" s="505"/>
      <c r="J274" s="505"/>
      <c r="K274" s="517"/>
      <c r="L274" s="518"/>
      <c r="M274" s="505"/>
      <c r="N274" s="505"/>
      <c r="O274" s="505"/>
      <c r="P274" s="619"/>
      <c r="Q274" s="505"/>
      <c r="R274" s="505"/>
      <c r="S274" s="505"/>
      <c r="T274" s="505"/>
      <c r="U274" s="505"/>
      <c r="V274" s="505"/>
      <c r="W274" s="505"/>
      <c r="X274" s="505"/>
      <c r="Y274" s="505"/>
      <c r="Z274" s="505"/>
      <c r="AA274" s="505"/>
      <c r="AB274" s="505"/>
      <c r="AC274" s="505"/>
    </row>
    <row r="275" spans="1:29">
      <c r="A275" s="505"/>
      <c r="B275" s="505"/>
      <c r="C275" s="505"/>
      <c r="D275" s="505"/>
      <c r="E275" s="505"/>
      <c r="F275" s="505"/>
      <c r="G275" s="505"/>
      <c r="H275" s="505"/>
      <c r="I275" s="505"/>
      <c r="J275" s="505"/>
      <c r="K275" s="517"/>
      <c r="L275" s="518"/>
      <c r="M275" s="505"/>
      <c r="N275" s="505"/>
      <c r="O275" s="505"/>
      <c r="P275" s="619"/>
      <c r="Q275" s="505"/>
      <c r="R275" s="505"/>
      <c r="S275" s="505"/>
      <c r="T275" s="505"/>
      <c r="U275" s="505"/>
      <c r="V275" s="505"/>
      <c r="W275" s="505"/>
      <c r="X275" s="505"/>
      <c r="Y275" s="505"/>
      <c r="Z275" s="505"/>
      <c r="AA275" s="505"/>
      <c r="AB275" s="505"/>
      <c r="AC275" s="505"/>
    </row>
    <row r="276" spans="1:29">
      <c r="A276" s="505"/>
      <c r="B276" s="505"/>
      <c r="C276" s="505"/>
      <c r="D276" s="505"/>
      <c r="E276" s="505"/>
      <c r="F276" s="505"/>
      <c r="G276" s="505"/>
      <c r="H276" s="505"/>
      <c r="I276" s="505"/>
      <c r="J276" s="505"/>
      <c r="K276" s="517"/>
      <c r="L276" s="518"/>
      <c r="M276" s="505"/>
      <c r="N276" s="505"/>
      <c r="O276" s="505"/>
      <c r="P276" s="619"/>
      <c r="Q276" s="505"/>
      <c r="R276" s="505"/>
      <c r="S276" s="505"/>
      <c r="T276" s="505"/>
      <c r="U276" s="505"/>
      <c r="V276" s="505"/>
      <c r="W276" s="505"/>
      <c r="X276" s="505"/>
      <c r="Y276" s="505"/>
      <c r="Z276" s="505"/>
      <c r="AA276" s="505"/>
      <c r="AB276" s="505"/>
      <c r="AC276" s="505"/>
    </row>
    <row r="277" spans="1:29">
      <c r="A277" s="505"/>
      <c r="B277" s="505"/>
      <c r="C277" s="505"/>
      <c r="D277" s="505"/>
      <c r="E277" s="505"/>
      <c r="F277" s="505"/>
      <c r="G277" s="505"/>
      <c r="H277" s="505"/>
      <c r="I277" s="505"/>
      <c r="J277" s="505"/>
      <c r="K277" s="517"/>
      <c r="L277" s="518"/>
      <c r="M277" s="505"/>
      <c r="N277" s="505"/>
      <c r="O277" s="505"/>
      <c r="P277" s="619"/>
      <c r="Q277" s="505"/>
      <c r="R277" s="505"/>
      <c r="S277" s="505"/>
      <c r="T277" s="505"/>
      <c r="U277" s="505"/>
      <c r="V277" s="505"/>
      <c r="W277" s="505"/>
      <c r="X277" s="505"/>
      <c r="Y277" s="505"/>
      <c r="Z277" s="505"/>
      <c r="AA277" s="505"/>
      <c r="AB277" s="505"/>
      <c r="AC277" s="505"/>
    </row>
    <row r="278" spans="1:29">
      <c r="A278" s="505"/>
      <c r="B278" s="505"/>
      <c r="C278" s="505"/>
      <c r="D278" s="505"/>
      <c r="E278" s="505"/>
      <c r="F278" s="505"/>
      <c r="G278" s="505"/>
      <c r="H278" s="505"/>
      <c r="I278" s="505"/>
      <c r="J278" s="505"/>
      <c r="K278" s="517"/>
      <c r="L278" s="518"/>
      <c r="M278" s="505"/>
      <c r="N278" s="505"/>
      <c r="O278" s="505"/>
      <c r="P278" s="619"/>
      <c r="Q278" s="505"/>
      <c r="R278" s="505"/>
      <c r="S278" s="505"/>
      <c r="T278" s="505"/>
      <c r="U278" s="505"/>
      <c r="V278" s="505"/>
      <c r="W278" s="505"/>
      <c r="X278" s="505"/>
      <c r="Y278" s="505"/>
      <c r="Z278" s="505"/>
      <c r="AA278" s="505"/>
      <c r="AB278" s="505"/>
      <c r="AC278" s="505"/>
    </row>
    <row r="279" spans="1:29">
      <c r="A279" s="505"/>
      <c r="B279" s="505"/>
      <c r="C279" s="505"/>
      <c r="D279" s="505"/>
      <c r="E279" s="505"/>
      <c r="F279" s="505"/>
      <c r="G279" s="505"/>
      <c r="H279" s="505"/>
      <c r="I279" s="505"/>
      <c r="J279" s="505"/>
      <c r="K279" s="517"/>
      <c r="L279" s="518"/>
      <c r="M279" s="505"/>
      <c r="N279" s="505"/>
      <c r="O279" s="505"/>
      <c r="P279" s="619"/>
      <c r="Q279" s="505"/>
      <c r="R279" s="505"/>
      <c r="S279" s="505"/>
      <c r="T279" s="505"/>
      <c r="U279" s="505"/>
      <c r="V279" s="505"/>
      <c r="W279" s="505"/>
      <c r="X279" s="505"/>
      <c r="Y279" s="505"/>
      <c r="Z279" s="505"/>
      <c r="AA279" s="505"/>
      <c r="AB279" s="505"/>
      <c r="AC279" s="505"/>
    </row>
    <row r="280" spans="1:29">
      <c r="A280" s="505"/>
      <c r="B280" s="505"/>
      <c r="C280" s="505"/>
      <c r="D280" s="505"/>
      <c r="E280" s="505"/>
      <c r="F280" s="505"/>
      <c r="G280" s="505"/>
      <c r="H280" s="505"/>
      <c r="I280" s="505"/>
      <c r="J280" s="505"/>
      <c r="K280" s="517"/>
      <c r="L280" s="518"/>
      <c r="M280" s="505"/>
      <c r="N280" s="505"/>
      <c r="O280" s="505"/>
      <c r="P280" s="619"/>
      <c r="Q280" s="505"/>
      <c r="R280" s="505"/>
      <c r="S280" s="505"/>
      <c r="T280" s="505"/>
      <c r="U280" s="505"/>
      <c r="V280" s="505"/>
      <c r="W280" s="505"/>
      <c r="X280" s="505"/>
      <c r="Y280" s="505"/>
      <c r="Z280" s="505"/>
      <c r="AA280" s="505"/>
      <c r="AB280" s="505"/>
      <c r="AC280" s="505"/>
    </row>
    <row r="281" spans="1:29">
      <c r="A281" s="505"/>
      <c r="B281" s="505"/>
      <c r="C281" s="505"/>
      <c r="D281" s="505"/>
      <c r="E281" s="505"/>
      <c r="F281" s="505"/>
      <c r="G281" s="505"/>
      <c r="H281" s="505"/>
      <c r="I281" s="505"/>
      <c r="J281" s="505"/>
      <c r="K281" s="517"/>
      <c r="L281" s="518"/>
      <c r="M281" s="505"/>
      <c r="N281" s="505"/>
      <c r="O281" s="505"/>
      <c r="P281" s="619"/>
      <c r="Q281" s="505"/>
      <c r="R281" s="505"/>
      <c r="S281" s="505"/>
      <c r="T281" s="505"/>
      <c r="U281" s="505"/>
      <c r="V281" s="505"/>
      <c r="W281" s="505"/>
      <c r="X281" s="505"/>
      <c r="Y281" s="505"/>
      <c r="Z281" s="505"/>
      <c r="AA281" s="505"/>
      <c r="AB281" s="505"/>
      <c r="AC281" s="505"/>
    </row>
    <row r="282" spans="1:29">
      <c r="A282" s="505"/>
      <c r="B282" s="505"/>
      <c r="C282" s="505"/>
      <c r="D282" s="505"/>
      <c r="E282" s="505"/>
      <c r="F282" s="505"/>
      <c r="G282" s="505"/>
      <c r="H282" s="505"/>
      <c r="I282" s="505"/>
      <c r="J282" s="505"/>
      <c r="K282" s="517"/>
      <c r="L282" s="518"/>
      <c r="M282" s="505"/>
      <c r="N282" s="505"/>
      <c r="O282" s="505"/>
      <c r="P282" s="619"/>
      <c r="Q282" s="505"/>
      <c r="R282" s="505"/>
      <c r="S282" s="505"/>
      <c r="T282" s="505"/>
      <c r="U282" s="505"/>
      <c r="V282" s="505"/>
      <c r="W282" s="505"/>
      <c r="X282" s="505"/>
      <c r="Y282" s="505"/>
      <c r="Z282" s="505"/>
      <c r="AA282" s="505"/>
      <c r="AB282" s="505"/>
      <c r="AC282" s="505"/>
    </row>
    <row r="283" spans="1:29">
      <c r="A283" s="505"/>
      <c r="B283" s="505"/>
      <c r="C283" s="505"/>
      <c r="D283" s="505"/>
      <c r="E283" s="505"/>
      <c r="F283" s="505"/>
      <c r="G283" s="505"/>
      <c r="H283" s="505"/>
      <c r="I283" s="505"/>
      <c r="J283" s="505"/>
      <c r="K283" s="517"/>
      <c r="L283" s="518"/>
      <c r="M283" s="505"/>
      <c r="N283" s="505"/>
      <c r="O283" s="505"/>
      <c r="P283" s="619"/>
      <c r="Q283" s="505"/>
      <c r="R283" s="505"/>
      <c r="S283" s="505"/>
      <c r="T283" s="505"/>
      <c r="U283" s="505"/>
      <c r="V283" s="505"/>
      <c r="W283" s="505"/>
      <c r="X283" s="505"/>
      <c r="Y283" s="505"/>
      <c r="Z283" s="505"/>
      <c r="AA283" s="505"/>
      <c r="AB283" s="505"/>
      <c r="AC283" s="505"/>
    </row>
    <row r="284" spans="1:29">
      <c r="A284" s="505"/>
      <c r="B284" s="505"/>
      <c r="C284" s="505"/>
      <c r="D284" s="505"/>
      <c r="E284" s="505"/>
      <c r="F284" s="505"/>
      <c r="G284" s="505"/>
      <c r="H284" s="505"/>
      <c r="I284" s="505"/>
      <c r="J284" s="505"/>
      <c r="K284" s="517"/>
      <c r="L284" s="518"/>
      <c r="M284" s="505"/>
      <c r="N284" s="505"/>
      <c r="O284" s="505"/>
      <c r="P284" s="619"/>
      <c r="Q284" s="505"/>
      <c r="R284" s="505"/>
      <c r="S284" s="505"/>
      <c r="T284" s="505"/>
      <c r="U284" s="505"/>
      <c r="V284" s="505"/>
      <c r="W284" s="505"/>
      <c r="X284" s="505"/>
      <c r="Y284" s="505"/>
      <c r="Z284" s="505"/>
      <c r="AA284" s="505"/>
      <c r="AB284" s="505"/>
      <c r="AC284" s="505"/>
    </row>
    <row r="285" spans="1:29">
      <c r="A285" s="505"/>
      <c r="B285" s="505"/>
      <c r="C285" s="505"/>
      <c r="D285" s="505"/>
      <c r="E285" s="505"/>
      <c r="F285" s="505"/>
      <c r="G285" s="505"/>
      <c r="H285" s="505"/>
      <c r="I285" s="505"/>
      <c r="J285" s="505"/>
      <c r="K285" s="517"/>
      <c r="L285" s="518"/>
      <c r="M285" s="505"/>
      <c r="N285" s="505"/>
      <c r="O285" s="505"/>
      <c r="P285" s="619"/>
      <c r="Q285" s="505"/>
      <c r="R285" s="505"/>
      <c r="S285" s="505"/>
      <c r="T285" s="505"/>
      <c r="U285" s="505"/>
      <c r="V285" s="505"/>
      <c r="W285" s="505"/>
      <c r="X285" s="505"/>
      <c r="Y285" s="505"/>
      <c r="Z285" s="505"/>
      <c r="AA285" s="505"/>
      <c r="AB285" s="505"/>
      <c r="AC285" s="505"/>
    </row>
    <row r="286" spans="1:29">
      <c r="A286" s="505"/>
      <c r="B286" s="505"/>
      <c r="C286" s="505"/>
      <c r="D286" s="505"/>
      <c r="E286" s="505"/>
      <c r="F286" s="505"/>
      <c r="G286" s="505"/>
      <c r="H286" s="505"/>
      <c r="I286" s="505"/>
      <c r="J286" s="505"/>
      <c r="K286" s="517"/>
      <c r="L286" s="518"/>
      <c r="M286" s="505"/>
      <c r="N286" s="505"/>
      <c r="O286" s="505"/>
      <c r="P286" s="619"/>
      <c r="Q286" s="505"/>
      <c r="R286" s="505"/>
      <c r="S286" s="505"/>
      <c r="T286" s="505"/>
      <c r="U286" s="505"/>
      <c r="V286" s="505"/>
      <c r="W286" s="505"/>
      <c r="X286" s="505"/>
      <c r="Y286" s="505"/>
      <c r="Z286" s="505"/>
      <c r="AA286" s="505"/>
      <c r="AB286" s="505"/>
      <c r="AC286" s="505"/>
    </row>
    <row r="287" spans="1:29">
      <c r="A287" s="505"/>
      <c r="B287" s="505"/>
      <c r="C287" s="505"/>
      <c r="D287" s="505"/>
      <c r="E287" s="505"/>
      <c r="F287" s="505"/>
      <c r="G287" s="505"/>
      <c r="H287" s="505"/>
      <c r="I287" s="505"/>
      <c r="J287" s="505"/>
      <c r="K287" s="517"/>
      <c r="L287" s="518"/>
      <c r="M287" s="505"/>
      <c r="N287" s="505"/>
      <c r="O287" s="505"/>
      <c r="P287" s="619"/>
      <c r="Q287" s="505"/>
      <c r="R287" s="505"/>
      <c r="S287" s="505"/>
      <c r="T287" s="505"/>
      <c r="U287" s="505"/>
      <c r="V287" s="505"/>
      <c r="W287" s="505"/>
      <c r="X287" s="505"/>
      <c r="Y287" s="505"/>
      <c r="Z287" s="505"/>
      <c r="AA287" s="505"/>
      <c r="AB287" s="505"/>
      <c r="AC287" s="505"/>
    </row>
    <row r="288" spans="1:29">
      <c r="A288" s="505"/>
      <c r="B288" s="505"/>
      <c r="C288" s="505"/>
      <c r="D288" s="505"/>
      <c r="E288" s="505"/>
      <c r="F288" s="505"/>
      <c r="G288" s="505"/>
      <c r="H288" s="505"/>
      <c r="I288" s="505"/>
      <c r="J288" s="505"/>
      <c r="K288" s="517"/>
      <c r="L288" s="518"/>
      <c r="M288" s="505"/>
      <c r="N288" s="505"/>
      <c r="O288" s="505"/>
      <c r="P288" s="619"/>
      <c r="Q288" s="505"/>
      <c r="R288" s="505"/>
      <c r="S288" s="505"/>
      <c r="T288" s="505"/>
      <c r="U288" s="505"/>
      <c r="V288" s="505"/>
      <c r="W288" s="505"/>
      <c r="X288" s="505"/>
      <c r="Y288" s="505"/>
      <c r="Z288" s="505"/>
      <c r="AA288" s="505"/>
      <c r="AB288" s="505"/>
      <c r="AC288" s="505"/>
    </row>
    <row r="289" spans="1:29">
      <c r="A289" s="505"/>
      <c r="B289" s="505"/>
      <c r="C289" s="505"/>
      <c r="D289" s="505"/>
      <c r="E289" s="505"/>
      <c r="F289" s="505"/>
      <c r="G289" s="505"/>
      <c r="H289" s="505"/>
      <c r="I289" s="505"/>
      <c r="J289" s="505"/>
      <c r="K289" s="517"/>
      <c r="L289" s="518"/>
      <c r="M289" s="505"/>
      <c r="N289" s="505"/>
      <c r="O289" s="505"/>
      <c r="P289" s="619"/>
      <c r="Q289" s="505"/>
      <c r="R289" s="505"/>
      <c r="S289" s="505"/>
      <c r="T289" s="505"/>
      <c r="U289" s="505"/>
      <c r="V289" s="505"/>
      <c r="W289" s="505"/>
      <c r="X289" s="505"/>
      <c r="Y289" s="505"/>
      <c r="Z289" s="505"/>
      <c r="AA289" s="505"/>
      <c r="AB289" s="505"/>
      <c r="AC289" s="505"/>
    </row>
    <row r="290" spans="1:29">
      <c r="A290" s="505"/>
      <c r="B290" s="505"/>
      <c r="C290" s="505"/>
      <c r="D290" s="505"/>
      <c r="E290" s="505"/>
      <c r="F290" s="505"/>
      <c r="G290" s="505"/>
      <c r="H290" s="505"/>
      <c r="I290" s="505"/>
      <c r="J290" s="505"/>
      <c r="K290" s="517"/>
      <c r="L290" s="518"/>
      <c r="M290" s="505"/>
      <c r="N290" s="505"/>
      <c r="O290" s="505"/>
      <c r="P290" s="619"/>
      <c r="Q290" s="505"/>
      <c r="R290" s="505"/>
      <c r="S290" s="505"/>
      <c r="T290" s="505"/>
      <c r="U290" s="505"/>
      <c r="V290" s="505"/>
      <c r="W290" s="505"/>
      <c r="X290" s="505"/>
      <c r="Y290" s="505"/>
      <c r="Z290" s="505"/>
      <c r="AA290" s="505"/>
      <c r="AB290" s="505"/>
      <c r="AC290" s="505"/>
    </row>
    <row r="291" spans="1:29">
      <c r="A291" s="505"/>
      <c r="B291" s="505"/>
      <c r="C291" s="505"/>
      <c r="D291" s="505"/>
      <c r="E291" s="505"/>
      <c r="F291" s="505"/>
      <c r="G291" s="505"/>
      <c r="H291" s="505"/>
      <c r="I291" s="505"/>
      <c r="J291" s="505"/>
      <c r="K291" s="517"/>
      <c r="L291" s="518"/>
      <c r="M291" s="505"/>
      <c r="N291" s="505"/>
      <c r="O291" s="505"/>
      <c r="P291" s="619"/>
      <c r="Q291" s="505"/>
      <c r="R291" s="505"/>
      <c r="S291" s="505"/>
      <c r="T291" s="505"/>
      <c r="U291" s="505"/>
      <c r="V291" s="505"/>
      <c r="W291" s="505"/>
      <c r="X291" s="505"/>
      <c r="Y291" s="505"/>
      <c r="Z291" s="505"/>
      <c r="AA291" s="505"/>
      <c r="AB291" s="505"/>
      <c r="AC291" s="505"/>
    </row>
    <row r="292" spans="1:29">
      <c r="A292" s="505"/>
      <c r="B292" s="505"/>
      <c r="C292" s="505"/>
      <c r="D292" s="505"/>
      <c r="E292" s="505"/>
      <c r="F292" s="505"/>
      <c r="G292" s="505"/>
      <c r="H292" s="505"/>
      <c r="I292" s="505"/>
      <c r="J292" s="505"/>
      <c r="K292" s="517"/>
      <c r="L292" s="518"/>
      <c r="M292" s="505"/>
      <c r="N292" s="505"/>
      <c r="O292" s="505"/>
      <c r="P292" s="619"/>
      <c r="Q292" s="505"/>
      <c r="R292" s="505"/>
      <c r="S292" s="505"/>
      <c r="T292" s="505"/>
      <c r="U292" s="505"/>
      <c r="V292" s="505"/>
      <c r="W292" s="505"/>
      <c r="X292" s="505"/>
      <c r="Y292" s="505"/>
      <c r="Z292" s="505"/>
      <c r="AA292" s="505"/>
      <c r="AB292" s="505"/>
      <c r="AC292" s="505"/>
    </row>
    <row r="293" spans="1:29">
      <c r="A293" s="505"/>
      <c r="B293" s="505"/>
      <c r="C293" s="505"/>
      <c r="D293" s="505"/>
      <c r="E293" s="505"/>
      <c r="F293" s="505"/>
      <c r="G293" s="505"/>
      <c r="H293" s="505"/>
      <c r="I293" s="505"/>
      <c r="J293" s="505"/>
      <c r="K293" s="517"/>
      <c r="L293" s="518"/>
      <c r="M293" s="505"/>
      <c r="N293" s="505"/>
      <c r="O293" s="505"/>
      <c r="P293" s="619"/>
      <c r="Q293" s="505"/>
      <c r="R293" s="505"/>
      <c r="S293" s="505"/>
      <c r="T293" s="505"/>
      <c r="U293" s="505"/>
      <c r="V293" s="505"/>
      <c r="W293" s="505"/>
      <c r="X293" s="505"/>
      <c r="Y293" s="505"/>
      <c r="Z293" s="505"/>
      <c r="AA293" s="505"/>
      <c r="AB293" s="505"/>
      <c r="AC293" s="505"/>
    </row>
    <row r="294" spans="1:29">
      <c r="A294" s="505"/>
      <c r="B294" s="505"/>
      <c r="C294" s="505"/>
      <c r="D294" s="505"/>
      <c r="E294" s="505"/>
      <c r="F294" s="505"/>
      <c r="G294" s="505"/>
      <c r="H294" s="505"/>
      <c r="I294" s="505"/>
      <c r="J294" s="505"/>
      <c r="K294" s="517"/>
      <c r="L294" s="518"/>
      <c r="M294" s="505"/>
      <c r="N294" s="505"/>
      <c r="O294" s="505"/>
      <c r="P294" s="619"/>
      <c r="Q294" s="505"/>
      <c r="R294" s="505"/>
      <c r="S294" s="505"/>
      <c r="T294" s="505"/>
      <c r="U294" s="505"/>
      <c r="V294" s="505"/>
      <c r="W294" s="505"/>
      <c r="X294" s="505"/>
      <c r="Y294" s="505"/>
      <c r="Z294" s="505"/>
      <c r="AA294" s="505"/>
      <c r="AB294" s="505"/>
      <c r="AC294" s="505"/>
    </row>
    <row r="295" spans="1:29">
      <c r="A295" s="505"/>
      <c r="B295" s="505"/>
      <c r="C295" s="505"/>
      <c r="D295" s="505"/>
      <c r="E295" s="505"/>
      <c r="F295" s="505"/>
      <c r="G295" s="505"/>
      <c r="H295" s="505"/>
      <c r="I295" s="505"/>
      <c r="J295" s="505"/>
      <c r="K295" s="517"/>
      <c r="L295" s="518"/>
      <c r="M295" s="505"/>
      <c r="N295" s="505"/>
      <c r="O295" s="505"/>
      <c r="P295" s="619"/>
      <c r="Q295" s="505"/>
      <c r="R295" s="505"/>
      <c r="S295" s="505"/>
      <c r="T295" s="505"/>
      <c r="U295" s="505"/>
      <c r="V295" s="505"/>
      <c r="W295" s="505"/>
      <c r="X295" s="505"/>
      <c r="Y295" s="505"/>
      <c r="Z295" s="505"/>
      <c r="AA295" s="505"/>
      <c r="AB295" s="505"/>
      <c r="AC295" s="505"/>
    </row>
    <row r="296" spans="1:29">
      <c r="A296" s="505"/>
      <c r="B296" s="505"/>
      <c r="C296" s="505"/>
      <c r="D296" s="505"/>
      <c r="E296" s="505"/>
      <c r="F296" s="505"/>
      <c r="G296" s="505"/>
      <c r="H296" s="505"/>
      <c r="I296" s="505"/>
      <c r="J296" s="505"/>
      <c r="K296" s="517"/>
      <c r="L296" s="518"/>
      <c r="M296" s="505"/>
      <c r="N296" s="505"/>
      <c r="O296" s="505"/>
      <c r="P296" s="619"/>
      <c r="Q296" s="505"/>
      <c r="R296" s="505"/>
      <c r="S296" s="505"/>
      <c r="T296" s="505"/>
      <c r="U296" s="505"/>
      <c r="V296" s="505"/>
      <c r="W296" s="505"/>
      <c r="X296" s="505"/>
      <c r="Y296" s="505"/>
      <c r="Z296" s="505"/>
      <c r="AA296" s="505"/>
      <c r="AB296" s="505"/>
      <c r="AC296" s="505"/>
    </row>
    <row r="297" spans="1:29">
      <c r="A297" s="505"/>
      <c r="B297" s="505"/>
      <c r="C297" s="505"/>
      <c r="D297" s="505"/>
      <c r="E297" s="505"/>
      <c r="F297" s="505"/>
      <c r="G297" s="505"/>
      <c r="H297" s="505"/>
      <c r="I297" s="505"/>
      <c r="J297" s="505"/>
      <c r="K297" s="517"/>
      <c r="L297" s="518"/>
      <c r="M297" s="505"/>
      <c r="N297" s="505"/>
      <c r="O297" s="505"/>
      <c r="P297" s="619"/>
      <c r="Q297" s="505"/>
      <c r="R297" s="505"/>
      <c r="S297" s="505"/>
      <c r="T297" s="505"/>
      <c r="U297" s="505"/>
      <c r="V297" s="505"/>
      <c r="W297" s="505"/>
      <c r="X297" s="505"/>
      <c r="Y297" s="505"/>
      <c r="Z297" s="505"/>
      <c r="AA297" s="505"/>
      <c r="AB297" s="505"/>
      <c r="AC297" s="505"/>
    </row>
    <row r="298" spans="1:29">
      <c r="A298" s="505"/>
      <c r="B298" s="505"/>
      <c r="C298" s="505"/>
      <c r="D298" s="505"/>
      <c r="E298" s="505"/>
      <c r="F298" s="505"/>
      <c r="G298" s="505"/>
      <c r="H298" s="505"/>
      <c r="I298" s="505"/>
      <c r="J298" s="505"/>
      <c r="K298" s="517"/>
      <c r="L298" s="518"/>
      <c r="M298" s="505"/>
      <c r="N298" s="505"/>
      <c r="O298" s="505"/>
      <c r="P298" s="619"/>
      <c r="Q298" s="505"/>
      <c r="R298" s="505"/>
      <c r="S298" s="505"/>
      <c r="T298" s="505"/>
      <c r="U298" s="505"/>
      <c r="V298" s="505"/>
      <c r="W298" s="505"/>
      <c r="X298" s="505"/>
      <c r="Y298" s="505"/>
      <c r="Z298" s="505"/>
      <c r="AA298" s="505"/>
      <c r="AB298" s="505"/>
      <c r="AC298" s="505"/>
    </row>
    <row r="299" spans="1:29">
      <c r="A299" s="505"/>
      <c r="B299" s="505"/>
      <c r="C299" s="505"/>
      <c r="D299" s="505"/>
      <c r="E299" s="505"/>
      <c r="F299" s="505"/>
      <c r="G299" s="505"/>
      <c r="H299" s="505"/>
      <c r="I299" s="505"/>
      <c r="J299" s="505"/>
      <c r="K299" s="517"/>
      <c r="L299" s="518"/>
      <c r="M299" s="505"/>
      <c r="N299" s="505"/>
      <c r="O299" s="505"/>
      <c r="P299" s="619"/>
      <c r="Q299" s="505"/>
      <c r="R299" s="505"/>
      <c r="S299" s="505"/>
      <c r="T299" s="505"/>
      <c r="U299" s="505"/>
      <c r="V299" s="505"/>
      <c r="W299" s="505"/>
      <c r="X299" s="505"/>
      <c r="Y299" s="505"/>
      <c r="Z299" s="505"/>
      <c r="AA299" s="505"/>
      <c r="AB299" s="505"/>
      <c r="AC299" s="505"/>
    </row>
    <row r="300" spans="1:29">
      <c r="A300" s="505"/>
      <c r="B300" s="505"/>
      <c r="C300" s="505"/>
      <c r="D300" s="505"/>
      <c r="E300" s="505"/>
      <c r="F300" s="505"/>
      <c r="G300" s="505"/>
      <c r="H300" s="505"/>
      <c r="I300" s="505"/>
      <c r="J300" s="505"/>
      <c r="K300" s="517"/>
      <c r="L300" s="518"/>
      <c r="M300" s="505"/>
      <c r="N300" s="505"/>
      <c r="O300" s="505"/>
      <c r="P300" s="619"/>
      <c r="Q300" s="505"/>
      <c r="R300" s="505"/>
      <c r="S300" s="505"/>
      <c r="T300" s="505"/>
      <c r="U300" s="505"/>
      <c r="V300" s="505"/>
      <c r="W300" s="505"/>
      <c r="X300" s="505"/>
      <c r="Y300" s="505"/>
      <c r="Z300" s="505"/>
      <c r="AA300" s="505"/>
      <c r="AB300" s="505"/>
      <c r="AC300" s="505"/>
    </row>
    <row r="301" spans="1:29">
      <c r="A301" s="505"/>
      <c r="B301" s="505"/>
      <c r="C301" s="505"/>
      <c r="D301" s="505"/>
      <c r="E301" s="505"/>
      <c r="F301" s="505"/>
      <c r="G301" s="505"/>
      <c r="H301" s="505"/>
      <c r="I301" s="505"/>
      <c r="J301" s="505"/>
      <c r="K301" s="517"/>
      <c r="L301" s="518"/>
      <c r="M301" s="505"/>
      <c r="N301" s="505"/>
      <c r="O301" s="505"/>
      <c r="P301" s="619"/>
      <c r="Q301" s="505"/>
      <c r="R301" s="505"/>
      <c r="S301" s="505"/>
      <c r="T301" s="505"/>
      <c r="U301" s="505"/>
      <c r="V301" s="505"/>
      <c r="W301" s="505"/>
      <c r="X301" s="505"/>
      <c r="Y301" s="505"/>
      <c r="Z301" s="505"/>
      <c r="AA301" s="505"/>
      <c r="AB301" s="505"/>
      <c r="AC301" s="505"/>
    </row>
    <row r="302" spans="1:29">
      <c r="A302" s="505"/>
      <c r="B302" s="505"/>
      <c r="C302" s="505"/>
      <c r="D302" s="505"/>
      <c r="E302" s="505"/>
      <c r="F302" s="505"/>
      <c r="G302" s="505"/>
      <c r="H302" s="505"/>
      <c r="I302" s="505"/>
      <c r="J302" s="505"/>
      <c r="K302" s="517"/>
      <c r="L302" s="518"/>
      <c r="M302" s="505"/>
      <c r="N302" s="505"/>
      <c r="O302" s="505"/>
      <c r="P302" s="619"/>
      <c r="Q302" s="505"/>
      <c r="R302" s="505"/>
      <c r="S302" s="505"/>
      <c r="T302" s="505"/>
      <c r="U302" s="505"/>
      <c r="V302" s="505"/>
      <c r="W302" s="505"/>
      <c r="X302" s="505"/>
      <c r="Y302" s="505"/>
      <c r="Z302" s="505"/>
      <c r="AA302" s="505"/>
      <c r="AB302" s="505"/>
      <c r="AC302" s="505"/>
    </row>
    <row r="303" spans="1:29">
      <c r="A303" s="505"/>
      <c r="B303" s="505"/>
      <c r="C303" s="505"/>
      <c r="D303" s="505"/>
      <c r="E303" s="505"/>
      <c r="F303" s="505"/>
      <c r="G303" s="505"/>
      <c r="H303" s="505"/>
      <c r="I303" s="505"/>
      <c r="J303" s="505"/>
      <c r="K303" s="517"/>
      <c r="L303" s="518"/>
      <c r="M303" s="505"/>
      <c r="N303" s="505"/>
      <c r="O303" s="505"/>
      <c r="P303" s="619"/>
      <c r="Q303" s="505"/>
      <c r="R303" s="505"/>
      <c r="S303" s="505"/>
      <c r="T303" s="505"/>
      <c r="U303" s="505"/>
      <c r="V303" s="505"/>
      <c r="W303" s="505"/>
      <c r="X303" s="505"/>
      <c r="Y303" s="505"/>
      <c r="Z303" s="505"/>
      <c r="AA303" s="505"/>
      <c r="AB303" s="505"/>
      <c r="AC303" s="505"/>
    </row>
    <row r="304" spans="1:29">
      <c r="A304" s="505"/>
      <c r="B304" s="505"/>
      <c r="C304" s="505"/>
      <c r="D304" s="505"/>
      <c r="E304" s="505"/>
      <c r="F304" s="505"/>
      <c r="G304" s="505"/>
      <c r="H304" s="505"/>
      <c r="I304" s="505"/>
      <c r="J304" s="505"/>
      <c r="K304" s="517"/>
      <c r="L304" s="518"/>
      <c r="M304" s="505"/>
      <c r="N304" s="505"/>
      <c r="O304" s="505"/>
      <c r="P304" s="619"/>
      <c r="Q304" s="505"/>
      <c r="R304" s="505"/>
      <c r="S304" s="505"/>
      <c r="T304" s="505"/>
      <c r="U304" s="505"/>
      <c r="V304" s="505"/>
      <c r="W304" s="505"/>
      <c r="X304" s="505"/>
      <c r="Y304" s="505"/>
      <c r="Z304" s="505"/>
      <c r="AA304" s="505"/>
      <c r="AB304" s="505"/>
      <c r="AC304" s="505"/>
    </row>
    <row r="305" spans="1:29">
      <c r="A305" s="505"/>
      <c r="B305" s="505"/>
      <c r="C305" s="505"/>
      <c r="D305" s="505"/>
      <c r="E305" s="505"/>
      <c r="F305" s="505"/>
      <c r="G305" s="505"/>
      <c r="H305" s="505"/>
      <c r="I305" s="505"/>
      <c r="J305" s="505"/>
      <c r="K305" s="517"/>
      <c r="L305" s="518"/>
      <c r="M305" s="505"/>
      <c r="N305" s="505"/>
      <c r="O305" s="505"/>
      <c r="P305" s="619"/>
      <c r="Q305" s="505"/>
      <c r="R305" s="505"/>
      <c r="S305" s="505"/>
      <c r="T305" s="505"/>
      <c r="U305" s="505"/>
      <c r="V305" s="505"/>
      <c r="W305" s="505"/>
      <c r="X305" s="505"/>
      <c r="Y305" s="505"/>
      <c r="Z305" s="505"/>
      <c r="AA305" s="505"/>
      <c r="AB305" s="505"/>
      <c r="AC305" s="505"/>
    </row>
    <row r="306" spans="1:29">
      <c r="A306" s="505"/>
      <c r="B306" s="505"/>
      <c r="C306" s="505"/>
      <c r="D306" s="505"/>
      <c r="E306" s="505"/>
      <c r="F306" s="505"/>
      <c r="G306" s="505"/>
      <c r="H306" s="505"/>
      <c r="I306" s="505"/>
      <c r="J306" s="505"/>
      <c r="K306" s="517"/>
      <c r="L306" s="518"/>
      <c r="M306" s="505"/>
      <c r="N306" s="505"/>
      <c r="O306" s="505"/>
      <c r="P306" s="619"/>
      <c r="Q306" s="505"/>
      <c r="R306" s="505"/>
      <c r="S306" s="505"/>
      <c r="T306" s="505"/>
      <c r="U306" s="505"/>
      <c r="V306" s="505"/>
      <c r="W306" s="505"/>
      <c r="X306" s="505"/>
      <c r="Y306" s="505"/>
      <c r="Z306" s="505"/>
      <c r="AA306" s="505"/>
      <c r="AB306" s="505"/>
      <c r="AC306" s="505"/>
    </row>
    <row r="307" spans="1:29">
      <c r="A307" s="505"/>
      <c r="B307" s="505"/>
      <c r="C307" s="505"/>
      <c r="D307" s="505"/>
      <c r="E307" s="505"/>
      <c r="F307" s="505"/>
      <c r="G307" s="505"/>
      <c r="H307" s="505"/>
      <c r="I307" s="505"/>
      <c r="J307" s="505"/>
      <c r="K307" s="517"/>
      <c r="L307" s="518"/>
      <c r="M307" s="505"/>
      <c r="N307" s="505"/>
      <c r="O307" s="505"/>
      <c r="P307" s="619"/>
      <c r="Q307" s="505"/>
      <c r="R307" s="505"/>
      <c r="S307" s="505"/>
      <c r="T307" s="505"/>
      <c r="U307" s="505"/>
      <c r="V307" s="505"/>
      <c r="W307" s="505"/>
      <c r="X307" s="505"/>
      <c r="Y307" s="505"/>
      <c r="Z307" s="505"/>
      <c r="AA307" s="505"/>
      <c r="AB307" s="505"/>
      <c r="AC307" s="505"/>
    </row>
    <row r="308" spans="1:29">
      <c r="A308" s="505"/>
      <c r="B308" s="505"/>
      <c r="C308" s="505"/>
      <c r="D308" s="505"/>
      <c r="E308" s="505"/>
      <c r="F308" s="505"/>
      <c r="G308" s="505"/>
      <c r="H308" s="505"/>
      <c r="I308" s="505"/>
      <c r="J308" s="505"/>
      <c r="K308" s="517"/>
      <c r="L308" s="518"/>
      <c r="M308" s="505"/>
      <c r="N308" s="505"/>
      <c r="O308" s="505"/>
      <c r="P308" s="619"/>
      <c r="Q308" s="505"/>
      <c r="R308" s="505"/>
      <c r="S308" s="505"/>
      <c r="T308" s="505"/>
      <c r="U308" s="505"/>
      <c r="V308" s="505"/>
      <c r="W308" s="505"/>
      <c r="X308" s="505"/>
      <c r="Y308" s="505"/>
      <c r="Z308" s="505"/>
      <c r="AA308" s="505"/>
      <c r="AB308" s="505"/>
      <c r="AC308" s="505"/>
    </row>
    <row r="309" spans="1:29">
      <c r="A309" s="505"/>
      <c r="B309" s="505"/>
      <c r="C309" s="505"/>
      <c r="D309" s="505"/>
      <c r="E309" s="505"/>
      <c r="F309" s="505"/>
      <c r="G309" s="505"/>
      <c r="H309" s="505"/>
      <c r="I309" s="505"/>
      <c r="J309" s="505"/>
      <c r="K309" s="517"/>
      <c r="L309" s="518"/>
      <c r="M309" s="505"/>
      <c r="N309" s="505"/>
      <c r="O309" s="505"/>
      <c r="P309" s="619"/>
      <c r="Q309" s="505"/>
      <c r="R309" s="505"/>
      <c r="S309" s="505"/>
      <c r="T309" s="505"/>
      <c r="U309" s="505"/>
      <c r="V309" s="505"/>
      <c r="W309" s="505"/>
      <c r="X309" s="505"/>
      <c r="Y309" s="505"/>
      <c r="Z309" s="505"/>
      <c r="AA309" s="505"/>
      <c r="AB309" s="505"/>
      <c r="AC309" s="505"/>
    </row>
    <row r="310" spans="1:29">
      <c r="A310" s="505"/>
      <c r="B310" s="505"/>
      <c r="C310" s="505"/>
      <c r="D310" s="505"/>
      <c r="E310" s="505"/>
      <c r="F310" s="505"/>
      <c r="G310" s="505"/>
      <c r="H310" s="505"/>
      <c r="I310" s="505"/>
      <c r="J310" s="505"/>
      <c r="K310" s="517"/>
      <c r="L310" s="518"/>
      <c r="M310" s="505"/>
      <c r="N310" s="505"/>
      <c r="O310" s="505"/>
      <c r="P310" s="619"/>
      <c r="Q310" s="505"/>
      <c r="R310" s="505"/>
      <c r="S310" s="505"/>
      <c r="T310" s="505"/>
      <c r="U310" s="505"/>
      <c r="V310" s="505"/>
      <c r="W310" s="505"/>
      <c r="X310" s="505"/>
      <c r="Y310" s="505"/>
      <c r="Z310" s="505"/>
      <c r="AA310" s="505"/>
      <c r="AB310" s="505"/>
      <c r="AC310" s="505"/>
    </row>
    <row r="311" spans="1:29">
      <c r="A311" s="505"/>
      <c r="B311" s="505"/>
      <c r="C311" s="505"/>
      <c r="D311" s="505"/>
      <c r="E311" s="505"/>
      <c r="F311" s="505"/>
      <c r="G311" s="505"/>
      <c r="H311" s="505"/>
      <c r="I311" s="505"/>
      <c r="J311" s="505"/>
      <c r="K311" s="517"/>
      <c r="L311" s="518"/>
      <c r="M311" s="505"/>
      <c r="N311" s="505"/>
      <c r="O311" s="505"/>
      <c r="P311" s="619"/>
      <c r="Q311" s="505"/>
      <c r="R311" s="505"/>
      <c r="S311" s="505"/>
      <c r="T311" s="505"/>
      <c r="U311" s="505"/>
      <c r="V311" s="505"/>
      <c r="W311" s="505"/>
      <c r="X311" s="505"/>
      <c r="Y311" s="505"/>
      <c r="Z311" s="505"/>
      <c r="AA311" s="505"/>
      <c r="AB311" s="505"/>
      <c r="AC311" s="505"/>
    </row>
    <row r="312" spans="1:29">
      <c r="A312" s="505"/>
      <c r="B312" s="505"/>
      <c r="C312" s="505"/>
      <c r="D312" s="505"/>
      <c r="E312" s="505"/>
      <c r="F312" s="505"/>
      <c r="G312" s="505"/>
      <c r="H312" s="505"/>
      <c r="I312" s="505"/>
      <c r="J312" s="505"/>
      <c r="K312" s="517"/>
      <c r="L312" s="518"/>
      <c r="M312" s="505"/>
      <c r="N312" s="505"/>
      <c r="O312" s="505"/>
      <c r="P312" s="619"/>
      <c r="Q312" s="505"/>
      <c r="R312" s="505"/>
      <c r="S312" s="505"/>
      <c r="T312" s="505"/>
      <c r="U312" s="505"/>
      <c r="V312" s="505"/>
      <c r="W312" s="505"/>
      <c r="X312" s="505"/>
      <c r="Y312" s="505"/>
      <c r="Z312" s="505"/>
      <c r="AA312" s="505"/>
      <c r="AB312" s="505"/>
      <c r="AC312" s="505"/>
    </row>
    <row r="313" spans="1:29">
      <c r="A313" s="505"/>
      <c r="B313" s="505"/>
      <c r="C313" s="505"/>
      <c r="D313" s="505"/>
      <c r="E313" s="505"/>
      <c r="F313" s="505"/>
      <c r="G313" s="505"/>
      <c r="H313" s="505"/>
      <c r="I313" s="505"/>
      <c r="J313" s="505"/>
      <c r="K313" s="517"/>
      <c r="L313" s="518"/>
      <c r="M313" s="505"/>
      <c r="N313" s="505"/>
      <c r="O313" s="505"/>
      <c r="P313" s="619"/>
      <c r="Q313" s="505"/>
      <c r="R313" s="505"/>
      <c r="S313" s="505"/>
      <c r="T313" s="505"/>
      <c r="U313" s="505"/>
      <c r="V313" s="505"/>
      <c r="W313" s="505"/>
      <c r="X313" s="505"/>
      <c r="Y313" s="505"/>
      <c r="Z313" s="505"/>
      <c r="AA313" s="505"/>
      <c r="AB313" s="505"/>
      <c r="AC313" s="505"/>
    </row>
    <row r="314" spans="1:29">
      <c r="A314" s="505"/>
      <c r="B314" s="505"/>
      <c r="C314" s="505"/>
      <c r="D314" s="505"/>
      <c r="E314" s="505"/>
      <c r="F314" s="505"/>
      <c r="G314" s="505"/>
      <c r="H314" s="505"/>
      <c r="I314" s="505"/>
      <c r="J314" s="505"/>
      <c r="K314" s="517"/>
      <c r="L314" s="518"/>
      <c r="M314" s="505"/>
      <c r="N314" s="505"/>
      <c r="O314" s="505"/>
      <c r="P314" s="619"/>
      <c r="Q314" s="505"/>
      <c r="R314" s="505"/>
      <c r="S314" s="505"/>
      <c r="T314" s="505"/>
      <c r="U314" s="505"/>
      <c r="V314" s="505"/>
      <c r="W314" s="505"/>
      <c r="X314" s="505"/>
      <c r="Y314" s="505"/>
      <c r="Z314" s="505"/>
      <c r="AA314" s="505"/>
      <c r="AB314" s="505"/>
      <c r="AC314" s="505"/>
    </row>
    <row r="315" spans="1:29">
      <c r="A315" s="505"/>
      <c r="B315" s="505"/>
      <c r="C315" s="505"/>
      <c r="D315" s="505"/>
      <c r="E315" s="505"/>
      <c r="F315" s="505"/>
      <c r="G315" s="505"/>
      <c r="H315" s="505"/>
      <c r="I315" s="505"/>
      <c r="J315" s="505"/>
      <c r="K315" s="517"/>
      <c r="L315" s="518"/>
      <c r="M315" s="505"/>
      <c r="N315" s="505"/>
      <c r="O315" s="505"/>
      <c r="P315" s="619"/>
      <c r="Q315" s="505"/>
      <c r="R315" s="505"/>
      <c r="S315" s="505"/>
      <c r="T315" s="505"/>
      <c r="U315" s="505"/>
      <c r="V315" s="505"/>
      <c r="W315" s="505"/>
      <c r="X315" s="505"/>
      <c r="Y315" s="505"/>
      <c r="Z315" s="505"/>
      <c r="AA315" s="505"/>
      <c r="AB315" s="505"/>
      <c r="AC315" s="505"/>
    </row>
    <row r="316" spans="1:29">
      <c r="A316" s="505"/>
      <c r="B316" s="505"/>
      <c r="C316" s="505"/>
      <c r="D316" s="505"/>
      <c r="E316" s="505"/>
      <c r="F316" s="505"/>
      <c r="G316" s="505"/>
      <c r="H316" s="505"/>
      <c r="I316" s="505"/>
      <c r="J316" s="505"/>
      <c r="K316" s="517"/>
      <c r="L316" s="518"/>
      <c r="M316" s="505"/>
      <c r="N316" s="505"/>
      <c r="O316" s="505"/>
      <c r="P316" s="619"/>
      <c r="Q316" s="505"/>
      <c r="R316" s="505"/>
      <c r="S316" s="505"/>
      <c r="T316" s="505"/>
      <c r="U316" s="505"/>
      <c r="V316" s="505"/>
      <c r="W316" s="505"/>
      <c r="X316" s="505"/>
      <c r="Y316" s="505"/>
      <c r="Z316" s="505"/>
      <c r="AA316" s="505"/>
      <c r="AB316" s="505"/>
      <c r="AC316" s="505"/>
    </row>
    <row r="317" spans="1:29">
      <c r="A317" s="505"/>
      <c r="B317" s="505"/>
      <c r="C317" s="505"/>
      <c r="D317" s="505"/>
      <c r="E317" s="505"/>
      <c r="F317" s="505"/>
      <c r="G317" s="505"/>
      <c r="H317" s="505"/>
      <c r="I317" s="505"/>
      <c r="J317" s="505"/>
      <c r="K317" s="517"/>
      <c r="L317" s="518"/>
      <c r="M317" s="505"/>
      <c r="N317" s="505"/>
      <c r="O317" s="505"/>
      <c r="P317" s="619"/>
      <c r="Q317" s="505"/>
      <c r="R317" s="505"/>
      <c r="S317" s="505"/>
      <c r="T317" s="505"/>
      <c r="U317" s="505"/>
      <c r="V317" s="505"/>
      <c r="W317" s="505"/>
      <c r="X317" s="505"/>
      <c r="Y317" s="505"/>
      <c r="Z317" s="505"/>
      <c r="AA317" s="505"/>
      <c r="AB317" s="505"/>
      <c r="AC317" s="505"/>
    </row>
    <row r="318" spans="1:29">
      <c r="A318" s="505"/>
      <c r="B318" s="505"/>
      <c r="C318" s="505"/>
      <c r="D318" s="505"/>
      <c r="E318" s="505"/>
      <c r="F318" s="505"/>
      <c r="G318" s="505"/>
      <c r="H318" s="505"/>
      <c r="I318" s="505"/>
      <c r="J318" s="505"/>
      <c r="K318" s="517"/>
      <c r="L318" s="518"/>
      <c r="M318" s="505"/>
      <c r="N318" s="505"/>
      <c r="O318" s="505"/>
      <c r="P318" s="619"/>
      <c r="Q318" s="505"/>
      <c r="R318" s="505"/>
      <c r="S318" s="505"/>
      <c r="T318" s="505"/>
      <c r="U318" s="505"/>
      <c r="V318" s="505"/>
      <c r="W318" s="505"/>
      <c r="X318" s="505"/>
      <c r="Y318" s="505"/>
      <c r="Z318" s="505"/>
      <c r="AA318" s="505"/>
      <c r="AB318" s="505"/>
      <c r="AC318" s="505"/>
    </row>
    <row r="319" spans="1:29">
      <c r="A319" s="505"/>
      <c r="B319" s="505"/>
      <c r="C319" s="505"/>
      <c r="D319" s="505"/>
      <c r="E319" s="505"/>
      <c r="F319" s="505"/>
      <c r="G319" s="505"/>
      <c r="H319" s="505"/>
      <c r="I319" s="505"/>
      <c r="J319" s="505"/>
      <c r="K319" s="517"/>
      <c r="L319" s="518"/>
      <c r="M319" s="505"/>
      <c r="N319" s="505"/>
      <c r="O319" s="505"/>
      <c r="P319" s="619"/>
      <c r="Q319" s="505"/>
      <c r="R319" s="505"/>
      <c r="S319" s="505"/>
      <c r="T319" s="505"/>
      <c r="U319" s="505"/>
      <c r="V319" s="505"/>
      <c r="W319" s="505"/>
      <c r="X319" s="505"/>
      <c r="Y319" s="505"/>
      <c r="Z319" s="505"/>
      <c r="AA319" s="505"/>
      <c r="AB319" s="505"/>
      <c r="AC319" s="505"/>
    </row>
    <row r="320" spans="1:29">
      <c r="A320" s="505"/>
      <c r="B320" s="505"/>
      <c r="C320" s="505"/>
      <c r="D320" s="505"/>
      <c r="E320" s="505"/>
      <c r="F320" s="505"/>
      <c r="G320" s="505"/>
      <c r="H320" s="505"/>
      <c r="I320" s="505"/>
      <c r="J320" s="505"/>
      <c r="K320" s="517"/>
      <c r="L320" s="518"/>
      <c r="M320" s="505"/>
      <c r="N320" s="505"/>
      <c r="O320" s="505"/>
      <c r="P320" s="619"/>
      <c r="Q320" s="505"/>
      <c r="R320" s="505"/>
      <c r="S320" s="505"/>
      <c r="T320" s="505"/>
      <c r="U320" s="505"/>
      <c r="V320" s="505"/>
      <c r="W320" s="505"/>
      <c r="X320" s="505"/>
      <c r="Y320" s="505"/>
      <c r="Z320" s="505"/>
      <c r="AA320" s="505"/>
      <c r="AB320" s="505"/>
      <c r="AC320" s="505"/>
    </row>
    <row r="321" spans="1:29">
      <c r="A321" s="505"/>
      <c r="B321" s="505"/>
      <c r="C321" s="505"/>
      <c r="D321" s="505"/>
      <c r="E321" s="505"/>
      <c r="F321" s="505"/>
      <c r="G321" s="505"/>
      <c r="H321" s="505"/>
      <c r="I321" s="505"/>
      <c r="J321" s="505"/>
      <c r="K321" s="517"/>
      <c r="L321" s="518"/>
      <c r="M321" s="505"/>
      <c r="N321" s="505"/>
      <c r="O321" s="505"/>
      <c r="P321" s="619"/>
      <c r="Q321" s="505"/>
      <c r="R321" s="505"/>
      <c r="S321" s="505"/>
      <c r="T321" s="505"/>
      <c r="U321" s="505"/>
      <c r="V321" s="505"/>
      <c r="W321" s="505"/>
      <c r="X321" s="505"/>
      <c r="Y321" s="505"/>
      <c r="Z321" s="505"/>
      <c r="AA321" s="505"/>
      <c r="AB321" s="505"/>
      <c r="AC321" s="505"/>
    </row>
    <row r="322" spans="1:29">
      <c r="A322" s="505"/>
      <c r="B322" s="505"/>
      <c r="C322" s="505"/>
      <c r="D322" s="505"/>
      <c r="E322" s="505"/>
      <c r="F322" s="505"/>
      <c r="G322" s="505"/>
      <c r="H322" s="505"/>
      <c r="I322" s="505"/>
      <c r="J322" s="505"/>
      <c r="K322" s="517"/>
      <c r="L322" s="518"/>
      <c r="M322" s="505"/>
      <c r="N322" s="505"/>
      <c r="O322" s="505"/>
      <c r="P322" s="619"/>
      <c r="Q322" s="505"/>
      <c r="R322" s="505"/>
      <c r="S322" s="505"/>
      <c r="T322" s="505"/>
      <c r="U322" s="505"/>
      <c r="V322" s="505"/>
      <c r="W322" s="505"/>
      <c r="X322" s="505"/>
      <c r="Y322" s="505"/>
      <c r="Z322" s="505"/>
      <c r="AA322" s="505"/>
      <c r="AB322" s="505"/>
      <c r="AC322" s="505"/>
    </row>
    <row r="323" spans="1:29">
      <c r="A323" s="505"/>
      <c r="B323" s="505"/>
      <c r="C323" s="505"/>
      <c r="D323" s="505"/>
      <c r="E323" s="505"/>
      <c r="F323" s="505"/>
      <c r="G323" s="505"/>
      <c r="H323" s="505"/>
      <c r="I323" s="505"/>
      <c r="J323" s="505"/>
      <c r="K323" s="517"/>
      <c r="L323" s="518"/>
      <c r="M323" s="505"/>
      <c r="N323" s="505"/>
      <c r="O323" s="505"/>
      <c r="P323" s="619"/>
      <c r="Q323" s="505"/>
      <c r="R323" s="505"/>
      <c r="S323" s="505"/>
      <c r="T323" s="505"/>
      <c r="U323" s="505"/>
      <c r="V323" s="505"/>
      <c r="W323" s="505"/>
      <c r="X323" s="505"/>
      <c r="Y323" s="505"/>
      <c r="Z323" s="505"/>
      <c r="AA323" s="505"/>
      <c r="AB323" s="505"/>
      <c r="AC323" s="505"/>
    </row>
    <row r="324" spans="1:29">
      <c r="A324" s="505"/>
      <c r="B324" s="505"/>
      <c r="C324" s="505"/>
      <c r="D324" s="505"/>
      <c r="E324" s="505"/>
      <c r="F324" s="505"/>
      <c r="G324" s="505"/>
      <c r="H324" s="505"/>
      <c r="I324" s="505"/>
      <c r="J324" s="505"/>
      <c r="K324" s="517"/>
      <c r="L324" s="518"/>
      <c r="M324" s="505"/>
      <c r="N324" s="505"/>
      <c r="O324" s="505"/>
      <c r="P324" s="619"/>
      <c r="Q324" s="505"/>
      <c r="R324" s="505"/>
      <c r="S324" s="505"/>
      <c r="T324" s="505"/>
      <c r="U324" s="505"/>
      <c r="V324" s="505"/>
      <c r="W324" s="505"/>
      <c r="X324" s="505"/>
      <c r="Y324" s="505"/>
      <c r="Z324" s="505"/>
      <c r="AA324" s="505"/>
      <c r="AB324" s="505"/>
      <c r="AC324" s="505"/>
    </row>
    <row r="325" spans="1:29">
      <c r="A325" s="505"/>
      <c r="B325" s="505"/>
      <c r="C325" s="505"/>
      <c r="D325" s="505"/>
      <c r="E325" s="505"/>
      <c r="F325" s="505"/>
      <c r="G325" s="505"/>
      <c r="H325" s="505"/>
      <c r="I325" s="505"/>
      <c r="J325" s="505"/>
      <c r="K325" s="517"/>
      <c r="L325" s="518"/>
      <c r="M325" s="505"/>
      <c r="N325" s="505"/>
      <c r="O325" s="505"/>
      <c r="P325" s="619"/>
      <c r="Q325" s="505"/>
      <c r="R325" s="505"/>
      <c r="S325" s="505"/>
      <c r="T325" s="505"/>
      <c r="U325" s="505"/>
      <c r="V325" s="505"/>
      <c r="W325" s="505"/>
      <c r="X325" s="505"/>
      <c r="Y325" s="505"/>
      <c r="Z325" s="505"/>
      <c r="AA325" s="505"/>
      <c r="AB325" s="505"/>
      <c r="AC325" s="505"/>
    </row>
    <row r="326" spans="1:29">
      <c r="A326" s="505"/>
      <c r="B326" s="505"/>
      <c r="C326" s="505"/>
      <c r="D326" s="505"/>
      <c r="E326" s="505"/>
      <c r="F326" s="505"/>
      <c r="G326" s="505"/>
      <c r="H326" s="505"/>
      <c r="I326" s="505"/>
      <c r="J326" s="505"/>
      <c r="K326" s="517"/>
      <c r="L326" s="518"/>
      <c r="M326" s="505"/>
      <c r="N326" s="505"/>
      <c r="O326" s="505"/>
      <c r="P326" s="619"/>
      <c r="Q326" s="505"/>
      <c r="R326" s="505"/>
      <c r="S326" s="505"/>
      <c r="T326" s="505"/>
      <c r="U326" s="505"/>
      <c r="V326" s="505"/>
      <c r="W326" s="505"/>
      <c r="X326" s="505"/>
      <c r="Y326" s="505"/>
      <c r="Z326" s="505"/>
      <c r="AA326" s="505"/>
      <c r="AB326" s="505"/>
      <c r="AC326" s="505"/>
    </row>
    <row r="327" spans="1:29">
      <c r="A327" s="505"/>
      <c r="B327" s="505"/>
      <c r="C327" s="505"/>
      <c r="D327" s="505"/>
      <c r="E327" s="505"/>
      <c r="F327" s="505"/>
      <c r="G327" s="505"/>
      <c r="H327" s="505"/>
      <c r="I327" s="505"/>
      <c r="J327" s="505"/>
      <c r="K327" s="517"/>
      <c r="L327" s="518"/>
      <c r="M327" s="505"/>
      <c r="N327" s="505"/>
      <c r="O327" s="505"/>
      <c r="P327" s="619"/>
      <c r="Q327" s="505"/>
      <c r="R327" s="505"/>
      <c r="S327" s="505"/>
      <c r="T327" s="505"/>
      <c r="U327" s="505"/>
      <c r="V327" s="505"/>
      <c r="W327" s="505"/>
      <c r="X327" s="505"/>
      <c r="Y327" s="505"/>
      <c r="Z327" s="505"/>
      <c r="AA327" s="505"/>
      <c r="AB327" s="505"/>
      <c r="AC327" s="505"/>
    </row>
    <row r="328" spans="1:29">
      <c r="A328" s="505"/>
      <c r="B328" s="505"/>
      <c r="C328" s="505"/>
      <c r="D328" s="505"/>
      <c r="E328" s="505"/>
      <c r="F328" s="505"/>
      <c r="G328" s="505"/>
      <c r="H328" s="505"/>
      <c r="I328" s="505"/>
      <c r="J328" s="505"/>
      <c r="K328" s="517"/>
      <c r="L328" s="518"/>
      <c r="M328" s="505"/>
      <c r="N328" s="505"/>
      <c r="O328" s="505"/>
      <c r="P328" s="619"/>
      <c r="Q328" s="505"/>
      <c r="R328" s="505"/>
      <c r="S328" s="505"/>
      <c r="T328" s="505"/>
      <c r="U328" s="505"/>
      <c r="V328" s="505"/>
      <c r="W328" s="505"/>
      <c r="X328" s="505"/>
      <c r="Y328" s="505"/>
      <c r="Z328" s="505"/>
      <c r="AA328" s="505"/>
      <c r="AB328" s="505"/>
      <c r="AC328" s="505"/>
    </row>
    <row r="329" spans="1:29">
      <c r="A329" s="505"/>
      <c r="B329" s="505"/>
      <c r="C329" s="505"/>
      <c r="D329" s="505"/>
      <c r="E329" s="505"/>
      <c r="F329" s="505"/>
      <c r="G329" s="505"/>
      <c r="H329" s="505"/>
      <c r="I329" s="505"/>
      <c r="J329" s="505"/>
      <c r="K329" s="517"/>
      <c r="L329" s="518"/>
      <c r="M329" s="505"/>
      <c r="N329" s="505"/>
      <c r="O329" s="505"/>
      <c r="P329" s="619"/>
      <c r="Q329" s="505"/>
      <c r="R329" s="505"/>
      <c r="S329" s="505"/>
      <c r="T329" s="505"/>
      <c r="U329" s="505"/>
      <c r="V329" s="505"/>
      <c r="W329" s="505"/>
      <c r="X329" s="505"/>
      <c r="Y329" s="505"/>
      <c r="Z329" s="505"/>
      <c r="AA329" s="505"/>
      <c r="AB329" s="505"/>
      <c r="AC329" s="505"/>
    </row>
    <row r="330" spans="1:29">
      <c r="A330" s="505"/>
      <c r="B330" s="505"/>
      <c r="C330" s="505"/>
      <c r="D330" s="505"/>
      <c r="E330" s="505"/>
      <c r="F330" s="505"/>
      <c r="G330" s="505"/>
      <c r="H330" s="505"/>
      <c r="I330" s="505"/>
      <c r="J330" s="505"/>
      <c r="K330" s="517"/>
      <c r="L330" s="518"/>
      <c r="M330" s="505"/>
      <c r="N330" s="505"/>
      <c r="O330" s="505"/>
      <c r="P330" s="619"/>
      <c r="Q330" s="505"/>
      <c r="R330" s="505"/>
      <c r="S330" s="505"/>
      <c r="T330" s="505"/>
      <c r="U330" s="505"/>
      <c r="V330" s="505"/>
      <c r="W330" s="505"/>
      <c r="X330" s="505"/>
      <c r="Y330" s="505"/>
      <c r="Z330" s="505"/>
      <c r="AA330" s="505"/>
      <c r="AB330" s="505"/>
      <c r="AC330" s="505"/>
    </row>
    <row r="331" spans="1:29">
      <c r="A331" s="505"/>
      <c r="B331" s="505"/>
      <c r="C331" s="505"/>
      <c r="D331" s="505"/>
      <c r="E331" s="505"/>
      <c r="F331" s="505"/>
      <c r="G331" s="505"/>
      <c r="H331" s="505"/>
      <c r="I331" s="505"/>
      <c r="J331" s="505"/>
      <c r="K331" s="517"/>
      <c r="L331" s="518"/>
      <c r="M331" s="505"/>
      <c r="N331" s="505"/>
      <c r="O331" s="505"/>
      <c r="P331" s="619"/>
      <c r="Q331" s="505"/>
      <c r="R331" s="505"/>
      <c r="S331" s="505"/>
      <c r="T331" s="505"/>
      <c r="U331" s="505"/>
      <c r="V331" s="505"/>
      <c r="W331" s="505"/>
      <c r="X331" s="505"/>
      <c r="Y331" s="505"/>
      <c r="Z331" s="505"/>
      <c r="AA331" s="505"/>
      <c r="AB331" s="505"/>
      <c r="AC331" s="505"/>
    </row>
    <row r="332" spans="1:29">
      <c r="A332" s="505"/>
      <c r="B332" s="505"/>
      <c r="C332" s="505"/>
      <c r="D332" s="505"/>
      <c r="E332" s="505"/>
      <c r="F332" s="505"/>
      <c r="G332" s="505"/>
      <c r="H332" s="505"/>
      <c r="I332" s="505"/>
      <c r="J332" s="505"/>
      <c r="K332" s="517"/>
      <c r="L332" s="518"/>
      <c r="M332" s="505"/>
      <c r="N332" s="505"/>
      <c r="O332" s="505"/>
      <c r="P332" s="619"/>
      <c r="Q332" s="505"/>
      <c r="R332" s="505"/>
      <c r="S332" s="505"/>
      <c r="T332" s="505"/>
      <c r="U332" s="505"/>
      <c r="V332" s="505"/>
      <c r="W332" s="505"/>
      <c r="X332" s="505"/>
      <c r="Y332" s="505"/>
      <c r="Z332" s="505"/>
      <c r="AA332" s="505"/>
      <c r="AB332" s="505"/>
      <c r="AC332" s="505"/>
    </row>
    <row r="333" spans="1:29">
      <c r="A333" s="505"/>
      <c r="B333" s="505"/>
      <c r="C333" s="505"/>
      <c r="D333" s="505"/>
      <c r="E333" s="505"/>
      <c r="F333" s="505"/>
      <c r="G333" s="505"/>
      <c r="H333" s="505"/>
      <c r="I333" s="505"/>
      <c r="J333" s="505"/>
      <c r="K333" s="517"/>
      <c r="L333" s="518"/>
      <c r="M333" s="505"/>
      <c r="N333" s="505"/>
      <c r="O333" s="505"/>
      <c r="P333" s="619"/>
      <c r="Q333" s="505"/>
      <c r="R333" s="505"/>
      <c r="S333" s="505"/>
      <c r="T333" s="505"/>
      <c r="U333" s="505"/>
      <c r="V333" s="505"/>
      <c r="W333" s="505"/>
      <c r="X333" s="505"/>
      <c r="Y333" s="505"/>
      <c r="Z333" s="505"/>
      <c r="AA333" s="505"/>
      <c r="AB333" s="505"/>
      <c r="AC333" s="505"/>
    </row>
    <row r="334" spans="1:29">
      <c r="A334" s="505"/>
      <c r="B334" s="505"/>
      <c r="C334" s="505"/>
      <c r="D334" s="505"/>
      <c r="E334" s="505"/>
      <c r="F334" s="505"/>
      <c r="G334" s="505"/>
      <c r="H334" s="505"/>
      <c r="I334" s="505"/>
      <c r="J334" s="505"/>
      <c r="K334" s="517"/>
      <c r="L334" s="518"/>
      <c r="M334" s="505"/>
      <c r="N334" s="505"/>
      <c r="O334" s="505"/>
      <c r="P334" s="619"/>
      <c r="Q334" s="505"/>
      <c r="R334" s="505"/>
      <c r="S334" s="505"/>
      <c r="T334" s="505"/>
      <c r="U334" s="505"/>
      <c r="V334" s="505"/>
      <c r="W334" s="505"/>
      <c r="X334" s="505"/>
      <c r="Y334" s="505"/>
      <c r="Z334" s="505"/>
      <c r="AA334" s="505"/>
      <c r="AB334" s="505"/>
      <c r="AC334" s="505"/>
    </row>
    <row r="335" spans="1:29">
      <c r="A335" s="505"/>
      <c r="B335" s="505"/>
      <c r="C335" s="505"/>
      <c r="D335" s="505"/>
      <c r="E335" s="505"/>
      <c r="F335" s="505"/>
      <c r="G335" s="505"/>
      <c r="H335" s="505"/>
      <c r="I335" s="505"/>
      <c r="J335" s="505"/>
      <c r="K335" s="517"/>
      <c r="L335" s="518"/>
      <c r="M335" s="505"/>
      <c r="N335" s="505"/>
      <c r="O335" s="505"/>
      <c r="P335" s="619"/>
      <c r="Q335" s="505"/>
      <c r="R335" s="505"/>
      <c r="S335" s="505"/>
      <c r="T335" s="505"/>
      <c r="U335" s="505"/>
      <c r="V335" s="505"/>
      <c r="W335" s="505"/>
      <c r="X335" s="505"/>
      <c r="Y335" s="505"/>
      <c r="Z335" s="505"/>
      <c r="AA335" s="505"/>
      <c r="AB335" s="505"/>
      <c r="AC335" s="505"/>
    </row>
    <row r="336" spans="1:29">
      <c r="A336" s="505"/>
      <c r="B336" s="505"/>
      <c r="C336" s="505"/>
      <c r="D336" s="505"/>
      <c r="E336" s="505"/>
      <c r="F336" s="505"/>
      <c r="G336" s="505"/>
      <c r="H336" s="505"/>
      <c r="I336" s="505"/>
      <c r="J336" s="505"/>
      <c r="K336" s="517"/>
      <c r="L336" s="518"/>
      <c r="M336" s="505"/>
      <c r="N336" s="505"/>
      <c r="O336" s="505"/>
      <c r="P336" s="619"/>
      <c r="Q336" s="505"/>
      <c r="R336" s="505"/>
      <c r="S336" s="505"/>
      <c r="T336" s="505"/>
      <c r="U336" s="505"/>
      <c r="V336" s="505"/>
      <c r="W336" s="505"/>
      <c r="X336" s="505"/>
      <c r="Y336" s="505"/>
      <c r="Z336" s="505"/>
      <c r="AA336" s="505"/>
      <c r="AB336" s="505"/>
      <c r="AC336" s="505"/>
    </row>
    <row r="337" spans="1:29">
      <c r="A337" s="505"/>
      <c r="B337" s="505"/>
      <c r="C337" s="505"/>
      <c r="D337" s="505"/>
      <c r="E337" s="505"/>
      <c r="F337" s="505"/>
      <c r="G337" s="505"/>
      <c r="H337" s="505"/>
      <c r="I337" s="505"/>
      <c r="J337" s="505"/>
      <c r="K337" s="517"/>
      <c r="L337" s="518"/>
      <c r="M337" s="505"/>
      <c r="N337" s="505"/>
      <c r="O337" s="505"/>
      <c r="P337" s="619"/>
      <c r="Q337" s="505"/>
      <c r="R337" s="505"/>
      <c r="S337" s="505"/>
      <c r="T337" s="505"/>
      <c r="U337" s="505"/>
      <c r="V337" s="505"/>
      <c r="W337" s="505"/>
      <c r="X337" s="505"/>
      <c r="Y337" s="505"/>
      <c r="Z337" s="505"/>
      <c r="AA337" s="505"/>
      <c r="AB337" s="505"/>
      <c r="AC337" s="505"/>
    </row>
    <row r="338" spans="1:29">
      <c r="A338" s="505"/>
      <c r="B338" s="505"/>
      <c r="C338" s="505"/>
      <c r="D338" s="505"/>
      <c r="E338" s="505"/>
      <c r="F338" s="505"/>
      <c r="G338" s="505"/>
      <c r="H338" s="505"/>
      <c r="I338" s="505"/>
      <c r="J338" s="505"/>
      <c r="K338" s="517"/>
      <c r="L338" s="518"/>
      <c r="M338" s="505"/>
      <c r="N338" s="505"/>
      <c r="O338" s="505"/>
      <c r="P338" s="619"/>
      <c r="Q338" s="505"/>
      <c r="R338" s="505"/>
      <c r="S338" s="505"/>
      <c r="T338" s="505"/>
      <c r="U338" s="505"/>
      <c r="V338" s="505"/>
      <c r="W338" s="505"/>
      <c r="X338" s="505"/>
      <c r="Y338" s="505"/>
      <c r="Z338" s="505"/>
      <c r="AA338" s="505"/>
      <c r="AB338" s="505"/>
      <c r="AC338" s="505"/>
    </row>
    <row r="339" spans="1:29">
      <c r="A339" s="505"/>
      <c r="B339" s="505"/>
      <c r="C339" s="505"/>
      <c r="D339" s="505"/>
      <c r="E339" s="505"/>
      <c r="F339" s="505"/>
      <c r="G339" s="505"/>
      <c r="H339" s="505"/>
      <c r="I339" s="505"/>
      <c r="J339" s="505"/>
      <c r="K339" s="517"/>
      <c r="L339" s="518"/>
      <c r="M339" s="505"/>
      <c r="N339" s="505"/>
      <c r="O339" s="505"/>
      <c r="P339" s="619"/>
      <c r="Q339" s="505"/>
      <c r="R339" s="505"/>
      <c r="S339" s="505"/>
      <c r="T339" s="505"/>
      <c r="U339" s="505"/>
      <c r="V339" s="505"/>
      <c r="W339" s="505"/>
      <c r="X339" s="505"/>
      <c r="Y339" s="505"/>
      <c r="Z339" s="505"/>
      <c r="AA339" s="505"/>
      <c r="AB339" s="505"/>
      <c r="AC339" s="505"/>
    </row>
    <row r="340" spans="1:29">
      <c r="A340" s="505"/>
      <c r="B340" s="505"/>
      <c r="C340" s="505"/>
      <c r="D340" s="505"/>
      <c r="E340" s="505"/>
      <c r="F340" s="505"/>
      <c r="G340" s="505"/>
      <c r="H340" s="505"/>
      <c r="I340" s="505"/>
      <c r="J340" s="505"/>
      <c r="K340" s="517"/>
      <c r="L340" s="518"/>
      <c r="M340" s="505"/>
      <c r="N340" s="505"/>
      <c r="O340" s="505"/>
      <c r="P340" s="619"/>
      <c r="Q340" s="505"/>
      <c r="R340" s="505"/>
      <c r="S340" s="505"/>
      <c r="T340" s="505"/>
      <c r="U340" s="505"/>
      <c r="V340" s="505"/>
      <c r="W340" s="505"/>
      <c r="X340" s="505"/>
      <c r="Y340" s="505"/>
      <c r="Z340" s="505"/>
      <c r="AA340" s="505"/>
      <c r="AB340" s="505"/>
      <c r="AC340" s="505"/>
    </row>
    <row r="341" spans="1:29">
      <c r="A341" s="505"/>
      <c r="B341" s="505"/>
      <c r="C341" s="505"/>
      <c r="D341" s="505"/>
      <c r="E341" s="505"/>
      <c r="F341" s="505"/>
      <c r="G341" s="505"/>
      <c r="H341" s="505"/>
      <c r="I341" s="505"/>
      <c r="J341" s="505"/>
      <c r="K341" s="517"/>
      <c r="L341" s="518"/>
      <c r="M341" s="505"/>
      <c r="N341" s="505"/>
      <c r="O341" s="505"/>
      <c r="P341" s="619"/>
      <c r="Q341" s="505"/>
      <c r="R341" s="505"/>
      <c r="S341" s="505"/>
      <c r="T341" s="505"/>
      <c r="U341" s="505"/>
      <c r="V341" s="505"/>
      <c r="W341" s="505"/>
      <c r="X341" s="505"/>
      <c r="Y341" s="505"/>
      <c r="Z341" s="505"/>
      <c r="AA341" s="505"/>
      <c r="AB341" s="505"/>
      <c r="AC341" s="505"/>
    </row>
    <row r="342" spans="1:29">
      <c r="A342" s="505"/>
      <c r="B342" s="505"/>
      <c r="C342" s="505"/>
      <c r="D342" s="505"/>
      <c r="E342" s="505"/>
      <c r="F342" s="505"/>
      <c r="G342" s="505"/>
      <c r="H342" s="505"/>
      <c r="I342" s="505"/>
      <c r="J342" s="505"/>
      <c r="K342" s="517"/>
      <c r="L342" s="518"/>
      <c r="M342" s="505"/>
      <c r="N342" s="505"/>
      <c r="O342" s="505"/>
      <c r="P342" s="619"/>
      <c r="Q342" s="505"/>
      <c r="R342" s="505"/>
      <c r="S342" s="505"/>
      <c r="T342" s="505"/>
      <c r="U342" s="505"/>
      <c r="V342" s="505"/>
      <c r="W342" s="505"/>
      <c r="X342" s="505"/>
      <c r="Y342" s="505"/>
      <c r="Z342" s="505"/>
      <c r="AA342" s="505"/>
      <c r="AB342" s="505"/>
      <c r="AC342" s="505"/>
    </row>
    <row r="343" spans="1:29">
      <c r="A343" s="505"/>
      <c r="B343" s="505"/>
      <c r="C343" s="505"/>
      <c r="D343" s="505"/>
      <c r="E343" s="505"/>
      <c r="F343" s="505"/>
      <c r="G343" s="505"/>
      <c r="H343" s="505"/>
      <c r="I343" s="505"/>
      <c r="J343" s="505"/>
      <c r="K343" s="517"/>
      <c r="L343" s="518"/>
      <c r="M343" s="505"/>
      <c r="N343" s="505"/>
      <c r="O343" s="505"/>
      <c r="P343" s="619"/>
      <c r="Q343" s="505"/>
      <c r="R343" s="505"/>
      <c r="S343" s="505"/>
      <c r="T343" s="505"/>
      <c r="U343" s="505"/>
      <c r="V343" s="505"/>
      <c r="W343" s="505"/>
      <c r="X343" s="505"/>
      <c r="Y343" s="505"/>
      <c r="Z343" s="505"/>
      <c r="AA343" s="505"/>
      <c r="AB343" s="505"/>
      <c r="AC343" s="505"/>
    </row>
    <row r="344" spans="1:29">
      <c r="A344" s="505"/>
      <c r="B344" s="505"/>
      <c r="C344" s="505"/>
      <c r="D344" s="505"/>
      <c r="E344" s="505"/>
      <c r="F344" s="505"/>
      <c r="G344" s="505"/>
      <c r="H344" s="505"/>
      <c r="I344" s="505"/>
      <c r="J344" s="505"/>
      <c r="K344" s="517"/>
      <c r="L344" s="518"/>
      <c r="M344" s="505"/>
      <c r="N344" s="505"/>
      <c r="O344" s="505"/>
      <c r="P344" s="619"/>
      <c r="Q344" s="505"/>
      <c r="R344" s="505"/>
      <c r="S344" s="505"/>
      <c r="T344" s="505"/>
      <c r="U344" s="505"/>
      <c r="V344" s="505"/>
      <c r="W344" s="505"/>
      <c r="X344" s="505"/>
      <c r="Y344" s="505"/>
      <c r="Z344" s="505"/>
      <c r="AA344" s="505"/>
      <c r="AB344" s="505"/>
      <c r="AC344" s="505"/>
    </row>
    <row r="345" spans="1:29">
      <c r="A345" s="505"/>
      <c r="B345" s="505"/>
      <c r="C345" s="505"/>
      <c r="D345" s="505"/>
      <c r="E345" s="505"/>
      <c r="F345" s="505"/>
      <c r="G345" s="505"/>
      <c r="H345" s="505"/>
      <c r="I345" s="505"/>
      <c r="J345" s="505"/>
      <c r="K345" s="517"/>
      <c r="L345" s="518"/>
      <c r="M345" s="505"/>
      <c r="N345" s="505"/>
      <c r="O345" s="505"/>
      <c r="P345" s="619"/>
      <c r="Q345" s="505"/>
      <c r="R345" s="505"/>
      <c r="S345" s="505"/>
      <c r="T345" s="505"/>
      <c r="U345" s="505"/>
      <c r="V345" s="505"/>
      <c r="W345" s="505"/>
      <c r="X345" s="505"/>
      <c r="Y345" s="505"/>
      <c r="Z345" s="505"/>
      <c r="AA345" s="505"/>
      <c r="AB345" s="505"/>
      <c r="AC345" s="505"/>
    </row>
    <row r="346" spans="1:29">
      <c r="A346" s="505"/>
      <c r="B346" s="505"/>
      <c r="C346" s="505"/>
      <c r="D346" s="505"/>
      <c r="E346" s="505"/>
      <c r="F346" s="505"/>
      <c r="G346" s="505"/>
      <c r="H346" s="505"/>
      <c r="I346" s="505"/>
      <c r="J346" s="505"/>
      <c r="K346" s="517"/>
      <c r="L346" s="518"/>
      <c r="M346" s="505"/>
      <c r="N346" s="505"/>
      <c r="O346" s="505"/>
      <c r="P346" s="619"/>
      <c r="Q346" s="505"/>
      <c r="R346" s="505"/>
      <c r="S346" s="505"/>
      <c r="T346" s="505"/>
      <c r="U346" s="505"/>
      <c r="V346" s="505"/>
      <c r="W346" s="505"/>
      <c r="X346" s="505"/>
      <c r="Y346" s="505"/>
      <c r="Z346" s="505"/>
      <c r="AA346" s="505"/>
      <c r="AB346" s="505"/>
      <c r="AC346" s="505"/>
    </row>
    <row r="347" spans="1:29">
      <c r="A347" s="505"/>
      <c r="B347" s="505"/>
      <c r="C347" s="505"/>
      <c r="D347" s="505"/>
      <c r="E347" s="505"/>
      <c r="F347" s="505"/>
      <c r="G347" s="505"/>
      <c r="H347" s="505"/>
      <c r="I347" s="505"/>
      <c r="J347" s="505"/>
      <c r="K347" s="517"/>
      <c r="L347" s="518"/>
      <c r="M347" s="505"/>
      <c r="N347" s="505"/>
      <c r="O347" s="505"/>
      <c r="P347" s="619"/>
      <c r="Q347" s="505"/>
      <c r="R347" s="505"/>
      <c r="S347" s="505"/>
      <c r="T347" s="505"/>
      <c r="U347" s="505"/>
      <c r="V347" s="505"/>
      <c r="W347" s="505"/>
      <c r="X347" s="505"/>
      <c r="Y347" s="505"/>
      <c r="Z347" s="505"/>
      <c r="AA347" s="505"/>
      <c r="AB347" s="505"/>
      <c r="AC347" s="505"/>
    </row>
    <row r="348" spans="1:29">
      <c r="A348" s="505"/>
      <c r="B348" s="505"/>
      <c r="C348" s="505"/>
      <c r="D348" s="505"/>
      <c r="E348" s="505"/>
      <c r="F348" s="505"/>
      <c r="G348" s="505"/>
      <c r="H348" s="505"/>
      <c r="I348" s="505"/>
      <c r="J348" s="505"/>
      <c r="K348" s="517"/>
      <c r="L348" s="518"/>
      <c r="M348" s="505"/>
      <c r="N348" s="505"/>
      <c r="O348" s="505"/>
      <c r="P348" s="619"/>
      <c r="Q348" s="505"/>
      <c r="R348" s="505"/>
      <c r="S348" s="505"/>
      <c r="T348" s="505"/>
      <c r="U348" s="505"/>
      <c r="V348" s="505"/>
      <c r="W348" s="505"/>
      <c r="X348" s="505"/>
      <c r="Y348" s="505"/>
      <c r="Z348" s="505"/>
      <c r="AA348" s="505"/>
      <c r="AB348" s="505"/>
      <c r="AC348" s="505"/>
    </row>
    <row r="349" spans="1:29">
      <c r="A349" s="505"/>
      <c r="B349" s="505"/>
      <c r="C349" s="505"/>
      <c r="D349" s="505"/>
      <c r="E349" s="505"/>
      <c r="F349" s="505"/>
      <c r="G349" s="505"/>
      <c r="H349" s="505"/>
      <c r="I349" s="505"/>
      <c r="J349" s="505"/>
      <c r="K349" s="517"/>
      <c r="L349" s="518"/>
      <c r="M349" s="505"/>
      <c r="N349" s="505"/>
      <c r="O349" s="505"/>
      <c r="P349" s="619"/>
      <c r="Q349" s="505"/>
      <c r="R349" s="505"/>
      <c r="S349" s="505"/>
      <c r="T349" s="505"/>
      <c r="U349" s="505"/>
      <c r="V349" s="505"/>
      <c r="W349" s="505"/>
      <c r="X349" s="505"/>
      <c r="Y349" s="505"/>
      <c r="Z349" s="505"/>
      <c r="AA349" s="505"/>
      <c r="AB349" s="505"/>
      <c r="AC349" s="505"/>
    </row>
    <row r="350" spans="1:29">
      <c r="A350" s="505"/>
      <c r="B350" s="505"/>
      <c r="C350" s="505"/>
      <c r="D350" s="505"/>
      <c r="E350" s="505"/>
      <c r="F350" s="505"/>
      <c r="G350" s="505"/>
      <c r="H350" s="505"/>
      <c r="I350" s="505"/>
      <c r="J350" s="505"/>
      <c r="K350" s="517"/>
      <c r="L350" s="518"/>
      <c r="M350" s="505"/>
      <c r="N350" s="505"/>
      <c r="O350" s="505"/>
      <c r="P350" s="619"/>
      <c r="Q350" s="505"/>
      <c r="R350" s="505"/>
      <c r="S350" s="505"/>
      <c r="T350" s="505"/>
      <c r="U350" s="505"/>
      <c r="V350" s="505"/>
      <c r="W350" s="505"/>
      <c r="X350" s="505"/>
      <c r="Y350" s="505"/>
      <c r="Z350" s="505"/>
      <c r="AA350" s="505"/>
      <c r="AB350" s="505"/>
      <c r="AC350" s="505"/>
    </row>
    <row r="351" spans="1:29">
      <c r="A351" s="505"/>
      <c r="B351" s="505"/>
      <c r="C351" s="505"/>
      <c r="D351" s="505"/>
      <c r="E351" s="505"/>
      <c r="F351" s="505"/>
      <c r="G351" s="505"/>
      <c r="H351" s="505"/>
      <c r="I351" s="505"/>
      <c r="J351" s="505"/>
      <c r="K351" s="517"/>
      <c r="L351" s="518"/>
      <c r="M351" s="505"/>
      <c r="N351" s="505"/>
      <c r="O351" s="505"/>
      <c r="P351" s="619"/>
      <c r="Q351" s="505"/>
      <c r="R351" s="505"/>
      <c r="S351" s="505"/>
      <c r="T351" s="505"/>
      <c r="U351" s="505"/>
      <c r="V351" s="505"/>
      <c r="W351" s="505"/>
      <c r="X351" s="505"/>
      <c r="Y351" s="505"/>
      <c r="Z351" s="505"/>
      <c r="AA351" s="505"/>
      <c r="AB351" s="505"/>
      <c r="AC351" s="505"/>
    </row>
    <row r="352" spans="1:29">
      <c r="A352" s="505"/>
      <c r="B352" s="505"/>
      <c r="C352" s="505"/>
      <c r="D352" s="505"/>
      <c r="E352" s="505"/>
      <c r="F352" s="505"/>
      <c r="G352" s="505"/>
      <c r="H352" s="505"/>
      <c r="I352" s="505"/>
      <c r="J352" s="505"/>
      <c r="K352" s="517"/>
      <c r="L352" s="518"/>
      <c r="M352" s="505"/>
      <c r="N352" s="505"/>
      <c r="O352" s="505"/>
      <c r="P352" s="619"/>
      <c r="Q352" s="505"/>
      <c r="R352" s="505"/>
      <c r="S352" s="505"/>
      <c r="T352" s="505"/>
      <c r="U352" s="505"/>
      <c r="V352" s="505"/>
      <c r="W352" s="505"/>
      <c r="X352" s="505"/>
      <c r="Y352" s="505"/>
      <c r="Z352" s="505"/>
      <c r="AA352" s="505"/>
      <c r="AB352" s="505"/>
      <c r="AC352" s="505"/>
    </row>
    <row r="353" spans="1:29">
      <c r="A353" s="505"/>
      <c r="B353" s="505"/>
      <c r="C353" s="505"/>
      <c r="D353" s="505"/>
      <c r="E353" s="505"/>
      <c r="F353" s="505"/>
      <c r="G353" s="505"/>
      <c r="H353" s="505"/>
      <c r="I353" s="505"/>
      <c r="J353" s="505"/>
      <c r="K353" s="517"/>
      <c r="L353" s="518"/>
      <c r="M353" s="505"/>
      <c r="N353" s="505"/>
      <c r="O353" s="505"/>
      <c r="P353" s="619"/>
      <c r="Q353" s="505"/>
      <c r="R353" s="505"/>
      <c r="S353" s="505"/>
      <c r="T353" s="505"/>
      <c r="U353" s="505"/>
      <c r="V353" s="505"/>
      <c r="W353" s="505"/>
      <c r="X353" s="505"/>
      <c r="Y353" s="505"/>
      <c r="Z353" s="505"/>
      <c r="AA353" s="505"/>
      <c r="AB353" s="505"/>
      <c r="AC353" s="505"/>
    </row>
    <row r="354" spans="1:29">
      <c r="A354" s="505"/>
      <c r="B354" s="505"/>
      <c r="C354" s="505"/>
      <c r="D354" s="505"/>
      <c r="E354" s="505"/>
      <c r="F354" s="505"/>
      <c r="G354" s="505"/>
      <c r="H354" s="505"/>
      <c r="I354" s="505"/>
      <c r="J354" s="505"/>
      <c r="K354" s="517"/>
      <c r="L354" s="518"/>
      <c r="M354" s="505"/>
      <c r="N354" s="505"/>
      <c r="O354" s="505"/>
      <c r="P354" s="619"/>
      <c r="Q354" s="505"/>
      <c r="R354" s="505"/>
      <c r="S354" s="505"/>
      <c r="T354" s="505"/>
      <c r="U354" s="505"/>
      <c r="V354" s="505"/>
      <c r="W354" s="505"/>
      <c r="X354" s="505"/>
      <c r="Y354" s="505"/>
      <c r="Z354" s="505"/>
      <c r="AA354" s="505"/>
      <c r="AB354" s="505"/>
      <c r="AC354" s="505"/>
    </row>
    <row r="355" spans="1:29">
      <c r="A355" s="505"/>
      <c r="B355" s="505"/>
      <c r="C355" s="505"/>
      <c r="D355" s="505"/>
      <c r="E355" s="505"/>
      <c r="F355" s="505"/>
      <c r="G355" s="505"/>
      <c r="H355" s="505"/>
      <c r="I355" s="505"/>
      <c r="J355" s="505"/>
      <c r="K355" s="517"/>
      <c r="L355" s="518"/>
      <c r="M355" s="505"/>
      <c r="N355" s="505"/>
      <c r="O355" s="505"/>
      <c r="P355" s="619"/>
      <c r="Q355" s="505"/>
      <c r="R355" s="505"/>
      <c r="S355" s="505"/>
      <c r="T355" s="505"/>
      <c r="U355" s="505"/>
      <c r="V355" s="505"/>
      <c r="W355" s="505"/>
      <c r="X355" s="505"/>
      <c r="Y355" s="505"/>
      <c r="Z355" s="505"/>
      <c r="AA355" s="505"/>
      <c r="AB355" s="505"/>
      <c r="AC355" s="505"/>
    </row>
    <row r="356" spans="1:29">
      <c r="A356" s="505"/>
      <c r="B356" s="505"/>
      <c r="C356" s="505"/>
      <c r="D356" s="505"/>
      <c r="E356" s="505"/>
      <c r="F356" s="505"/>
      <c r="G356" s="505"/>
      <c r="H356" s="505"/>
      <c r="I356" s="505"/>
      <c r="J356" s="505"/>
      <c r="K356" s="517"/>
      <c r="L356" s="518"/>
      <c r="M356" s="505"/>
      <c r="N356" s="505"/>
      <c r="O356" s="505"/>
      <c r="P356" s="619"/>
      <c r="Q356" s="505"/>
      <c r="R356" s="505"/>
      <c r="S356" s="505"/>
      <c r="T356" s="505"/>
      <c r="U356" s="505"/>
      <c r="V356" s="505"/>
      <c r="W356" s="505"/>
      <c r="X356" s="505"/>
      <c r="Y356" s="505"/>
      <c r="Z356" s="505"/>
      <c r="AA356" s="505"/>
      <c r="AB356" s="505"/>
      <c r="AC356" s="505"/>
    </row>
    <row r="357" spans="1:29">
      <c r="A357" s="505"/>
      <c r="B357" s="505"/>
      <c r="C357" s="505"/>
      <c r="D357" s="505"/>
      <c r="E357" s="505"/>
      <c r="F357" s="505"/>
      <c r="G357" s="505"/>
      <c r="H357" s="505"/>
      <c r="I357" s="505"/>
      <c r="J357" s="505"/>
      <c r="K357" s="517"/>
      <c r="L357" s="518"/>
      <c r="M357" s="505"/>
      <c r="N357" s="505"/>
      <c r="O357" s="505"/>
      <c r="P357" s="619"/>
      <c r="Q357" s="505"/>
      <c r="R357" s="505"/>
      <c r="S357" s="505"/>
      <c r="T357" s="505"/>
      <c r="U357" s="505"/>
      <c r="V357" s="505"/>
      <c r="W357" s="505"/>
      <c r="X357" s="505"/>
      <c r="Y357" s="505"/>
      <c r="Z357" s="505"/>
      <c r="AA357" s="505"/>
      <c r="AB357" s="505"/>
      <c r="AC357" s="505"/>
    </row>
    <row r="358" spans="1:29">
      <c r="A358" s="505"/>
      <c r="B358" s="505"/>
      <c r="C358" s="505"/>
      <c r="D358" s="505"/>
      <c r="E358" s="505"/>
      <c r="F358" s="505"/>
      <c r="G358" s="505"/>
      <c r="H358" s="505"/>
      <c r="I358" s="505"/>
      <c r="J358" s="505"/>
      <c r="K358" s="517"/>
      <c r="L358" s="518"/>
      <c r="M358" s="505"/>
      <c r="N358" s="505"/>
      <c r="O358" s="505"/>
      <c r="P358" s="619"/>
      <c r="Q358" s="505"/>
      <c r="R358" s="505"/>
      <c r="S358" s="505"/>
      <c r="T358" s="505"/>
      <c r="U358" s="505"/>
      <c r="V358" s="505"/>
      <c r="W358" s="505"/>
      <c r="X358" s="505"/>
      <c r="Y358" s="505"/>
      <c r="Z358" s="505"/>
      <c r="AA358" s="505"/>
      <c r="AB358" s="505"/>
      <c r="AC358" s="505"/>
    </row>
    <row r="359" spans="1:29">
      <c r="A359" s="505"/>
      <c r="B359" s="505"/>
      <c r="C359" s="505"/>
      <c r="D359" s="505"/>
      <c r="E359" s="505"/>
      <c r="F359" s="505"/>
      <c r="G359" s="505"/>
      <c r="H359" s="505"/>
      <c r="I359" s="505"/>
      <c r="J359" s="505"/>
      <c r="K359" s="517"/>
      <c r="L359" s="518"/>
      <c r="M359" s="505"/>
      <c r="N359" s="505"/>
      <c r="O359" s="505"/>
      <c r="P359" s="619"/>
      <c r="Q359" s="505"/>
      <c r="R359" s="505"/>
      <c r="S359" s="505"/>
      <c r="T359" s="505"/>
      <c r="U359" s="505"/>
      <c r="V359" s="505"/>
      <c r="W359" s="505"/>
      <c r="X359" s="505"/>
      <c r="Y359" s="505"/>
      <c r="Z359" s="505"/>
      <c r="AA359" s="505"/>
      <c r="AB359" s="505"/>
      <c r="AC359" s="505"/>
    </row>
    <row r="360" spans="1:29">
      <c r="A360" s="505"/>
      <c r="B360" s="505"/>
      <c r="C360" s="505"/>
      <c r="D360" s="505"/>
      <c r="E360" s="505"/>
      <c r="F360" s="505"/>
      <c r="G360" s="505"/>
      <c r="H360" s="505"/>
      <c r="I360" s="505"/>
      <c r="J360" s="505"/>
      <c r="K360" s="517"/>
      <c r="L360" s="518"/>
      <c r="M360" s="505"/>
      <c r="N360" s="505"/>
      <c r="O360" s="505"/>
      <c r="P360" s="619"/>
      <c r="Q360" s="505"/>
      <c r="R360" s="505"/>
      <c r="S360" s="505"/>
      <c r="T360" s="505"/>
      <c r="U360" s="505"/>
      <c r="V360" s="505"/>
      <c r="W360" s="505"/>
      <c r="X360" s="505"/>
      <c r="Y360" s="505"/>
      <c r="Z360" s="505"/>
      <c r="AA360" s="505"/>
      <c r="AB360" s="505"/>
      <c r="AC360" s="505"/>
    </row>
    <row r="361" spans="1:29">
      <c r="A361" s="505"/>
      <c r="B361" s="505"/>
      <c r="C361" s="505"/>
      <c r="D361" s="505"/>
      <c r="E361" s="505"/>
      <c r="F361" s="505"/>
      <c r="G361" s="505"/>
      <c r="H361" s="505"/>
      <c r="I361" s="505"/>
      <c r="J361" s="505"/>
      <c r="K361" s="517"/>
      <c r="L361" s="518"/>
      <c r="M361" s="505"/>
      <c r="N361" s="505"/>
      <c r="O361" s="505"/>
      <c r="P361" s="619"/>
      <c r="Q361" s="505"/>
      <c r="R361" s="505"/>
      <c r="S361" s="505"/>
      <c r="T361" s="505"/>
      <c r="U361" s="505"/>
      <c r="V361" s="505"/>
      <c r="W361" s="505"/>
      <c r="X361" s="505"/>
      <c r="Y361" s="505"/>
      <c r="Z361" s="505"/>
      <c r="AA361" s="505"/>
      <c r="AB361" s="505"/>
      <c r="AC361" s="505"/>
    </row>
    <row r="362" spans="1:29">
      <c r="A362" s="505"/>
      <c r="B362" s="505"/>
      <c r="C362" s="505"/>
      <c r="D362" s="505"/>
      <c r="E362" s="505"/>
      <c r="F362" s="505"/>
      <c r="G362" s="505"/>
      <c r="H362" s="505"/>
      <c r="I362" s="505"/>
      <c r="J362" s="505"/>
      <c r="K362" s="517"/>
      <c r="L362" s="518"/>
      <c r="M362" s="505"/>
      <c r="N362" s="505"/>
      <c r="O362" s="505"/>
      <c r="P362" s="619"/>
      <c r="Q362" s="505"/>
      <c r="R362" s="505"/>
      <c r="S362" s="505"/>
      <c r="T362" s="505"/>
      <c r="U362" s="505"/>
      <c r="V362" s="505"/>
      <c r="W362" s="505"/>
      <c r="X362" s="505"/>
      <c r="Y362" s="505"/>
      <c r="Z362" s="505"/>
      <c r="AA362" s="505"/>
      <c r="AB362" s="505"/>
      <c r="AC362" s="505"/>
    </row>
    <row r="363" spans="1:29">
      <c r="A363" s="505"/>
      <c r="B363" s="505"/>
      <c r="C363" s="505"/>
      <c r="D363" s="505"/>
      <c r="E363" s="505"/>
      <c r="F363" s="505"/>
      <c r="G363" s="505"/>
      <c r="H363" s="505"/>
      <c r="I363" s="505"/>
      <c r="J363" s="505"/>
      <c r="K363" s="517"/>
      <c r="L363" s="518"/>
      <c r="M363" s="505"/>
      <c r="N363" s="505"/>
      <c r="O363" s="505"/>
      <c r="P363" s="619"/>
      <c r="Q363" s="505"/>
      <c r="R363" s="505"/>
      <c r="S363" s="505"/>
      <c r="T363" s="505"/>
      <c r="U363" s="505"/>
      <c r="V363" s="505"/>
      <c r="W363" s="505"/>
      <c r="X363" s="505"/>
      <c r="Y363" s="505"/>
      <c r="Z363" s="505"/>
      <c r="AA363" s="505"/>
      <c r="AB363" s="505"/>
      <c r="AC363" s="505"/>
    </row>
    <row r="364" spans="1:29">
      <c r="A364" s="505"/>
      <c r="B364" s="505"/>
      <c r="C364" s="505"/>
      <c r="D364" s="505"/>
      <c r="E364" s="505"/>
      <c r="F364" s="505"/>
      <c r="G364" s="505"/>
      <c r="H364" s="505"/>
      <c r="I364" s="505"/>
      <c r="J364" s="505"/>
      <c r="K364" s="517"/>
      <c r="L364" s="518"/>
      <c r="M364" s="505"/>
      <c r="N364" s="505"/>
      <c r="O364" s="505"/>
      <c r="P364" s="619"/>
      <c r="Q364" s="505"/>
      <c r="R364" s="505"/>
      <c r="S364" s="505"/>
      <c r="T364" s="505"/>
      <c r="U364" s="505"/>
      <c r="V364" s="505"/>
      <c r="W364" s="505"/>
      <c r="X364" s="505"/>
      <c r="Y364" s="505"/>
      <c r="Z364" s="505"/>
      <c r="AA364" s="505"/>
      <c r="AB364" s="505"/>
      <c r="AC364" s="505"/>
    </row>
    <row r="365" spans="1:29">
      <c r="A365" s="505"/>
      <c r="B365" s="505"/>
      <c r="C365" s="505"/>
      <c r="D365" s="505"/>
      <c r="E365" s="505"/>
      <c r="F365" s="505"/>
      <c r="G365" s="505"/>
      <c r="H365" s="505"/>
      <c r="I365" s="505"/>
      <c r="J365" s="505"/>
      <c r="K365" s="517"/>
      <c r="L365" s="518"/>
      <c r="M365" s="505"/>
      <c r="N365" s="505"/>
      <c r="O365" s="505"/>
      <c r="P365" s="619"/>
      <c r="Q365" s="505"/>
      <c r="R365" s="505"/>
      <c r="S365" s="505"/>
      <c r="T365" s="505"/>
      <c r="U365" s="505"/>
      <c r="V365" s="505"/>
      <c r="W365" s="505"/>
      <c r="X365" s="505"/>
      <c r="Y365" s="505"/>
      <c r="Z365" s="505"/>
      <c r="AA365" s="505"/>
      <c r="AB365" s="505"/>
      <c r="AC365" s="505"/>
    </row>
    <row r="366" spans="1:29">
      <c r="A366" s="505"/>
      <c r="B366" s="505"/>
      <c r="C366" s="505"/>
      <c r="D366" s="505"/>
      <c r="E366" s="505"/>
      <c r="F366" s="505"/>
      <c r="G366" s="505"/>
      <c r="H366" s="505"/>
      <c r="I366" s="505"/>
      <c r="J366" s="505"/>
      <c r="K366" s="517"/>
      <c r="L366" s="518"/>
      <c r="M366" s="505"/>
      <c r="N366" s="505"/>
      <c r="O366" s="505"/>
      <c r="P366" s="619"/>
      <c r="Q366" s="505"/>
      <c r="R366" s="505"/>
      <c r="S366" s="505"/>
      <c r="T366" s="505"/>
      <c r="U366" s="505"/>
      <c r="V366" s="505"/>
      <c r="W366" s="505"/>
      <c r="X366" s="505"/>
      <c r="Y366" s="505"/>
      <c r="Z366" s="505"/>
      <c r="AA366" s="505"/>
      <c r="AB366" s="505"/>
      <c r="AC366" s="505"/>
    </row>
    <row r="367" spans="1:29">
      <c r="A367" s="505"/>
      <c r="B367" s="505"/>
      <c r="C367" s="505"/>
      <c r="D367" s="505"/>
      <c r="E367" s="505"/>
      <c r="F367" s="505"/>
      <c r="G367" s="505"/>
      <c r="H367" s="505"/>
      <c r="I367" s="505"/>
      <c r="J367" s="505"/>
      <c r="K367" s="517"/>
      <c r="L367" s="518"/>
      <c r="M367" s="505"/>
      <c r="N367" s="505"/>
      <c r="O367" s="505"/>
      <c r="P367" s="619"/>
      <c r="Q367" s="505"/>
      <c r="R367" s="505"/>
      <c r="S367" s="505"/>
      <c r="T367" s="505"/>
      <c r="U367" s="505"/>
      <c r="V367" s="505"/>
      <c r="W367" s="505"/>
      <c r="X367" s="505"/>
      <c r="Y367" s="505"/>
      <c r="Z367" s="505"/>
      <c r="AA367" s="505"/>
      <c r="AB367" s="505"/>
      <c r="AC367" s="505"/>
    </row>
    <row r="368" spans="1:29">
      <c r="A368" s="505"/>
      <c r="B368" s="505"/>
      <c r="C368" s="505"/>
      <c r="D368" s="505"/>
      <c r="E368" s="505"/>
      <c r="F368" s="505"/>
      <c r="G368" s="505"/>
      <c r="H368" s="505"/>
      <c r="I368" s="505"/>
      <c r="J368" s="505"/>
      <c r="K368" s="517"/>
      <c r="L368" s="518"/>
      <c r="M368" s="505"/>
      <c r="N368" s="505"/>
      <c r="O368" s="505"/>
      <c r="P368" s="619"/>
      <c r="Q368" s="505"/>
      <c r="R368" s="505"/>
      <c r="S368" s="505"/>
      <c r="T368" s="505"/>
      <c r="U368" s="505"/>
      <c r="V368" s="505"/>
      <c r="W368" s="505"/>
      <c r="X368" s="505"/>
      <c r="Y368" s="505"/>
      <c r="Z368" s="505"/>
      <c r="AA368" s="505"/>
      <c r="AB368" s="505"/>
      <c r="AC368" s="505"/>
    </row>
    <row r="369" spans="1:29">
      <c r="A369" s="505"/>
      <c r="B369" s="505"/>
      <c r="C369" s="505"/>
      <c r="D369" s="505"/>
      <c r="E369" s="505"/>
      <c r="F369" s="505"/>
      <c r="G369" s="505"/>
      <c r="H369" s="505"/>
      <c r="I369" s="505"/>
      <c r="J369" s="505"/>
      <c r="K369" s="517"/>
      <c r="L369" s="518"/>
      <c r="M369" s="505"/>
      <c r="N369" s="505"/>
      <c r="O369" s="505"/>
      <c r="P369" s="619"/>
      <c r="Q369" s="505"/>
      <c r="R369" s="505"/>
      <c r="S369" s="505"/>
      <c r="T369" s="505"/>
      <c r="U369" s="505"/>
      <c r="V369" s="505"/>
      <c r="W369" s="505"/>
      <c r="X369" s="505"/>
      <c r="Y369" s="505"/>
      <c r="Z369" s="505"/>
      <c r="AA369" s="505"/>
      <c r="AB369" s="505"/>
      <c r="AC369" s="505"/>
    </row>
    <row r="370" spans="1:29">
      <c r="A370" s="505"/>
      <c r="B370" s="505"/>
      <c r="C370" s="505"/>
      <c r="D370" s="505"/>
      <c r="E370" s="505"/>
      <c r="F370" s="505"/>
      <c r="G370" s="505"/>
      <c r="H370" s="505"/>
      <c r="I370" s="505"/>
      <c r="J370" s="505"/>
      <c r="K370" s="517"/>
      <c r="L370" s="518"/>
      <c r="M370" s="505"/>
      <c r="N370" s="505"/>
      <c r="O370" s="505"/>
      <c r="P370" s="619"/>
      <c r="Q370" s="505"/>
      <c r="R370" s="505"/>
      <c r="S370" s="505"/>
      <c r="T370" s="505"/>
      <c r="U370" s="505"/>
      <c r="V370" s="505"/>
      <c r="W370" s="505"/>
      <c r="X370" s="505"/>
      <c r="Y370" s="505"/>
      <c r="Z370" s="505"/>
      <c r="AA370" s="505"/>
      <c r="AB370" s="505"/>
      <c r="AC370" s="505"/>
    </row>
    <row r="371" spans="1:29">
      <c r="A371" s="505"/>
      <c r="B371" s="505"/>
      <c r="C371" s="505"/>
      <c r="D371" s="505"/>
      <c r="E371" s="505"/>
      <c r="F371" s="505"/>
      <c r="G371" s="505"/>
      <c r="H371" s="505"/>
      <c r="I371" s="505"/>
      <c r="J371" s="505"/>
      <c r="K371" s="517"/>
      <c r="L371" s="518"/>
      <c r="M371" s="505"/>
      <c r="N371" s="505"/>
      <c r="O371" s="505"/>
      <c r="P371" s="619"/>
      <c r="Q371" s="505"/>
      <c r="R371" s="505"/>
      <c r="S371" s="505"/>
      <c r="T371" s="505"/>
      <c r="U371" s="505"/>
      <c r="V371" s="505"/>
      <c r="W371" s="505"/>
      <c r="X371" s="505"/>
      <c r="Y371" s="505"/>
      <c r="Z371" s="505"/>
      <c r="AA371" s="505"/>
      <c r="AB371" s="505"/>
      <c r="AC371" s="505"/>
    </row>
    <row r="372" spans="1:29">
      <c r="A372" s="505"/>
      <c r="B372" s="505"/>
      <c r="C372" s="505"/>
      <c r="D372" s="505"/>
      <c r="E372" s="505"/>
      <c r="F372" s="505"/>
      <c r="G372" s="505"/>
      <c r="H372" s="505"/>
      <c r="I372" s="505"/>
      <c r="J372" s="505"/>
      <c r="K372" s="517"/>
      <c r="L372" s="518"/>
      <c r="M372" s="505"/>
      <c r="N372" s="505"/>
      <c r="O372" s="505"/>
      <c r="P372" s="619"/>
      <c r="Q372" s="505"/>
      <c r="R372" s="505"/>
      <c r="S372" s="505"/>
      <c r="T372" s="505"/>
      <c r="U372" s="505"/>
      <c r="V372" s="505"/>
      <c r="W372" s="505"/>
      <c r="X372" s="505"/>
      <c r="Y372" s="505"/>
      <c r="Z372" s="505"/>
      <c r="AA372" s="505"/>
      <c r="AB372" s="505"/>
      <c r="AC372" s="505"/>
    </row>
    <row r="373" spans="1:29">
      <c r="A373" s="505"/>
      <c r="B373" s="505"/>
      <c r="C373" s="505"/>
      <c r="D373" s="505"/>
      <c r="E373" s="505"/>
      <c r="F373" s="505"/>
      <c r="G373" s="505"/>
      <c r="H373" s="505"/>
      <c r="I373" s="505"/>
      <c r="J373" s="505"/>
      <c r="K373" s="517"/>
      <c r="L373" s="518"/>
      <c r="M373" s="505"/>
      <c r="N373" s="505"/>
      <c r="O373" s="505"/>
      <c r="P373" s="619"/>
      <c r="Q373" s="505"/>
      <c r="R373" s="505"/>
      <c r="S373" s="505"/>
      <c r="T373" s="505"/>
      <c r="U373" s="505"/>
      <c r="V373" s="505"/>
      <c r="W373" s="505"/>
      <c r="X373" s="505"/>
      <c r="Y373" s="505"/>
      <c r="Z373" s="505"/>
      <c r="AA373" s="505"/>
      <c r="AB373" s="505"/>
      <c r="AC373" s="505"/>
    </row>
    <row r="374" spans="1:29">
      <c r="A374" s="505"/>
      <c r="B374" s="505"/>
      <c r="C374" s="505"/>
      <c r="D374" s="505"/>
      <c r="E374" s="505"/>
      <c r="F374" s="505"/>
      <c r="G374" s="505"/>
      <c r="H374" s="505"/>
      <c r="I374" s="505"/>
      <c r="J374" s="505"/>
      <c r="K374" s="517"/>
      <c r="L374" s="518"/>
      <c r="M374" s="505"/>
      <c r="N374" s="505"/>
      <c r="O374" s="505"/>
      <c r="P374" s="619"/>
      <c r="Q374" s="505"/>
      <c r="R374" s="505"/>
      <c r="S374" s="505"/>
      <c r="T374" s="505"/>
      <c r="U374" s="505"/>
      <c r="V374" s="505"/>
      <c r="W374" s="505"/>
      <c r="X374" s="505"/>
      <c r="Y374" s="505"/>
      <c r="Z374" s="505"/>
      <c r="AA374" s="505"/>
      <c r="AB374" s="505"/>
      <c r="AC374" s="505"/>
    </row>
    <row r="375" spans="1:29">
      <c r="A375" s="505"/>
      <c r="B375" s="505"/>
      <c r="C375" s="505"/>
      <c r="D375" s="505"/>
      <c r="E375" s="505"/>
      <c r="F375" s="505"/>
      <c r="G375" s="505"/>
      <c r="H375" s="505"/>
      <c r="I375" s="505"/>
      <c r="J375" s="505"/>
      <c r="K375" s="517"/>
      <c r="L375" s="518"/>
      <c r="M375" s="505"/>
      <c r="N375" s="505"/>
      <c r="O375" s="505"/>
      <c r="P375" s="619"/>
      <c r="Q375" s="505"/>
      <c r="R375" s="505"/>
      <c r="S375" s="505"/>
      <c r="T375" s="505"/>
      <c r="U375" s="505"/>
      <c r="V375" s="505"/>
      <c r="W375" s="505"/>
      <c r="X375" s="505"/>
      <c r="Y375" s="505"/>
      <c r="Z375" s="505"/>
      <c r="AA375" s="505"/>
      <c r="AB375" s="505"/>
      <c r="AC375" s="505"/>
    </row>
    <row r="376" spans="1:29">
      <c r="A376" s="505"/>
      <c r="B376" s="505"/>
      <c r="C376" s="505"/>
      <c r="D376" s="505"/>
      <c r="E376" s="505"/>
      <c r="F376" s="505"/>
      <c r="G376" s="505"/>
      <c r="H376" s="505"/>
      <c r="I376" s="505"/>
      <c r="J376" s="505"/>
      <c r="K376" s="517"/>
      <c r="L376" s="518"/>
      <c r="M376" s="505"/>
      <c r="N376" s="505"/>
      <c r="O376" s="505"/>
      <c r="P376" s="619"/>
      <c r="Q376" s="505"/>
      <c r="R376" s="505"/>
      <c r="S376" s="505"/>
      <c r="T376" s="505"/>
      <c r="U376" s="505"/>
      <c r="V376" s="505"/>
      <c r="W376" s="505"/>
      <c r="X376" s="505"/>
      <c r="Y376" s="505"/>
      <c r="Z376" s="505"/>
      <c r="AA376" s="505"/>
      <c r="AB376" s="505"/>
      <c r="AC376" s="505"/>
    </row>
    <row r="377" spans="1:29">
      <c r="A377" s="505"/>
      <c r="B377" s="505"/>
      <c r="C377" s="505"/>
      <c r="D377" s="505"/>
      <c r="E377" s="505"/>
      <c r="F377" s="505"/>
      <c r="G377" s="505"/>
      <c r="H377" s="505"/>
      <c r="I377" s="505"/>
      <c r="J377" s="505"/>
      <c r="K377" s="517"/>
      <c r="L377" s="518"/>
      <c r="M377" s="505"/>
      <c r="N377" s="505"/>
      <c r="O377" s="505"/>
      <c r="P377" s="619"/>
      <c r="Q377" s="505"/>
      <c r="R377" s="505"/>
      <c r="S377" s="505"/>
      <c r="T377" s="505"/>
      <c r="U377" s="505"/>
      <c r="V377" s="505"/>
      <c r="W377" s="505"/>
      <c r="X377" s="505"/>
      <c r="Y377" s="505"/>
      <c r="Z377" s="505"/>
      <c r="AA377" s="505"/>
      <c r="AB377" s="505"/>
      <c r="AC377" s="505"/>
    </row>
    <row r="378" spans="1:29">
      <c r="A378" s="505"/>
      <c r="B378" s="505"/>
      <c r="C378" s="505"/>
      <c r="D378" s="505"/>
      <c r="E378" s="505"/>
      <c r="F378" s="505"/>
      <c r="G378" s="505"/>
      <c r="H378" s="505"/>
      <c r="I378" s="505"/>
      <c r="J378" s="505"/>
      <c r="K378" s="517"/>
      <c r="L378" s="518"/>
      <c r="M378" s="505"/>
      <c r="N378" s="505"/>
      <c r="O378" s="505"/>
      <c r="P378" s="619"/>
      <c r="Q378" s="505"/>
      <c r="R378" s="505"/>
      <c r="S378" s="505"/>
      <c r="T378" s="505"/>
      <c r="U378" s="505"/>
      <c r="V378" s="505"/>
      <c r="W378" s="505"/>
      <c r="X378" s="505"/>
      <c r="Y378" s="505"/>
      <c r="Z378" s="505"/>
      <c r="AA378" s="505"/>
      <c r="AB378" s="505"/>
      <c r="AC378" s="505"/>
    </row>
    <row r="379" spans="1:29">
      <c r="A379" s="505"/>
      <c r="B379" s="505"/>
      <c r="C379" s="505"/>
      <c r="D379" s="505"/>
      <c r="E379" s="505"/>
      <c r="F379" s="505"/>
      <c r="G379" s="505"/>
      <c r="H379" s="505"/>
      <c r="I379" s="505"/>
      <c r="J379" s="505"/>
      <c r="K379" s="517"/>
      <c r="L379" s="518"/>
      <c r="M379" s="505"/>
      <c r="N379" s="505"/>
      <c r="O379" s="505"/>
      <c r="P379" s="619"/>
      <c r="Q379" s="505"/>
      <c r="R379" s="505"/>
      <c r="S379" s="505"/>
      <c r="T379" s="505"/>
      <c r="U379" s="505"/>
      <c r="V379" s="505"/>
      <c r="W379" s="505"/>
      <c r="X379" s="505"/>
      <c r="Y379" s="505"/>
      <c r="Z379" s="505"/>
      <c r="AA379" s="505"/>
      <c r="AB379" s="505"/>
      <c r="AC379" s="505"/>
    </row>
    <row r="380" spans="1:29">
      <c r="A380" s="505"/>
      <c r="B380" s="505"/>
      <c r="C380" s="505"/>
      <c r="D380" s="505"/>
      <c r="E380" s="505"/>
      <c r="F380" s="505"/>
      <c r="G380" s="505"/>
      <c r="H380" s="505"/>
      <c r="I380" s="505"/>
      <c r="J380" s="505"/>
      <c r="K380" s="517"/>
      <c r="L380" s="518"/>
      <c r="M380" s="505"/>
      <c r="N380" s="505"/>
      <c r="O380" s="505"/>
      <c r="P380" s="619"/>
      <c r="Q380" s="505"/>
      <c r="R380" s="505"/>
      <c r="S380" s="505"/>
      <c r="T380" s="505"/>
      <c r="U380" s="505"/>
      <c r="V380" s="505"/>
      <c r="W380" s="505"/>
      <c r="X380" s="505"/>
      <c r="Y380" s="505"/>
      <c r="Z380" s="505"/>
      <c r="AA380" s="505"/>
      <c r="AB380" s="505"/>
      <c r="AC380" s="505"/>
    </row>
    <row r="381" spans="1:29">
      <c r="A381" s="505"/>
      <c r="B381" s="505"/>
      <c r="C381" s="505"/>
      <c r="D381" s="505"/>
      <c r="E381" s="505"/>
      <c r="F381" s="505"/>
      <c r="G381" s="505"/>
      <c r="H381" s="505"/>
      <c r="I381" s="505"/>
      <c r="J381" s="505"/>
      <c r="K381" s="517"/>
      <c r="L381" s="518"/>
      <c r="M381" s="505"/>
      <c r="N381" s="505"/>
      <c r="O381" s="505"/>
      <c r="P381" s="619"/>
      <c r="Q381" s="505"/>
      <c r="R381" s="505"/>
      <c r="S381" s="505"/>
      <c r="T381" s="505"/>
      <c r="U381" s="505"/>
      <c r="V381" s="505"/>
      <c r="W381" s="505"/>
      <c r="X381" s="505"/>
      <c r="Y381" s="505"/>
      <c r="Z381" s="505"/>
      <c r="AA381" s="505"/>
      <c r="AB381" s="505"/>
      <c r="AC381" s="505"/>
    </row>
    <row r="382" spans="1:29">
      <c r="A382" s="505"/>
      <c r="B382" s="505"/>
      <c r="C382" s="505"/>
      <c r="D382" s="505"/>
      <c r="E382" s="505"/>
      <c r="F382" s="505"/>
      <c r="G382" s="505"/>
      <c r="H382" s="505"/>
      <c r="I382" s="505"/>
      <c r="J382" s="505"/>
      <c r="K382" s="517"/>
      <c r="L382" s="518"/>
      <c r="M382" s="505"/>
      <c r="N382" s="505"/>
      <c r="O382" s="505"/>
      <c r="P382" s="619"/>
      <c r="Q382" s="505"/>
      <c r="R382" s="505"/>
      <c r="S382" s="505"/>
      <c r="T382" s="505"/>
      <c r="U382" s="505"/>
      <c r="V382" s="505"/>
      <c r="W382" s="505"/>
      <c r="X382" s="505"/>
      <c r="Y382" s="505"/>
      <c r="Z382" s="505"/>
      <c r="AA382" s="505"/>
      <c r="AB382" s="505"/>
      <c r="AC382" s="505"/>
    </row>
    <row r="383" spans="1:29">
      <c r="A383" s="505"/>
      <c r="B383" s="505"/>
      <c r="C383" s="505"/>
      <c r="D383" s="505"/>
      <c r="E383" s="505"/>
      <c r="F383" s="505"/>
      <c r="G383" s="505"/>
      <c r="H383" s="505"/>
      <c r="I383" s="505"/>
      <c r="J383" s="505"/>
      <c r="K383" s="517"/>
      <c r="L383" s="518"/>
      <c r="M383" s="505"/>
      <c r="N383" s="505"/>
      <c r="O383" s="505"/>
      <c r="P383" s="619"/>
      <c r="Q383" s="505"/>
      <c r="R383" s="505"/>
      <c r="S383" s="505"/>
      <c r="T383" s="505"/>
      <c r="U383" s="505"/>
      <c r="V383" s="505"/>
      <c r="W383" s="505"/>
      <c r="X383" s="505"/>
      <c r="Y383" s="505"/>
      <c r="Z383" s="505"/>
      <c r="AA383" s="505"/>
      <c r="AB383" s="505"/>
      <c r="AC383" s="505"/>
    </row>
    <row r="384" spans="1:29">
      <c r="A384" s="505"/>
      <c r="B384" s="505"/>
      <c r="C384" s="505"/>
      <c r="D384" s="505"/>
      <c r="E384" s="505"/>
      <c r="F384" s="505"/>
      <c r="G384" s="505"/>
      <c r="H384" s="505"/>
      <c r="I384" s="505"/>
      <c r="J384" s="505"/>
      <c r="K384" s="517"/>
      <c r="L384" s="518"/>
      <c r="M384" s="505"/>
      <c r="N384" s="505"/>
      <c r="O384" s="505"/>
      <c r="P384" s="619"/>
      <c r="Q384" s="505"/>
      <c r="R384" s="505"/>
      <c r="S384" s="505"/>
      <c r="T384" s="505"/>
      <c r="U384" s="505"/>
      <c r="V384" s="505"/>
      <c r="W384" s="505"/>
      <c r="X384" s="505"/>
      <c r="Y384" s="505"/>
      <c r="Z384" s="505"/>
      <c r="AA384" s="505"/>
      <c r="AB384" s="505"/>
      <c r="AC384" s="505"/>
    </row>
    <row r="385" spans="1:29">
      <c r="A385" s="505"/>
      <c r="B385" s="505"/>
      <c r="C385" s="505"/>
      <c r="D385" s="505"/>
      <c r="E385" s="505"/>
      <c r="F385" s="505"/>
      <c r="G385" s="505"/>
      <c r="H385" s="505"/>
      <c r="I385" s="505"/>
      <c r="J385" s="505"/>
      <c r="K385" s="517"/>
      <c r="L385" s="518"/>
      <c r="M385" s="505"/>
      <c r="N385" s="505"/>
      <c r="O385" s="505"/>
      <c r="P385" s="619"/>
      <c r="Q385" s="505"/>
      <c r="R385" s="505"/>
      <c r="S385" s="505"/>
      <c r="T385" s="505"/>
      <c r="U385" s="505"/>
      <c r="V385" s="505"/>
      <c r="W385" s="505"/>
      <c r="X385" s="505"/>
      <c r="Y385" s="505"/>
      <c r="Z385" s="505"/>
      <c r="AA385" s="505"/>
      <c r="AB385" s="505"/>
      <c r="AC385" s="505"/>
    </row>
    <row r="386" spans="1:29">
      <c r="A386" s="505"/>
      <c r="B386" s="505"/>
      <c r="C386" s="505"/>
      <c r="D386" s="505"/>
      <c r="E386" s="505"/>
      <c r="F386" s="505"/>
      <c r="G386" s="505"/>
      <c r="H386" s="505"/>
      <c r="I386" s="505"/>
      <c r="J386" s="505"/>
      <c r="K386" s="517"/>
      <c r="L386" s="518"/>
      <c r="M386" s="505"/>
      <c r="N386" s="505"/>
      <c r="O386" s="505"/>
      <c r="P386" s="619"/>
      <c r="Q386" s="505"/>
      <c r="R386" s="505"/>
      <c r="S386" s="505"/>
      <c r="T386" s="505"/>
      <c r="U386" s="505"/>
      <c r="V386" s="505"/>
      <c r="W386" s="505"/>
      <c r="X386" s="505"/>
      <c r="Y386" s="505"/>
      <c r="Z386" s="505"/>
      <c r="AA386" s="505"/>
      <c r="AB386" s="505"/>
      <c r="AC386" s="505"/>
    </row>
    <row r="387" spans="1:29">
      <c r="A387" s="505"/>
      <c r="B387" s="505"/>
      <c r="C387" s="505"/>
      <c r="D387" s="505"/>
      <c r="E387" s="505"/>
      <c r="F387" s="505"/>
      <c r="G387" s="505"/>
      <c r="H387" s="505"/>
      <c r="I387" s="505"/>
      <c r="J387" s="505"/>
      <c r="K387" s="517"/>
      <c r="L387" s="518"/>
      <c r="M387" s="505"/>
      <c r="N387" s="505"/>
      <c r="O387" s="505"/>
      <c r="P387" s="619"/>
      <c r="Q387" s="505"/>
      <c r="R387" s="505"/>
      <c r="S387" s="505"/>
      <c r="T387" s="505"/>
      <c r="U387" s="505"/>
      <c r="V387" s="505"/>
      <c r="W387" s="505"/>
      <c r="X387" s="505"/>
      <c r="Y387" s="505"/>
      <c r="Z387" s="505"/>
      <c r="AA387" s="505"/>
      <c r="AB387" s="505"/>
      <c r="AC387" s="505"/>
    </row>
    <row r="388" spans="1:29">
      <c r="A388" s="505"/>
      <c r="B388" s="505"/>
      <c r="C388" s="505"/>
      <c r="D388" s="505"/>
      <c r="E388" s="505"/>
      <c r="F388" s="505"/>
      <c r="G388" s="505"/>
      <c r="H388" s="505"/>
      <c r="I388" s="505"/>
      <c r="J388" s="505"/>
      <c r="K388" s="517"/>
      <c r="L388" s="518"/>
      <c r="M388" s="505"/>
      <c r="N388" s="505"/>
      <c r="O388" s="505"/>
      <c r="P388" s="619"/>
      <c r="Q388" s="505"/>
      <c r="R388" s="505"/>
      <c r="S388" s="505"/>
      <c r="T388" s="505"/>
      <c r="U388" s="505"/>
      <c r="V388" s="505"/>
      <c r="W388" s="505"/>
      <c r="X388" s="505"/>
      <c r="Y388" s="505"/>
      <c r="Z388" s="505"/>
      <c r="AA388" s="505"/>
      <c r="AB388" s="505"/>
      <c r="AC388" s="505"/>
    </row>
    <row r="389" spans="1:29">
      <c r="A389" s="505"/>
      <c r="B389" s="505"/>
      <c r="C389" s="505"/>
      <c r="D389" s="505"/>
      <c r="E389" s="505"/>
      <c r="F389" s="505"/>
      <c r="G389" s="505"/>
      <c r="H389" s="505"/>
      <c r="I389" s="505"/>
      <c r="J389" s="505"/>
      <c r="K389" s="517"/>
      <c r="L389" s="518"/>
      <c r="M389" s="505"/>
      <c r="N389" s="505"/>
      <c r="O389" s="505"/>
      <c r="P389" s="619"/>
      <c r="Q389" s="505"/>
      <c r="R389" s="505"/>
      <c r="S389" s="505"/>
      <c r="T389" s="505"/>
      <c r="U389" s="505"/>
      <c r="V389" s="505"/>
      <c r="W389" s="505"/>
      <c r="X389" s="505"/>
      <c r="Y389" s="505"/>
      <c r="Z389" s="505"/>
      <c r="AA389" s="505"/>
      <c r="AB389" s="505"/>
      <c r="AC389" s="505"/>
    </row>
    <row r="390" spans="1:29">
      <c r="A390" s="505"/>
      <c r="B390" s="505"/>
      <c r="C390" s="505"/>
      <c r="D390" s="505"/>
      <c r="E390" s="505"/>
      <c r="F390" s="505"/>
      <c r="G390" s="505"/>
      <c r="H390" s="505"/>
      <c r="I390" s="505"/>
      <c r="J390" s="505"/>
      <c r="K390" s="517"/>
      <c r="L390" s="518"/>
      <c r="M390" s="505"/>
      <c r="N390" s="505"/>
      <c r="O390" s="505"/>
      <c r="P390" s="619"/>
      <c r="Q390" s="505"/>
      <c r="R390" s="505"/>
      <c r="S390" s="505"/>
      <c r="T390" s="505"/>
      <c r="U390" s="505"/>
      <c r="V390" s="505"/>
      <c r="W390" s="505"/>
      <c r="X390" s="505"/>
      <c r="Y390" s="505"/>
      <c r="Z390" s="505"/>
      <c r="AA390" s="505"/>
      <c r="AB390" s="505"/>
      <c r="AC390" s="505"/>
    </row>
    <row r="391" spans="1:29">
      <c r="A391" s="505"/>
      <c r="B391" s="505"/>
      <c r="C391" s="505"/>
      <c r="D391" s="505"/>
      <c r="E391" s="505"/>
      <c r="F391" s="505"/>
      <c r="G391" s="505"/>
      <c r="H391" s="505"/>
      <c r="I391" s="505"/>
      <c r="J391" s="505"/>
      <c r="K391" s="517"/>
      <c r="L391" s="518"/>
      <c r="M391" s="505"/>
      <c r="N391" s="505"/>
      <c r="O391" s="505"/>
      <c r="P391" s="619"/>
      <c r="Q391" s="505"/>
      <c r="R391" s="505"/>
      <c r="S391" s="505"/>
      <c r="T391" s="505"/>
      <c r="U391" s="505"/>
      <c r="V391" s="505"/>
      <c r="W391" s="505"/>
      <c r="X391" s="505"/>
      <c r="Y391" s="505"/>
      <c r="Z391" s="505"/>
      <c r="AA391" s="505"/>
      <c r="AB391" s="505"/>
      <c r="AC391" s="505"/>
    </row>
    <row r="392" spans="1:29">
      <c r="A392" s="505"/>
      <c r="B392" s="505"/>
      <c r="C392" s="505"/>
      <c r="D392" s="505"/>
      <c r="E392" s="505"/>
      <c r="F392" s="505"/>
      <c r="G392" s="505"/>
      <c r="H392" s="505"/>
      <c r="I392" s="505"/>
      <c r="J392" s="505"/>
      <c r="K392" s="517"/>
      <c r="L392" s="518"/>
      <c r="M392" s="505"/>
      <c r="N392" s="505"/>
      <c r="O392" s="505"/>
      <c r="P392" s="619"/>
      <c r="Q392" s="505"/>
      <c r="R392" s="505"/>
      <c r="S392" s="505"/>
      <c r="T392" s="505"/>
      <c r="U392" s="505"/>
      <c r="V392" s="505"/>
      <c r="W392" s="505"/>
      <c r="X392" s="505"/>
      <c r="Y392" s="505"/>
      <c r="Z392" s="505"/>
      <c r="AA392" s="505"/>
      <c r="AB392" s="505"/>
      <c r="AC392" s="505"/>
    </row>
    <row r="393" spans="1:29">
      <c r="A393" s="505"/>
      <c r="B393" s="505"/>
      <c r="C393" s="505"/>
      <c r="D393" s="505"/>
      <c r="E393" s="505"/>
      <c r="F393" s="505"/>
      <c r="G393" s="505"/>
      <c r="H393" s="505"/>
      <c r="I393" s="505"/>
      <c r="J393" s="505"/>
      <c r="K393" s="517"/>
      <c r="L393" s="518"/>
      <c r="M393" s="505"/>
      <c r="N393" s="505"/>
      <c r="O393" s="505"/>
      <c r="P393" s="619"/>
      <c r="Q393" s="505"/>
      <c r="R393" s="505"/>
      <c r="S393" s="505"/>
      <c r="T393" s="505"/>
      <c r="U393" s="505"/>
      <c r="V393" s="505"/>
      <c r="W393" s="505"/>
      <c r="X393" s="505"/>
      <c r="Y393" s="505"/>
      <c r="Z393" s="505"/>
      <c r="AA393" s="505"/>
      <c r="AB393" s="505"/>
      <c r="AC393" s="505"/>
    </row>
    <row r="394" spans="1:29">
      <c r="A394" s="505"/>
      <c r="B394" s="505"/>
      <c r="C394" s="505"/>
      <c r="D394" s="505"/>
      <c r="E394" s="505"/>
      <c r="F394" s="505"/>
      <c r="G394" s="505"/>
      <c r="H394" s="505"/>
      <c r="I394" s="505"/>
      <c r="J394" s="505"/>
      <c r="K394" s="517"/>
      <c r="L394" s="518"/>
      <c r="M394" s="505"/>
      <c r="N394" s="505"/>
      <c r="O394" s="505"/>
      <c r="P394" s="619"/>
      <c r="Q394" s="505"/>
      <c r="R394" s="505"/>
      <c r="S394" s="505"/>
      <c r="T394" s="505"/>
      <c r="U394" s="505"/>
      <c r="V394" s="505"/>
      <c r="W394" s="505"/>
      <c r="X394" s="505"/>
      <c r="Y394" s="505"/>
      <c r="Z394" s="505"/>
      <c r="AA394" s="505"/>
      <c r="AB394" s="505"/>
      <c r="AC394" s="505"/>
    </row>
    <row r="395" spans="1:29">
      <c r="A395" s="505"/>
      <c r="B395" s="505"/>
      <c r="C395" s="505"/>
      <c r="D395" s="505"/>
      <c r="E395" s="505"/>
      <c r="F395" s="505"/>
      <c r="G395" s="505"/>
      <c r="H395" s="505"/>
      <c r="I395" s="505"/>
      <c r="J395" s="505"/>
      <c r="K395" s="517"/>
      <c r="L395" s="518"/>
      <c r="M395" s="505"/>
      <c r="N395" s="505"/>
      <c r="O395" s="505"/>
      <c r="P395" s="619"/>
      <c r="Q395" s="505"/>
      <c r="R395" s="505"/>
      <c r="S395" s="505"/>
      <c r="T395" s="505"/>
      <c r="U395" s="505"/>
      <c r="V395" s="505"/>
      <c r="W395" s="505"/>
      <c r="X395" s="505"/>
      <c r="Y395" s="505"/>
      <c r="Z395" s="505"/>
      <c r="AA395" s="505"/>
      <c r="AB395" s="505"/>
      <c r="AC395" s="505"/>
    </row>
    <row r="396" spans="1:29">
      <c r="A396" s="505"/>
      <c r="B396" s="505"/>
      <c r="C396" s="505"/>
      <c r="D396" s="505"/>
      <c r="E396" s="505"/>
      <c r="F396" s="505"/>
      <c r="G396" s="505"/>
      <c r="H396" s="505"/>
      <c r="I396" s="505"/>
      <c r="J396" s="505"/>
      <c r="K396" s="517"/>
      <c r="L396" s="518"/>
      <c r="M396" s="505"/>
      <c r="N396" s="505"/>
      <c r="O396" s="505"/>
      <c r="P396" s="619"/>
      <c r="Q396" s="505"/>
      <c r="R396" s="505"/>
      <c r="S396" s="505"/>
      <c r="T396" s="505"/>
      <c r="U396" s="505"/>
      <c r="V396" s="505"/>
      <c r="W396" s="505"/>
      <c r="X396" s="505"/>
      <c r="Y396" s="505"/>
      <c r="Z396" s="505"/>
      <c r="AA396" s="505"/>
      <c r="AB396" s="505"/>
      <c r="AC396" s="505"/>
    </row>
    <row r="397" spans="1:29">
      <c r="A397" s="505"/>
      <c r="B397" s="505"/>
      <c r="C397" s="505"/>
      <c r="D397" s="505"/>
      <c r="E397" s="505"/>
      <c r="F397" s="505"/>
      <c r="G397" s="505"/>
      <c r="H397" s="505"/>
      <c r="I397" s="505"/>
      <c r="J397" s="505"/>
      <c r="K397" s="517"/>
      <c r="L397" s="518"/>
      <c r="M397" s="505"/>
      <c r="N397" s="505"/>
      <c r="O397" s="505"/>
      <c r="P397" s="619"/>
      <c r="Q397" s="505"/>
      <c r="R397" s="505"/>
      <c r="S397" s="505"/>
      <c r="T397" s="505"/>
      <c r="U397" s="505"/>
      <c r="V397" s="505"/>
      <c r="W397" s="505"/>
      <c r="X397" s="505"/>
      <c r="Y397" s="505"/>
      <c r="Z397" s="505"/>
      <c r="AA397" s="505"/>
      <c r="AB397" s="505"/>
      <c r="AC397" s="505"/>
    </row>
    <row r="398" spans="1:29">
      <c r="A398" s="505"/>
      <c r="B398" s="505"/>
      <c r="C398" s="505"/>
      <c r="D398" s="505"/>
      <c r="E398" s="505"/>
      <c r="F398" s="505"/>
      <c r="G398" s="505"/>
      <c r="H398" s="505"/>
      <c r="I398" s="505"/>
      <c r="J398" s="505"/>
      <c r="K398" s="517"/>
      <c r="L398" s="518"/>
      <c r="M398" s="505"/>
      <c r="N398" s="505"/>
      <c r="O398" s="505"/>
      <c r="P398" s="619"/>
      <c r="Q398" s="505"/>
      <c r="R398" s="505"/>
      <c r="S398" s="505"/>
      <c r="T398" s="505"/>
      <c r="U398" s="505"/>
      <c r="V398" s="505"/>
      <c r="W398" s="505"/>
      <c r="X398" s="505"/>
      <c r="Y398" s="505"/>
      <c r="Z398" s="505"/>
      <c r="AA398" s="505"/>
      <c r="AB398" s="505"/>
      <c r="AC398" s="505"/>
    </row>
    <row r="399" spans="1:29">
      <c r="A399" s="505"/>
      <c r="B399" s="505"/>
      <c r="C399" s="505"/>
      <c r="D399" s="505"/>
      <c r="E399" s="505"/>
      <c r="F399" s="505"/>
      <c r="G399" s="505"/>
      <c r="H399" s="505"/>
      <c r="I399" s="505"/>
      <c r="J399" s="505"/>
      <c r="K399" s="517"/>
      <c r="L399" s="518"/>
      <c r="M399" s="505"/>
      <c r="N399" s="505"/>
      <c r="O399" s="505"/>
      <c r="P399" s="619"/>
      <c r="Q399" s="505"/>
      <c r="R399" s="505"/>
      <c r="S399" s="505"/>
      <c r="T399" s="505"/>
      <c r="U399" s="505"/>
      <c r="V399" s="505"/>
      <c r="W399" s="505"/>
      <c r="X399" s="505"/>
      <c r="Y399" s="505"/>
      <c r="Z399" s="505"/>
      <c r="AA399" s="505"/>
      <c r="AB399" s="505"/>
      <c r="AC399" s="505"/>
    </row>
    <row r="400" spans="1:29">
      <c r="A400" s="505"/>
      <c r="B400" s="505"/>
      <c r="C400" s="505"/>
      <c r="D400" s="505"/>
      <c r="E400" s="505"/>
      <c r="F400" s="505"/>
      <c r="G400" s="505"/>
      <c r="H400" s="505"/>
      <c r="I400" s="505"/>
      <c r="J400" s="505"/>
      <c r="K400" s="517"/>
      <c r="L400" s="518"/>
      <c r="M400" s="505"/>
      <c r="N400" s="505"/>
      <c r="O400" s="505"/>
      <c r="P400" s="619"/>
      <c r="Q400" s="505"/>
      <c r="R400" s="505"/>
      <c r="S400" s="505"/>
      <c r="T400" s="505"/>
      <c r="U400" s="505"/>
      <c r="V400" s="505"/>
      <c r="W400" s="505"/>
      <c r="X400" s="505"/>
      <c r="Y400" s="505"/>
      <c r="Z400" s="505"/>
      <c r="AA400" s="505"/>
      <c r="AB400" s="505"/>
      <c r="AC400" s="505"/>
    </row>
    <row r="401" spans="1:29">
      <c r="A401" s="505"/>
      <c r="B401" s="505"/>
      <c r="C401" s="505"/>
      <c r="D401" s="505"/>
      <c r="E401" s="505"/>
      <c r="F401" s="505"/>
      <c r="G401" s="505"/>
      <c r="H401" s="505"/>
      <c r="I401" s="505"/>
      <c r="J401" s="505"/>
      <c r="K401" s="517"/>
      <c r="L401" s="518"/>
      <c r="M401" s="505"/>
      <c r="N401" s="505"/>
      <c r="O401" s="505"/>
      <c r="P401" s="619"/>
      <c r="Q401" s="505"/>
      <c r="R401" s="505"/>
      <c r="S401" s="505"/>
      <c r="T401" s="505"/>
      <c r="U401" s="505"/>
      <c r="V401" s="505"/>
      <c r="W401" s="505"/>
      <c r="X401" s="505"/>
      <c r="Y401" s="505"/>
      <c r="Z401" s="505"/>
      <c r="AA401" s="505"/>
      <c r="AB401" s="505"/>
      <c r="AC401" s="505"/>
    </row>
    <row r="402" spans="1:29">
      <c r="A402" s="505"/>
      <c r="B402" s="505"/>
      <c r="C402" s="505"/>
      <c r="D402" s="505"/>
      <c r="E402" s="505"/>
      <c r="F402" s="505"/>
      <c r="G402" s="505"/>
      <c r="H402" s="505"/>
      <c r="I402" s="505"/>
      <c r="J402" s="505"/>
      <c r="K402" s="517"/>
      <c r="L402" s="518"/>
      <c r="M402" s="505"/>
      <c r="N402" s="505"/>
      <c r="O402" s="505"/>
      <c r="P402" s="619"/>
      <c r="Q402" s="505"/>
      <c r="R402" s="505"/>
      <c r="S402" s="505"/>
      <c r="T402" s="505"/>
      <c r="U402" s="505"/>
      <c r="V402" s="505"/>
      <c r="W402" s="505"/>
      <c r="X402" s="505"/>
      <c r="Y402" s="505"/>
      <c r="Z402" s="505"/>
      <c r="AA402" s="505"/>
      <c r="AB402" s="505"/>
      <c r="AC402" s="505"/>
    </row>
    <row r="403" spans="1:29">
      <c r="A403" s="505"/>
      <c r="B403" s="505"/>
      <c r="C403" s="505"/>
      <c r="D403" s="505"/>
      <c r="E403" s="505"/>
      <c r="F403" s="505"/>
      <c r="G403" s="505"/>
      <c r="H403" s="505"/>
      <c r="I403" s="505"/>
      <c r="J403" s="505"/>
      <c r="K403" s="517"/>
      <c r="L403" s="518"/>
      <c r="M403" s="505"/>
      <c r="N403" s="505"/>
      <c r="O403" s="505"/>
      <c r="P403" s="619"/>
      <c r="Q403" s="505"/>
      <c r="R403" s="505"/>
      <c r="S403" s="505"/>
      <c r="T403" s="505"/>
      <c r="U403" s="505"/>
      <c r="V403" s="505"/>
      <c r="W403" s="505"/>
      <c r="X403" s="505"/>
      <c r="Y403" s="505"/>
      <c r="Z403" s="505"/>
      <c r="AA403" s="505"/>
      <c r="AB403" s="505"/>
      <c r="AC403" s="505"/>
    </row>
    <row r="404" spans="1:29">
      <c r="A404" s="505"/>
      <c r="B404" s="505"/>
      <c r="C404" s="505"/>
      <c r="D404" s="505"/>
      <c r="E404" s="505"/>
      <c r="F404" s="505"/>
      <c r="G404" s="505"/>
      <c r="H404" s="505"/>
      <c r="I404" s="505"/>
      <c r="J404" s="505"/>
      <c r="K404" s="517"/>
      <c r="L404" s="518"/>
      <c r="M404" s="505"/>
      <c r="N404" s="505"/>
      <c r="O404" s="505"/>
      <c r="P404" s="619"/>
      <c r="Q404" s="505"/>
      <c r="R404" s="505"/>
      <c r="S404" s="505"/>
      <c r="T404" s="505"/>
      <c r="U404" s="505"/>
      <c r="V404" s="505"/>
      <c r="W404" s="505"/>
      <c r="X404" s="505"/>
      <c r="Y404" s="505"/>
      <c r="Z404" s="505"/>
      <c r="AA404" s="505"/>
      <c r="AB404" s="505"/>
      <c r="AC404" s="505"/>
    </row>
    <row r="405" spans="1:29">
      <c r="A405" s="505"/>
      <c r="B405" s="505"/>
      <c r="C405" s="505"/>
      <c r="D405" s="505"/>
      <c r="E405" s="505"/>
      <c r="F405" s="505"/>
      <c r="G405" s="505"/>
      <c r="H405" s="505"/>
      <c r="I405" s="505"/>
      <c r="J405" s="505"/>
      <c r="K405" s="517"/>
      <c r="L405" s="518"/>
      <c r="M405" s="505"/>
      <c r="N405" s="505"/>
      <c r="O405" s="505"/>
      <c r="P405" s="619"/>
      <c r="Q405" s="505"/>
      <c r="R405" s="505"/>
      <c r="S405" s="505"/>
      <c r="T405" s="505"/>
      <c r="U405" s="505"/>
      <c r="V405" s="505"/>
      <c r="W405" s="505"/>
      <c r="X405" s="505"/>
      <c r="Y405" s="505"/>
      <c r="Z405" s="505"/>
      <c r="AA405" s="505"/>
      <c r="AB405" s="505"/>
      <c r="AC405" s="505"/>
    </row>
    <row r="406" spans="1:29">
      <c r="A406" s="505"/>
      <c r="B406" s="505"/>
      <c r="C406" s="505"/>
      <c r="D406" s="505"/>
      <c r="E406" s="505"/>
      <c r="F406" s="505"/>
      <c r="G406" s="505"/>
      <c r="H406" s="505"/>
      <c r="I406" s="505"/>
      <c r="J406" s="505"/>
      <c r="K406" s="517"/>
      <c r="L406" s="518"/>
      <c r="M406" s="505"/>
      <c r="N406" s="505"/>
      <c r="O406" s="505"/>
      <c r="P406" s="619"/>
      <c r="Q406" s="505"/>
      <c r="R406" s="505"/>
      <c r="S406" s="505"/>
      <c r="T406" s="505"/>
      <c r="U406" s="505"/>
      <c r="V406" s="505"/>
      <c r="W406" s="505"/>
      <c r="X406" s="505"/>
      <c r="Y406" s="505"/>
      <c r="Z406" s="505"/>
      <c r="AA406" s="505"/>
      <c r="AB406" s="505"/>
      <c r="AC406" s="505"/>
    </row>
    <row r="407" spans="1:29">
      <c r="A407" s="505"/>
      <c r="B407" s="505"/>
      <c r="C407" s="505"/>
      <c r="D407" s="505"/>
      <c r="E407" s="505"/>
      <c r="F407" s="505"/>
      <c r="G407" s="505"/>
      <c r="H407" s="505"/>
      <c r="I407" s="505"/>
      <c r="J407" s="505"/>
      <c r="K407" s="517"/>
      <c r="L407" s="518"/>
      <c r="M407" s="505"/>
      <c r="N407" s="505"/>
      <c r="O407" s="505"/>
      <c r="P407" s="619"/>
      <c r="Q407" s="505"/>
      <c r="R407" s="505"/>
      <c r="S407" s="505"/>
      <c r="T407" s="505"/>
      <c r="U407" s="505"/>
      <c r="V407" s="505"/>
      <c r="W407" s="505"/>
      <c r="X407" s="505"/>
      <c r="Y407" s="505"/>
      <c r="Z407" s="505"/>
      <c r="AA407" s="505"/>
      <c r="AB407" s="505"/>
      <c r="AC407" s="505"/>
    </row>
    <row r="408" spans="1:29">
      <c r="A408" s="505"/>
      <c r="B408" s="505"/>
      <c r="C408" s="505"/>
      <c r="D408" s="505"/>
      <c r="E408" s="505"/>
      <c r="F408" s="505"/>
      <c r="G408" s="505"/>
      <c r="H408" s="505"/>
      <c r="I408" s="505"/>
      <c r="J408" s="505"/>
      <c r="K408" s="517"/>
      <c r="L408" s="518"/>
      <c r="M408" s="505"/>
      <c r="N408" s="505"/>
      <c r="O408" s="505"/>
      <c r="P408" s="619"/>
      <c r="Q408" s="505"/>
      <c r="R408" s="505"/>
      <c r="S408" s="505"/>
      <c r="T408" s="505"/>
      <c r="U408" s="505"/>
      <c r="V408" s="505"/>
      <c r="W408" s="505"/>
      <c r="X408" s="505"/>
      <c r="Y408" s="505"/>
      <c r="Z408" s="505"/>
      <c r="AA408" s="505"/>
      <c r="AB408" s="505"/>
      <c r="AC408" s="505"/>
    </row>
    <row r="409" spans="1:29">
      <c r="A409" s="505"/>
      <c r="B409" s="505"/>
      <c r="C409" s="505"/>
      <c r="D409" s="505"/>
      <c r="E409" s="505"/>
      <c r="F409" s="505"/>
      <c r="G409" s="505"/>
      <c r="H409" s="505"/>
      <c r="I409" s="505"/>
      <c r="J409" s="505"/>
      <c r="K409" s="517"/>
      <c r="L409" s="518"/>
      <c r="M409" s="505"/>
      <c r="N409" s="505"/>
      <c r="O409" s="505"/>
      <c r="P409" s="619"/>
      <c r="Q409" s="505"/>
      <c r="R409" s="505"/>
      <c r="S409" s="505"/>
      <c r="T409" s="505"/>
      <c r="U409" s="505"/>
      <c r="V409" s="505"/>
      <c r="W409" s="505"/>
      <c r="X409" s="505"/>
      <c r="Y409" s="505"/>
      <c r="Z409" s="505"/>
      <c r="AA409" s="505"/>
      <c r="AB409" s="505"/>
      <c r="AC409" s="505"/>
    </row>
    <row r="410" spans="1:29">
      <c r="A410" s="505"/>
      <c r="B410" s="505"/>
      <c r="C410" s="505"/>
      <c r="D410" s="505"/>
      <c r="E410" s="505"/>
      <c r="F410" s="505"/>
      <c r="G410" s="505"/>
      <c r="H410" s="505"/>
      <c r="I410" s="505"/>
      <c r="J410" s="505"/>
      <c r="K410" s="517"/>
      <c r="L410" s="518"/>
      <c r="M410" s="505"/>
      <c r="N410" s="505"/>
      <c r="O410" s="505"/>
      <c r="P410" s="619"/>
      <c r="Q410" s="505"/>
      <c r="R410" s="505"/>
      <c r="S410" s="505"/>
      <c r="T410" s="505"/>
      <c r="U410" s="505"/>
      <c r="V410" s="505"/>
      <c r="W410" s="505"/>
      <c r="X410" s="505"/>
      <c r="Y410" s="505"/>
      <c r="Z410" s="505"/>
      <c r="AA410" s="505"/>
      <c r="AB410" s="505"/>
      <c r="AC410" s="505"/>
    </row>
    <row r="411" spans="1:29">
      <c r="A411" s="505"/>
      <c r="B411" s="505"/>
      <c r="C411" s="505"/>
      <c r="D411" s="505"/>
      <c r="E411" s="505"/>
      <c r="F411" s="505"/>
      <c r="G411" s="505"/>
      <c r="H411" s="505"/>
      <c r="I411" s="505"/>
      <c r="J411" s="505"/>
      <c r="K411" s="517"/>
      <c r="L411" s="518"/>
      <c r="M411" s="505"/>
      <c r="N411" s="505"/>
      <c r="O411" s="505"/>
      <c r="P411" s="619"/>
      <c r="Q411" s="505"/>
      <c r="R411" s="505"/>
      <c r="S411" s="505"/>
      <c r="T411" s="505"/>
      <c r="U411" s="505"/>
      <c r="V411" s="505"/>
      <c r="W411" s="505"/>
      <c r="X411" s="505"/>
      <c r="Y411" s="505"/>
      <c r="Z411" s="505"/>
      <c r="AA411" s="505"/>
      <c r="AB411" s="505"/>
      <c r="AC411" s="505"/>
    </row>
    <row r="412" spans="1:29">
      <c r="A412" s="505"/>
      <c r="B412" s="505"/>
      <c r="C412" s="505"/>
      <c r="D412" s="505"/>
      <c r="E412" s="505"/>
      <c r="F412" s="505"/>
      <c r="G412" s="505"/>
      <c r="H412" s="505"/>
      <c r="I412" s="505"/>
      <c r="J412" s="505"/>
      <c r="K412" s="517"/>
      <c r="L412" s="518"/>
      <c r="M412" s="505"/>
      <c r="N412" s="505"/>
      <c r="O412" s="505"/>
      <c r="P412" s="619"/>
      <c r="Q412" s="505"/>
      <c r="R412" s="505"/>
      <c r="S412" s="505"/>
      <c r="T412" s="505"/>
      <c r="U412" s="505"/>
      <c r="V412" s="505"/>
      <c r="W412" s="505"/>
      <c r="X412" s="505"/>
      <c r="Y412" s="505"/>
      <c r="Z412" s="505"/>
      <c r="AA412" s="505"/>
      <c r="AB412" s="505"/>
      <c r="AC412" s="505"/>
    </row>
    <row r="413" spans="1:29">
      <c r="A413" s="505"/>
      <c r="B413" s="505"/>
      <c r="C413" s="505"/>
      <c r="D413" s="505"/>
      <c r="E413" s="505"/>
      <c r="F413" s="505"/>
      <c r="G413" s="505"/>
      <c r="H413" s="505"/>
      <c r="I413" s="505"/>
      <c r="J413" s="505"/>
      <c r="K413" s="517"/>
      <c r="L413" s="518"/>
      <c r="M413" s="505"/>
      <c r="N413" s="505"/>
      <c r="O413" s="505"/>
      <c r="P413" s="619"/>
      <c r="Q413" s="505"/>
      <c r="R413" s="505"/>
      <c r="S413" s="505"/>
      <c r="T413" s="505"/>
      <c r="U413" s="505"/>
      <c r="V413" s="505"/>
      <c r="W413" s="505"/>
      <c r="X413" s="505"/>
      <c r="Y413" s="505"/>
      <c r="Z413" s="505"/>
      <c r="AA413" s="505"/>
      <c r="AB413" s="505"/>
      <c r="AC413" s="505"/>
    </row>
    <row r="414" spans="1:29">
      <c r="A414" s="505"/>
      <c r="B414" s="505"/>
      <c r="C414" s="505"/>
      <c r="D414" s="505"/>
      <c r="E414" s="505"/>
      <c r="F414" s="505"/>
      <c r="G414" s="505"/>
      <c r="H414" s="505"/>
      <c r="I414" s="505"/>
      <c r="J414" s="505"/>
      <c r="K414" s="517"/>
      <c r="L414" s="518"/>
      <c r="M414" s="505"/>
      <c r="N414" s="505"/>
      <c r="O414" s="505"/>
      <c r="P414" s="619"/>
      <c r="Q414" s="505"/>
      <c r="R414" s="505"/>
      <c r="S414" s="505"/>
      <c r="T414" s="505"/>
      <c r="U414" s="505"/>
      <c r="V414" s="505"/>
      <c r="W414" s="505"/>
      <c r="X414" s="505"/>
      <c r="Y414" s="505"/>
      <c r="Z414" s="505"/>
      <c r="AA414" s="505"/>
      <c r="AB414" s="505"/>
      <c r="AC414" s="505"/>
    </row>
    <row r="415" spans="1:29">
      <c r="A415" s="505"/>
      <c r="B415" s="505"/>
      <c r="C415" s="505"/>
      <c r="D415" s="505"/>
      <c r="E415" s="505"/>
      <c r="F415" s="505"/>
      <c r="G415" s="505"/>
      <c r="H415" s="505"/>
      <c r="I415" s="505"/>
      <c r="J415" s="505"/>
      <c r="K415" s="517"/>
      <c r="L415" s="518"/>
      <c r="M415" s="505"/>
      <c r="N415" s="505"/>
      <c r="O415" s="505"/>
      <c r="P415" s="619"/>
      <c r="Q415" s="505"/>
      <c r="R415" s="505"/>
      <c r="S415" s="505"/>
      <c r="T415" s="505"/>
      <c r="U415" s="505"/>
      <c r="V415" s="505"/>
      <c r="W415" s="505"/>
      <c r="X415" s="505"/>
      <c r="Y415" s="505"/>
      <c r="Z415" s="505"/>
      <c r="AA415" s="505"/>
      <c r="AB415" s="505"/>
      <c r="AC415" s="505"/>
    </row>
    <row r="416" spans="1:29">
      <c r="A416" s="505"/>
      <c r="B416" s="505"/>
      <c r="C416" s="505"/>
      <c r="D416" s="505"/>
      <c r="E416" s="505"/>
      <c r="F416" s="505"/>
      <c r="G416" s="505"/>
      <c r="H416" s="505"/>
      <c r="I416" s="505"/>
      <c r="J416" s="505"/>
      <c r="K416" s="517"/>
      <c r="L416" s="518"/>
      <c r="M416" s="505"/>
      <c r="N416" s="505"/>
      <c r="O416" s="505"/>
      <c r="P416" s="619"/>
      <c r="Q416" s="505"/>
      <c r="R416" s="505"/>
      <c r="S416" s="505"/>
      <c r="T416" s="505"/>
      <c r="U416" s="505"/>
      <c r="V416" s="505"/>
      <c r="W416" s="505"/>
      <c r="X416" s="505"/>
      <c r="Y416" s="505"/>
      <c r="Z416" s="505"/>
      <c r="AA416" s="505"/>
      <c r="AB416" s="505"/>
      <c r="AC416" s="505"/>
    </row>
    <row r="417" spans="1:29">
      <c r="A417" s="505"/>
      <c r="B417" s="505"/>
      <c r="C417" s="505"/>
      <c r="D417" s="505"/>
      <c r="E417" s="505"/>
      <c r="F417" s="505"/>
      <c r="G417" s="505"/>
      <c r="H417" s="505"/>
      <c r="I417" s="505"/>
      <c r="J417" s="505"/>
      <c r="K417" s="517"/>
      <c r="L417" s="518"/>
      <c r="M417" s="505"/>
      <c r="N417" s="505"/>
      <c r="O417" s="505"/>
      <c r="P417" s="619"/>
      <c r="Q417" s="505"/>
      <c r="R417" s="505"/>
      <c r="S417" s="505"/>
      <c r="T417" s="505"/>
      <c r="U417" s="505"/>
      <c r="V417" s="505"/>
      <c r="W417" s="505"/>
      <c r="X417" s="505"/>
      <c r="Y417" s="505"/>
      <c r="Z417" s="505"/>
      <c r="AA417" s="505"/>
      <c r="AB417" s="505"/>
      <c r="AC417" s="505"/>
    </row>
    <row r="418" spans="1:29">
      <c r="A418" s="505"/>
      <c r="B418" s="505"/>
      <c r="C418" s="505"/>
      <c r="D418" s="505"/>
      <c r="E418" s="505"/>
      <c r="F418" s="505"/>
      <c r="G418" s="505"/>
      <c r="H418" s="505"/>
      <c r="I418" s="505"/>
      <c r="J418" s="505"/>
      <c r="K418" s="517"/>
      <c r="L418" s="518"/>
      <c r="M418" s="505"/>
      <c r="N418" s="505"/>
      <c r="O418" s="505"/>
      <c r="P418" s="619"/>
      <c r="Q418" s="505"/>
      <c r="R418" s="505"/>
      <c r="S418" s="505"/>
      <c r="T418" s="505"/>
      <c r="U418" s="505"/>
      <c r="V418" s="505"/>
      <c r="W418" s="505"/>
      <c r="X418" s="505"/>
      <c r="Y418" s="505"/>
      <c r="Z418" s="505"/>
      <c r="AA418" s="505"/>
      <c r="AB418" s="505"/>
      <c r="AC418" s="505"/>
    </row>
    <row r="419" spans="1:29">
      <c r="A419" s="505"/>
      <c r="B419" s="505"/>
      <c r="C419" s="505"/>
      <c r="D419" s="505"/>
      <c r="E419" s="505"/>
      <c r="F419" s="505"/>
      <c r="G419" s="505"/>
      <c r="H419" s="505"/>
      <c r="I419" s="505"/>
      <c r="J419" s="505"/>
      <c r="K419" s="517"/>
      <c r="L419" s="518"/>
      <c r="M419" s="505"/>
      <c r="N419" s="505"/>
      <c r="O419" s="505"/>
      <c r="P419" s="619"/>
      <c r="Q419" s="505"/>
      <c r="R419" s="505"/>
      <c r="S419" s="505"/>
      <c r="T419" s="505"/>
      <c r="U419" s="505"/>
      <c r="V419" s="505"/>
      <c r="W419" s="505"/>
      <c r="X419" s="505"/>
      <c r="Y419" s="505"/>
      <c r="Z419" s="505"/>
      <c r="AA419" s="505"/>
      <c r="AB419" s="505"/>
      <c r="AC419" s="505"/>
    </row>
    <row r="420" spans="1:29">
      <c r="A420" s="505"/>
      <c r="B420" s="505"/>
      <c r="C420" s="505"/>
      <c r="D420" s="505"/>
      <c r="E420" s="505"/>
      <c r="F420" s="505"/>
      <c r="G420" s="505"/>
      <c r="H420" s="505"/>
      <c r="I420" s="505"/>
      <c r="J420" s="505"/>
      <c r="K420" s="517"/>
      <c r="L420" s="518"/>
      <c r="M420" s="505"/>
      <c r="N420" s="505"/>
      <c r="O420" s="505"/>
      <c r="P420" s="619"/>
      <c r="Q420" s="505"/>
      <c r="R420" s="505"/>
      <c r="S420" s="505"/>
      <c r="T420" s="505"/>
      <c r="U420" s="505"/>
      <c r="V420" s="505"/>
      <c r="W420" s="505"/>
      <c r="X420" s="505"/>
      <c r="Y420" s="505"/>
      <c r="Z420" s="505"/>
      <c r="AA420" s="505"/>
      <c r="AB420" s="505"/>
      <c r="AC420" s="505"/>
    </row>
    <row r="421" spans="1:29">
      <c r="A421" s="505"/>
      <c r="B421" s="505"/>
      <c r="C421" s="505"/>
      <c r="D421" s="505"/>
      <c r="E421" s="505"/>
      <c r="F421" s="505"/>
      <c r="G421" s="505"/>
      <c r="H421" s="505"/>
      <c r="I421" s="505"/>
      <c r="J421" s="505"/>
      <c r="K421" s="517"/>
      <c r="L421" s="518"/>
      <c r="M421" s="505"/>
      <c r="N421" s="505"/>
      <c r="O421" s="505"/>
      <c r="P421" s="619"/>
      <c r="Q421" s="505"/>
      <c r="R421" s="505"/>
      <c r="S421" s="505"/>
      <c r="T421" s="505"/>
      <c r="U421" s="505"/>
      <c r="V421" s="505"/>
      <c r="W421" s="505"/>
      <c r="X421" s="505"/>
      <c r="Y421" s="505"/>
      <c r="Z421" s="505"/>
      <c r="AA421" s="505"/>
      <c r="AB421" s="505"/>
      <c r="AC421" s="505"/>
    </row>
    <row r="422" spans="1:29">
      <c r="A422" s="505"/>
      <c r="B422" s="505"/>
      <c r="C422" s="505"/>
      <c r="D422" s="505"/>
      <c r="E422" s="505"/>
      <c r="F422" s="505"/>
      <c r="G422" s="505"/>
      <c r="H422" s="505"/>
      <c r="I422" s="505"/>
      <c r="J422" s="505"/>
      <c r="K422" s="517"/>
      <c r="L422" s="518"/>
      <c r="M422" s="505"/>
      <c r="N422" s="505"/>
      <c r="O422" s="505"/>
      <c r="P422" s="619"/>
      <c r="Q422" s="505"/>
      <c r="R422" s="505"/>
      <c r="S422" s="505"/>
      <c r="T422" s="505"/>
      <c r="U422" s="505"/>
      <c r="V422" s="505"/>
      <c r="W422" s="505"/>
      <c r="X422" s="505"/>
      <c r="Y422" s="505"/>
      <c r="Z422" s="505"/>
      <c r="AA422" s="505"/>
      <c r="AB422" s="505"/>
      <c r="AC422" s="505"/>
    </row>
    <row r="423" spans="1:29">
      <c r="A423" s="505"/>
      <c r="B423" s="505"/>
      <c r="C423" s="505"/>
      <c r="D423" s="505"/>
      <c r="E423" s="505"/>
      <c r="F423" s="505"/>
      <c r="G423" s="505"/>
      <c r="H423" s="505"/>
      <c r="I423" s="505"/>
      <c r="J423" s="505"/>
      <c r="K423" s="517"/>
      <c r="L423" s="518"/>
      <c r="M423" s="505"/>
      <c r="N423" s="505"/>
      <c r="O423" s="505"/>
      <c r="P423" s="619"/>
      <c r="Q423" s="505"/>
      <c r="R423" s="505"/>
      <c r="S423" s="505"/>
      <c r="T423" s="505"/>
      <c r="U423" s="505"/>
      <c r="V423" s="505"/>
      <c r="W423" s="505"/>
      <c r="X423" s="505"/>
      <c r="Y423" s="505"/>
      <c r="Z423" s="505"/>
      <c r="AA423" s="505"/>
      <c r="AB423" s="505"/>
      <c r="AC423" s="505"/>
    </row>
    <row r="424" spans="1:29">
      <c r="A424" s="505"/>
      <c r="B424" s="505"/>
      <c r="C424" s="505"/>
      <c r="D424" s="505"/>
      <c r="E424" s="505"/>
      <c r="F424" s="505"/>
      <c r="G424" s="505"/>
      <c r="H424" s="505"/>
      <c r="I424" s="505"/>
      <c r="J424" s="505"/>
      <c r="K424" s="517"/>
      <c r="L424" s="518"/>
      <c r="M424" s="505"/>
      <c r="N424" s="505"/>
      <c r="O424" s="505"/>
      <c r="P424" s="619"/>
      <c r="Q424" s="505"/>
      <c r="R424" s="505"/>
      <c r="S424" s="505"/>
      <c r="T424" s="505"/>
      <c r="U424" s="505"/>
      <c r="V424" s="505"/>
      <c r="W424" s="505"/>
      <c r="X424" s="505"/>
      <c r="Y424" s="505"/>
      <c r="Z424" s="505"/>
      <c r="AA424" s="505"/>
      <c r="AB424" s="505"/>
      <c r="AC424" s="505"/>
    </row>
    <row r="425" spans="1:29">
      <c r="A425" s="505"/>
      <c r="B425" s="505"/>
      <c r="C425" s="505"/>
      <c r="D425" s="505"/>
      <c r="E425" s="505"/>
      <c r="F425" s="505"/>
      <c r="G425" s="505"/>
      <c r="H425" s="505"/>
      <c r="I425" s="505"/>
      <c r="J425" s="505"/>
      <c r="K425" s="517"/>
      <c r="L425" s="518"/>
      <c r="M425" s="505"/>
      <c r="N425" s="505"/>
      <c r="O425" s="505"/>
      <c r="P425" s="619"/>
      <c r="Q425" s="505"/>
      <c r="R425" s="505"/>
      <c r="S425" s="505"/>
      <c r="T425" s="505"/>
      <c r="U425" s="505"/>
      <c r="V425" s="505"/>
      <c r="W425" s="505"/>
      <c r="X425" s="505"/>
      <c r="Y425" s="505"/>
      <c r="Z425" s="505"/>
      <c r="AA425" s="505"/>
      <c r="AB425" s="505"/>
      <c r="AC425" s="505"/>
    </row>
    <row r="426" spans="1:29">
      <c r="A426" s="505"/>
      <c r="B426" s="505"/>
      <c r="C426" s="505"/>
      <c r="D426" s="505"/>
      <c r="E426" s="505"/>
      <c r="F426" s="505"/>
      <c r="G426" s="505"/>
      <c r="H426" s="505"/>
      <c r="I426" s="505"/>
      <c r="J426" s="505"/>
      <c r="K426" s="517"/>
      <c r="L426" s="518"/>
      <c r="M426" s="505"/>
      <c r="N426" s="505"/>
      <c r="O426" s="505"/>
      <c r="P426" s="619"/>
      <c r="Q426" s="505"/>
      <c r="R426" s="505"/>
      <c r="S426" s="505"/>
      <c r="T426" s="505"/>
      <c r="U426" s="505"/>
      <c r="V426" s="505"/>
      <c r="W426" s="505"/>
      <c r="X426" s="505"/>
      <c r="Y426" s="505"/>
      <c r="Z426" s="505"/>
      <c r="AA426" s="505"/>
      <c r="AB426" s="505"/>
      <c r="AC426" s="505"/>
    </row>
    <row r="427" spans="1:29">
      <c r="A427" s="505"/>
      <c r="B427" s="505"/>
      <c r="C427" s="505"/>
      <c r="D427" s="505"/>
      <c r="E427" s="505"/>
      <c r="F427" s="505"/>
      <c r="G427" s="505"/>
      <c r="H427" s="505"/>
      <c r="I427" s="505"/>
      <c r="J427" s="505"/>
      <c r="K427" s="517"/>
      <c r="L427" s="518"/>
      <c r="M427" s="505"/>
      <c r="N427" s="505"/>
      <c r="O427" s="505"/>
      <c r="P427" s="619"/>
      <c r="Q427" s="505"/>
      <c r="R427" s="505"/>
      <c r="S427" s="505"/>
      <c r="T427" s="505"/>
      <c r="U427" s="505"/>
      <c r="V427" s="505"/>
      <c r="W427" s="505"/>
      <c r="X427" s="505"/>
      <c r="Y427" s="505"/>
      <c r="Z427" s="505"/>
      <c r="AA427" s="505"/>
      <c r="AB427" s="505"/>
      <c r="AC427" s="505"/>
    </row>
    <row r="428" spans="1:29">
      <c r="A428" s="505"/>
      <c r="B428" s="505"/>
      <c r="C428" s="505"/>
      <c r="D428" s="505"/>
      <c r="E428" s="505"/>
      <c r="F428" s="505"/>
      <c r="G428" s="505"/>
      <c r="H428" s="505"/>
      <c r="I428" s="505"/>
      <c r="J428" s="505"/>
      <c r="K428" s="517"/>
      <c r="L428" s="518"/>
      <c r="M428" s="505"/>
      <c r="N428" s="505"/>
      <c r="O428" s="505"/>
      <c r="P428" s="619"/>
      <c r="Q428" s="505"/>
      <c r="R428" s="505"/>
      <c r="S428" s="505"/>
      <c r="T428" s="505"/>
      <c r="U428" s="505"/>
      <c r="V428" s="505"/>
      <c r="W428" s="505"/>
      <c r="X428" s="505"/>
      <c r="Y428" s="505"/>
      <c r="Z428" s="505"/>
      <c r="AA428" s="505"/>
      <c r="AB428" s="505"/>
      <c r="AC428" s="505"/>
    </row>
    <row r="429" spans="1:29">
      <c r="A429" s="505"/>
      <c r="B429" s="505"/>
      <c r="C429" s="505"/>
      <c r="D429" s="505"/>
      <c r="E429" s="505"/>
      <c r="F429" s="505"/>
      <c r="G429" s="505"/>
      <c r="H429" s="505"/>
      <c r="I429" s="505"/>
      <c r="J429" s="505"/>
      <c r="K429" s="517"/>
      <c r="L429" s="518"/>
      <c r="M429" s="505"/>
      <c r="N429" s="505"/>
      <c r="O429" s="505"/>
      <c r="P429" s="619"/>
      <c r="Q429" s="505"/>
      <c r="R429" s="505"/>
      <c r="S429" s="505"/>
      <c r="T429" s="505"/>
      <c r="U429" s="505"/>
      <c r="V429" s="505"/>
      <c r="W429" s="505"/>
      <c r="X429" s="505"/>
      <c r="Y429" s="505"/>
      <c r="Z429" s="505"/>
      <c r="AA429" s="505"/>
      <c r="AB429" s="505"/>
      <c r="AC429" s="505"/>
    </row>
    <row r="430" spans="1:29">
      <c r="A430" s="505"/>
      <c r="B430" s="505"/>
      <c r="C430" s="505"/>
      <c r="D430" s="505"/>
      <c r="E430" s="505"/>
      <c r="F430" s="505"/>
      <c r="G430" s="505"/>
      <c r="H430" s="505"/>
      <c r="I430" s="505"/>
      <c r="J430" s="505"/>
      <c r="K430" s="517"/>
      <c r="L430" s="518"/>
      <c r="M430" s="505"/>
      <c r="N430" s="505"/>
      <c r="O430" s="505"/>
      <c r="P430" s="619"/>
      <c r="Q430" s="505"/>
      <c r="R430" s="505"/>
      <c r="S430" s="505"/>
      <c r="T430" s="505"/>
      <c r="U430" s="505"/>
      <c r="V430" s="505"/>
      <c r="W430" s="505"/>
      <c r="X430" s="505"/>
      <c r="Y430" s="505"/>
      <c r="Z430" s="505"/>
      <c r="AA430" s="505"/>
      <c r="AB430" s="505"/>
      <c r="AC430" s="505"/>
    </row>
    <row r="431" spans="1:29">
      <c r="A431" s="505"/>
      <c r="B431" s="505"/>
      <c r="C431" s="505"/>
      <c r="D431" s="505"/>
      <c r="E431" s="505"/>
      <c r="F431" s="505"/>
      <c r="G431" s="505"/>
      <c r="H431" s="505"/>
      <c r="I431" s="505"/>
      <c r="J431" s="505"/>
      <c r="K431" s="517"/>
      <c r="L431" s="518"/>
      <c r="M431" s="505"/>
      <c r="N431" s="505"/>
      <c r="O431" s="505"/>
      <c r="P431" s="619"/>
      <c r="Q431" s="505"/>
      <c r="R431" s="505"/>
      <c r="S431" s="505"/>
      <c r="T431" s="505"/>
      <c r="U431" s="505"/>
      <c r="V431" s="505"/>
      <c r="W431" s="505"/>
      <c r="X431" s="505"/>
      <c r="Y431" s="505"/>
      <c r="Z431" s="505"/>
      <c r="AA431" s="505"/>
      <c r="AB431" s="505"/>
      <c r="AC431" s="505"/>
    </row>
    <row r="432" spans="1:29">
      <c r="A432" s="505"/>
      <c r="B432" s="505"/>
      <c r="C432" s="505"/>
      <c r="D432" s="505"/>
      <c r="E432" s="505"/>
      <c r="F432" s="505"/>
      <c r="G432" s="505"/>
      <c r="H432" s="505"/>
      <c r="I432" s="505"/>
      <c r="J432" s="505"/>
      <c r="K432" s="517"/>
      <c r="L432" s="518"/>
      <c r="M432" s="505"/>
      <c r="N432" s="505"/>
      <c r="O432" s="505"/>
      <c r="P432" s="619"/>
      <c r="Q432" s="505"/>
      <c r="R432" s="505"/>
      <c r="S432" s="505"/>
      <c r="T432" s="505"/>
      <c r="U432" s="505"/>
      <c r="V432" s="505"/>
      <c r="W432" s="505"/>
      <c r="X432" s="505"/>
      <c r="Y432" s="505"/>
      <c r="Z432" s="505"/>
      <c r="AA432" s="505"/>
      <c r="AB432" s="505"/>
      <c r="AC432" s="505"/>
    </row>
    <row r="433" spans="1:29">
      <c r="A433" s="505"/>
      <c r="B433" s="505"/>
      <c r="C433" s="505"/>
      <c r="D433" s="505"/>
      <c r="E433" s="505"/>
      <c r="F433" s="505"/>
      <c r="G433" s="505"/>
      <c r="H433" s="505"/>
      <c r="I433" s="505"/>
      <c r="J433" s="505"/>
      <c r="K433" s="517"/>
      <c r="L433" s="518"/>
      <c r="M433" s="505"/>
      <c r="N433" s="505"/>
      <c r="O433" s="505"/>
      <c r="P433" s="619"/>
      <c r="Q433" s="505"/>
      <c r="R433" s="505"/>
      <c r="S433" s="505"/>
      <c r="T433" s="505"/>
      <c r="U433" s="505"/>
      <c r="V433" s="505"/>
      <c r="W433" s="505"/>
      <c r="X433" s="505"/>
      <c r="Y433" s="505"/>
      <c r="Z433" s="505"/>
      <c r="AA433" s="505"/>
      <c r="AB433" s="505"/>
      <c r="AC433" s="505"/>
    </row>
    <row r="434" spans="1:29">
      <c r="A434" s="505"/>
      <c r="B434" s="505"/>
      <c r="C434" s="505"/>
      <c r="D434" s="505"/>
      <c r="E434" s="505"/>
      <c r="F434" s="505"/>
      <c r="G434" s="505"/>
      <c r="H434" s="505"/>
      <c r="I434" s="505"/>
      <c r="J434" s="505"/>
      <c r="K434" s="517"/>
      <c r="L434" s="518"/>
      <c r="M434" s="505"/>
      <c r="N434" s="505"/>
      <c r="O434" s="505"/>
      <c r="P434" s="619"/>
      <c r="Q434" s="505"/>
      <c r="R434" s="505"/>
      <c r="S434" s="505"/>
      <c r="T434" s="505"/>
      <c r="U434" s="505"/>
      <c r="V434" s="505"/>
      <c r="W434" s="505"/>
      <c r="X434" s="505"/>
      <c r="Y434" s="505"/>
      <c r="Z434" s="505"/>
      <c r="AA434" s="505"/>
      <c r="AB434" s="505"/>
      <c r="AC434" s="505"/>
    </row>
    <row r="435" spans="1:29">
      <c r="A435" s="505"/>
      <c r="B435" s="505"/>
      <c r="C435" s="505"/>
      <c r="D435" s="505"/>
      <c r="E435" s="505"/>
      <c r="F435" s="505"/>
      <c r="G435" s="505"/>
      <c r="H435" s="505"/>
      <c r="I435" s="505"/>
      <c r="J435" s="505"/>
      <c r="K435" s="517"/>
      <c r="L435" s="518"/>
      <c r="M435" s="505"/>
      <c r="N435" s="505"/>
      <c r="O435" s="505"/>
      <c r="P435" s="619"/>
      <c r="Q435" s="505"/>
      <c r="R435" s="505"/>
      <c r="S435" s="505"/>
      <c r="T435" s="505"/>
      <c r="U435" s="505"/>
      <c r="V435" s="505"/>
      <c r="W435" s="505"/>
      <c r="X435" s="505"/>
      <c r="Y435" s="505"/>
      <c r="Z435" s="505"/>
      <c r="AA435" s="505"/>
      <c r="AB435" s="505"/>
      <c r="AC435" s="505"/>
    </row>
    <row r="436" spans="1:29">
      <c r="A436" s="505"/>
      <c r="B436" s="505"/>
      <c r="C436" s="505"/>
      <c r="D436" s="505"/>
      <c r="E436" s="505"/>
      <c r="F436" s="505"/>
      <c r="G436" s="505"/>
      <c r="H436" s="505"/>
      <c r="I436" s="505"/>
      <c r="J436" s="505"/>
      <c r="K436" s="517"/>
      <c r="L436" s="518"/>
      <c r="M436" s="505"/>
      <c r="N436" s="505"/>
      <c r="O436" s="505"/>
      <c r="P436" s="619"/>
      <c r="Q436" s="505"/>
      <c r="R436" s="505"/>
      <c r="S436" s="505"/>
      <c r="T436" s="505"/>
      <c r="U436" s="505"/>
      <c r="V436" s="505"/>
      <c r="W436" s="505"/>
      <c r="X436" s="505"/>
      <c r="Y436" s="505"/>
      <c r="Z436" s="505"/>
      <c r="AA436" s="505"/>
      <c r="AB436" s="505"/>
      <c r="AC436" s="505"/>
    </row>
    <row r="437" spans="1:29">
      <c r="A437" s="505"/>
      <c r="B437" s="505"/>
      <c r="C437" s="505"/>
      <c r="D437" s="505"/>
      <c r="E437" s="505"/>
      <c r="F437" s="505"/>
      <c r="G437" s="505"/>
      <c r="H437" s="505"/>
      <c r="I437" s="505"/>
      <c r="J437" s="505"/>
      <c r="K437" s="517"/>
      <c r="L437" s="518"/>
      <c r="M437" s="505"/>
      <c r="N437" s="505"/>
      <c r="O437" s="505"/>
      <c r="P437" s="619"/>
      <c r="Q437" s="505"/>
      <c r="R437" s="505"/>
      <c r="S437" s="505"/>
      <c r="T437" s="505"/>
      <c r="U437" s="505"/>
      <c r="V437" s="505"/>
      <c r="W437" s="505"/>
      <c r="X437" s="505"/>
      <c r="Y437" s="505"/>
      <c r="Z437" s="505"/>
      <c r="AA437" s="505"/>
      <c r="AB437" s="505"/>
      <c r="AC437" s="505"/>
    </row>
    <row r="438" spans="1:29">
      <c r="A438" s="505"/>
      <c r="B438" s="505"/>
      <c r="C438" s="505"/>
      <c r="D438" s="505"/>
      <c r="E438" s="505"/>
      <c r="F438" s="505"/>
      <c r="G438" s="505"/>
      <c r="H438" s="505"/>
      <c r="I438" s="505"/>
      <c r="J438" s="505"/>
      <c r="K438" s="517"/>
      <c r="L438" s="518"/>
      <c r="M438" s="505"/>
      <c r="N438" s="505"/>
      <c r="O438" s="505"/>
      <c r="P438" s="619"/>
      <c r="Q438" s="505"/>
      <c r="R438" s="505"/>
      <c r="S438" s="505"/>
      <c r="T438" s="505"/>
      <c r="U438" s="505"/>
      <c r="V438" s="505"/>
      <c r="W438" s="505"/>
      <c r="X438" s="505"/>
      <c r="Y438" s="505"/>
      <c r="Z438" s="505"/>
      <c r="AA438" s="505"/>
      <c r="AB438" s="505"/>
      <c r="AC438" s="505"/>
    </row>
    <row r="439" spans="1:29">
      <c r="A439" s="505"/>
      <c r="B439" s="505"/>
      <c r="C439" s="505"/>
      <c r="D439" s="505"/>
      <c r="E439" s="505"/>
      <c r="F439" s="505"/>
      <c r="G439" s="505"/>
      <c r="H439" s="505"/>
      <c r="I439" s="505"/>
      <c r="J439" s="505"/>
      <c r="K439" s="517"/>
      <c r="L439" s="518"/>
      <c r="M439" s="505"/>
      <c r="N439" s="505"/>
      <c r="O439" s="505"/>
      <c r="P439" s="619"/>
      <c r="Q439" s="505"/>
      <c r="R439" s="505"/>
      <c r="S439" s="505"/>
      <c r="T439" s="505"/>
      <c r="U439" s="505"/>
      <c r="V439" s="505"/>
      <c r="W439" s="505"/>
      <c r="X439" s="505"/>
      <c r="Y439" s="505"/>
      <c r="Z439" s="505"/>
      <c r="AA439" s="505"/>
      <c r="AB439" s="505"/>
      <c r="AC439" s="505"/>
    </row>
    <row r="440" spans="1:29">
      <c r="A440" s="505"/>
      <c r="B440" s="505"/>
      <c r="C440" s="505"/>
      <c r="D440" s="505"/>
      <c r="E440" s="505"/>
      <c r="F440" s="505"/>
      <c r="G440" s="505"/>
      <c r="H440" s="505"/>
      <c r="I440" s="505"/>
      <c r="J440" s="505"/>
      <c r="K440" s="517"/>
      <c r="L440" s="518"/>
      <c r="M440" s="505"/>
      <c r="N440" s="505"/>
      <c r="O440" s="505"/>
      <c r="P440" s="619"/>
      <c r="Q440" s="505"/>
      <c r="R440" s="505"/>
      <c r="S440" s="505"/>
      <c r="T440" s="505"/>
      <c r="U440" s="505"/>
      <c r="V440" s="505"/>
      <c r="W440" s="505"/>
      <c r="X440" s="505"/>
      <c r="Y440" s="505"/>
      <c r="Z440" s="505"/>
      <c r="AA440" s="505"/>
      <c r="AB440" s="505"/>
      <c r="AC440" s="505"/>
    </row>
    <row r="441" spans="1:29">
      <c r="A441" s="505"/>
      <c r="B441" s="505"/>
      <c r="C441" s="505"/>
      <c r="D441" s="505"/>
      <c r="E441" s="505"/>
      <c r="F441" s="505"/>
      <c r="G441" s="505"/>
      <c r="H441" s="505"/>
      <c r="I441" s="505"/>
      <c r="J441" s="505"/>
      <c r="K441" s="517"/>
      <c r="L441" s="518"/>
      <c r="M441" s="505"/>
      <c r="N441" s="505"/>
      <c r="O441" s="505"/>
      <c r="P441" s="619"/>
      <c r="Q441" s="505"/>
      <c r="R441" s="505"/>
      <c r="S441" s="505"/>
      <c r="T441" s="505"/>
      <c r="U441" s="505"/>
      <c r="V441" s="505"/>
      <c r="W441" s="505"/>
      <c r="X441" s="505"/>
      <c r="Y441" s="505"/>
      <c r="Z441" s="505"/>
      <c r="AA441" s="505"/>
      <c r="AB441" s="505"/>
      <c r="AC441" s="505"/>
    </row>
    <row r="442" spans="1:29">
      <c r="A442" s="505"/>
      <c r="B442" s="505"/>
      <c r="C442" s="505"/>
      <c r="D442" s="505"/>
      <c r="E442" s="505"/>
      <c r="F442" s="505"/>
      <c r="G442" s="505"/>
      <c r="H442" s="505"/>
      <c r="I442" s="505"/>
      <c r="J442" s="505"/>
      <c r="K442" s="517"/>
      <c r="L442" s="518"/>
      <c r="M442" s="505"/>
      <c r="N442" s="505"/>
      <c r="O442" s="505"/>
      <c r="P442" s="619"/>
      <c r="Q442" s="505"/>
      <c r="R442" s="505"/>
      <c r="S442" s="505"/>
      <c r="T442" s="505"/>
      <c r="U442" s="505"/>
      <c r="V442" s="505"/>
      <c r="W442" s="505"/>
      <c r="X442" s="505"/>
      <c r="Y442" s="505"/>
      <c r="Z442" s="505"/>
      <c r="AA442" s="505"/>
      <c r="AB442" s="505"/>
      <c r="AC442" s="505"/>
    </row>
    <row r="443" spans="1:29">
      <c r="A443" s="505"/>
      <c r="B443" s="505"/>
      <c r="C443" s="505"/>
      <c r="D443" s="505"/>
      <c r="E443" s="505"/>
      <c r="F443" s="505"/>
      <c r="G443" s="505"/>
      <c r="H443" s="505"/>
      <c r="I443" s="505"/>
      <c r="J443" s="505"/>
      <c r="K443" s="517"/>
      <c r="L443" s="518"/>
      <c r="M443" s="505"/>
      <c r="N443" s="505"/>
      <c r="O443" s="505"/>
      <c r="P443" s="619"/>
      <c r="Q443" s="505"/>
      <c r="R443" s="505"/>
      <c r="S443" s="505"/>
      <c r="T443" s="505"/>
      <c r="U443" s="505"/>
      <c r="V443" s="505"/>
      <c r="W443" s="505"/>
      <c r="X443" s="505"/>
      <c r="Y443" s="505"/>
      <c r="Z443" s="505"/>
      <c r="AA443" s="505"/>
      <c r="AB443" s="505"/>
      <c r="AC443" s="505"/>
    </row>
    <row r="444" spans="1:29">
      <c r="A444" s="505"/>
      <c r="B444" s="505"/>
      <c r="C444" s="505"/>
      <c r="D444" s="505"/>
      <c r="E444" s="505"/>
      <c r="F444" s="505"/>
      <c r="G444" s="505"/>
      <c r="H444" s="505"/>
      <c r="I444" s="505"/>
      <c r="J444" s="505"/>
      <c r="K444" s="517"/>
      <c r="L444" s="518"/>
      <c r="M444" s="505"/>
      <c r="N444" s="505"/>
      <c r="O444" s="505"/>
      <c r="P444" s="619"/>
      <c r="Q444" s="505"/>
      <c r="R444" s="505"/>
      <c r="S444" s="505"/>
      <c r="T444" s="505"/>
      <c r="U444" s="505"/>
      <c r="V444" s="505"/>
      <c r="W444" s="505"/>
      <c r="X444" s="505"/>
      <c r="Y444" s="505"/>
      <c r="Z444" s="505"/>
      <c r="AA444" s="505"/>
      <c r="AB444" s="505"/>
      <c r="AC444" s="505"/>
    </row>
    <row r="445" spans="1:29">
      <c r="A445" s="505"/>
      <c r="B445" s="505"/>
      <c r="C445" s="505"/>
      <c r="D445" s="505"/>
      <c r="E445" s="505"/>
      <c r="F445" s="505"/>
      <c r="G445" s="505"/>
      <c r="H445" s="505"/>
      <c r="I445" s="505"/>
      <c r="J445" s="505"/>
      <c r="K445" s="517"/>
      <c r="L445" s="518"/>
      <c r="M445" s="505"/>
      <c r="N445" s="505"/>
      <c r="O445" s="505"/>
      <c r="P445" s="619"/>
      <c r="Q445" s="505"/>
      <c r="R445" s="505"/>
      <c r="S445" s="505"/>
      <c r="T445" s="505"/>
      <c r="U445" s="505"/>
      <c r="V445" s="505"/>
      <c r="W445" s="505"/>
      <c r="X445" s="505"/>
      <c r="Y445" s="505"/>
      <c r="Z445" s="505"/>
      <c r="AA445" s="505"/>
      <c r="AB445" s="505"/>
      <c r="AC445" s="505"/>
    </row>
    <row r="446" spans="1:29">
      <c r="A446" s="505"/>
      <c r="B446" s="505"/>
      <c r="C446" s="505"/>
      <c r="D446" s="505"/>
      <c r="E446" s="505"/>
      <c r="F446" s="505"/>
      <c r="G446" s="505"/>
      <c r="H446" s="505"/>
      <c r="I446" s="505"/>
      <c r="J446" s="505"/>
      <c r="K446" s="517"/>
      <c r="L446" s="518"/>
      <c r="M446" s="505"/>
      <c r="N446" s="505"/>
      <c r="O446" s="505"/>
      <c r="P446" s="619"/>
      <c r="Q446" s="505"/>
      <c r="R446" s="505"/>
      <c r="S446" s="505"/>
      <c r="T446" s="505"/>
      <c r="U446" s="505"/>
      <c r="V446" s="505"/>
      <c r="W446" s="505"/>
      <c r="X446" s="505"/>
      <c r="Y446" s="505"/>
      <c r="Z446" s="505"/>
      <c r="AA446" s="505"/>
      <c r="AB446" s="505"/>
      <c r="AC446" s="505"/>
    </row>
    <row r="447" spans="1:29">
      <c r="A447" s="505"/>
      <c r="B447" s="505"/>
      <c r="C447" s="505"/>
      <c r="D447" s="505"/>
      <c r="E447" s="505"/>
      <c r="F447" s="505"/>
      <c r="G447" s="505"/>
      <c r="H447" s="505"/>
      <c r="I447" s="505"/>
      <c r="J447" s="505"/>
      <c r="K447" s="517"/>
      <c r="L447" s="518"/>
      <c r="M447" s="505"/>
      <c r="N447" s="505"/>
      <c r="O447" s="505"/>
      <c r="P447" s="619"/>
      <c r="Q447" s="505"/>
      <c r="R447" s="505"/>
      <c r="S447" s="505"/>
      <c r="T447" s="505"/>
      <c r="U447" s="505"/>
      <c r="V447" s="505"/>
      <c r="W447" s="505"/>
      <c r="X447" s="505"/>
      <c r="Y447" s="505"/>
      <c r="Z447" s="505"/>
      <c r="AA447" s="505"/>
      <c r="AB447" s="505"/>
      <c r="AC447" s="505"/>
    </row>
    <row r="448" spans="1:29">
      <c r="A448" s="505"/>
      <c r="B448" s="505"/>
      <c r="C448" s="505"/>
      <c r="D448" s="505"/>
      <c r="E448" s="505"/>
      <c r="F448" s="505"/>
      <c r="G448" s="505"/>
      <c r="H448" s="505"/>
      <c r="I448" s="505"/>
      <c r="J448" s="505"/>
      <c r="K448" s="517"/>
      <c r="L448" s="518"/>
      <c r="M448" s="505"/>
      <c r="N448" s="505"/>
      <c r="O448" s="505"/>
      <c r="P448" s="619"/>
      <c r="Q448" s="505"/>
      <c r="R448" s="505"/>
      <c r="S448" s="505"/>
      <c r="T448" s="505"/>
      <c r="U448" s="505"/>
      <c r="V448" s="505"/>
      <c r="W448" s="505"/>
      <c r="X448" s="505"/>
      <c r="Y448" s="505"/>
      <c r="Z448" s="505"/>
      <c r="AA448" s="505"/>
      <c r="AB448" s="505"/>
      <c r="AC448" s="505"/>
    </row>
    <row r="449" spans="1:29">
      <c r="A449" s="505"/>
      <c r="B449" s="505"/>
      <c r="C449" s="505"/>
      <c r="D449" s="505"/>
      <c r="E449" s="505"/>
      <c r="F449" s="505"/>
      <c r="G449" s="505"/>
      <c r="H449" s="505"/>
      <c r="I449" s="505"/>
      <c r="J449" s="505"/>
      <c r="K449" s="517"/>
      <c r="L449" s="518"/>
      <c r="M449" s="505"/>
      <c r="N449" s="505"/>
      <c r="O449" s="505"/>
      <c r="P449" s="619"/>
      <c r="Q449" s="505"/>
      <c r="R449" s="505"/>
      <c r="S449" s="505"/>
      <c r="T449" s="505"/>
      <c r="U449" s="505"/>
      <c r="V449" s="505"/>
      <c r="W449" s="505"/>
      <c r="X449" s="505"/>
      <c r="Y449" s="505"/>
      <c r="Z449" s="505"/>
      <c r="AA449" s="505"/>
      <c r="AB449" s="505"/>
      <c r="AC449" s="505"/>
    </row>
    <row r="450" spans="1:29">
      <c r="A450" s="505"/>
      <c r="B450" s="505"/>
      <c r="C450" s="505"/>
      <c r="D450" s="505"/>
      <c r="E450" s="505"/>
      <c r="F450" s="505"/>
      <c r="G450" s="505"/>
      <c r="H450" s="505"/>
      <c r="I450" s="505"/>
      <c r="J450" s="505"/>
      <c r="K450" s="517"/>
      <c r="L450" s="518"/>
      <c r="M450" s="505"/>
      <c r="N450" s="505"/>
      <c r="O450" s="505"/>
      <c r="P450" s="619"/>
      <c r="Q450" s="505"/>
      <c r="R450" s="505"/>
      <c r="S450" s="505"/>
      <c r="T450" s="505"/>
      <c r="U450" s="505"/>
      <c r="V450" s="505"/>
      <c r="W450" s="505"/>
      <c r="X450" s="505"/>
      <c r="Y450" s="505"/>
      <c r="Z450" s="505"/>
      <c r="AA450" s="505"/>
      <c r="AB450" s="505"/>
      <c r="AC450" s="505"/>
    </row>
    <row r="451" spans="1:29">
      <c r="A451" s="505"/>
      <c r="B451" s="505"/>
      <c r="C451" s="505"/>
      <c r="D451" s="505"/>
      <c r="E451" s="505"/>
      <c r="F451" s="505"/>
      <c r="G451" s="505"/>
      <c r="H451" s="505"/>
      <c r="I451" s="505"/>
      <c r="J451" s="505"/>
      <c r="K451" s="517"/>
      <c r="L451" s="518"/>
      <c r="M451" s="505"/>
      <c r="N451" s="505"/>
      <c r="O451" s="505"/>
      <c r="P451" s="619"/>
      <c r="Q451" s="505"/>
      <c r="R451" s="505"/>
      <c r="S451" s="505"/>
      <c r="T451" s="505"/>
      <c r="U451" s="505"/>
      <c r="V451" s="505"/>
      <c r="W451" s="505"/>
      <c r="X451" s="505"/>
      <c r="Y451" s="505"/>
      <c r="Z451" s="505"/>
      <c r="AA451" s="505"/>
      <c r="AB451" s="505"/>
      <c r="AC451" s="505"/>
    </row>
    <row r="452" spans="1:29">
      <c r="A452" s="505"/>
      <c r="B452" s="505"/>
      <c r="C452" s="505"/>
      <c r="D452" s="505"/>
      <c r="E452" s="505"/>
      <c r="F452" s="505"/>
      <c r="G452" s="505"/>
      <c r="H452" s="505"/>
      <c r="I452" s="505"/>
      <c r="J452" s="505"/>
      <c r="K452" s="517"/>
      <c r="L452" s="518"/>
      <c r="M452" s="505"/>
      <c r="N452" s="505"/>
      <c r="O452" s="505"/>
      <c r="P452" s="619"/>
      <c r="Q452" s="505"/>
      <c r="R452" s="505"/>
      <c r="S452" s="505"/>
      <c r="T452" s="505"/>
      <c r="U452" s="505"/>
      <c r="V452" s="505"/>
      <c r="W452" s="505"/>
      <c r="X452" s="505"/>
      <c r="Y452" s="505"/>
      <c r="Z452" s="505"/>
      <c r="AA452" s="505"/>
      <c r="AB452" s="505"/>
      <c r="AC452" s="505"/>
    </row>
    <row r="453" spans="1:29">
      <c r="A453" s="505"/>
      <c r="B453" s="505"/>
      <c r="C453" s="505"/>
      <c r="D453" s="505"/>
      <c r="E453" s="505"/>
      <c r="F453" s="505"/>
      <c r="G453" s="505"/>
      <c r="H453" s="505"/>
      <c r="I453" s="505"/>
      <c r="J453" s="505"/>
      <c r="K453" s="517"/>
      <c r="L453" s="518"/>
      <c r="M453" s="505"/>
      <c r="N453" s="505"/>
      <c r="O453" s="505"/>
      <c r="P453" s="619"/>
      <c r="Q453" s="505"/>
      <c r="R453" s="505"/>
      <c r="S453" s="505"/>
      <c r="T453" s="505"/>
      <c r="U453" s="505"/>
      <c r="V453" s="505"/>
      <c r="W453" s="505"/>
      <c r="X453" s="505"/>
      <c r="Y453" s="505"/>
      <c r="Z453" s="505"/>
      <c r="AA453" s="505"/>
      <c r="AB453" s="505"/>
      <c r="AC453" s="505"/>
    </row>
    <row r="454" spans="1:29">
      <c r="A454" s="505"/>
      <c r="B454" s="505"/>
      <c r="C454" s="505"/>
      <c r="D454" s="505"/>
      <c r="E454" s="505"/>
      <c r="F454" s="505"/>
      <c r="G454" s="505"/>
      <c r="H454" s="505"/>
      <c r="I454" s="505"/>
      <c r="J454" s="505"/>
      <c r="K454" s="517"/>
      <c r="L454" s="518"/>
      <c r="M454" s="505"/>
      <c r="N454" s="505"/>
      <c r="O454" s="505"/>
      <c r="P454" s="619"/>
      <c r="Q454" s="505"/>
      <c r="R454" s="505"/>
      <c r="S454" s="505"/>
      <c r="T454" s="505"/>
      <c r="U454" s="505"/>
      <c r="V454" s="505"/>
      <c r="W454" s="505"/>
      <c r="X454" s="505"/>
      <c r="Y454" s="505"/>
      <c r="Z454" s="505"/>
      <c r="AA454" s="505"/>
      <c r="AB454" s="505"/>
      <c r="AC454" s="505"/>
    </row>
    <row r="455" spans="1:29">
      <c r="A455" s="505"/>
      <c r="B455" s="505"/>
      <c r="C455" s="505"/>
      <c r="D455" s="505"/>
      <c r="E455" s="505"/>
      <c r="F455" s="505"/>
      <c r="G455" s="505"/>
      <c r="H455" s="505"/>
      <c r="I455" s="505"/>
      <c r="J455" s="505"/>
      <c r="K455" s="517"/>
      <c r="L455" s="518"/>
      <c r="M455" s="505"/>
      <c r="N455" s="505"/>
      <c r="O455" s="505"/>
      <c r="P455" s="619"/>
      <c r="Q455" s="505"/>
      <c r="R455" s="505"/>
      <c r="S455" s="505"/>
      <c r="T455" s="505"/>
      <c r="U455" s="505"/>
      <c r="V455" s="505"/>
      <c r="W455" s="505"/>
      <c r="X455" s="505"/>
      <c r="Y455" s="505"/>
      <c r="Z455" s="505"/>
      <c r="AA455" s="505"/>
      <c r="AB455" s="505"/>
      <c r="AC455" s="505"/>
    </row>
    <row r="456" spans="1:29">
      <c r="A456" s="505"/>
      <c r="B456" s="505"/>
      <c r="C456" s="505"/>
      <c r="D456" s="505"/>
      <c r="E456" s="505"/>
      <c r="F456" s="505"/>
      <c r="G456" s="505"/>
      <c r="H456" s="505"/>
      <c r="I456" s="505"/>
      <c r="J456" s="505"/>
      <c r="K456" s="517"/>
      <c r="L456" s="518"/>
      <c r="M456" s="505"/>
      <c r="N456" s="505"/>
      <c r="O456" s="505"/>
      <c r="P456" s="619"/>
      <c r="Q456" s="505"/>
      <c r="R456" s="505"/>
      <c r="S456" s="505"/>
      <c r="T456" s="505"/>
      <c r="U456" s="505"/>
      <c r="V456" s="505"/>
      <c r="W456" s="505"/>
      <c r="X456" s="505"/>
      <c r="Y456" s="505"/>
      <c r="Z456" s="505"/>
      <c r="AA456" s="505"/>
      <c r="AB456" s="505"/>
      <c r="AC456" s="505"/>
    </row>
    <row r="457" spans="1:29">
      <c r="A457" s="505"/>
      <c r="B457" s="505"/>
      <c r="C457" s="505"/>
      <c r="D457" s="505"/>
      <c r="E457" s="505"/>
      <c r="F457" s="505"/>
      <c r="G457" s="505"/>
      <c r="H457" s="505"/>
      <c r="I457" s="505"/>
      <c r="J457" s="505"/>
      <c r="K457" s="517"/>
      <c r="L457" s="518"/>
      <c r="M457" s="505"/>
      <c r="N457" s="505"/>
      <c r="O457" s="505"/>
      <c r="P457" s="619"/>
      <c r="Q457" s="505"/>
      <c r="R457" s="505"/>
      <c r="S457" s="505"/>
      <c r="T457" s="505"/>
      <c r="U457" s="505"/>
      <c r="V457" s="505"/>
      <c r="W457" s="505"/>
      <c r="X457" s="505"/>
      <c r="Y457" s="505"/>
      <c r="Z457" s="505"/>
      <c r="AA457" s="505"/>
      <c r="AB457" s="505"/>
      <c r="AC457" s="505"/>
    </row>
    <row r="458" spans="1:29">
      <c r="A458" s="505"/>
      <c r="B458" s="505"/>
      <c r="C458" s="505"/>
      <c r="D458" s="505"/>
      <c r="E458" s="505"/>
      <c r="F458" s="505"/>
      <c r="G458" s="505"/>
      <c r="H458" s="505"/>
      <c r="I458" s="505"/>
      <c r="J458" s="505"/>
      <c r="K458" s="517"/>
      <c r="L458" s="518"/>
      <c r="M458" s="505"/>
      <c r="N458" s="505"/>
      <c r="O458" s="505"/>
      <c r="P458" s="619"/>
      <c r="Q458" s="505"/>
      <c r="R458" s="505"/>
      <c r="S458" s="505"/>
      <c r="T458" s="505"/>
      <c r="U458" s="505"/>
      <c r="V458" s="505"/>
      <c r="W458" s="505"/>
      <c r="X458" s="505"/>
      <c r="Y458" s="505"/>
      <c r="Z458" s="505"/>
      <c r="AA458" s="505"/>
      <c r="AB458" s="505"/>
      <c r="AC458" s="505"/>
    </row>
    <row r="459" spans="1:29">
      <c r="A459" s="505"/>
      <c r="B459" s="505"/>
      <c r="C459" s="505"/>
      <c r="D459" s="505"/>
      <c r="E459" s="505"/>
      <c r="F459" s="505"/>
      <c r="G459" s="505"/>
      <c r="H459" s="505"/>
      <c r="I459" s="505"/>
      <c r="J459" s="505"/>
      <c r="K459" s="517"/>
      <c r="L459" s="518"/>
      <c r="M459" s="505"/>
      <c r="N459" s="505"/>
      <c r="O459" s="505"/>
      <c r="P459" s="619"/>
      <c r="Q459" s="505"/>
      <c r="R459" s="505"/>
      <c r="S459" s="505"/>
      <c r="T459" s="505"/>
      <c r="U459" s="505"/>
      <c r="V459" s="505"/>
      <c r="W459" s="505"/>
      <c r="X459" s="505"/>
      <c r="Y459" s="505"/>
      <c r="Z459" s="505"/>
      <c r="AA459" s="505"/>
      <c r="AB459" s="505"/>
      <c r="AC459" s="505"/>
    </row>
    <row r="460" spans="1:29">
      <c r="A460" s="505"/>
      <c r="B460" s="505"/>
      <c r="C460" s="505"/>
      <c r="D460" s="505"/>
      <c r="E460" s="505"/>
      <c r="F460" s="505"/>
      <c r="G460" s="505"/>
      <c r="H460" s="505"/>
      <c r="I460" s="505"/>
      <c r="J460" s="505"/>
      <c r="K460" s="517"/>
      <c r="L460" s="518"/>
      <c r="M460" s="505"/>
      <c r="N460" s="505"/>
      <c r="O460" s="505"/>
      <c r="P460" s="619"/>
      <c r="Q460" s="505"/>
      <c r="R460" s="505"/>
      <c r="S460" s="505"/>
      <c r="T460" s="505"/>
      <c r="U460" s="505"/>
      <c r="V460" s="505"/>
      <c r="W460" s="505"/>
      <c r="X460" s="505"/>
      <c r="Y460" s="505"/>
      <c r="Z460" s="505"/>
      <c r="AA460" s="505"/>
      <c r="AB460" s="505"/>
      <c r="AC460" s="505"/>
    </row>
    <row r="461" spans="1:29">
      <c r="A461" s="505"/>
      <c r="B461" s="505"/>
      <c r="C461" s="505"/>
      <c r="D461" s="505"/>
      <c r="E461" s="505"/>
      <c r="F461" s="505"/>
      <c r="G461" s="505"/>
      <c r="H461" s="505"/>
      <c r="I461" s="505"/>
      <c r="J461" s="505"/>
      <c r="K461" s="517"/>
      <c r="L461" s="518"/>
      <c r="M461" s="505"/>
      <c r="N461" s="505"/>
      <c r="O461" s="505"/>
      <c r="P461" s="619"/>
      <c r="Q461" s="505"/>
      <c r="R461" s="505"/>
      <c r="S461" s="505"/>
      <c r="T461" s="505"/>
      <c r="U461" s="505"/>
      <c r="V461" s="505"/>
      <c r="W461" s="505"/>
      <c r="X461" s="505"/>
      <c r="Y461" s="505"/>
      <c r="Z461" s="505"/>
      <c r="AA461" s="505"/>
      <c r="AB461" s="505"/>
      <c r="AC461" s="505"/>
    </row>
    <row r="462" spans="1:29">
      <c r="A462" s="505"/>
      <c r="B462" s="505"/>
      <c r="C462" s="505"/>
      <c r="D462" s="505"/>
      <c r="E462" s="505"/>
      <c r="F462" s="505"/>
      <c r="G462" s="505"/>
      <c r="H462" s="505"/>
      <c r="I462" s="505"/>
      <c r="J462" s="505"/>
      <c r="K462" s="517"/>
      <c r="L462" s="518"/>
      <c r="M462" s="505"/>
      <c r="N462" s="505"/>
      <c r="O462" s="505"/>
      <c r="P462" s="619"/>
      <c r="Q462" s="505"/>
      <c r="R462" s="505"/>
      <c r="S462" s="505"/>
      <c r="T462" s="505"/>
      <c r="U462" s="505"/>
      <c r="V462" s="505"/>
      <c r="W462" s="505"/>
      <c r="X462" s="505"/>
      <c r="Y462" s="505"/>
      <c r="Z462" s="505"/>
      <c r="AA462" s="505"/>
      <c r="AB462" s="505"/>
      <c r="AC462" s="505"/>
    </row>
    <row r="463" spans="1:29">
      <c r="A463" s="505"/>
      <c r="B463" s="505"/>
      <c r="C463" s="505"/>
      <c r="D463" s="505"/>
      <c r="E463" s="505"/>
      <c r="F463" s="505"/>
      <c r="G463" s="505"/>
      <c r="H463" s="505"/>
      <c r="I463" s="505"/>
      <c r="J463" s="505"/>
      <c r="K463" s="517"/>
      <c r="L463" s="518"/>
      <c r="M463" s="505"/>
      <c r="N463" s="505"/>
      <c r="O463" s="505"/>
      <c r="P463" s="619"/>
      <c r="Q463" s="505"/>
      <c r="R463" s="505"/>
      <c r="S463" s="505"/>
      <c r="T463" s="505"/>
      <c r="U463" s="505"/>
      <c r="V463" s="505"/>
      <c r="W463" s="505"/>
      <c r="X463" s="505"/>
      <c r="Y463" s="505"/>
      <c r="Z463" s="505"/>
      <c r="AA463" s="505"/>
      <c r="AB463" s="505"/>
      <c r="AC463" s="505"/>
    </row>
    <row r="464" spans="1:29">
      <c r="A464" s="505"/>
      <c r="B464" s="505"/>
      <c r="C464" s="505"/>
      <c r="D464" s="505"/>
      <c r="E464" s="505"/>
      <c r="F464" s="505"/>
      <c r="G464" s="505"/>
      <c r="H464" s="505"/>
      <c r="I464" s="505"/>
      <c r="J464" s="505"/>
      <c r="K464" s="517"/>
      <c r="L464" s="518"/>
      <c r="M464" s="505"/>
      <c r="N464" s="505"/>
      <c r="O464" s="505"/>
      <c r="P464" s="619"/>
      <c r="Q464" s="505"/>
      <c r="R464" s="505"/>
      <c r="S464" s="505"/>
      <c r="T464" s="505"/>
      <c r="U464" s="505"/>
      <c r="V464" s="505"/>
      <c r="W464" s="505"/>
      <c r="X464" s="505"/>
      <c r="Y464" s="505"/>
      <c r="Z464" s="505"/>
      <c r="AA464" s="505"/>
      <c r="AB464" s="505"/>
      <c r="AC464" s="505"/>
    </row>
    <row r="465" spans="1:29">
      <c r="A465" s="505"/>
      <c r="B465" s="505"/>
      <c r="C465" s="505"/>
      <c r="D465" s="505"/>
      <c r="E465" s="505"/>
      <c r="F465" s="505"/>
      <c r="G465" s="505"/>
      <c r="H465" s="505"/>
      <c r="I465" s="505"/>
      <c r="J465" s="505"/>
      <c r="K465" s="517"/>
      <c r="L465" s="518"/>
      <c r="M465" s="505"/>
      <c r="N465" s="505"/>
      <c r="O465" s="505"/>
      <c r="P465" s="619"/>
      <c r="Q465" s="505"/>
      <c r="R465" s="505"/>
      <c r="S465" s="505"/>
      <c r="T465" s="505"/>
      <c r="U465" s="505"/>
      <c r="V465" s="505"/>
      <c r="W465" s="505"/>
      <c r="X465" s="505"/>
      <c r="Y465" s="505"/>
      <c r="Z465" s="505"/>
      <c r="AA465" s="505"/>
      <c r="AB465" s="505"/>
      <c r="AC465" s="505"/>
    </row>
    <row r="466" spans="1:29">
      <c r="A466" s="505"/>
      <c r="B466" s="505"/>
      <c r="C466" s="505"/>
      <c r="D466" s="505"/>
      <c r="E466" s="505"/>
      <c r="F466" s="505"/>
      <c r="G466" s="505"/>
      <c r="H466" s="505"/>
      <c r="I466" s="505"/>
      <c r="J466" s="505"/>
      <c r="K466" s="517"/>
      <c r="L466" s="518"/>
      <c r="M466" s="505"/>
      <c r="N466" s="505"/>
      <c r="O466" s="505"/>
      <c r="P466" s="619"/>
      <c r="Q466" s="505"/>
      <c r="R466" s="505"/>
      <c r="S466" s="505"/>
      <c r="T466" s="505"/>
      <c r="U466" s="505"/>
      <c r="V466" s="505"/>
      <c r="W466" s="505"/>
      <c r="X466" s="505"/>
      <c r="Y466" s="505"/>
      <c r="Z466" s="505"/>
      <c r="AA466" s="505"/>
      <c r="AB466" s="505"/>
      <c r="AC466" s="505"/>
    </row>
    <row r="467" spans="1:29">
      <c r="A467" s="505"/>
      <c r="B467" s="505"/>
      <c r="C467" s="505"/>
      <c r="D467" s="505"/>
      <c r="E467" s="505"/>
      <c r="F467" s="505"/>
      <c r="G467" s="505"/>
      <c r="H467" s="505"/>
      <c r="I467" s="505"/>
      <c r="J467" s="505"/>
      <c r="K467" s="517"/>
      <c r="L467" s="518"/>
      <c r="M467" s="505"/>
      <c r="N467" s="505"/>
      <c r="O467" s="505"/>
      <c r="P467" s="619"/>
      <c r="Q467" s="505"/>
      <c r="R467" s="505"/>
      <c r="S467" s="505"/>
      <c r="T467" s="505"/>
      <c r="U467" s="505"/>
      <c r="V467" s="505"/>
      <c r="W467" s="505"/>
      <c r="X467" s="505"/>
      <c r="Y467" s="505"/>
      <c r="Z467" s="505"/>
      <c r="AA467" s="505"/>
      <c r="AB467" s="505"/>
      <c r="AC467" s="505"/>
    </row>
    <row r="468" spans="1:29">
      <c r="A468" s="505"/>
      <c r="B468" s="505"/>
      <c r="C468" s="505"/>
      <c r="D468" s="505"/>
      <c r="E468" s="505"/>
      <c r="F468" s="505"/>
      <c r="G468" s="505"/>
      <c r="H468" s="505"/>
      <c r="I468" s="505"/>
      <c r="J468" s="505"/>
      <c r="K468" s="517"/>
      <c r="L468" s="518"/>
      <c r="M468" s="505"/>
      <c r="N468" s="505"/>
      <c r="O468" s="505"/>
      <c r="P468" s="619"/>
      <c r="Q468" s="505"/>
      <c r="R468" s="505"/>
      <c r="S468" s="505"/>
      <c r="T468" s="505"/>
      <c r="U468" s="505"/>
      <c r="V468" s="505"/>
      <c r="W468" s="505"/>
      <c r="X468" s="505"/>
      <c r="Y468" s="505"/>
      <c r="Z468" s="505"/>
      <c r="AA468" s="505"/>
      <c r="AB468" s="505"/>
      <c r="AC468" s="505"/>
    </row>
    <row r="469" spans="1:29">
      <c r="A469" s="505"/>
      <c r="B469" s="505"/>
      <c r="C469" s="505"/>
      <c r="D469" s="505"/>
      <c r="E469" s="505"/>
      <c r="F469" s="505"/>
      <c r="G469" s="505"/>
      <c r="H469" s="505"/>
      <c r="I469" s="505"/>
      <c r="J469" s="505"/>
      <c r="K469" s="517"/>
      <c r="L469" s="518"/>
      <c r="M469" s="505"/>
      <c r="N469" s="505"/>
      <c r="O469" s="505"/>
      <c r="P469" s="619"/>
      <c r="Q469" s="505"/>
      <c r="R469" s="505"/>
      <c r="S469" s="505"/>
      <c r="T469" s="505"/>
      <c r="U469" s="505"/>
      <c r="V469" s="505"/>
      <c r="W469" s="505"/>
      <c r="X469" s="505"/>
      <c r="Y469" s="505"/>
      <c r="Z469" s="505"/>
      <c r="AA469" s="505"/>
      <c r="AB469" s="505"/>
      <c r="AC469" s="505"/>
    </row>
    <row r="470" spans="1:29">
      <c r="A470" s="505"/>
      <c r="B470" s="505"/>
      <c r="C470" s="505"/>
      <c r="D470" s="505"/>
      <c r="E470" s="505"/>
      <c r="F470" s="505"/>
      <c r="G470" s="505"/>
      <c r="H470" s="505"/>
      <c r="I470" s="505"/>
      <c r="J470" s="505"/>
      <c r="K470" s="517"/>
      <c r="L470" s="518"/>
      <c r="M470" s="505"/>
      <c r="N470" s="505"/>
      <c r="O470" s="505"/>
      <c r="P470" s="619"/>
      <c r="Q470" s="505"/>
      <c r="R470" s="505"/>
      <c r="S470" s="505"/>
      <c r="T470" s="505"/>
      <c r="U470" s="505"/>
      <c r="V470" s="505"/>
      <c r="W470" s="505"/>
      <c r="X470" s="505"/>
      <c r="Y470" s="505"/>
      <c r="Z470" s="505"/>
      <c r="AA470" s="505"/>
      <c r="AB470" s="505"/>
      <c r="AC470" s="505"/>
    </row>
    <row r="471" spans="1:29">
      <c r="A471" s="505"/>
      <c r="B471" s="505"/>
      <c r="C471" s="505"/>
      <c r="D471" s="505"/>
      <c r="E471" s="505"/>
      <c r="F471" s="505"/>
      <c r="G471" s="505"/>
      <c r="H471" s="505"/>
      <c r="I471" s="505"/>
      <c r="J471" s="505"/>
      <c r="K471" s="517"/>
      <c r="L471" s="518"/>
      <c r="M471" s="505"/>
      <c r="N471" s="505"/>
      <c r="O471" s="505"/>
      <c r="P471" s="619"/>
      <c r="Q471" s="505"/>
      <c r="R471" s="505"/>
      <c r="S471" s="505"/>
      <c r="T471" s="505"/>
      <c r="U471" s="505"/>
      <c r="V471" s="505"/>
      <c r="W471" s="505"/>
      <c r="X471" s="505"/>
      <c r="Y471" s="505"/>
      <c r="Z471" s="505"/>
      <c r="AA471" s="505"/>
      <c r="AB471" s="505"/>
      <c r="AC471" s="505"/>
    </row>
    <row r="472" spans="1:29">
      <c r="A472" s="505"/>
      <c r="B472" s="505"/>
      <c r="C472" s="505"/>
      <c r="D472" s="505"/>
      <c r="E472" s="505"/>
      <c r="F472" s="505"/>
      <c r="G472" s="505"/>
      <c r="H472" s="505"/>
      <c r="I472" s="505"/>
      <c r="J472" s="505"/>
      <c r="K472" s="517"/>
      <c r="L472" s="518"/>
      <c r="M472" s="505"/>
      <c r="N472" s="505"/>
      <c r="O472" s="505"/>
      <c r="P472" s="619"/>
      <c r="Q472" s="505"/>
      <c r="R472" s="505"/>
      <c r="S472" s="505"/>
      <c r="T472" s="505"/>
      <c r="U472" s="505"/>
      <c r="V472" s="505"/>
      <c r="W472" s="505"/>
      <c r="X472" s="505"/>
      <c r="Y472" s="505"/>
      <c r="Z472" s="505"/>
      <c r="AA472" s="505"/>
      <c r="AB472" s="505"/>
      <c r="AC472" s="505"/>
    </row>
    <row r="473" spans="1:29">
      <c r="A473" s="505"/>
      <c r="B473" s="505"/>
      <c r="C473" s="505"/>
      <c r="D473" s="505"/>
      <c r="E473" s="505"/>
      <c r="F473" s="505"/>
      <c r="G473" s="505"/>
      <c r="H473" s="505"/>
      <c r="I473" s="505"/>
      <c r="J473" s="505"/>
      <c r="K473" s="517"/>
      <c r="L473" s="518"/>
      <c r="M473" s="505"/>
      <c r="N473" s="505"/>
      <c r="O473" s="505"/>
      <c r="P473" s="619"/>
      <c r="Q473" s="505"/>
      <c r="R473" s="505"/>
      <c r="S473" s="505"/>
      <c r="T473" s="505"/>
      <c r="U473" s="505"/>
      <c r="V473" s="505"/>
      <c r="W473" s="505"/>
      <c r="X473" s="505"/>
      <c r="Y473" s="505"/>
      <c r="Z473" s="505"/>
      <c r="AA473" s="505"/>
      <c r="AB473" s="505"/>
      <c r="AC473" s="505"/>
    </row>
    <row r="474" spans="1:29">
      <c r="A474" s="505"/>
      <c r="B474" s="505"/>
      <c r="C474" s="505"/>
      <c r="D474" s="505"/>
      <c r="E474" s="505"/>
      <c r="F474" s="505"/>
      <c r="G474" s="505"/>
      <c r="H474" s="505"/>
      <c r="I474" s="505"/>
      <c r="J474" s="505"/>
      <c r="K474" s="517"/>
      <c r="L474" s="518"/>
      <c r="M474" s="505"/>
      <c r="N474" s="505"/>
      <c r="O474" s="505"/>
      <c r="P474" s="619"/>
      <c r="Q474" s="505"/>
      <c r="R474" s="505"/>
      <c r="S474" s="505"/>
      <c r="T474" s="505"/>
      <c r="U474" s="505"/>
      <c r="V474" s="505"/>
      <c r="W474" s="505"/>
      <c r="X474" s="505"/>
      <c r="Y474" s="505"/>
      <c r="Z474" s="505"/>
      <c r="AA474" s="505"/>
      <c r="AB474" s="505"/>
      <c r="AC474" s="505"/>
    </row>
    <row r="475" spans="1:29">
      <c r="A475" s="505"/>
      <c r="B475" s="505"/>
      <c r="C475" s="505"/>
      <c r="D475" s="505"/>
      <c r="E475" s="505"/>
      <c r="F475" s="505"/>
      <c r="G475" s="505"/>
      <c r="H475" s="505"/>
      <c r="I475" s="505"/>
      <c r="J475" s="505"/>
      <c r="K475" s="517"/>
      <c r="L475" s="518"/>
      <c r="M475" s="505"/>
      <c r="N475" s="505"/>
      <c r="O475" s="505"/>
      <c r="P475" s="619"/>
      <c r="Q475" s="505"/>
      <c r="R475" s="505"/>
      <c r="S475" s="505"/>
      <c r="T475" s="505"/>
      <c r="U475" s="505"/>
      <c r="V475" s="505"/>
      <c r="W475" s="505"/>
      <c r="X475" s="505"/>
      <c r="Y475" s="505"/>
      <c r="Z475" s="505"/>
      <c r="AA475" s="505"/>
      <c r="AB475" s="505"/>
      <c r="AC475" s="505"/>
    </row>
    <row r="476" spans="1:29">
      <c r="A476" s="505"/>
      <c r="B476" s="505"/>
      <c r="C476" s="505"/>
      <c r="D476" s="505"/>
      <c r="E476" s="505"/>
      <c r="F476" s="505"/>
      <c r="G476" s="505"/>
      <c r="H476" s="505"/>
      <c r="I476" s="505"/>
      <c r="J476" s="505"/>
      <c r="K476" s="517"/>
      <c r="L476" s="518"/>
      <c r="M476" s="505"/>
      <c r="N476" s="505"/>
      <c r="O476" s="505"/>
      <c r="P476" s="619"/>
      <c r="Q476" s="505"/>
      <c r="R476" s="505"/>
      <c r="S476" s="505"/>
      <c r="T476" s="505"/>
      <c r="U476" s="505"/>
      <c r="V476" s="505"/>
      <c r="W476" s="505"/>
      <c r="X476" s="505"/>
      <c r="Y476" s="505"/>
      <c r="Z476" s="505"/>
      <c r="AA476" s="505"/>
      <c r="AB476" s="505"/>
      <c r="AC476" s="505"/>
    </row>
    <row r="477" spans="1:29">
      <c r="A477" s="505"/>
      <c r="B477" s="505"/>
      <c r="C477" s="505"/>
      <c r="D477" s="505"/>
      <c r="E477" s="505"/>
      <c r="F477" s="505"/>
      <c r="G477" s="505"/>
      <c r="H477" s="505"/>
      <c r="I477" s="505"/>
      <c r="J477" s="505"/>
      <c r="K477" s="517"/>
      <c r="L477" s="518"/>
      <c r="M477" s="505"/>
      <c r="N477" s="505"/>
      <c r="O477" s="505"/>
      <c r="P477" s="619"/>
      <c r="Q477" s="505"/>
      <c r="R477" s="505"/>
      <c r="S477" s="505"/>
      <c r="T477" s="505"/>
      <c r="U477" s="505"/>
      <c r="V477" s="505"/>
      <c r="W477" s="505"/>
      <c r="X477" s="505"/>
      <c r="Y477" s="505"/>
      <c r="Z477" s="505"/>
      <c r="AA477" s="505"/>
      <c r="AB477" s="505"/>
      <c r="AC477" s="505"/>
    </row>
    <row r="478" spans="1:29">
      <c r="A478" s="505"/>
      <c r="B478" s="505"/>
      <c r="C478" s="505"/>
      <c r="D478" s="505"/>
      <c r="E478" s="505"/>
      <c r="F478" s="505"/>
      <c r="G478" s="505"/>
      <c r="H478" s="505"/>
      <c r="I478" s="505"/>
      <c r="J478" s="505"/>
      <c r="K478" s="517"/>
      <c r="L478" s="518"/>
      <c r="M478" s="505"/>
      <c r="N478" s="505"/>
      <c r="O478" s="505"/>
      <c r="P478" s="619"/>
      <c r="Q478" s="505"/>
      <c r="R478" s="505"/>
      <c r="S478" s="505"/>
      <c r="T478" s="505"/>
      <c r="U478" s="505"/>
      <c r="V478" s="505"/>
      <c r="W478" s="505"/>
      <c r="X478" s="505"/>
      <c r="Y478" s="505"/>
      <c r="Z478" s="505"/>
      <c r="AA478" s="505"/>
      <c r="AB478" s="505"/>
      <c r="AC478" s="505"/>
    </row>
    <row r="479" spans="1:29">
      <c r="A479" s="505"/>
      <c r="B479" s="505"/>
      <c r="C479" s="505"/>
      <c r="D479" s="505"/>
      <c r="E479" s="505"/>
      <c r="F479" s="505"/>
      <c r="G479" s="505"/>
      <c r="H479" s="505"/>
      <c r="I479" s="505"/>
      <c r="J479" s="505"/>
      <c r="K479" s="517"/>
      <c r="L479" s="518"/>
      <c r="M479" s="505"/>
      <c r="N479" s="505"/>
      <c r="O479" s="505"/>
      <c r="P479" s="619"/>
      <c r="Q479" s="505"/>
      <c r="R479" s="505"/>
      <c r="S479" s="505"/>
      <c r="T479" s="505"/>
      <c r="U479" s="505"/>
      <c r="V479" s="505"/>
      <c r="W479" s="505"/>
      <c r="X479" s="505"/>
      <c r="Y479" s="505"/>
      <c r="Z479" s="505"/>
      <c r="AA479" s="505"/>
      <c r="AB479" s="505"/>
      <c r="AC479" s="505"/>
    </row>
    <row r="480" spans="1:29">
      <c r="A480" s="505"/>
      <c r="B480" s="505"/>
      <c r="C480" s="505"/>
      <c r="D480" s="505"/>
      <c r="E480" s="505"/>
      <c r="F480" s="505"/>
      <c r="G480" s="505"/>
      <c r="H480" s="505"/>
      <c r="I480" s="505"/>
      <c r="J480" s="505"/>
      <c r="K480" s="517"/>
      <c r="L480" s="518"/>
      <c r="M480" s="505"/>
      <c r="N480" s="505"/>
      <c r="O480" s="505"/>
      <c r="P480" s="619"/>
      <c r="Q480" s="505"/>
      <c r="R480" s="505"/>
      <c r="S480" s="505"/>
      <c r="T480" s="505"/>
      <c r="U480" s="505"/>
      <c r="V480" s="505"/>
      <c r="W480" s="505"/>
      <c r="X480" s="505"/>
      <c r="Y480" s="505"/>
      <c r="Z480" s="505"/>
      <c r="AA480" s="505"/>
      <c r="AB480" s="505"/>
      <c r="AC480" s="505"/>
    </row>
    <row r="481" spans="1:29">
      <c r="A481" s="505"/>
      <c r="B481" s="505"/>
      <c r="C481" s="505"/>
      <c r="D481" s="505"/>
      <c r="E481" s="505"/>
      <c r="F481" s="505"/>
      <c r="G481" s="505"/>
      <c r="H481" s="505"/>
      <c r="I481" s="505"/>
      <c r="J481" s="505"/>
      <c r="K481" s="517"/>
      <c r="L481" s="518"/>
      <c r="M481" s="505"/>
      <c r="N481" s="505"/>
      <c r="O481" s="505"/>
      <c r="P481" s="619"/>
      <c r="Q481" s="505"/>
      <c r="R481" s="505"/>
      <c r="S481" s="505"/>
      <c r="T481" s="505"/>
      <c r="U481" s="505"/>
      <c r="V481" s="505"/>
      <c r="W481" s="505"/>
      <c r="X481" s="505"/>
      <c r="Y481" s="505"/>
      <c r="Z481" s="505"/>
      <c r="AA481" s="505"/>
      <c r="AB481" s="505"/>
      <c r="AC481" s="505"/>
    </row>
    <row r="482" spans="1:29">
      <c r="A482" s="505"/>
      <c r="B482" s="505"/>
      <c r="C482" s="505"/>
      <c r="D482" s="505"/>
      <c r="E482" s="505"/>
      <c r="F482" s="505"/>
      <c r="G482" s="505"/>
      <c r="H482" s="505"/>
      <c r="I482" s="505"/>
      <c r="J482" s="505"/>
      <c r="K482" s="517"/>
      <c r="L482" s="518"/>
      <c r="M482" s="505"/>
      <c r="N482" s="505"/>
      <c r="O482" s="505"/>
      <c r="P482" s="619"/>
      <c r="Q482" s="505"/>
      <c r="R482" s="505"/>
      <c r="S482" s="505"/>
      <c r="T482" s="505"/>
      <c r="U482" s="505"/>
      <c r="V482" s="505"/>
      <c r="W482" s="505"/>
      <c r="X482" s="505"/>
      <c r="Y482" s="505"/>
      <c r="Z482" s="505"/>
      <c r="AA482" s="505"/>
      <c r="AB482" s="505"/>
      <c r="AC482" s="505"/>
    </row>
    <row r="483" spans="1:29">
      <c r="A483" s="505"/>
      <c r="B483" s="505"/>
      <c r="C483" s="505"/>
      <c r="D483" s="505"/>
      <c r="E483" s="505"/>
      <c r="F483" s="505"/>
      <c r="G483" s="505"/>
      <c r="H483" s="505"/>
      <c r="I483" s="505"/>
      <c r="J483" s="505"/>
      <c r="K483" s="517"/>
      <c r="L483" s="518"/>
      <c r="M483" s="505"/>
      <c r="N483" s="505"/>
      <c r="O483" s="505"/>
      <c r="P483" s="619"/>
      <c r="Q483" s="505"/>
      <c r="R483" s="505"/>
      <c r="S483" s="505"/>
      <c r="T483" s="505"/>
      <c r="U483" s="505"/>
      <c r="V483" s="505"/>
      <c r="W483" s="505"/>
      <c r="X483" s="505"/>
      <c r="Y483" s="505"/>
      <c r="Z483" s="505"/>
      <c r="AA483" s="505"/>
      <c r="AB483" s="505"/>
      <c r="AC483" s="505"/>
    </row>
    <row r="484" spans="1:29">
      <c r="A484" s="505"/>
      <c r="B484" s="505"/>
      <c r="C484" s="505"/>
      <c r="D484" s="505"/>
      <c r="E484" s="505"/>
      <c r="F484" s="505"/>
      <c r="G484" s="505"/>
      <c r="H484" s="505"/>
      <c r="I484" s="505"/>
      <c r="J484" s="505"/>
      <c r="K484" s="517"/>
      <c r="L484" s="518"/>
      <c r="M484" s="505"/>
      <c r="N484" s="505"/>
      <c r="O484" s="505"/>
      <c r="P484" s="619"/>
      <c r="Q484" s="505"/>
      <c r="R484" s="505"/>
      <c r="S484" s="505"/>
      <c r="T484" s="505"/>
      <c r="U484" s="505"/>
      <c r="V484" s="505"/>
      <c r="W484" s="505"/>
      <c r="X484" s="505"/>
      <c r="Y484" s="505"/>
      <c r="Z484" s="505"/>
      <c r="AA484" s="505"/>
      <c r="AB484" s="505"/>
      <c r="AC484" s="505"/>
    </row>
    <row r="485" spans="1:29">
      <c r="A485" s="505"/>
      <c r="B485" s="505"/>
      <c r="C485" s="505"/>
      <c r="D485" s="505"/>
      <c r="E485" s="505"/>
      <c r="F485" s="505"/>
      <c r="G485" s="505"/>
      <c r="H485" s="505"/>
      <c r="I485" s="505"/>
      <c r="J485" s="505"/>
      <c r="K485" s="517"/>
      <c r="L485" s="518"/>
      <c r="M485" s="505"/>
      <c r="N485" s="505"/>
      <c r="O485" s="505"/>
      <c r="P485" s="619"/>
      <c r="Q485" s="505"/>
      <c r="R485" s="505"/>
      <c r="S485" s="505"/>
      <c r="T485" s="505"/>
      <c r="U485" s="505"/>
      <c r="V485" s="505"/>
      <c r="W485" s="505"/>
      <c r="X485" s="505"/>
      <c r="Y485" s="505"/>
      <c r="Z485" s="505"/>
      <c r="AA485" s="505"/>
      <c r="AB485" s="505"/>
      <c r="AC485" s="505"/>
    </row>
    <row r="486" spans="1:29">
      <c r="A486" s="505"/>
      <c r="B486" s="505"/>
      <c r="C486" s="505"/>
      <c r="D486" s="505"/>
      <c r="E486" s="505"/>
      <c r="F486" s="505"/>
      <c r="G486" s="505"/>
      <c r="H486" s="505"/>
      <c r="I486" s="505"/>
      <c r="J486" s="505"/>
      <c r="K486" s="517"/>
      <c r="L486" s="518"/>
      <c r="M486" s="505"/>
      <c r="N486" s="505"/>
      <c r="O486" s="505"/>
      <c r="P486" s="619"/>
      <c r="Q486" s="505"/>
      <c r="R486" s="505"/>
      <c r="S486" s="505"/>
      <c r="T486" s="505"/>
      <c r="U486" s="505"/>
      <c r="V486" s="505"/>
      <c r="W486" s="505"/>
      <c r="X486" s="505"/>
      <c r="Y486" s="505"/>
      <c r="Z486" s="505"/>
      <c r="AA486" s="505"/>
      <c r="AB486" s="505"/>
      <c r="AC486" s="505"/>
    </row>
    <row r="487" spans="1:29">
      <c r="A487" s="505"/>
      <c r="B487" s="505"/>
      <c r="C487" s="505"/>
      <c r="D487" s="505"/>
      <c r="E487" s="505"/>
      <c r="F487" s="505"/>
      <c r="G487" s="505"/>
      <c r="H487" s="505"/>
      <c r="I487" s="505"/>
      <c r="J487" s="505"/>
      <c r="K487" s="517"/>
      <c r="L487" s="518"/>
      <c r="M487" s="505"/>
      <c r="N487" s="505"/>
      <c r="O487" s="505"/>
      <c r="P487" s="619"/>
      <c r="Q487" s="505"/>
      <c r="R487" s="505"/>
      <c r="S487" s="505"/>
      <c r="T487" s="505"/>
      <c r="U487" s="505"/>
      <c r="V487" s="505"/>
      <c r="W487" s="505"/>
      <c r="X487" s="505"/>
      <c r="Y487" s="505"/>
      <c r="Z487" s="505"/>
      <c r="AA487" s="505"/>
      <c r="AB487" s="505"/>
      <c r="AC487" s="505"/>
    </row>
    <row r="488" spans="1:29">
      <c r="A488" s="505"/>
      <c r="B488" s="505"/>
      <c r="C488" s="505"/>
      <c r="D488" s="505"/>
      <c r="E488" s="505"/>
      <c r="F488" s="505"/>
      <c r="G488" s="505"/>
      <c r="H488" s="505"/>
      <c r="I488" s="505"/>
      <c r="J488" s="505"/>
      <c r="K488" s="517"/>
      <c r="L488" s="518"/>
      <c r="M488" s="505"/>
      <c r="N488" s="505"/>
      <c r="O488" s="505"/>
      <c r="P488" s="619"/>
      <c r="Q488" s="505"/>
      <c r="R488" s="505"/>
      <c r="S488" s="505"/>
      <c r="T488" s="505"/>
      <c r="U488" s="505"/>
      <c r="V488" s="505"/>
      <c r="W488" s="505"/>
      <c r="X488" s="505"/>
      <c r="Y488" s="505"/>
      <c r="Z488" s="505"/>
      <c r="AA488" s="505"/>
      <c r="AB488" s="505"/>
      <c r="AC488" s="505"/>
    </row>
    <row r="489" spans="1:29">
      <c r="A489" s="505"/>
      <c r="B489" s="505"/>
      <c r="C489" s="505"/>
      <c r="D489" s="505"/>
      <c r="E489" s="505"/>
      <c r="F489" s="505"/>
      <c r="G489" s="505"/>
      <c r="H489" s="505"/>
      <c r="I489" s="505"/>
      <c r="J489" s="505"/>
      <c r="K489" s="517"/>
      <c r="L489" s="518"/>
      <c r="M489" s="505"/>
      <c r="N489" s="505"/>
      <c r="O489" s="505"/>
      <c r="P489" s="619"/>
      <c r="Q489" s="505"/>
      <c r="R489" s="505"/>
      <c r="S489" s="505"/>
      <c r="T489" s="505"/>
      <c r="U489" s="505"/>
      <c r="V489" s="505"/>
      <c r="W489" s="505"/>
      <c r="X489" s="505"/>
      <c r="Y489" s="505"/>
      <c r="Z489" s="505"/>
      <c r="AA489" s="505"/>
      <c r="AB489" s="505"/>
      <c r="AC489" s="505"/>
    </row>
    <row r="490" spans="1:29">
      <c r="A490" s="505"/>
      <c r="B490" s="505"/>
      <c r="C490" s="505"/>
      <c r="D490" s="505"/>
      <c r="E490" s="505"/>
      <c r="F490" s="505"/>
      <c r="G490" s="505"/>
      <c r="H490" s="505"/>
      <c r="I490" s="505"/>
      <c r="J490" s="505"/>
      <c r="K490" s="517"/>
      <c r="L490" s="518"/>
      <c r="M490" s="505"/>
      <c r="N490" s="505"/>
      <c r="O490" s="505"/>
      <c r="P490" s="619"/>
      <c r="Q490" s="505"/>
      <c r="R490" s="505"/>
      <c r="S490" s="505"/>
      <c r="T490" s="505"/>
      <c r="U490" s="505"/>
      <c r="V490" s="505"/>
      <c r="W490" s="505"/>
      <c r="X490" s="505"/>
      <c r="Y490" s="505"/>
      <c r="Z490" s="505"/>
      <c r="AA490" s="505"/>
      <c r="AB490" s="505"/>
      <c r="AC490" s="505"/>
    </row>
    <row r="491" spans="1:29">
      <c r="A491" s="505"/>
      <c r="B491" s="505"/>
      <c r="C491" s="505"/>
      <c r="D491" s="505"/>
      <c r="E491" s="505"/>
      <c r="F491" s="505"/>
      <c r="G491" s="505"/>
      <c r="H491" s="505"/>
      <c r="I491" s="505"/>
      <c r="J491" s="505"/>
      <c r="K491" s="517"/>
      <c r="L491" s="518"/>
      <c r="M491" s="505"/>
      <c r="N491" s="505"/>
      <c r="O491" s="505"/>
      <c r="P491" s="619"/>
      <c r="Q491" s="505"/>
      <c r="R491" s="505"/>
      <c r="S491" s="505"/>
      <c r="T491" s="505"/>
      <c r="U491" s="505"/>
      <c r="V491" s="505"/>
      <c r="W491" s="505"/>
      <c r="X491" s="505"/>
      <c r="Y491" s="505"/>
      <c r="Z491" s="505"/>
      <c r="AA491" s="505"/>
      <c r="AB491" s="505"/>
      <c r="AC491" s="505"/>
    </row>
    <row r="492" spans="1:29">
      <c r="A492" s="505"/>
      <c r="B492" s="505"/>
      <c r="C492" s="505"/>
      <c r="D492" s="505"/>
      <c r="E492" s="505"/>
      <c r="F492" s="505"/>
      <c r="G492" s="505"/>
      <c r="H492" s="505"/>
      <c r="I492" s="505"/>
      <c r="J492" s="505"/>
      <c r="K492" s="517"/>
      <c r="L492" s="518"/>
      <c r="M492" s="505"/>
      <c r="N492" s="505"/>
      <c r="O492" s="505"/>
      <c r="P492" s="619"/>
      <c r="Q492" s="505"/>
      <c r="R492" s="505"/>
      <c r="S492" s="505"/>
      <c r="T492" s="505"/>
      <c r="U492" s="505"/>
      <c r="V492" s="505"/>
      <c r="W492" s="505"/>
      <c r="X492" s="505"/>
      <c r="Y492" s="505"/>
      <c r="Z492" s="505"/>
      <c r="AA492" s="505"/>
      <c r="AB492" s="505"/>
      <c r="AC492" s="505"/>
    </row>
    <row r="493" spans="1:29">
      <c r="A493" s="505"/>
      <c r="B493" s="505"/>
      <c r="C493" s="505"/>
      <c r="D493" s="505"/>
      <c r="E493" s="505"/>
      <c r="F493" s="505"/>
      <c r="G493" s="505"/>
      <c r="H493" s="505"/>
      <c r="I493" s="505"/>
      <c r="J493" s="505"/>
      <c r="K493" s="517"/>
      <c r="L493" s="518"/>
      <c r="M493" s="505"/>
      <c r="N493" s="505"/>
      <c r="O493" s="505"/>
      <c r="P493" s="619"/>
      <c r="Q493" s="505"/>
      <c r="R493" s="505"/>
      <c r="S493" s="505"/>
      <c r="T493" s="505"/>
      <c r="U493" s="505"/>
      <c r="V493" s="505"/>
      <c r="W493" s="505"/>
      <c r="X493" s="505"/>
      <c r="Y493" s="505"/>
      <c r="Z493" s="505"/>
      <c r="AA493" s="505"/>
      <c r="AB493" s="505"/>
      <c r="AC493" s="505"/>
    </row>
    <row r="494" spans="1:29">
      <c r="A494" s="505"/>
      <c r="B494" s="505"/>
      <c r="C494" s="505"/>
      <c r="D494" s="505"/>
      <c r="E494" s="505"/>
      <c r="F494" s="505"/>
      <c r="G494" s="505"/>
      <c r="H494" s="505"/>
      <c r="I494" s="505"/>
      <c r="J494" s="505"/>
      <c r="K494" s="517"/>
      <c r="L494" s="518"/>
      <c r="M494" s="505"/>
      <c r="N494" s="505"/>
      <c r="O494" s="505"/>
      <c r="P494" s="619"/>
      <c r="Q494" s="505"/>
      <c r="R494" s="505"/>
      <c r="S494" s="505"/>
      <c r="T494" s="505"/>
      <c r="U494" s="505"/>
      <c r="V494" s="505"/>
      <c r="W494" s="505"/>
      <c r="X494" s="505"/>
      <c r="Y494" s="505"/>
      <c r="Z494" s="505"/>
      <c r="AA494" s="505"/>
      <c r="AB494" s="505"/>
      <c r="AC494" s="505"/>
    </row>
    <row r="495" spans="1:29">
      <c r="A495" s="505"/>
      <c r="B495" s="505"/>
      <c r="C495" s="505"/>
      <c r="D495" s="505"/>
      <c r="E495" s="505"/>
      <c r="F495" s="505"/>
      <c r="G495" s="505"/>
      <c r="H495" s="505"/>
      <c r="I495" s="505"/>
      <c r="J495" s="505"/>
      <c r="K495" s="517"/>
      <c r="L495" s="518"/>
      <c r="M495" s="505"/>
      <c r="N495" s="505"/>
      <c r="O495" s="505"/>
      <c r="P495" s="619"/>
      <c r="Q495" s="505"/>
      <c r="R495" s="505"/>
      <c r="S495" s="505"/>
      <c r="T495" s="505"/>
      <c r="U495" s="505"/>
      <c r="V495" s="505"/>
      <c r="W495" s="505"/>
      <c r="X495" s="505"/>
      <c r="Y495" s="505"/>
      <c r="Z495" s="505"/>
      <c r="AA495" s="505"/>
      <c r="AB495" s="505"/>
      <c r="AC495" s="505"/>
    </row>
    <row r="496" spans="1:29">
      <c r="A496" s="505"/>
      <c r="B496" s="505"/>
      <c r="C496" s="505"/>
      <c r="D496" s="505"/>
      <c r="E496" s="505"/>
      <c r="F496" s="505"/>
      <c r="G496" s="505"/>
      <c r="H496" s="505"/>
      <c r="I496" s="505"/>
      <c r="J496" s="505"/>
      <c r="K496" s="517"/>
      <c r="L496" s="518"/>
      <c r="M496" s="505"/>
      <c r="N496" s="505"/>
      <c r="O496" s="505"/>
      <c r="P496" s="619"/>
      <c r="Q496" s="505"/>
      <c r="R496" s="505"/>
      <c r="S496" s="505"/>
      <c r="T496" s="505"/>
      <c r="U496" s="505"/>
      <c r="V496" s="505"/>
      <c r="W496" s="505"/>
      <c r="X496" s="505"/>
      <c r="Y496" s="505"/>
      <c r="Z496" s="505"/>
      <c r="AA496" s="505"/>
      <c r="AB496" s="505"/>
      <c r="AC496" s="505"/>
    </row>
    <row r="497" spans="1:29">
      <c r="A497" s="505"/>
      <c r="B497" s="505"/>
      <c r="C497" s="505"/>
      <c r="D497" s="505"/>
      <c r="E497" s="505"/>
      <c r="F497" s="505"/>
      <c r="G497" s="505"/>
      <c r="H497" s="505"/>
      <c r="I497" s="505"/>
      <c r="J497" s="505"/>
      <c r="K497" s="517"/>
      <c r="L497" s="518"/>
      <c r="M497" s="505"/>
      <c r="N497" s="505"/>
      <c r="O497" s="505"/>
      <c r="P497" s="619"/>
      <c r="Q497" s="505"/>
      <c r="R497" s="505"/>
      <c r="S497" s="505"/>
      <c r="T497" s="505"/>
      <c r="U497" s="505"/>
      <c r="V497" s="505"/>
      <c r="W497" s="505"/>
      <c r="X497" s="505"/>
      <c r="Y497" s="505"/>
      <c r="Z497" s="505"/>
      <c r="AA497" s="505"/>
      <c r="AB497" s="505"/>
      <c r="AC497" s="505"/>
    </row>
    <row r="498" spans="1:29">
      <c r="A498" s="505"/>
      <c r="B498" s="505"/>
      <c r="C498" s="505"/>
      <c r="D498" s="505"/>
      <c r="E498" s="505"/>
      <c r="F498" s="505"/>
      <c r="G498" s="505"/>
      <c r="H498" s="505"/>
      <c r="I498" s="505"/>
      <c r="J498" s="505"/>
      <c r="K498" s="517"/>
      <c r="L498" s="518"/>
      <c r="M498" s="505"/>
      <c r="N498" s="505"/>
      <c r="O498" s="505"/>
      <c r="P498" s="619"/>
      <c r="Q498" s="505"/>
      <c r="R498" s="505"/>
      <c r="S498" s="505"/>
      <c r="T498" s="505"/>
      <c r="U498" s="505"/>
      <c r="V498" s="505"/>
      <c r="W498" s="505"/>
      <c r="X498" s="505"/>
      <c r="Y498" s="505"/>
      <c r="Z498" s="505"/>
      <c r="AA498" s="505"/>
      <c r="AB498" s="505"/>
      <c r="AC498" s="505"/>
    </row>
    <row r="499" spans="1:29">
      <c r="A499" s="505"/>
      <c r="B499" s="505"/>
      <c r="C499" s="505"/>
      <c r="D499" s="505"/>
      <c r="E499" s="505"/>
      <c r="F499" s="505"/>
      <c r="G499" s="505"/>
      <c r="H499" s="505"/>
      <c r="I499" s="505"/>
      <c r="J499" s="505"/>
      <c r="K499" s="517"/>
      <c r="L499" s="518"/>
      <c r="M499" s="505"/>
      <c r="N499" s="505"/>
      <c r="O499" s="505"/>
      <c r="P499" s="619"/>
      <c r="Q499" s="505"/>
      <c r="R499" s="505"/>
      <c r="S499" s="505"/>
      <c r="T499" s="505"/>
      <c r="U499" s="505"/>
      <c r="V499" s="505"/>
      <c r="W499" s="505"/>
      <c r="X499" s="505"/>
      <c r="Y499" s="505"/>
      <c r="Z499" s="505"/>
      <c r="AA499" s="505"/>
      <c r="AB499" s="505"/>
      <c r="AC499" s="505"/>
    </row>
    <row r="500" spans="1:29">
      <c r="A500" s="505"/>
      <c r="B500" s="505"/>
      <c r="C500" s="505"/>
      <c r="D500" s="505"/>
      <c r="E500" s="505"/>
      <c r="F500" s="505"/>
      <c r="G500" s="505"/>
      <c r="H500" s="505"/>
      <c r="I500" s="505"/>
      <c r="J500" s="505"/>
      <c r="K500" s="517"/>
      <c r="L500" s="518"/>
      <c r="M500" s="505"/>
      <c r="N500" s="505"/>
      <c r="O500" s="505"/>
      <c r="P500" s="619"/>
      <c r="Q500" s="505"/>
      <c r="R500" s="505"/>
      <c r="S500" s="505"/>
      <c r="T500" s="505"/>
      <c r="U500" s="505"/>
      <c r="V500" s="505"/>
      <c r="W500" s="505"/>
      <c r="X500" s="505"/>
      <c r="Y500" s="505"/>
      <c r="Z500" s="505"/>
      <c r="AA500" s="505"/>
      <c r="AB500" s="505"/>
      <c r="AC500" s="505"/>
    </row>
    <row r="501" spans="1:29">
      <c r="A501" s="505"/>
      <c r="B501" s="505"/>
      <c r="C501" s="505"/>
      <c r="D501" s="505"/>
      <c r="E501" s="505"/>
      <c r="F501" s="505"/>
      <c r="G501" s="505"/>
      <c r="H501" s="505"/>
      <c r="I501" s="505"/>
      <c r="J501" s="505"/>
      <c r="K501" s="517"/>
      <c r="L501" s="518"/>
      <c r="M501" s="505"/>
      <c r="N501" s="505"/>
      <c r="O501" s="505"/>
      <c r="P501" s="619"/>
      <c r="Q501" s="505"/>
      <c r="R501" s="505"/>
      <c r="S501" s="505"/>
      <c r="T501" s="505"/>
      <c r="U501" s="505"/>
      <c r="V501" s="505"/>
      <c r="W501" s="505"/>
      <c r="X501" s="505"/>
      <c r="Y501" s="505"/>
      <c r="Z501" s="505"/>
      <c r="AA501" s="505"/>
      <c r="AB501" s="505"/>
      <c r="AC501" s="505"/>
    </row>
    <row r="502" spans="1:29">
      <c r="A502" s="505"/>
      <c r="B502" s="505"/>
      <c r="C502" s="505"/>
      <c r="D502" s="505"/>
      <c r="E502" s="505"/>
      <c r="F502" s="505"/>
      <c r="G502" s="505"/>
      <c r="H502" s="505"/>
      <c r="I502" s="505"/>
      <c r="J502" s="505"/>
      <c r="K502" s="517"/>
      <c r="L502" s="518"/>
      <c r="M502" s="505"/>
      <c r="N502" s="505"/>
      <c r="O502" s="505"/>
      <c r="P502" s="619"/>
      <c r="Q502" s="505"/>
      <c r="R502" s="505"/>
      <c r="S502" s="505"/>
      <c r="T502" s="505"/>
      <c r="U502" s="505"/>
      <c r="V502" s="505"/>
      <c r="W502" s="505"/>
      <c r="X502" s="505"/>
      <c r="Y502" s="505"/>
      <c r="Z502" s="505"/>
      <c r="AA502" s="505"/>
      <c r="AB502" s="505"/>
      <c r="AC502" s="505"/>
    </row>
    <row r="503" spans="1:29">
      <c r="A503" s="505"/>
      <c r="B503" s="505"/>
      <c r="C503" s="505"/>
      <c r="D503" s="505"/>
      <c r="E503" s="505"/>
      <c r="F503" s="505"/>
      <c r="G503" s="505"/>
      <c r="H503" s="505"/>
      <c r="I503" s="505"/>
      <c r="J503" s="505"/>
      <c r="K503" s="517"/>
      <c r="L503" s="518"/>
      <c r="M503" s="505"/>
      <c r="N503" s="505"/>
      <c r="O503" s="505"/>
      <c r="P503" s="619"/>
      <c r="Q503" s="505"/>
      <c r="R503" s="505"/>
      <c r="S503" s="505"/>
      <c r="T503" s="505"/>
      <c r="U503" s="505"/>
      <c r="V503" s="505"/>
      <c r="W503" s="505"/>
      <c r="X503" s="505"/>
      <c r="Y503" s="505"/>
      <c r="Z503" s="505"/>
      <c r="AA503" s="505"/>
      <c r="AB503" s="505"/>
      <c r="AC503" s="505"/>
    </row>
    <row r="504" spans="1:29">
      <c r="A504" s="505"/>
      <c r="B504" s="505"/>
      <c r="C504" s="505"/>
      <c r="D504" s="505"/>
      <c r="E504" s="505"/>
      <c r="F504" s="505"/>
      <c r="G504" s="505"/>
      <c r="H504" s="505"/>
      <c r="I504" s="505"/>
      <c r="J504" s="505"/>
      <c r="K504" s="517"/>
      <c r="L504" s="518"/>
      <c r="M504" s="505"/>
      <c r="N504" s="505"/>
      <c r="O504" s="505"/>
      <c r="P504" s="619"/>
      <c r="Q504" s="505"/>
      <c r="R504" s="505"/>
      <c r="S504" s="505"/>
      <c r="T504" s="505"/>
      <c r="U504" s="505"/>
      <c r="V504" s="505"/>
      <c r="W504" s="505"/>
      <c r="X504" s="505"/>
      <c r="Y504" s="505"/>
      <c r="Z504" s="505"/>
      <c r="AA504" s="505"/>
      <c r="AB504" s="505"/>
      <c r="AC504" s="505"/>
    </row>
    <row r="505" spans="1:29">
      <c r="A505" s="505"/>
      <c r="B505" s="505"/>
      <c r="C505" s="505"/>
      <c r="D505" s="505"/>
      <c r="E505" s="505"/>
      <c r="F505" s="505"/>
      <c r="G505" s="505"/>
      <c r="H505" s="505"/>
      <c r="I505" s="505"/>
      <c r="J505" s="505"/>
      <c r="K505" s="517"/>
      <c r="L505" s="518"/>
      <c r="M505" s="505"/>
      <c r="N505" s="505"/>
      <c r="O505" s="505"/>
      <c r="P505" s="619"/>
      <c r="Q505" s="505"/>
      <c r="R505" s="505"/>
      <c r="S505" s="505"/>
      <c r="T505" s="505"/>
      <c r="U505" s="505"/>
      <c r="V505" s="505"/>
      <c r="W505" s="505"/>
      <c r="X505" s="505"/>
      <c r="Y505" s="505"/>
      <c r="Z505" s="505"/>
      <c r="AA505" s="505"/>
      <c r="AB505" s="505"/>
      <c r="AC505" s="505"/>
    </row>
    <row r="506" spans="1:29">
      <c r="A506" s="505"/>
      <c r="B506" s="505"/>
      <c r="C506" s="505"/>
      <c r="D506" s="505"/>
      <c r="E506" s="505"/>
      <c r="F506" s="505"/>
      <c r="G506" s="505"/>
      <c r="H506" s="505"/>
      <c r="I506" s="505"/>
      <c r="J506" s="505"/>
      <c r="K506" s="517"/>
      <c r="L506" s="518"/>
      <c r="M506" s="505"/>
      <c r="N506" s="505"/>
      <c r="O506" s="505"/>
      <c r="P506" s="619"/>
      <c r="Q506" s="505"/>
      <c r="R506" s="505"/>
      <c r="S506" s="505"/>
      <c r="T506" s="505"/>
      <c r="U506" s="505"/>
      <c r="V506" s="505"/>
      <c r="W506" s="505"/>
      <c r="X506" s="505"/>
      <c r="Y506" s="505"/>
      <c r="Z506" s="505"/>
      <c r="AA506" s="505"/>
      <c r="AB506" s="505"/>
      <c r="AC506" s="505"/>
    </row>
    <row r="507" spans="1:29">
      <c r="A507" s="505"/>
      <c r="B507" s="505"/>
      <c r="C507" s="505"/>
      <c r="D507" s="505"/>
      <c r="E507" s="505"/>
      <c r="F507" s="505"/>
      <c r="G507" s="505"/>
      <c r="H507" s="505"/>
      <c r="I507" s="505"/>
      <c r="J507" s="505"/>
      <c r="K507" s="517"/>
      <c r="L507" s="518"/>
      <c r="M507" s="505"/>
      <c r="N507" s="505"/>
      <c r="O507" s="505"/>
      <c r="P507" s="619"/>
      <c r="Q507" s="505"/>
      <c r="R507" s="505"/>
      <c r="S507" s="505"/>
      <c r="T507" s="505"/>
      <c r="U507" s="505"/>
      <c r="V507" s="505"/>
      <c r="W507" s="505"/>
      <c r="X507" s="505"/>
      <c r="Y507" s="505"/>
      <c r="Z507" s="505"/>
      <c r="AA507" s="505"/>
      <c r="AB507" s="505"/>
      <c r="AC507" s="505"/>
    </row>
    <row r="508" spans="1:29">
      <c r="A508" s="505"/>
      <c r="B508" s="505"/>
      <c r="C508" s="505"/>
      <c r="D508" s="505"/>
      <c r="E508" s="505"/>
      <c r="F508" s="505"/>
      <c r="G508" s="505"/>
      <c r="H508" s="505"/>
      <c r="I508" s="505"/>
      <c r="J508" s="505"/>
      <c r="K508" s="517"/>
      <c r="L508" s="518"/>
      <c r="M508" s="505"/>
      <c r="N508" s="505"/>
      <c r="O508" s="505"/>
      <c r="P508" s="619"/>
      <c r="Q508" s="505"/>
      <c r="R508" s="505"/>
      <c r="S508" s="505"/>
      <c r="T508" s="505"/>
      <c r="U508" s="505"/>
      <c r="V508" s="505"/>
      <c r="W508" s="505"/>
      <c r="X508" s="505"/>
      <c r="Y508" s="505"/>
      <c r="Z508" s="505"/>
      <c r="AA508" s="505"/>
      <c r="AB508" s="505"/>
      <c r="AC508" s="505"/>
    </row>
    <row r="509" spans="1:29">
      <c r="A509" s="505"/>
      <c r="B509" s="505"/>
      <c r="C509" s="505"/>
      <c r="D509" s="505"/>
      <c r="E509" s="505"/>
      <c r="F509" s="505"/>
      <c r="G509" s="505"/>
      <c r="H509" s="505"/>
      <c r="I509" s="505"/>
      <c r="J509" s="505"/>
      <c r="K509" s="517"/>
      <c r="L509" s="518"/>
      <c r="M509" s="505"/>
      <c r="N509" s="505"/>
      <c r="O509" s="505"/>
      <c r="P509" s="619"/>
      <c r="Q509" s="505"/>
      <c r="R509" s="505"/>
      <c r="S509" s="505"/>
      <c r="T509" s="505"/>
      <c r="U509" s="505"/>
      <c r="V509" s="505"/>
      <c r="W509" s="505"/>
      <c r="X509" s="505"/>
      <c r="Y509" s="505"/>
      <c r="Z509" s="505"/>
      <c r="AA509" s="505"/>
      <c r="AB509" s="505"/>
      <c r="AC509" s="505"/>
    </row>
    <row r="510" spans="1:29">
      <c r="A510" s="505"/>
      <c r="B510" s="505"/>
      <c r="C510" s="505"/>
      <c r="D510" s="505"/>
      <c r="E510" s="505"/>
      <c r="F510" s="505"/>
      <c r="G510" s="505"/>
      <c r="H510" s="505"/>
      <c r="I510" s="505"/>
      <c r="J510" s="505"/>
      <c r="K510" s="517"/>
      <c r="L510" s="518"/>
      <c r="M510" s="505"/>
      <c r="N510" s="505"/>
      <c r="O510" s="505"/>
      <c r="P510" s="619"/>
      <c r="Q510" s="505"/>
      <c r="R510" s="505"/>
      <c r="S510" s="505"/>
      <c r="T510" s="505"/>
      <c r="U510" s="505"/>
      <c r="V510" s="505"/>
      <c r="W510" s="505"/>
      <c r="X510" s="505"/>
      <c r="Y510" s="505"/>
      <c r="Z510" s="505"/>
      <c r="AA510" s="505"/>
      <c r="AB510" s="505"/>
      <c r="AC510" s="505"/>
    </row>
    <row r="511" spans="1:29">
      <c r="A511" s="505"/>
      <c r="B511" s="505"/>
      <c r="C511" s="505"/>
      <c r="D511" s="505"/>
      <c r="E511" s="505"/>
      <c r="F511" s="505"/>
      <c r="G511" s="505"/>
      <c r="H511" s="505"/>
      <c r="I511" s="505"/>
      <c r="J511" s="505"/>
      <c r="K511" s="517"/>
      <c r="L511" s="518"/>
      <c r="M511" s="505"/>
      <c r="N511" s="505"/>
      <c r="O511" s="505"/>
      <c r="P511" s="619"/>
      <c r="Q511" s="505"/>
      <c r="R511" s="505"/>
      <c r="S511" s="505"/>
      <c r="T511" s="505"/>
      <c r="U511" s="505"/>
      <c r="V511" s="505"/>
      <c r="W511" s="505"/>
      <c r="X511" s="505"/>
      <c r="Y511" s="505"/>
      <c r="Z511" s="505"/>
      <c r="AA511" s="505"/>
      <c r="AB511" s="505"/>
      <c r="AC511" s="505"/>
    </row>
    <row r="512" spans="1:29">
      <c r="A512" s="505"/>
      <c r="B512" s="505"/>
      <c r="C512" s="505"/>
      <c r="D512" s="505"/>
      <c r="E512" s="505"/>
      <c r="F512" s="505"/>
      <c r="G512" s="505"/>
      <c r="H512" s="505"/>
      <c r="I512" s="505"/>
      <c r="J512" s="505"/>
      <c r="K512" s="517"/>
      <c r="L512" s="518"/>
      <c r="M512" s="505"/>
      <c r="N512" s="505"/>
      <c r="O512" s="505"/>
      <c r="P512" s="619"/>
      <c r="Q512" s="505"/>
      <c r="R512" s="505"/>
      <c r="S512" s="505"/>
      <c r="T512" s="505"/>
      <c r="U512" s="505"/>
      <c r="V512" s="505"/>
      <c r="W512" s="505"/>
      <c r="X512" s="505"/>
      <c r="Y512" s="505"/>
      <c r="Z512" s="505"/>
      <c r="AA512" s="505"/>
      <c r="AB512" s="505"/>
      <c r="AC512" s="505"/>
    </row>
    <row r="513" spans="1:29">
      <c r="A513" s="505"/>
      <c r="B513" s="505"/>
      <c r="C513" s="505"/>
      <c r="D513" s="505"/>
      <c r="E513" s="505"/>
      <c r="F513" s="505"/>
      <c r="G513" s="505"/>
      <c r="H513" s="505"/>
      <c r="I513" s="505"/>
      <c r="J513" s="505"/>
      <c r="K513" s="517"/>
      <c r="L513" s="518"/>
      <c r="M513" s="505"/>
      <c r="N513" s="505"/>
      <c r="O513" s="505"/>
      <c r="P513" s="619"/>
      <c r="Q513" s="505"/>
      <c r="R513" s="505"/>
      <c r="S513" s="505"/>
      <c r="T513" s="505"/>
      <c r="U513" s="505"/>
      <c r="V513" s="505"/>
      <c r="W513" s="505"/>
      <c r="X513" s="505"/>
      <c r="Y513" s="505"/>
      <c r="Z513" s="505"/>
      <c r="AA513" s="505"/>
      <c r="AB513" s="505"/>
      <c r="AC513" s="505"/>
    </row>
    <row r="514" spans="1:29">
      <c r="A514" s="505"/>
      <c r="B514" s="505"/>
      <c r="C514" s="505"/>
      <c r="D514" s="505"/>
      <c r="E514" s="505"/>
      <c r="F514" s="505"/>
      <c r="G514" s="505"/>
      <c r="H514" s="505"/>
      <c r="I514" s="505"/>
      <c r="J514" s="505"/>
      <c r="K514" s="517"/>
      <c r="L514" s="518"/>
      <c r="M514" s="505"/>
      <c r="N514" s="505"/>
      <c r="O514" s="505"/>
      <c r="P514" s="619"/>
      <c r="Q514" s="505"/>
      <c r="R514" s="505"/>
      <c r="S514" s="505"/>
      <c r="T514" s="505"/>
      <c r="U514" s="505"/>
      <c r="V514" s="505"/>
      <c r="W514" s="505"/>
      <c r="X514" s="505"/>
      <c r="Y514" s="505"/>
      <c r="Z514" s="505"/>
      <c r="AA514" s="505"/>
      <c r="AB514" s="505"/>
      <c r="AC514" s="505"/>
    </row>
    <row r="515" spans="1:29">
      <c r="A515" s="505"/>
      <c r="B515" s="505"/>
      <c r="C515" s="505"/>
      <c r="D515" s="505"/>
      <c r="E515" s="505"/>
      <c r="F515" s="505"/>
      <c r="G515" s="505"/>
      <c r="H515" s="505"/>
      <c r="I515" s="505"/>
      <c r="J515" s="505"/>
      <c r="K515" s="517"/>
      <c r="L515" s="518"/>
      <c r="M515" s="505"/>
      <c r="N515" s="505"/>
      <c r="O515" s="505"/>
      <c r="P515" s="619"/>
      <c r="Q515" s="505"/>
      <c r="R515" s="505"/>
      <c r="S515" s="505"/>
      <c r="T515" s="505"/>
      <c r="U515" s="505"/>
      <c r="V515" s="505"/>
      <c r="W515" s="505"/>
      <c r="X515" s="505"/>
      <c r="Y515" s="505"/>
      <c r="Z515" s="505"/>
      <c r="AA515" s="505"/>
      <c r="AB515" s="505"/>
      <c r="AC515" s="505"/>
    </row>
    <row r="516" spans="1:29">
      <c r="A516" s="505"/>
      <c r="B516" s="505"/>
      <c r="C516" s="505"/>
      <c r="D516" s="505"/>
      <c r="E516" s="505"/>
      <c r="F516" s="505"/>
      <c r="G516" s="505"/>
      <c r="H516" s="505"/>
      <c r="I516" s="505"/>
      <c r="J516" s="505"/>
      <c r="K516" s="517"/>
      <c r="L516" s="518"/>
      <c r="M516" s="505"/>
      <c r="N516" s="505"/>
      <c r="O516" s="505"/>
      <c r="P516" s="619"/>
      <c r="Q516" s="505"/>
      <c r="R516" s="505"/>
      <c r="S516" s="505"/>
      <c r="T516" s="505"/>
      <c r="U516" s="505"/>
      <c r="V516" s="505"/>
      <c r="W516" s="505"/>
      <c r="X516" s="505"/>
      <c r="Y516" s="505"/>
      <c r="Z516" s="505"/>
      <c r="AA516" s="505"/>
      <c r="AB516" s="505"/>
      <c r="AC516" s="505"/>
    </row>
    <row r="517" spans="1:29">
      <c r="A517" s="505"/>
      <c r="B517" s="505"/>
      <c r="C517" s="505"/>
      <c r="D517" s="505"/>
      <c r="E517" s="505"/>
      <c r="F517" s="505"/>
      <c r="G517" s="505"/>
      <c r="H517" s="505"/>
      <c r="I517" s="505"/>
      <c r="J517" s="505"/>
      <c r="K517" s="517"/>
      <c r="L517" s="518"/>
      <c r="M517" s="505"/>
      <c r="N517" s="505"/>
      <c r="O517" s="505"/>
      <c r="P517" s="619"/>
      <c r="Q517" s="505"/>
      <c r="R517" s="505"/>
      <c r="S517" s="505"/>
      <c r="T517" s="505"/>
      <c r="U517" s="505"/>
      <c r="V517" s="505"/>
      <c r="W517" s="505"/>
      <c r="X517" s="505"/>
      <c r="Y517" s="505"/>
      <c r="Z517" s="505"/>
      <c r="AA517" s="505"/>
      <c r="AB517" s="505"/>
      <c r="AC517" s="505"/>
    </row>
    <row r="518" spans="1:29">
      <c r="A518" s="505"/>
      <c r="B518" s="505"/>
      <c r="C518" s="505"/>
      <c r="D518" s="505"/>
      <c r="E518" s="505"/>
      <c r="F518" s="505"/>
      <c r="G518" s="505"/>
      <c r="H518" s="505"/>
      <c r="I518" s="505"/>
      <c r="J518" s="505"/>
      <c r="K518" s="517"/>
      <c r="L518" s="518"/>
      <c r="M518" s="505"/>
      <c r="N518" s="505"/>
      <c r="O518" s="505"/>
      <c r="P518" s="619"/>
      <c r="Q518" s="505"/>
      <c r="R518" s="505"/>
      <c r="S518" s="505"/>
      <c r="T518" s="505"/>
      <c r="U518" s="505"/>
      <c r="V518" s="505"/>
      <c r="W518" s="505"/>
      <c r="X518" s="505"/>
      <c r="Y518" s="505"/>
      <c r="Z518" s="505"/>
      <c r="AA518" s="505"/>
      <c r="AB518" s="505"/>
      <c r="AC518" s="505"/>
    </row>
    <row r="519" spans="1:29">
      <c r="A519" s="505"/>
      <c r="B519" s="505"/>
      <c r="C519" s="505"/>
      <c r="D519" s="505"/>
      <c r="E519" s="505"/>
      <c r="F519" s="505"/>
      <c r="G519" s="505"/>
      <c r="H519" s="505"/>
      <c r="I519" s="505"/>
      <c r="J519" s="505"/>
      <c r="K519" s="517"/>
      <c r="L519" s="518"/>
      <c r="M519" s="505"/>
      <c r="N519" s="505"/>
      <c r="O519" s="505"/>
      <c r="P519" s="619"/>
      <c r="Q519" s="505"/>
      <c r="R519" s="505"/>
      <c r="S519" s="505"/>
      <c r="T519" s="505"/>
      <c r="U519" s="505"/>
      <c r="V519" s="505"/>
      <c r="W519" s="505"/>
      <c r="X519" s="505"/>
      <c r="Y519" s="505"/>
      <c r="Z519" s="505"/>
      <c r="AA519" s="505"/>
      <c r="AB519" s="505"/>
      <c r="AC519" s="505"/>
    </row>
    <row r="520" spans="1:29">
      <c r="A520" s="505"/>
      <c r="B520" s="505"/>
      <c r="C520" s="505"/>
      <c r="D520" s="505"/>
      <c r="E520" s="505"/>
      <c r="F520" s="505"/>
      <c r="G520" s="505"/>
      <c r="H520" s="505"/>
      <c r="I520" s="505"/>
      <c r="J520" s="505"/>
      <c r="K520" s="517"/>
      <c r="L520" s="518"/>
      <c r="M520" s="505"/>
      <c r="N520" s="505"/>
      <c r="O520" s="505"/>
      <c r="P520" s="619"/>
      <c r="Q520" s="505"/>
      <c r="R520" s="505"/>
      <c r="S520" s="505"/>
      <c r="T520" s="505"/>
      <c r="U520" s="505"/>
      <c r="V520" s="505"/>
      <c r="W520" s="505"/>
      <c r="X520" s="505"/>
      <c r="Y520" s="505"/>
      <c r="Z520" s="505"/>
      <c r="AA520" s="505"/>
      <c r="AB520" s="505"/>
      <c r="AC520" s="505"/>
    </row>
    <row r="521" spans="1:29">
      <c r="A521" s="505"/>
      <c r="B521" s="505"/>
      <c r="C521" s="505"/>
      <c r="D521" s="505"/>
      <c r="E521" s="505"/>
      <c r="F521" s="505"/>
      <c r="G521" s="505"/>
      <c r="H521" s="505"/>
      <c r="I521" s="505"/>
      <c r="J521" s="505"/>
      <c r="K521" s="517"/>
      <c r="L521" s="518"/>
      <c r="M521" s="505"/>
      <c r="N521" s="505"/>
      <c r="O521" s="505"/>
      <c r="P521" s="619"/>
      <c r="Q521" s="505"/>
      <c r="R521" s="505"/>
      <c r="S521" s="505"/>
      <c r="T521" s="505"/>
      <c r="U521" s="505"/>
      <c r="V521" s="505"/>
      <c r="W521" s="505"/>
      <c r="X521" s="505"/>
      <c r="Y521" s="505"/>
      <c r="Z521" s="505"/>
      <c r="AA521" s="505"/>
      <c r="AB521" s="505"/>
      <c r="AC521" s="505"/>
    </row>
    <row r="522" spans="1:29">
      <c r="A522" s="505"/>
      <c r="B522" s="505"/>
      <c r="C522" s="505"/>
      <c r="D522" s="505"/>
      <c r="E522" s="505"/>
      <c r="F522" s="505"/>
      <c r="G522" s="505"/>
      <c r="H522" s="505"/>
      <c r="I522" s="505"/>
      <c r="J522" s="505"/>
      <c r="K522" s="517"/>
      <c r="L522" s="518"/>
      <c r="M522" s="505"/>
      <c r="N522" s="505"/>
      <c r="O522" s="505"/>
      <c r="P522" s="619"/>
      <c r="Q522" s="505"/>
      <c r="R522" s="505"/>
      <c r="S522" s="505"/>
      <c r="T522" s="505"/>
      <c r="U522" s="505"/>
      <c r="V522" s="505"/>
      <c r="W522" s="505"/>
      <c r="X522" s="505"/>
      <c r="Y522" s="505"/>
      <c r="Z522" s="505"/>
      <c r="AA522" s="505"/>
      <c r="AB522" s="505"/>
      <c r="AC522" s="505"/>
    </row>
    <row r="523" spans="1:29">
      <c r="A523" s="505"/>
      <c r="B523" s="505"/>
      <c r="C523" s="505"/>
      <c r="D523" s="505"/>
      <c r="E523" s="505"/>
      <c r="F523" s="505"/>
      <c r="G523" s="505"/>
      <c r="H523" s="505"/>
      <c r="I523" s="505"/>
      <c r="J523" s="505"/>
      <c r="K523" s="517"/>
      <c r="L523" s="518"/>
      <c r="M523" s="505"/>
      <c r="N523" s="505"/>
      <c r="O523" s="505"/>
      <c r="P523" s="619"/>
      <c r="Q523" s="505"/>
      <c r="R523" s="505"/>
      <c r="S523" s="505"/>
      <c r="T523" s="505"/>
      <c r="U523" s="505"/>
      <c r="V523" s="505"/>
      <c r="W523" s="505"/>
      <c r="X523" s="505"/>
      <c r="Y523" s="505"/>
      <c r="Z523" s="505"/>
      <c r="AA523" s="505"/>
      <c r="AB523" s="505"/>
      <c r="AC523" s="505"/>
    </row>
    <row r="524" spans="1:29">
      <c r="A524" s="505"/>
      <c r="B524" s="505"/>
      <c r="C524" s="505"/>
      <c r="D524" s="505"/>
      <c r="E524" s="505"/>
      <c r="F524" s="505"/>
      <c r="G524" s="505"/>
      <c r="H524" s="505"/>
      <c r="I524" s="505"/>
      <c r="J524" s="505"/>
      <c r="K524" s="517"/>
      <c r="L524" s="518"/>
      <c r="M524" s="505"/>
      <c r="N524" s="505"/>
      <c r="O524" s="505"/>
      <c r="P524" s="619"/>
      <c r="Q524" s="505"/>
      <c r="R524" s="505"/>
      <c r="S524" s="505"/>
      <c r="T524" s="505"/>
      <c r="U524" s="505"/>
      <c r="V524" s="505"/>
      <c r="W524" s="505"/>
      <c r="X524" s="505"/>
      <c r="Y524" s="505"/>
      <c r="Z524" s="505"/>
      <c r="AA524" s="505"/>
      <c r="AB524" s="505"/>
      <c r="AC524" s="505"/>
    </row>
    <row r="525" spans="1:29">
      <c r="A525" s="505"/>
      <c r="B525" s="505"/>
      <c r="C525" s="505"/>
      <c r="D525" s="505"/>
      <c r="E525" s="505"/>
      <c r="F525" s="505"/>
      <c r="G525" s="505"/>
      <c r="H525" s="505"/>
      <c r="I525" s="505"/>
      <c r="J525" s="505"/>
      <c r="K525" s="517"/>
      <c r="L525" s="518"/>
      <c r="M525" s="505"/>
      <c r="N525" s="505"/>
      <c r="O525" s="505"/>
      <c r="P525" s="619"/>
      <c r="Q525" s="505"/>
      <c r="R525" s="505"/>
      <c r="S525" s="505"/>
      <c r="T525" s="505"/>
      <c r="U525" s="505"/>
      <c r="V525" s="505"/>
      <c r="W525" s="505"/>
      <c r="X525" s="505"/>
      <c r="Y525" s="505"/>
      <c r="Z525" s="505"/>
      <c r="AA525" s="505"/>
      <c r="AB525" s="505"/>
      <c r="AC525" s="505"/>
    </row>
    <row r="526" spans="1:29">
      <c r="A526" s="505"/>
      <c r="B526" s="505"/>
      <c r="C526" s="505"/>
      <c r="D526" s="505"/>
      <c r="E526" s="505"/>
      <c r="F526" s="505"/>
      <c r="G526" s="505"/>
      <c r="H526" s="505"/>
      <c r="I526" s="505"/>
      <c r="J526" s="505"/>
      <c r="K526" s="517"/>
      <c r="L526" s="518"/>
      <c r="M526" s="505"/>
      <c r="N526" s="505"/>
      <c r="O526" s="505"/>
      <c r="P526" s="619"/>
      <c r="Q526" s="505"/>
      <c r="R526" s="505"/>
      <c r="S526" s="505"/>
      <c r="T526" s="505"/>
      <c r="U526" s="505"/>
      <c r="V526" s="505"/>
      <c r="W526" s="505"/>
      <c r="X526" s="505"/>
      <c r="Y526" s="505"/>
      <c r="Z526" s="505"/>
      <c r="AA526" s="505"/>
      <c r="AB526" s="505"/>
      <c r="AC526" s="505"/>
    </row>
    <row r="527" spans="1:29">
      <c r="A527" s="505"/>
      <c r="B527" s="505"/>
      <c r="C527" s="505"/>
      <c r="D527" s="505"/>
      <c r="E527" s="505"/>
      <c r="F527" s="505"/>
      <c r="G527" s="505"/>
      <c r="H527" s="505"/>
      <c r="I527" s="505"/>
      <c r="J527" s="505"/>
      <c r="K527" s="517"/>
      <c r="L527" s="518"/>
      <c r="M527" s="505"/>
      <c r="N527" s="505"/>
      <c r="O527" s="505"/>
      <c r="P527" s="619"/>
      <c r="Q527" s="505"/>
      <c r="R527" s="505"/>
      <c r="S527" s="505"/>
      <c r="T527" s="505"/>
      <c r="U527" s="505"/>
      <c r="V527" s="505"/>
      <c r="W527" s="505"/>
      <c r="X527" s="505"/>
      <c r="Y527" s="505"/>
      <c r="Z527" s="505"/>
      <c r="AA527" s="505"/>
      <c r="AB527" s="505"/>
      <c r="AC527" s="505"/>
    </row>
    <row r="528" spans="1:29">
      <c r="A528" s="505"/>
      <c r="B528" s="505"/>
      <c r="C528" s="505"/>
      <c r="D528" s="505"/>
      <c r="E528" s="505"/>
      <c r="F528" s="505"/>
      <c r="G528" s="505"/>
      <c r="H528" s="505"/>
      <c r="I528" s="505"/>
      <c r="J528" s="505"/>
      <c r="K528" s="517"/>
      <c r="L528" s="518"/>
      <c r="M528" s="505"/>
      <c r="N528" s="505"/>
      <c r="O528" s="505"/>
      <c r="P528" s="619"/>
      <c r="Q528" s="505"/>
      <c r="R528" s="505"/>
      <c r="S528" s="505"/>
      <c r="T528" s="505"/>
      <c r="U528" s="505"/>
      <c r="V528" s="505"/>
      <c r="W528" s="505"/>
      <c r="X528" s="505"/>
      <c r="Y528" s="505"/>
      <c r="Z528" s="505"/>
      <c r="AA528" s="505"/>
      <c r="AB528" s="505"/>
      <c r="AC528" s="505"/>
    </row>
    <row r="529" spans="1:29">
      <c r="A529" s="505"/>
      <c r="B529" s="505"/>
      <c r="C529" s="505"/>
      <c r="D529" s="505"/>
      <c r="E529" s="505"/>
      <c r="F529" s="505"/>
      <c r="G529" s="505"/>
      <c r="H529" s="505"/>
      <c r="I529" s="505"/>
      <c r="J529" s="505"/>
      <c r="K529" s="517"/>
      <c r="L529" s="518"/>
      <c r="M529" s="505"/>
      <c r="N529" s="505"/>
      <c r="O529" s="505"/>
      <c r="P529" s="619"/>
      <c r="Q529" s="505"/>
      <c r="R529" s="505"/>
      <c r="S529" s="505"/>
      <c r="T529" s="505"/>
      <c r="U529" s="505"/>
      <c r="V529" s="505"/>
      <c r="W529" s="505"/>
      <c r="X529" s="505"/>
      <c r="Y529" s="505"/>
      <c r="Z529" s="505"/>
      <c r="AA529" s="505"/>
      <c r="AB529" s="505"/>
      <c r="AC529" s="505"/>
    </row>
    <row r="530" spans="1:29">
      <c r="A530" s="505"/>
      <c r="B530" s="505"/>
      <c r="C530" s="505"/>
      <c r="D530" s="505"/>
      <c r="E530" s="505"/>
      <c r="F530" s="505"/>
      <c r="G530" s="505"/>
      <c r="H530" s="505"/>
      <c r="I530" s="505"/>
      <c r="J530" s="505"/>
      <c r="K530" s="517"/>
      <c r="L530" s="518"/>
      <c r="M530" s="505"/>
      <c r="N530" s="505"/>
      <c r="O530" s="505"/>
      <c r="P530" s="619"/>
      <c r="Q530" s="505"/>
      <c r="R530" s="505"/>
      <c r="S530" s="505"/>
      <c r="T530" s="505"/>
      <c r="U530" s="505"/>
      <c r="V530" s="505"/>
      <c r="W530" s="505"/>
      <c r="X530" s="505"/>
      <c r="Y530" s="505"/>
      <c r="Z530" s="505"/>
      <c r="AA530" s="505"/>
      <c r="AB530" s="505"/>
      <c r="AC530" s="505"/>
    </row>
    <row r="531" spans="1:29">
      <c r="A531" s="505"/>
      <c r="B531" s="505"/>
      <c r="C531" s="505"/>
      <c r="D531" s="505"/>
      <c r="E531" s="505"/>
      <c r="F531" s="505"/>
      <c r="G531" s="505"/>
      <c r="H531" s="505"/>
      <c r="I531" s="505"/>
      <c r="J531" s="505"/>
      <c r="K531" s="517"/>
      <c r="L531" s="518"/>
      <c r="M531" s="505"/>
      <c r="N531" s="505"/>
      <c r="O531" s="505"/>
      <c r="P531" s="619"/>
      <c r="Q531" s="505"/>
      <c r="R531" s="505"/>
      <c r="S531" s="505"/>
      <c r="T531" s="505"/>
      <c r="U531" s="505"/>
      <c r="V531" s="505"/>
      <c r="W531" s="505"/>
      <c r="X531" s="505"/>
      <c r="Y531" s="505"/>
      <c r="Z531" s="505"/>
      <c r="AA531" s="505"/>
      <c r="AB531" s="505"/>
      <c r="AC531" s="505"/>
    </row>
    <row r="532" spans="1:29">
      <c r="A532" s="505"/>
      <c r="B532" s="505"/>
      <c r="C532" s="505"/>
      <c r="D532" s="505"/>
      <c r="E532" s="505"/>
      <c r="F532" s="505"/>
      <c r="G532" s="505"/>
      <c r="H532" s="505"/>
      <c r="I532" s="505"/>
      <c r="J532" s="505"/>
      <c r="K532" s="517"/>
      <c r="L532" s="518"/>
      <c r="M532" s="505"/>
      <c r="N532" s="505"/>
      <c r="O532" s="505"/>
      <c r="P532" s="619"/>
      <c r="Q532" s="505"/>
      <c r="R532" s="505"/>
      <c r="S532" s="505"/>
      <c r="T532" s="505"/>
      <c r="U532" s="505"/>
      <c r="V532" s="505"/>
      <c r="W532" s="505"/>
      <c r="X532" s="505"/>
      <c r="Y532" s="505"/>
      <c r="Z532" s="505"/>
      <c r="AA532" s="505"/>
      <c r="AB532" s="505"/>
      <c r="AC532" s="505"/>
    </row>
    <row r="533" spans="1:29">
      <c r="A533" s="505"/>
      <c r="B533" s="505"/>
      <c r="C533" s="505"/>
      <c r="D533" s="505"/>
      <c r="E533" s="505"/>
      <c r="F533" s="505"/>
      <c r="G533" s="505"/>
      <c r="H533" s="505"/>
      <c r="I533" s="505"/>
      <c r="J533" s="505"/>
      <c r="K533" s="517"/>
      <c r="L533" s="518"/>
      <c r="M533" s="505"/>
      <c r="N533" s="505"/>
      <c r="O533" s="505"/>
      <c r="P533" s="619"/>
      <c r="Q533" s="505"/>
      <c r="R533" s="505"/>
      <c r="S533" s="505"/>
      <c r="T533" s="505"/>
      <c r="U533" s="505"/>
      <c r="V533" s="505"/>
      <c r="W533" s="505"/>
      <c r="X533" s="505"/>
      <c r="Y533" s="505"/>
      <c r="Z533" s="505"/>
      <c r="AA533" s="505"/>
      <c r="AB533" s="505"/>
      <c r="AC533" s="505"/>
    </row>
    <row r="534" spans="1:29">
      <c r="A534" s="505"/>
      <c r="B534" s="505"/>
      <c r="C534" s="505"/>
      <c r="D534" s="505"/>
      <c r="E534" s="505"/>
      <c r="F534" s="505"/>
      <c r="G534" s="505"/>
      <c r="H534" s="505"/>
      <c r="I534" s="505"/>
      <c r="J534" s="505"/>
      <c r="K534" s="517"/>
      <c r="L534" s="518"/>
      <c r="M534" s="505"/>
      <c r="N534" s="505"/>
      <c r="O534" s="505"/>
      <c r="P534" s="619"/>
      <c r="Q534" s="505"/>
      <c r="R534" s="505"/>
      <c r="S534" s="505"/>
      <c r="T534" s="505"/>
      <c r="U534" s="505"/>
      <c r="V534" s="505"/>
      <c r="W534" s="505"/>
      <c r="X534" s="505"/>
      <c r="Y534" s="505"/>
      <c r="Z534" s="505"/>
      <c r="AA534" s="505"/>
      <c r="AB534" s="505"/>
      <c r="AC534" s="505"/>
    </row>
    <row r="535" spans="1:29">
      <c r="A535" s="505"/>
      <c r="B535" s="505"/>
      <c r="C535" s="505"/>
      <c r="D535" s="505"/>
      <c r="E535" s="505"/>
      <c r="F535" s="505"/>
      <c r="G535" s="505"/>
      <c r="H535" s="505"/>
      <c r="I535" s="505"/>
      <c r="J535" s="505"/>
      <c r="K535" s="517"/>
      <c r="L535" s="518"/>
      <c r="M535" s="505"/>
      <c r="N535" s="505"/>
      <c r="O535" s="505"/>
      <c r="P535" s="619"/>
      <c r="Q535" s="505"/>
      <c r="R535" s="505"/>
      <c r="S535" s="505"/>
      <c r="T535" s="505"/>
      <c r="U535" s="505"/>
      <c r="V535" s="505"/>
      <c r="W535" s="505"/>
      <c r="X535" s="505"/>
      <c r="Y535" s="505"/>
      <c r="Z535" s="505"/>
      <c r="AA535" s="505"/>
      <c r="AB535" s="505"/>
      <c r="AC535" s="505"/>
    </row>
    <row r="536" spans="1:29">
      <c r="A536" s="505"/>
      <c r="B536" s="505"/>
      <c r="C536" s="505"/>
      <c r="D536" s="505"/>
      <c r="E536" s="505"/>
      <c r="F536" s="505"/>
      <c r="G536" s="505"/>
      <c r="H536" s="505"/>
      <c r="I536" s="505"/>
      <c r="J536" s="505"/>
      <c r="K536" s="517"/>
      <c r="L536" s="518"/>
      <c r="M536" s="505"/>
      <c r="N536" s="505"/>
      <c r="O536" s="505"/>
      <c r="P536" s="619"/>
      <c r="Q536" s="505"/>
      <c r="R536" s="505"/>
      <c r="S536" s="505"/>
      <c r="T536" s="505"/>
      <c r="U536" s="505"/>
      <c r="V536" s="505"/>
      <c r="W536" s="505"/>
      <c r="X536" s="505"/>
      <c r="Y536" s="505"/>
      <c r="Z536" s="505"/>
      <c r="AA536" s="505"/>
      <c r="AB536" s="505"/>
      <c r="AC536" s="505"/>
    </row>
    <row r="537" spans="1:29">
      <c r="A537" s="505"/>
      <c r="B537" s="505"/>
      <c r="C537" s="505"/>
      <c r="D537" s="505"/>
      <c r="E537" s="505"/>
      <c r="F537" s="505"/>
      <c r="G537" s="505"/>
      <c r="H537" s="505"/>
      <c r="I537" s="505"/>
      <c r="J537" s="505"/>
      <c r="K537" s="517"/>
      <c r="L537" s="518"/>
      <c r="M537" s="505"/>
      <c r="N537" s="505"/>
      <c r="O537" s="505"/>
      <c r="P537" s="619"/>
      <c r="Q537" s="505"/>
      <c r="R537" s="505"/>
      <c r="S537" s="505"/>
      <c r="T537" s="505"/>
      <c r="U537" s="505"/>
      <c r="V537" s="505"/>
      <c r="W537" s="505"/>
      <c r="X537" s="505"/>
      <c r="Y537" s="505"/>
      <c r="Z537" s="505"/>
      <c r="AA537" s="505"/>
      <c r="AB537" s="505"/>
      <c r="AC537" s="505"/>
    </row>
    <row r="538" spans="1:29">
      <c r="A538" s="505"/>
      <c r="B538" s="505"/>
      <c r="C538" s="505"/>
      <c r="D538" s="505"/>
      <c r="E538" s="505"/>
      <c r="F538" s="505"/>
      <c r="G538" s="505"/>
      <c r="H538" s="505"/>
      <c r="I538" s="505"/>
      <c r="J538" s="505"/>
      <c r="K538" s="517"/>
      <c r="L538" s="518"/>
      <c r="M538" s="505"/>
      <c r="N538" s="505"/>
      <c r="O538" s="505"/>
      <c r="P538" s="619"/>
      <c r="Q538" s="505"/>
      <c r="R538" s="505"/>
      <c r="S538" s="505"/>
      <c r="T538" s="505"/>
      <c r="U538" s="505"/>
      <c r="V538" s="505"/>
      <c r="W538" s="505"/>
      <c r="X538" s="505"/>
      <c r="Y538" s="505"/>
      <c r="Z538" s="505"/>
      <c r="AA538" s="505"/>
      <c r="AB538" s="505"/>
      <c r="AC538" s="505"/>
    </row>
    <row r="539" spans="1:29">
      <c r="A539" s="505"/>
      <c r="B539" s="505"/>
      <c r="C539" s="505"/>
      <c r="D539" s="505"/>
      <c r="E539" s="505"/>
      <c r="F539" s="505"/>
      <c r="G539" s="505"/>
      <c r="H539" s="505"/>
      <c r="I539" s="505"/>
      <c r="J539" s="505"/>
      <c r="K539" s="517"/>
      <c r="L539" s="518"/>
      <c r="M539" s="505"/>
      <c r="N539" s="505"/>
      <c r="O539" s="505"/>
      <c r="P539" s="619"/>
      <c r="Q539" s="505"/>
      <c r="R539" s="505"/>
      <c r="S539" s="505"/>
      <c r="T539" s="505"/>
      <c r="U539" s="505"/>
      <c r="V539" s="505"/>
      <c r="W539" s="505"/>
      <c r="X539" s="505"/>
      <c r="Y539" s="505"/>
      <c r="Z539" s="505"/>
      <c r="AA539" s="505"/>
      <c r="AB539" s="505"/>
      <c r="AC539" s="505"/>
    </row>
    <row r="540" spans="1:29">
      <c r="A540" s="505"/>
      <c r="B540" s="505"/>
      <c r="C540" s="505"/>
      <c r="D540" s="505"/>
      <c r="E540" s="505"/>
      <c r="F540" s="505"/>
      <c r="G540" s="505"/>
      <c r="H540" s="505"/>
      <c r="I540" s="505"/>
      <c r="J540" s="505"/>
      <c r="K540" s="517"/>
      <c r="L540" s="518"/>
      <c r="M540" s="505"/>
      <c r="N540" s="505"/>
      <c r="O540" s="505"/>
      <c r="P540" s="619"/>
      <c r="Q540" s="505"/>
      <c r="R540" s="505"/>
      <c r="S540" s="505"/>
      <c r="T540" s="505"/>
      <c r="U540" s="505"/>
      <c r="V540" s="505"/>
      <c r="W540" s="505"/>
      <c r="X540" s="505"/>
      <c r="Y540" s="505"/>
      <c r="Z540" s="505"/>
      <c r="AA540" s="505"/>
      <c r="AB540" s="505"/>
      <c r="AC540" s="505"/>
    </row>
    <row r="541" spans="1:29">
      <c r="A541" s="505"/>
      <c r="B541" s="505"/>
      <c r="C541" s="505"/>
      <c r="D541" s="505"/>
      <c r="E541" s="505"/>
      <c r="F541" s="505"/>
      <c r="G541" s="505"/>
      <c r="H541" s="505"/>
      <c r="I541" s="505"/>
      <c r="J541" s="505"/>
      <c r="K541" s="517"/>
      <c r="L541" s="518"/>
      <c r="M541" s="505"/>
      <c r="N541" s="505"/>
      <c r="O541" s="505"/>
      <c r="P541" s="619"/>
      <c r="Q541" s="505"/>
      <c r="R541" s="505"/>
      <c r="S541" s="505"/>
      <c r="T541" s="505"/>
      <c r="U541" s="505"/>
      <c r="V541" s="505"/>
      <c r="W541" s="505"/>
      <c r="X541" s="505"/>
      <c r="Y541" s="505"/>
      <c r="Z541" s="505"/>
      <c r="AA541" s="505"/>
      <c r="AB541" s="505"/>
      <c r="AC541" s="505"/>
    </row>
    <row r="542" spans="1:29">
      <c r="A542" s="505"/>
      <c r="B542" s="505"/>
      <c r="C542" s="505"/>
      <c r="D542" s="505"/>
      <c r="E542" s="505"/>
      <c r="F542" s="505"/>
      <c r="G542" s="505"/>
      <c r="H542" s="505"/>
      <c r="I542" s="505"/>
      <c r="J542" s="505"/>
      <c r="K542" s="517"/>
      <c r="L542" s="518"/>
      <c r="M542" s="505"/>
      <c r="N542" s="505"/>
      <c r="O542" s="505"/>
      <c r="P542" s="619"/>
      <c r="Q542" s="505"/>
      <c r="R542" s="505"/>
      <c r="S542" s="505"/>
      <c r="T542" s="505"/>
      <c r="U542" s="505"/>
      <c r="V542" s="505"/>
      <c r="W542" s="505"/>
      <c r="X542" s="505"/>
      <c r="Y542" s="505"/>
      <c r="Z542" s="505"/>
      <c r="AA542" s="505"/>
      <c r="AB542" s="505"/>
      <c r="AC542" s="505"/>
    </row>
    <row r="543" spans="1:29">
      <c r="A543" s="505"/>
      <c r="B543" s="505"/>
      <c r="C543" s="505"/>
      <c r="D543" s="505"/>
      <c r="E543" s="505"/>
      <c r="F543" s="505"/>
      <c r="G543" s="505"/>
      <c r="H543" s="505"/>
      <c r="I543" s="505"/>
      <c r="J543" s="505"/>
      <c r="K543" s="517"/>
      <c r="L543" s="518"/>
      <c r="M543" s="505"/>
      <c r="N543" s="505"/>
      <c r="O543" s="505"/>
      <c r="P543" s="619"/>
      <c r="Q543" s="505"/>
      <c r="R543" s="505"/>
      <c r="S543" s="505"/>
      <c r="T543" s="505"/>
      <c r="U543" s="505"/>
      <c r="V543" s="505"/>
      <c r="W543" s="505"/>
      <c r="X543" s="505"/>
      <c r="Y543" s="505"/>
      <c r="Z543" s="505"/>
      <c r="AA543" s="505"/>
      <c r="AB543" s="505"/>
      <c r="AC543" s="505"/>
    </row>
    <row r="544" spans="1:29">
      <c r="A544" s="505"/>
      <c r="B544" s="505"/>
      <c r="C544" s="505"/>
      <c r="D544" s="505"/>
      <c r="E544" s="505"/>
      <c r="F544" s="505"/>
      <c r="G544" s="505"/>
      <c r="H544" s="505"/>
      <c r="I544" s="505"/>
      <c r="J544" s="505"/>
      <c r="K544" s="517"/>
      <c r="L544" s="518"/>
      <c r="M544" s="505"/>
      <c r="N544" s="505"/>
      <c r="O544" s="505"/>
      <c r="P544" s="619"/>
      <c r="Q544" s="505"/>
      <c r="R544" s="505"/>
      <c r="S544" s="505"/>
      <c r="T544" s="505"/>
      <c r="U544" s="505"/>
      <c r="V544" s="505"/>
      <c r="W544" s="505"/>
      <c r="X544" s="505"/>
      <c r="Y544" s="505"/>
      <c r="Z544" s="505"/>
      <c r="AA544" s="505"/>
      <c r="AB544" s="505"/>
      <c r="AC544" s="505"/>
    </row>
    <row r="545" spans="1:29">
      <c r="A545" s="505"/>
      <c r="B545" s="505"/>
      <c r="C545" s="505"/>
      <c r="D545" s="505"/>
      <c r="E545" s="505"/>
      <c r="F545" s="505"/>
      <c r="G545" s="505"/>
      <c r="H545" s="505"/>
      <c r="I545" s="505"/>
      <c r="J545" s="505"/>
      <c r="K545" s="517"/>
      <c r="L545" s="518"/>
      <c r="M545" s="505"/>
      <c r="N545" s="505"/>
      <c r="O545" s="505"/>
      <c r="P545" s="619"/>
      <c r="Q545" s="505"/>
      <c r="R545" s="505"/>
      <c r="S545" s="505"/>
      <c r="T545" s="505"/>
      <c r="U545" s="505"/>
      <c r="V545" s="505"/>
      <c r="W545" s="505"/>
      <c r="X545" s="505"/>
      <c r="Y545" s="505"/>
      <c r="Z545" s="505"/>
      <c r="AA545" s="505"/>
      <c r="AB545" s="505"/>
      <c r="AC545" s="505"/>
    </row>
    <row r="546" spans="1:29">
      <c r="A546" s="505"/>
      <c r="B546" s="505"/>
      <c r="C546" s="505"/>
      <c r="D546" s="505"/>
      <c r="E546" s="505"/>
      <c r="F546" s="505"/>
      <c r="G546" s="505"/>
      <c r="H546" s="505"/>
      <c r="I546" s="505"/>
      <c r="J546" s="505"/>
      <c r="K546" s="517"/>
      <c r="L546" s="518"/>
      <c r="M546" s="505"/>
      <c r="N546" s="505"/>
      <c r="O546" s="505"/>
      <c r="P546" s="619"/>
      <c r="Q546" s="505"/>
      <c r="R546" s="505"/>
      <c r="S546" s="505"/>
      <c r="T546" s="505"/>
      <c r="U546" s="505"/>
      <c r="V546" s="505"/>
      <c r="W546" s="505"/>
      <c r="X546" s="505"/>
      <c r="Y546" s="505"/>
      <c r="Z546" s="505"/>
      <c r="AA546" s="505"/>
      <c r="AB546" s="505"/>
      <c r="AC546" s="505"/>
    </row>
    <row r="547" spans="1:29">
      <c r="A547" s="505"/>
      <c r="B547" s="505"/>
      <c r="C547" s="505"/>
      <c r="D547" s="505"/>
      <c r="E547" s="505"/>
      <c r="F547" s="505"/>
      <c r="G547" s="505"/>
      <c r="H547" s="505"/>
      <c r="I547" s="505"/>
      <c r="J547" s="505"/>
      <c r="K547" s="517"/>
      <c r="L547" s="518"/>
      <c r="M547" s="505"/>
      <c r="N547" s="505"/>
      <c r="O547" s="505"/>
      <c r="P547" s="619"/>
      <c r="Q547" s="505"/>
      <c r="R547" s="505"/>
      <c r="S547" s="505"/>
      <c r="T547" s="505"/>
      <c r="U547" s="505"/>
      <c r="V547" s="505"/>
      <c r="W547" s="505"/>
      <c r="X547" s="505"/>
      <c r="Y547" s="505"/>
      <c r="Z547" s="505"/>
      <c r="AA547" s="505"/>
      <c r="AB547" s="505"/>
      <c r="AC547" s="505"/>
    </row>
    <row r="548" spans="1:29">
      <c r="A548" s="505"/>
      <c r="B548" s="505"/>
      <c r="C548" s="505"/>
      <c r="D548" s="505"/>
      <c r="E548" s="505"/>
      <c r="F548" s="505"/>
      <c r="G548" s="505"/>
      <c r="H548" s="505"/>
      <c r="I548" s="505"/>
      <c r="J548" s="505"/>
      <c r="K548" s="517"/>
      <c r="L548" s="518"/>
      <c r="M548" s="505"/>
      <c r="N548" s="505"/>
      <c r="O548" s="505"/>
      <c r="P548" s="619"/>
      <c r="Q548" s="505"/>
      <c r="R548" s="505"/>
      <c r="S548" s="505"/>
      <c r="T548" s="505"/>
      <c r="U548" s="505"/>
      <c r="V548" s="505"/>
      <c r="W548" s="505"/>
      <c r="X548" s="505"/>
      <c r="Y548" s="505"/>
      <c r="Z548" s="505"/>
      <c r="AA548" s="505"/>
      <c r="AB548" s="505"/>
      <c r="AC548" s="505"/>
    </row>
    <row r="549" spans="1:29">
      <c r="A549" s="505"/>
      <c r="B549" s="505"/>
      <c r="C549" s="505"/>
      <c r="D549" s="505"/>
      <c r="E549" s="505"/>
      <c r="F549" s="505"/>
      <c r="G549" s="505"/>
      <c r="H549" s="505"/>
      <c r="I549" s="505"/>
      <c r="J549" s="505"/>
      <c r="K549" s="517"/>
      <c r="L549" s="518"/>
      <c r="M549" s="505"/>
      <c r="N549" s="505"/>
      <c r="O549" s="505"/>
      <c r="P549" s="619"/>
      <c r="Q549" s="505"/>
      <c r="R549" s="505"/>
      <c r="S549" s="505"/>
      <c r="T549" s="505"/>
      <c r="U549" s="505"/>
      <c r="V549" s="505"/>
      <c r="W549" s="505"/>
      <c r="X549" s="505"/>
      <c r="Y549" s="505"/>
      <c r="Z549" s="505"/>
      <c r="AA549" s="505"/>
      <c r="AB549" s="505"/>
      <c r="AC549" s="505"/>
    </row>
    <row r="550" spans="1:29">
      <c r="A550" s="505"/>
      <c r="B550" s="505"/>
      <c r="C550" s="505"/>
      <c r="D550" s="505"/>
      <c r="E550" s="505"/>
      <c r="F550" s="505"/>
      <c r="G550" s="505"/>
      <c r="H550" s="505"/>
      <c r="I550" s="505"/>
      <c r="J550" s="505"/>
      <c r="K550" s="517"/>
      <c r="L550" s="518"/>
      <c r="M550" s="505"/>
      <c r="N550" s="505"/>
      <c r="O550" s="505"/>
      <c r="P550" s="619"/>
      <c r="Q550" s="505"/>
      <c r="R550" s="505"/>
      <c r="S550" s="505"/>
      <c r="T550" s="505"/>
      <c r="U550" s="505"/>
      <c r="V550" s="505"/>
      <c r="W550" s="505"/>
      <c r="X550" s="505"/>
      <c r="Y550" s="505"/>
      <c r="Z550" s="505"/>
      <c r="AA550" s="505"/>
      <c r="AB550" s="505"/>
      <c r="AC550" s="505"/>
    </row>
    <row r="551" spans="1:29">
      <c r="A551" s="505"/>
      <c r="B551" s="505"/>
      <c r="C551" s="505"/>
      <c r="D551" s="505"/>
      <c r="E551" s="505"/>
      <c r="F551" s="505"/>
      <c r="G551" s="505"/>
      <c r="H551" s="505"/>
      <c r="I551" s="505"/>
      <c r="J551" s="505"/>
      <c r="K551" s="517"/>
      <c r="L551" s="518"/>
      <c r="M551" s="505"/>
      <c r="N551" s="505"/>
      <c r="O551" s="505"/>
      <c r="P551" s="619"/>
      <c r="Q551" s="505"/>
      <c r="R551" s="505"/>
      <c r="S551" s="505"/>
      <c r="T551" s="505"/>
      <c r="U551" s="505"/>
      <c r="V551" s="505"/>
      <c r="W551" s="505"/>
      <c r="X551" s="505"/>
      <c r="Y551" s="505"/>
      <c r="Z551" s="505"/>
      <c r="AA551" s="505"/>
      <c r="AB551" s="505"/>
      <c r="AC551" s="505"/>
    </row>
    <row r="552" spans="1:29">
      <c r="A552" s="505"/>
      <c r="B552" s="505"/>
      <c r="C552" s="505"/>
      <c r="D552" s="505"/>
      <c r="E552" s="505"/>
      <c r="F552" s="505"/>
      <c r="G552" s="505"/>
      <c r="H552" s="505"/>
      <c r="I552" s="505"/>
      <c r="J552" s="505"/>
      <c r="K552" s="517"/>
      <c r="L552" s="518"/>
      <c r="M552" s="505"/>
      <c r="N552" s="505"/>
      <c r="O552" s="505"/>
      <c r="P552" s="619"/>
      <c r="Q552" s="505"/>
      <c r="R552" s="505"/>
      <c r="S552" s="505"/>
      <c r="T552" s="505"/>
      <c r="U552" s="505"/>
      <c r="V552" s="505"/>
      <c r="W552" s="505"/>
      <c r="X552" s="505"/>
      <c r="Y552" s="505"/>
      <c r="Z552" s="505"/>
      <c r="AA552" s="505"/>
      <c r="AB552" s="505"/>
      <c r="AC552" s="505"/>
    </row>
    <row r="553" spans="1:29">
      <c r="A553" s="505"/>
      <c r="B553" s="505"/>
      <c r="C553" s="505"/>
      <c r="D553" s="505"/>
      <c r="E553" s="505"/>
      <c r="F553" s="505"/>
      <c r="G553" s="505"/>
      <c r="H553" s="505"/>
      <c r="I553" s="505"/>
      <c r="J553" s="505"/>
      <c r="K553" s="517"/>
      <c r="L553" s="518"/>
      <c r="M553" s="505"/>
      <c r="N553" s="505"/>
      <c r="O553" s="505"/>
      <c r="P553" s="619"/>
      <c r="Q553" s="505"/>
      <c r="R553" s="505"/>
      <c r="S553" s="505"/>
      <c r="T553" s="505"/>
      <c r="U553" s="505"/>
      <c r="V553" s="505"/>
      <c r="W553" s="505"/>
      <c r="X553" s="505"/>
      <c r="Y553" s="505"/>
      <c r="Z553" s="505"/>
      <c r="AA553" s="505"/>
      <c r="AB553" s="505"/>
      <c r="AC553" s="505"/>
    </row>
    <row r="554" spans="1:29">
      <c r="A554" s="505"/>
      <c r="B554" s="505"/>
      <c r="C554" s="505"/>
      <c r="D554" s="505"/>
      <c r="E554" s="505"/>
      <c r="F554" s="505"/>
      <c r="G554" s="505"/>
      <c r="H554" s="505"/>
      <c r="I554" s="505"/>
      <c r="J554" s="505"/>
      <c r="K554" s="517"/>
      <c r="L554" s="518"/>
      <c r="M554" s="505"/>
      <c r="N554" s="505"/>
      <c r="O554" s="505"/>
      <c r="P554" s="619"/>
      <c r="Q554" s="505"/>
      <c r="R554" s="505"/>
      <c r="S554" s="505"/>
      <c r="T554" s="505"/>
      <c r="U554" s="505"/>
      <c r="V554" s="505"/>
      <c r="W554" s="505"/>
      <c r="X554" s="505"/>
      <c r="Y554" s="505"/>
      <c r="Z554" s="505"/>
      <c r="AA554" s="505"/>
      <c r="AB554" s="505"/>
      <c r="AC554" s="505"/>
    </row>
    <row r="555" spans="1:29">
      <c r="A555" s="505"/>
      <c r="B555" s="505"/>
      <c r="C555" s="505"/>
      <c r="D555" s="505"/>
      <c r="E555" s="505"/>
      <c r="F555" s="505"/>
      <c r="G555" s="505"/>
      <c r="H555" s="505"/>
      <c r="I555" s="505"/>
      <c r="J555" s="505"/>
      <c r="K555" s="517"/>
      <c r="L555" s="518"/>
      <c r="M555" s="505"/>
      <c r="N555" s="505"/>
      <c r="O555" s="505"/>
      <c r="P555" s="619"/>
      <c r="Q555" s="505"/>
      <c r="R555" s="505"/>
      <c r="S555" s="505"/>
      <c r="T555" s="505"/>
      <c r="U555" s="505"/>
      <c r="V555" s="505"/>
      <c r="W555" s="505"/>
      <c r="X555" s="505"/>
      <c r="Y555" s="505"/>
      <c r="Z555" s="505"/>
      <c r="AA555" s="505"/>
      <c r="AB555" s="505"/>
      <c r="AC555" s="505"/>
    </row>
    <row r="556" spans="1:29">
      <c r="A556" s="505"/>
      <c r="B556" s="505"/>
      <c r="C556" s="505"/>
      <c r="D556" s="505"/>
      <c r="E556" s="505"/>
      <c r="F556" s="505"/>
      <c r="G556" s="505"/>
      <c r="H556" s="505"/>
      <c r="I556" s="505"/>
      <c r="J556" s="505"/>
      <c r="K556" s="517"/>
      <c r="L556" s="518"/>
      <c r="M556" s="505"/>
      <c r="N556" s="505"/>
      <c r="O556" s="505"/>
      <c r="P556" s="619"/>
      <c r="Q556" s="505"/>
      <c r="R556" s="505"/>
      <c r="S556" s="505"/>
      <c r="T556" s="505"/>
      <c r="U556" s="505"/>
      <c r="V556" s="505"/>
      <c r="W556" s="505"/>
      <c r="X556" s="505"/>
      <c r="Y556" s="505"/>
      <c r="Z556" s="505"/>
      <c r="AA556" s="505"/>
      <c r="AB556" s="505"/>
      <c r="AC556" s="505"/>
    </row>
    <row r="557" spans="1:29">
      <c r="A557" s="505"/>
      <c r="B557" s="505"/>
      <c r="C557" s="505"/>
      <c r="D557" s="505"/>
      <c r="E557" s="505"/>
      <c r="F557" s="505"/>
      <c r="G557" s="505"/>
      <c r="H557" s="505"/>
      <c r="I557" s="505"/>
      <c r="J557" s="505"/>
      <c r="K557" s="517"/>
      <c r="L557" s="518"/>
      <c r="M557" s="505"/>
      <c r="N557" s="505"/>
      <c r="O557" s="505"/>
      <c r="P557" s="619"/>
      <c r="Q557" s="505"/>
      <c r="R557" s="505"/>
      <c r="S557" s="505"/>
      <c r="T557" s="505"/>
      <c r="U557" s="505"/>
      <c r="V557" s="505"/>
      <c r="W557" s="505"/>
      <c r="X557" s="505"/>
      <c r="Y557" s="505"/>
      <c r="Z557" s="505"/>
      <c r="AA557" s="505"/>
      <c r="AB557" s="505"/>
      <c r="AC557" s="505"/>
    </row>
    <row r="558" spans="1:29">
      <c r="A558" s="505"/>
      <c r="B558" s="505"/>
      <c r="C558" s="505"/>
      <c r="D558" s="505"/>
      <c r="E558" s="505"/>
      <c r="F558" s="505"/>
      <c r="G558" s="505"/>
      <c r="H558" s="505"/>
      <c r="I558" s="505"/>
      <c r="J558" s="505"/>
      <c r="K558" s="517"/>
      <c r="L558" s="518"/>
      <c r="M558" s="505"/>
      <c r="N558" s="505"/>
      <c r="O558" s="505"/>
      <c r="P558" s="619"/>
      <c r="Q558" s="505"/>
      <c r="R558" s="505"/>
      <c r="S558" s="505"/>
      <c r="T558" s="505"/>
      <c r="U558" s="505"/>
      <c r="V558" s="505"/>
      <c r="W558" s="505"/>
      <c r="X558" s="505"/>
      <c r="Y558" s="505"/>
      <c r="Z558" s="505"/>
      <c r="AA558" s="505"/>
      <c r="AB558" s="505"/>
      <c r="AC558" s="505"/>
    </row>
    <row r="559" spans="1:29">
      <c r="A559" s="505"/>
      <c r="B559" s="505"/>
      <c r="C559" s="505"/>
      <c r="D559" s="505"/>
      <c r="E559" s="505"/>
      <c r="F559" s="505"/>
      <c r="G559" s="505"/>
      <c r="H559" s="505"/>
      <c r="I559" s="505"/>
      <c r="J559" s="505"/>
      <c r="K559" s="517"/>
      <c r="L559" s="518"/>
      <c r="M559" s="505"/>
      <c r="N559" s="505"/>
      <c r="O559" s="505"/>
      <c r="P559" s="619"/>
      <c r="Q559" s="505"/>
      <c r="R559" s="505"/>
      <c r="S559" s="505"/>
      <c r="T559" s="505"/>
      <c r="U559" s="505"/>
      <c r="V559" s="505"/>
      <c r="W559" s="505"/>
      <c r="X559" s="505"/>
      <c r="Y559" s="505"/>
      <c r="Z559" s="505"/>
      <c r="AA559" s="505"/>
      <c r="AB559" s="505"/>
      <c r="AC559" s="505"/>
    </row>
    <row r="560" spans="1:29">
      <c r="A560" s="505"/>
      <c r="B560" s="505"/>
      <c r="C560" s="505"/>
      <c r="D560" s="505"/>
      <c r="E560" s="505"/>
      <c r="F560" s="505"/>
      <c r="G560" s="505"/>
      <c r="H560" s="505"/>
      <c r="I560" s="505"/>
      <c r="J560" s="505"/>
      <c r="K560" s="517"/>
      <c r="L560" s="518"/>
      <c r="M560" s="505"/>
      <c r="N560" s="505"/>
      <c r="O560" s="505"/>
      <c r="P560" s="619"/>
      <c r="Q560" s="505"/>
      <c r="R560" s="505"/>
      <c r="S560" s="505"/>
      <c r="T560" s="505"/>
      <c r="U560" s="505"/>
      <c r="V560" s="505"/>
      <c r="W560" s="505"/>
      <c r="X560" s="505"/>
      <c r="Y560" s="505"/>
      <c r="Z560" s="505"/>
      <c r="AA560" s="505"/>
      <c r="AB560" s="505"/>
      <c r="AC560" s="505"/>
    </row>
    <row r="561" spans="1:29">
      <c r="A561" s="505"/>
      <c r="B561" s="505"/>
      <c r="C561" s="505"/>
      <c r="D561" s="505"/>
      <c r="E561" s="505"/>
      <c r="F561" s="505"/>
      <c r="G561" s="505"/>
      <c r="H561" s="505"/>
      <c r="I561" s="505"/>
      <c r="J561" s="505"/>
      <c r="K561" s="517"/>
      <c r="L561" s="518"/>
      <c r="M561" s="505"/>
      <c r="N561" s="505"/>
      <c r="O561" s="505"/>
      <c r="P561" s="619"/>
      <c r="Q561" s="505"/>
      <c r="R561" s="505"/>
      <c r="S561" s="505"/>
      <c r="T561" s="505"/>
      <c r="U561" s="505"/>
      <c r="V561" s="505"/>
      <c r="W561" s="505"/>
      <c r="X561" s="505"/>
      <c r="Y561" s="505"/>
      <c r="Z561" s="505"/>
      <c r="AA561" s="505"/>
      <c r="AB561" s="505"/>
      <c r="AC561" s="505"/>
    </row>
    <row r="562" spans="1:29">
      <c r="A562" s="505"/>
      <c r="B562" s="505"/>
      <c r="C562" s="505"/>
      <c r="D562" s="505"/>
      <c r="E562" s="505"/>
      <c r="F562" s="505"/>
      <c r="G562" s="505"/>
      <c r="H562" s="505"/>
      <c r="I562" s="505"/>
      <c r="J562" s="505"/>
      <c r="K562" s="517"/>
      <c r="L562" s="518"/>
      <c r="M562" s="505"/>
      <c r="N562" s="505"/>
      <c r="O562" s="505"/>
      <c r="P562" s="619"/>
      <c r="Q562" s="505"/>
      <c r="R562" s="505"/>
      <c r="S562" s="505"/>
      <c r="T562" s="505"/>
      <c r="U562" s="505"/>
      <c r="V562" s="505"/>
      <c r="W562" s="505"/>
      <c r="X562" s="505"/>
      <c r="Y562" s="505"/>
      <c r="Z562" s="505"/>
      <c r="AA562" s="505"/>
      <c r="AB562" s="505"/>
      <c r="AC562" s="505"/>
    </row>
    <row r="563" spans="1:29">
      <c r="A563" s="505"/>
      <c r="B563" s="505"/>
      <c r="C563" s="505"/>
      <c r="D563" s="505"/>
      <c r="E563" s="505"/>
      <c r="F563" s="505"/>
      <c r="G563" s="505"/>
      <c r="H563" s="505"/>
      <c r="I563" s="505"/>
      <c r="J563" s="505"/>
      <c r="K563" s="517"/>
      <c r="L563" s="518"/>
      <c r="M563" s="505"/>
      <c r="N563" s="505"/>
      <c r="O563" s="505"/>
      <c r="P563" s="619"/>
      <c r="Q563" s="505"/>
      <c r="R563" s="505"/>
      <c r="S563" s="505"/>
      <c r="T563" s="505"/>
      <c r="U563" s="505"/>
      <c r="V563" s="505"/>
      <c r="W563" s="505"/>
      <c r="X563" s="505"/>
      <c r="Y563" s="505"/>
      <c r="Z563" s="505"/>
      <c r="AA563" s="505"/>
      <c r="AB563" s="505"/>
      <c r="AC563" s="505"/>
    </row>
    <row r="564" spans="1:29">
      <c r="A564" s="505"/>
      <c r="B564" s="505"/>
      <c r="C564" s="505"/>
      <c r="D564" s="505"/>
      <c r="E564" s="505"/>
      <c r="F564" s="505"/>
      <c r="G564" s="505"/>
      <c r="H564" s="505"/>
      <c r="I564" s="505"/>
      <c r="J564" s="505"/>
      <c r="K564" s="517"/>
      <c r="L564" s="518"/>
      <c r="M564" s="505"/>
      <c r="N564" s="505"/>
      <c r="O564" s="505"/>
      <c r="P564" s="619"/>
      <c r="Q564" s="505"/>
      <c r="R564" s="505"/>
      <c r="S564" s="505"/>
      <c r="T564" s="505"/>
      <c r="U564" s="505"/>
      <c r="V564" s="505"/>
      <c r="W564" s="505"/>
      <c r="X564" s="505"/>
      <c r="Y564" s="505"/>
      <c r="Z564" s="505"/>
      <c r="AA564" s="505"/>
      <c r="AB564" s="505"/>
      <c r="AC564" s="505"/>
    </row>
    <row r="565" spans="1:29">
      <c r="A565" s="505"/>
      <c r="B565" s="505"/>
      <c r="C565" s="505"/>
      <c r="D565" s="505"/>
      <c r="E565" s="505"/>
      <c r="F565" s="505"/>
      <c r="G565" s="505"/>
      <c r="H565" s="505"/>
      <c r="I565" s="505"/>
      <c r="J565" s="505"/>
      <c r="K565" s="517"/>
      <c r="L565" s="518"/>
      <c r="M565" s="505"/>
      <c r="N565" s="505"/>
      <c r="O565" s="505"/>
      <c r="P565" s="619"/>
      <c r="Q565" s="505"/>
      <c r="R565" s="505"/>
      <c r="S565" s="505"/>
      <c r="T565" s="505"/>
      <c r="U565" s="505"/>
      <c r="V565" s="505"/>
      <c r="W565" s="505"/>
      <c r="X565" s="505"/>
      <c r="Y565" s="505"/>
      <c r="Z565" s="505"/>
      <c r="AA565" s="505"/>
      <c r="AB565" s="505"/>
      <c r="AC565" s="505"/>
    </row>
    <row r="566" spans="1:29">
      <c r="A566" s="505"/>
      <c r="B566" s="505"/>
      <c r="C566" s="505"/>
      <c r="D566" s="505"/>
      <c r="E566" s="505"/>
      <c r="F566" s="505"/>
      <c r="G566" s="505"/>
      <c r="H566" s="505"/>
      <c r="I566" s="505"/>
      <c r="J566" s="505"/>
      <c r="K566" s="517"/>
      <c r="L566" s="518"/>
      <c r="M566" s="505"/>
      <c r="N566" s="505"/>
      <c r="O566" s="505"/>
      <c r="P566" s="619"/>
      <c r="Q566" s="505"/>
      <c r="R566" s="505"/>
      <c r="S566" s="505"/>
      <c r="T566" s="505"/>
      <c r="U566" s="505"/>
      <c r="V566" s="505"/>
      <c r="W566" s="505"/>
      <c r="X566" s="505"/>
      <c r="Y566" s="505"/>
      <c r="Z566" s="505"/>
      <c r="AA566" s="505"/>
      <c r="AB566" s="505"/>
      <c r="AC566" s="505"/>
    </row>
    <row r="567" spans="1:29">
      <c r="A567" s="505"/>
      <c r="B567" s="505"/>
      <c r="C567" s="505"/>
      <c r="D567" s="505"/>
      <c r="E567" s="505"/>
      <c r="F567" s="505"/>
      <c r="G567" s="505"/>
      <c r="H567" s="505"/>
      <c r="I567" s="505"/>
      <c r="J567" s="505"/>
      <c r="K567" s="517"/>
      <c r="L567" s="518"/>
      <c r="M567" s="505"/>
      <c r="N567" s="505"/>
      <c r="O567" s="505"/>
      <c r="P567" s="619"/>
      <c r="Q567" s="505"/>
      <c r="R567" s="505"/>
      <c r="S567" s="505"/>
      <c r="T567" s="505"/>
      <c r="U567" s="505"/>
      <c r="V567" s="505"/>
      <c r="W567" s="505"/>
      <c r="X567" s="505"/>
      <c r="Y567" s="505"/>
      <c r="Z567" s="505"/>
      <c r="AA567" s="505"/>
      <c r="AB567" s="505"/>
      <c r="AC567" s="505"/>
    </row>
    <row r="568" spans="1:29">
      <c r="A568" s="505"/>
      <c r="B568" s="505"/>
      <c r="C568" s="505"/>
      <c r="D568" s="505"/>
      <c r="E568" s="505"/>
      <c r="F568" s="505"/>
      <c r="G568" s="505"/>
      <c r="H568" s="505"/>
      <c r="I568" s="505"/>
      <c r="J568" s="505"/>
      <c r="K568" s="517"/>
      <c r="L568" s="518"/>
      <c r="M568" s="505"/>
      <c r="N568" s="505"/>
      <c r="O568" s="505"/>
      <c r="P568" s="619"/>
      <c r="Q568" s="505"/>
      <c r="R568" s="505"/>
      <c r="S568" s="505"/>
      <c r="T568" s="505"/>
      <c r="U568" s="505"/>
      <c r="V568" s="505"/>
      <c r="W568" s="505"/>
      <c r="X568" s="505"/>
      <c r="Y568" s="505"/>
      <c r="Z568" s="505"/>
      <c r="AA568" s="505"/>
      <c r="AB568" s="505"/>
      <c r="AC568" s="505"/>
    </row>
    <row r="569" spans="1:29">
      <c r="A569" s="505"/>
      <c r="B569" s="505"/>
      <c r="C569" s="505"/>
      <c r="D569" s="505"/>
      <c r="E569" s="505"/>
      <c r="F569" s="505"/>
      <c r="G569" s="505"/>
      <c r="H569" s="505"/>
      <c r="I569" s="505"/>
      <c r="J569" s="505"/>
      <c r="K569" s="517"/>
      <c r="L569" s="518"/>
      <c r="M569" s="505"/>
      <c r="N569" s="505"/>
      <c r="O569" s="505"/>
      <c r="P569" s="619"/>
      <c r="Q569" s="505"/>
      <c r="R569" s="505"/>
      <c r="S569" s="505"/>
      <c r="T569" s="505"/>
      <c r="U569" s="505"/>
      <c r="V569" s="505"/>
      <c r="W569" s="505"/>
      <c r="X569" s="505"/>
      <c r="Y569" s="505"/>
      <c r="Z569" s="505"/>
      <c r="AA569" s="505"/>
      <c r="AB569" s="505"/>
      <c r="AC569" s="505"/>
    </row>
    <row r="570" spans="1:29">
      <c r="A570" s="505"/>
      <c r="B570" s="505"/>
      <c r="C570" s="505"/>
      <c r="D570" s="505"/>
      <c r="E570" s="505"/>
      <c r="F570" s="505"/>
      <c r="G570" s="505"/>
      <c r="H570" s="505"/>
      <c r="I570" s="505"/>
      <c r="J570" s="505"/>
      <c r="K570" s="517"/>
      <c r="L570" s="518"/>
      <c r="M570" s="505"/>
      <c r="N570" s="505"/>
      <c r="O570" s="505"/>
      <c r="P570" s="619"/>
      <c r="Q570" s="505"/>
      <c r="R570" s="505"/>
      <c r="S570" s="505"/>
      <c r="T570" s="505"/>
      <c r="U570" s="505"/>
      <c r="V570" s="505"/>
      <c r="W570" s="505"/>
      <c r="X570" s="505"/>
      <c r="Y570" s="505"/>
      <c r="Z570" s="505"/>
      <c r="AA570" s="505"/>
      <c r="AB570" s="505"/>
      <c r="AC570" s="505"/>
    </row>
    <row r="571" spans="1:29">
      <c r="A571" s="505"/>
      <c r="B571" s="505"/>
      <c r="C571" s="505"/>
      <c r="D571" s="505"/>
      <c r="E571" s="505"/>
      <c r="F571" s="505"/>
      <c r="G571" s="505"/>
      <c r="H571" s="505"/>
      <c r="I571" s="505"/>
      <c r="J571" s="505"/>
      <c r="K571" s="517"/>
      <c r="L571" s="518"/>
      <c r="M571" s="505"/>
      <c r="N571" s="505"/>
      <c r="O571" s="505"/>
      <c r="P571" s="619"/>
      <c r="Q571" s="505"/>
      <c r="R571" s="505"/>
      <c r="S571" s="505"/>
      <c r="T571" s="505"/>
      <c r="U571" s="505"/>
      <c r="V571" s="505"/>
      <c r="W571" s="505"/>
      <c r="X571" s="505"/>
      <c r="Y571" s="505"/>
      <c r="Z571" s="505"/>
      <c r="AA571" s="505"/>
      <c r="AB571" s="505"/>
      <c r="AC571" s="505"/>
    </row>
    <row r="572" spans="1:29">
      <c r="A572" s="505"/>
      <c r="B572" s="505"/>
      <c r="C572" s="505"/>
      <c r="D572" s="505"/>
      <c r="E572" s="505"/>
      <c r="F572" s="505"/>
      <c r="G572" s="505"/>
      <c r="H572" s="505"/>
      <c r="I572" s="505"/>
      <c r="J572" s="505"/>
      <c r="K572" s="517"/>
      <c r="L572" s="518"/>
      <c r="M572" s="505"/>
      <c r="N572" s="505"/>
      <c r="O572" s="505"/>
      <c r="P572" s="619"/>
      <c r="Q572" s="505"/>
      <c r="R572" s="505"/>
      <c r="S572" s="505"/>
      <c r="T572" s="505"/>
      <c r="U572" s="505"/>
      <c r="V572" s="505"/>
      <c r="W572" s="505"/>
      <c r="X572" s="505"/>
      <c r="Y572" s="505"/>
      <c r="Z572" s="505"/>
      <c r="AA572" s="505"/>
      <c r="AB572" s="505"/>
      <c r="AC572" s="505"/>
    </row>
    <row r="573" spans="1:29">
      <c r="A573" s="505"/>
      <c r="B573" s="505"/>
      <c r="C573" s="505"/>
      <c r="D573" s="505"/>
      <c r="E573" s="505"/>
      <c r="F573" s="505"/>
      <c r="G573" s="505"/>
      <c r="H573" s="505"/>
      <c r="I573" s="505"/>
      <c r="J573" s="505"/>
      <c r="K573" s="517"/>
      <c r="L573" s="518"/>
      <c r="M573" s="505"/>
      <c r="N573" s="505"/>
      <c r="O573" s="505"/>
      <c r="P573" s="619"/>
      <c r="Q573" s="505"/>
      <c r="R573" s="505"/>
      <c r="S573" s="505"/>
      <c r="T573" s="505"/>
      <c r="U573" s="505"/>
      <c r="V573" s="505"/>
      <c r="W573" s="505"/>
      <c r="X573" s="505"/>
      <c r="Y573" s="505"/>
      <c r="Z573" s="505"/>
      <c r="AA573" s="505"/>
      <c r="AB573" s="505"/>
      <c r="AC573" s="505"/>
    </row>
    <row r="574" spans="1:29">
      <c r="A574" s="505"/>
      <c r="B574" s="505"/>
      <c r="C574" s="505"/>
      <c r="D574" s="505"/>
      <c r="E574" s="505"/>
      <c r="F574" s="505"/>
      <c r="G574" s="505"/>
      <c r="H574" s="505"/>
      <c r="I574" s="505"/>
      <c r="J574" s="505"/>
      <c r="K574" s="517"/>
      <c r="L574" s="518"/>
      <c r="M574" s="505"/>
      <c r="N574" s="505"/>
      <c r="O574" s="505"/>
      <c r="P574" s="619"/>
      <c r="Q574" s="505"/>
      <c r="R574" s="505"/>
      <c r="S574" s="505"/>
      <c r="T574" s="505"/>
      <c r="U574" s="505"/>
      <c r="V574" s="505"/>
      <c r="W574" s="505"/>
      <c r="X574" s="505"/>
      <c r="Y574" s="505"/>
      <c r="Z574" s="505"/>
      <c r="AA574" s="505"/>
      <c r="AB574" s="505"/>
      <c r="AC574" s="505"/>
    </row>
    <row r="575" spans="1:29">
      <c r="A575" s="505"/>
      <c r="B575" s="505"/>
      <c r="C575" s="505"/>
      <c r="D575" s="505"/>
      <c r="E575" s="505"/>
      <c r="F575" s="505"/>
      <c r="G575" s="505"/>
      <c r="H575" s="505"/>
      <c r="I575" s="505"/>
      <c r="J575" s="505"/>
      <c r="K575" s="517"/>
      <c r="L575" s="518"/>
      <c r="M575" s="505"/>
      <c r="N575" s="505"/>
      <c r="O575" s="505"/>
      <c r="P575" s="619"/>
      <c r="Q575" s="505"/>
      <c r="R575" s="505"/>
      <c r="S575" s="505"/>
      <c r="T575" s="505"/>
      <c r="U575" s="505"/>
      <c r="V575" s="505"/>
      <c r="W575" s="505"/>
      <c r="X575" s="505"/>
      <c r="Y575" s="505"/>
      <c r="Z575" s="505"/>
      <c r="AA575" s="505"/>
      <c r="AB575" s="505"/>
      <c r="AC575" s="505"/>
    </row>
    <row r="576" spans="1:29">
      <c r="A576" s="505"/>
      <c r="B576" s="505"/>
      <c r="C576" s="505"/>
      <c r="D576" s="505"/>
      <c r="E576" s="505"/>
      <c r="F576" s="505"/>
      <c r="G576" s="505"/>
      <c r="H576" s="505"/>
      <c r="I576" s="505"/>
      <c r="J576" s="505"/>
      <c r="K576" s="517"/>
      <c r="L576" s="518"/>
      <c r="M576" s="505"/>
      <c r="N576" s="505"/>
      <c r="O576" s="505"/>
      <c r="P576" s="619"/>
      <c r="Q576" s="505"/>
      <c r="R576" s="505"/>
      <c r="S576" s="505"/>
      <c r="T576" s="505"/>
      <c r="U576" s="505"/>
      <c r="V576" s="505"/>
      <c r="W576" s="505"/>
      <c r="X576" s="505"/>
      <c r="Y576" s="505"/>
      <c r="Z576" s="505"/>
      <c r="AA576" s="505"/>
      <c r="AB576" s="505"/>
      <c r="AC576" s="505"/>
    </row>
    <row r="577" spans="1:29">
      <c r="A577" s="505"/>
      <c r="B577" s="505"/>
      <c r="C577" s="505"/>
      <c r="D577" s="505"/>
      <c r="E577" s="505"/>
      <c r="F577" s="505"/>
      <c r="G577" s="505"/>
      <c r="H577" s="505"/>
      <c r="I577" s="505"/>
      <c r="J577" s="505"/>
      <c r="K577" s="517"/>
      <c r="L577" s="518"/>
      <c r="M577" s="505"/>
      <c r="N577" s="505"/>
      <c r="O577" s="505"/>
      <c r="P577" s="619"/>
      <c r="Q577" s="505"/>
      <c r="R577" s="505"/>
      <c r="S577" s="505"/>
      <c r="T577" s="505"/>
      <c r="U577" s="505"/>
      <c r="V577" s="505"/>
      <c r="W577" s="505"/>
      <c r="X577" s="505"/>
      <c r="Y577" s="505"/>
      <c r="Z577" s="505"/>
      <c r="AA577" s="505"/>
      <c r="AB577" s="505"/>
      <c r="AC577" s="505"/>
    </row>
    <row r="578" spans="1:29">
      <c r="A578" s="505"/>
      <c r="B578" s="505"/>
      <c r="C578" s="505"/>
      <c r="D578" s="505"/>
      <c r="E578" s="505"/>
      <c r="F578" s="505"/>
      <c r="G578" s="505"/>
      <c r="H578" s="505"/>
      <c r="I578" s="505"/>
      <c r="J578" s="505"/>
      <c r="K578" s="517"/>
      <c r="L578" s="518"/>
      <c r="M578" s="505"/>
      <c r="N578" s="505"/>
      <c r="O578" s="505"/>
      <c r="P578" s="619"/>
      <c r="Q578" s="505"/>
      <c r="R578" s="505"/>
      <c r="S578" s="505"/>
      <c r="T578" s="505"/>
      <c r="U578" s="505"/>
      <c r="V578" s="505"/>
      <c r="W578" s="505"/>
      <c r="X578" s="505"/>
      <c r="Y578" s="505"/>
      <c r="Z578" s="505"/>
      <c r="AA578" s="505"/>
      <c r="AB578" s="505"/>
      <c r="AC578" s="505"/>
    </row>
    <row r="579" spans="1:29">
      <c r="A579" s="505"/>
      <c r="B579" s="505"/>
      <c r="C579" s="505"/>
      <c r="D579" s="505"/>
      <c r="E579" s="505"/>
      <c r="F579" s="505"/>
      <c r="G579" s="505"/>
      <c r="H579" s="505"/>
      <c r="I579" s="505"/>
      <c r="J579" s="505"/>
      <c r="K579" s="517"/>
      <c r="L579" s="518"/>
      <c r="M579" s="505"/>
      <c r="N579" s="505"/>
      <c r="O579" s="505"/>
      <c r="P579" s="619"/>
      <c r="Q579" s="505"/>
      <c r="R579" s="505"/>
      <c r="S579" s="505"/>
      <c r="T579" s="505"/>
      <c r="U579" s="505"/>
      <c r="V579" s="505"/>
      <c r="W579" s="505"/>
      <c r="X579" s="505"/>
      <c r="Y579" s="505"/>
      <c r="Z579" s="505"/>
      <c r="AA579" s="505"/>
      <c r="AB579" s="505"/>
      <c r="AC579" s="505"/>
    </row>
    <row r="580" spans="1:29">
      <c r="A580" s="505"/>
      <c r="B580" s="505"/>
      <c r="C580" s="505"/>
      <c r="D580" s="505"/>
      <c r="E580" s="505"/>
      <c r="F580" s="505"/>
      <c r="G580" s="505"/>
      <c r="H580" s="505"/>
      <c r="I580" s="505"/>
      <c r="J580" s="505"/>
      <c r="K580" s="517"/>
      <c r="L580" s="518"/>
      <c r="M580" s="505"/>
      <c r="N580" s="505"/>
      <c r="O580" s="505"/>
      <c r="P580" s="619"/>
      <c r="Q580" s="505"/>
      <c r="R580" s="505"/>
      <c r="S580" s="505"/>
      <c r="T580" s="505"/>
      <c r="U580" s="505"/>
      <c r="V580" s="505"/>
      <c r="W580" s="505"/>
      <c r="X580" s="505"/>
      <c r="Y580" s="505"/>
      <c r="Z580" s="505"/>
      <c r="AA580" s="505"/>
      <c r="AB580" s="505"/>
      <c r="AC580" s="505"/>
    </row>
    <row r="581" spans="1:29">
      <c r="A581" s="505"/>
      <c r="B581" s="505"/>
      <c r="C581" s="505"/>
      <c r="D581" s="505"/>
      <c r="E581" s="505"/>
      <c r="F581" s="505"/>
      <c r="G581" s="505"/>
      <c r="H581" s="505"/>
      <c r="I581" s="505"/>
      <c r="J581" s="505"/>
      <c r="K581" s="517"/>
      <c r="L581" s="518"/>
      <c r="M581" s="505"/>
      <c r="N581" s="505"/>
      <c r="O581" s="505"/>
      <c r="P581" s="619"/>
      <c r="Q581" s="505"/>
      <c r="R581" s="505"/>
      <c r="S581" s="505"/>
      <c r="T581" s="505"/>
      <c r="U581" s="505"/>
      <c r="V581" s="505"/>
      <c r="W581" s="505"/>
      <c r="X581" s="505"/>
      <c r="Y581" s="505"/>
      <c r="Z581" s="505"/>
      <c r="AA581" s="505"/>
      <c r="AB581" s="505"/>
      <c r="AC581" s="505"/>
    </row>
    <row r="582" spans="1:29">
      <c r="A582" s="505"/>
      <c r="B582" s="505"/>
      <c r="C582" s="505"/>
      <c r="D582" s="505"/>
      <c r="E582" s="505"/>
      <c r="F582" s="505"/>
      <c r="G582" s="505"/>
      <c r="H582" s="505"/>
      <c r="I582" s="505"/>
      <c r="J582" s="505"/>
      <c r="K582" s="517"/>
      <c r="L582" s="518"/>
      <c r="M582" s="505"/>
      <c r="N582" s="505"/>
      <c r="O582" s="505"/>
      <c r="P582" s="619"/>
      <c r="Q582" s="505"/>
      <c r="R582" s="505"/>
      <c r="S582" s="505"/>
      <c r="T582" s="505"/>
      <c r="U582" s="505"/>
      <c r="V582" s="505"/>
      <c r="W582" s="505"/>
      <c r="X582" s="505"/>
      <c r="Y582" s="505"/>
      <c r="Z582" s="505"/>
      <c r="AA582" s="505"/>
      <c r="AB582" s="505"/>
      <c r="AC582" s="505"/>
    </row>
    <row r="583" spans="1:29">
      <c r="A583" s="505"/>
      <c r="B583" s="505"/>
      <c r="C583" s="505"/>
      <c r="D583" s="505"/>
      <c r="E583" s="505"/>
      <c r="F583" s="505"/>
      <c r="G583" s="505"/>
      <c r="H583" s="505"/>
      <c r="I583" s="505"/>
      <c r="J583" s="505"/>
      <c r="K583" s="517"/>
      <c r="L583" s="518"/>
      <c r="M583" s="505"/>
      <c r="N583" s="505"/>
      <c r="O583" s="505"/>
      <c r="P583" s="619"/>
      <c r="Q583" s="505"/>
      <c r="R583" s="505"/>
      <c r="S583" s="505"/>
      <c r="T583" s="505"/>
      <c r="U583" s="505"/>
      <c r="V583" s="505"/>
      <c r="W583" s="505"/>
      <c r="X583" s="505"/>
      <c r="Y583" s="505"/>
      <c r="Z583" s="505"/>
      <c r="AA583" s="505"/>
      <c r="AB583" s="505"/>
      <c r="AC583" s="505"/>
    </row>
    <row r="584" spans="1:29">
      <c r="A584" s="505"/>
      <c r="B584" s="505"/>
      <c r="C584" s="505"/>
      <c r="D584" s="505"/>
      <c r="E584" s="505"/>
      <c r="F584" s="505"/>
      <c r="G584" s="505"/>
      <c r="H584" s="505"/>
      <c r="I584" s="505"/>
      <c r="J584" s="505"/>
      <c r="K584" s="517"/>
      <c r="L584" s="518"/>
      <c r="M584" s="505"/>
      <c r="N584" s="505"/>
      <c r="O584" s="505"/>
      <c r="P584" s="619"/>
      <c r="Q584" s="505"/>
      <c r="R584" s="505"/>
      <c r="S584" s="505"/>
      <c r="T584" s="505"/>
      <c r="U584" s="505"/>
      <c r="V584" s="505"/>
      <c r="W584" s="505"/>
      <c r="X584" s="505"/>
      <c r="Y584" s="505"/>
      <c r="Z584" s="505"/>
      <c r="AA584" s="505"/>
      <c r="AB584" s="505"/>
      <c r="AC584" s="505"/>
    </row>
    <row r="585" spans="1:29">
      <c r="A585" s="505"/>
      <c r="B585" s="505"/>
      <c r="C585" s="505"/>
      <c r="D585" s="505"/>
      <c r="E585" s="505"/>
      <c r="F585" s="505"/>
      <c r="G585" s="505"/>
      <c r="H585" s="505"/>
      <c r="I585" s="505"/>
      <c r="J585" s="505"/>
      <c r="K585" s="517"/>
      <c r="L585" s="518"/>
      <c r="M585" s="505"/>
      <c r="N585" s="505"/>
      <c r="O585" s="505"/>
      <c r="P585" s="619"/>
      <c r="Q585" s="505"/>
      <c r="R585" s="505"/>
      <c r="S585" s="505"/>
      <c r="T585" s="505"/>
      <c r="U585" s="505"/>
      <c r="V585" s="505"/>
      <c r="W585" s="505"/>
      <c r="X585" s="505"/>
      <c r="Y585" s="505"/>
      <c r="Z585" s="505"/>
      <c r="AA585" s="505"/>
      <c r="AB585" s="505"/>
      <c r="AC585" s="505"/>
    </row>
    <row r="586" spans="1:29">
      <c r="A586" s="505"/>
      <c r="B586" s="505"/>
      <c r="C586" s="505"/>
      <c r="D586" s="505"/>
      <c r="E586" s="505"/>
      <c r="F586" s="505"/>
      <c r="G586" s="505"/>
      <c r="H586" s="505"/>
      <c r="I586" s="505"/>
      <c r="J586" s="505"/>
      <c r="K586" s="517"/>
      <c r="L586" s="518"/>
      <c r="M586" s="505"/>
      <c r="N586" s="505"/>
      <c r="O586" s="505"/>
      <c r="P586" s="619"/>
      <c r="Q586" s="505"/>
      <c r="R586" s="505"/>
      <c r="S586" s="505"/>
      <c r="T586" s="505"/>
      <c r="U586" s="505"/>
      <c r="V586" s="505"/>
      <c r="W586" s="505"/>
      <c r="X586" s="505"/>
      <c r="Y586" s="505"/>
      <c r="Z586" s="505"/>
      <c r="AA586" s="505"/>
      <c r="AB586" s="505"/>
      <c r="AC586" s="505"/>
    </row>
    <row r="587" spans="1:29">
      <c r="A587" s="505"/>
      <c r="B587" s="505"/>
      <c r="C587" s="505"/>
      <c r="D587" s="505"/>
      <c r="E587" s="505"/>
      <c r="F587" s="505"/>
      <c r="G587" s="505"/>
      <c r="H587" s="505"/>
      <c r="I587" s="505"/>
      <c r="J587" s="505"/>
      <c r="K587" s="517"/>
      <c r="L587" s="518"/>
      <c r="M587" s="505"/>
      <c r="N587" s="505"/>
      <c r="O587" s="505"/>
      <c r="P587" s="619"/>
      <c r="Q587" s="505"/>
      <c r="R587" s="505"/>
      <c r="S587" s="505"/>
      <c r="T587" s="505"/>
      <c r="U587" s="505"/>
      <c r="V587" s="505"/>
      <c r="W587" s="505"/>
      <c r="X587" s="505"/>
      <c r="Y587" s="505"/>
      <c r="Z587" s="505"/>
      <c r="AA587" s="505"/>
      <c r="AB587" s="505"/>
      <c r="AC587" s="505"/>
    </row>
    <row r="588" spans="1:29">
      <c r="A588" s="505"/>
      <c r="B588" s="505"/>
      <c r="C588" s="505"/>
      <c r="D588" s="505"/>
      <c r="E588" s="505"/>
      <c r="F588" s="505"/>
      <c r="G588" s="505"/>
      <c r="H588" s="505"/>
      <c r="I588" s="505"/>
      <c r="J588" s="505"/>
      <c r="K588" s="517"/>
      <c r="L588" s="518"/>
      <c r="M588" s="505"/>
      <c r="N588" s="505"/>
      <c r="O588" s="505"/>
      <c r="P588" s="619"/>
      <c r="Q588" s="505"/>
      <c r="R588" s="505"/>
      <c r="S588" s="505"/>
      <c r="T588" s="505"/>
      <c r="U588" s="505"/>
      <c r="V588" s="505"/>
      <c r="W588" s="505"/>
      <c r="X588" s="505"/>
      <c r="Y588" s="505"/>
      <c r="Z588" s="505"/>
      <c r="AA588" s="505"/>
      <c r="AB588" s="505"/>
      <c r="AC588" s="505"/>
    </row>
    <row r="589" spans="1:29">
      <c r="A589" s="505"/>
      <c r="B589" s="505"/>
      <c r="C589" s="505"/>
      <c r="D589" s="505"/>
      <c r="E589" s="505"/>
      <c r="F589" s="505"/>
      <c r="G589" s="505"/>
      <c r="H589" s="505"/>
      <c r="I589" s="505"/>
      <c r="J589" s="505"/>
      <c r="K589" s="517"/>
      <c r="L589" s="518"/>
      <c r="M589" s="505"/>
      <c r="N589" s="505"/>
      <c r="O589" s="505"/>
      <c r="P589" s="619"/>
      <c r="Q589" s="505"/>
      <c r="R589" s="505"/>
      <c r="S589" s="505"/>
      <c r="T589" s="505"/>
      <c r="U589" s="505"/>
      <c r="V589" s="505"/>
      <c r="W589" s="505"/>
      <c r="X589" s="505"/>
      <c r="Y589" s="505"/>
      <c r="Z589" s="505"/>
      <c r="AA589" s="505"/>
      <c r="AB589" s="505"/>
      <c r="AC589" s="505"/>
    </row>
    <row r="590" spans="1:29">
      <c r="A590" s="505"/>
      <c r="B590" s="505"/>
      <c r="C590" s="505"/>
      <c r="D590" s="505"/>
      <c r="E590" s="505"/>
      <c r="F590" s="505"/>
      <c r="G590" s="505"/>
      <c r="H590" s="505"/>
      <c r="I590" s="505"/>
      <c r="J590" s="505"/>
      <c r="K590" s="517"/>
      <c r="L590" s="518"/>
      <c r="M590" s="505"/>
      <c r="N590" s="505"/>
      <c r="O590" s="505"/>
      <c r="P590" s="619"/>
      <c r="Q590" s="505"/>
      <c r="R590" s="505"/>
      <c r="S590" s="505"/>
      <c r="T590" s="505"/>
      <c r="U590" s="505"/>
      <c r="V590" s="505"/>
      <c r="W590" s="505"/>
      <c r="X590" s="505"/>
      <c r="Y590" s="505"/>
      <c r="Z590" s="505"/>
      <c r="AA590" s="505"/>
      <c r="AB590" s="505"/>
      <c r="AC590" s="505"/>
    </row>
    <row r="591" spans="1:29">
      <c r="A591" s="505"/>
      <c r="B591" s="505"/>
      <c r="C591" s="505"/>
      <c r="D591" s="505"/>
      <c r="E591" s="505"/>
      <c r="F591" s="505"/>
      <c r="G591" s="505"/>
      <c r="H591" s="505"/>
      <c r="I591" s="505"/>
      <c r="J591" s="505"/>
      <c r="K591" s="517"/>
      <c r="L591" s="518"/>
      <c r="M591" s="505"/>
      <c r="N591" s="505"/>
      <c r="O591" s="505"/>
      <c r="P591" s="619"/>
      <c r="Q591" s="505"/>
      <c r="R591" s="505"/>
      <c r="S591" s="505"/>
      <c r="T591" s="505"/>
      <c r="U591" s="505"/>
      <c r="V591" s="505"/>
      <c r="W591" s="505"/>
      <c r="X591" s="505"/>
      <c r="Y591" s="505"/>
      <c r="Z591" s="505"/>
      <c r="AA591" s="505"/>
      <c r="AB591" s="505"/>
      <c r="AC591" s="505"/>
    </row>
    <row r="592" spans="1:29">
      <c r="A592" s="505"/>
      <c r="B592" s="505"/>
      <c r="C592" s="505"/>
      <c r="D592" s="505"/>
      <c r="E592" s="505"/>
      <c r="F592" s="505"/>
      <c r="G592" s="505"/>
      <c r="H592" s="505"/>
      <c r="I592" s="505"/>
      <c r="J592" s="505"/>
      <c r="K592" s="517"/>
      <c r="L592" s="518"/>
      <c r="M592" s="505"/>
      <c r="N592" s="505"/>
      <c r="O592" s="505"/>
      <c r="P592" s="619"/>
      <c r="Q592" s="505"/>
      <c r="R592" s="505"/>
      <c r="S592" s="505"/>
      <c r="T592" s="505"/>
      <c r="U592" s="505"/>
      <c r="V592" s="505"/>
      <c r="W592" s="505"/>
      <c r="X592" s="505"/>
      <c r="Y592" s="505"/>
      <c r="Z592" s="505"/>
      <c r="AA592" s="505"/>
      <c r="AB592" s="505"/>
      <c r="AC592" s="505"/>
    </row>
    <row r="593" spans="1:29">
      <c r="A593" s="505"/>
      <c r="B593" s="505"/>
      <c r="C593" s="505"/>
      <c r="D593" s="505"/>
      <c r="E593" s="505"/>
      <c r="F593" s="505"/>
      <c r="G593" s="505"/>
      <c r="H593" s="505"/>
      <c r="I593" s="505"/>
      <c r="J593" s="505"/>
      <c r="K593" s="517"/>
      <c r="L593" s="518"/>
      <c r="M593" s="505"/>
      <c r="N593" s="505"/>
      <c r="O593" s="505"/>
      <c r="P593" s="619"/>
      <c r="Q593" s="505"/>
      <c r="R593" s="505"/>
      <c r="S593" s="505"/>
      <c r="T593" s="505"/>
      <c r="U593" s="505"/>
      <c r="V593" s="505"/>
      <c r="W593" s="505"/>
      <c r="X593" s="505"/>
      <c r="Y593" s="505"/>
      <c r="Z593" s="505"/>
      <c r="AA593" s="505"/>
      <c r="AB593" s="505"/>
      <c r="AC593" s="505"/>
    </row>
    <row r="594" spans="1:29">
      <c r="A594" s="505"/>
      <c r="B594" s="505"/>
      <c r="C594" s="505"/>
      <c r="D594" s="505"/>
      <c r="E594" s="505"/>
      <c r="F594" s="505"/>
      <c r="G594" s="505"/>
      <c r="H594" s="505"/>
      <c r="I594" s="505"/>
      <c r="J594" s="505"/>
      <c r="K594" s="517"/>
      <c r="L594" s="518"/>
      <c r="M594" s="505"/>
      <c r="N594" s="505"/>
      <c r="O594" s="505"/>
      <c r="P594" s="619"/>
      <c r="Q594" s="505"/>
      <c r="R594" s="505"/>
      <c r="S594" s="505"/>
      <c r="T594" s="505"/>
      <c r="U594" s="505"/>
      <c r="V594" s="505"/>
      <c r="W594" s="505"/>
      <c r="X594" s="505"/>
      <c r="Y594" s="505"/>
      <c r="Z594" s="505"/>
      <c r="AA594" s="505"/>
      <c r="AB594" s="505"/>
      <c r="AC594" s="505"/>
    </row>
    <row r="595" spans="1:29">
      <c r="A595" s="505"/>
      <c r="B595" s="505"/>
      <c r="C595" s="505"/>
      <c r="D595" s="505"/>
      <c r="E595" s="505"/>
      <c r="F595" s="505"/>
      <c r="G595" s="505"/>
      <c r="H595" s="505"/>
      <c r="I595" s="505"/>
      <c r="J595" s="505"/>
      <c r="K595" s="517"/>
      <c r="L595" s="518"/>
      <c r="M595" s="505"/>
      <c r="N595" s="505"/>
      <c r="O595" s="505"/>
      <c r="P595" s="619"/>
      <c r="Q595" s="505"/>
      <c r="R595" s="505"/>
      <c r="S595" s="505"/>
      <c r="T595" s="505"/>
      <c r="U595" s="505"/>
      <c r="V595" s="505"/>
      <c r="W595" s="505"/>
      <c r="X595" s="505"/>
      <c r="Y595" s="505"/>
      <c r="Z595" s="505"/>
      <c r="AA595" s="505"/>
      <c r="AB595" s="505"/>
      <c r="AC595" s="505"/>
    </row>
    <row r="596" spans="1:29">
      <c r="A596" s="505"/>
      <c r="B596" s="505"/>
      <c r="C596" s="505"/>
      <c r="D596" s="505"/>
      <c r="E596" s="505"/>
      <c r="F596" s="505"/>
      <c r="G596" s="505"/>
      <c r="H596" s="505"/>
      <c r="I596" s="505"/>
      <c r="J596" s="505"/>
      <c r="K596" s="517"/>
      <c r="L596" s="518"/>
      <c r="M596" s="505"/>
      <c r="N596" s="505"/>
      <c r="O596" s="505"/>
      <c r="P596" s="619"/>
      <c r="Q596" s="505"/>
      <c r="R596" s="505"/>
      <c r="S596" s="505"/>
      <c r="T596" s="505"/>
      <c r="U596" s="505"/>
      <c r="V596" s="505"/>
      <c r="W596" s="505"/>
      <c r="X596" s="505"/>
      <c r="Y596" s="505"/>
      <c r="Z596" s="505"/>
      <c r="AA596" s="505"/>
      <c r="AB596" s="505"/>
      <c r="AC596" s="505"/>
    </row>
    <row r="597" spans="1:29">
      <c r="A597" s="505"/>
      <c r="B597" s="505"/>
      <c r="C597" s="505"/>
      <c r="D597" s="505"/>
      <c r="E597" s="505"/>
      <c r="F597" s="505"/>
      <c r="G597" s="505"/>
      <c r="H597" s="505"/>
      <c r="I597" s="505"/>
      <c r="J597" s="505"/>
      <c r="K597" s="517"/>
      <c r="L597" s="518"/>
      <c r="M597" s="505"/>
      <c r="N597" s="505"/>
      <c r="O597" s="505"/>
      <c r="P597" s="619"/>
      <c r="Q597" s="505"/>
      <c r="R597" s="505"/>
      <c r="S597" s="505"/>
      <c r="T597" s="505"/>
      <c r="U597" s="505"/>
      <c r="V597" s="505"/>
      <c r="W597" s="505"/>
      <c r="X597" s="505"/>
      <c r="Y597" s="505"/>
      <c r="Z597" s="505"/>
      <c r="AA597" s="505"/>
      <c r="AB597" s="505"/>
      <c r="AC597" s="505"/>
    </row>
    <row r="598" spans="1:29">
      <c r="A598" s="505"/>
      <c r="B598" s="505"/>
      <c r="C598" s="505"/>
      <c r="D598" s="505"/>
      <c r="E598" s="505"/>
      <c r="F598" s="505"/>
      <c r="G598" s="505"/>
      <c r="H598" s="505"/>
      <c r="I598" s="505"/>
      <c r="J598" s="505"/>
      <c r="K598" s="517"/>
      <c r="L598" s="518"/>
      <c r="M598" s="505"/>
      <c r="N598" s="505"/>
      <c r="O598" s="505"/>
      <c r="P598" s="619"/>
      <c r="Q598" s="505"/>
      <c r="R598" s="505"/>
      <c r="S598" s="505"/>
      <c r="T598" s="505"/>
      <c r="U598" s="505"/>
      <c r="V598" s="505"/>
      <c r="W598" s="505"/>
      <c r="X598" s="505"/>
      <c r="Y598" s="505"/>
      <c r="Z598" s="505"/>
      <c r="AA598" s="505"/>
      <c r="AB598" s="505"/>
      <c r="AC598" s="505"/>
    </row>
    <row r="599" spans="1:29">
      <c r="A599" s="505"/>
      <c r="B599" s="505"/>
      <c r="C599" s="505"/>
      <c r="D599" s="505"/>
      <c r="E599" s="505"/>
      <c r="F599" s="505"/>
      <c r="G599" s="505"/>
      <c r="H599" s="505"/>
      <c r="I599" s="505"/>
      <c r="J599" s="505"/>
      <c r="K599" s="517"/>
      <c r="L599" s="518"/>
      <c r="M599" s="505"/>
      <c r="N599" s="505"/>
      <c r="O599" s="505"/>
      <c r="P599" s="619"/>
      <c r="Q599" s="505"/>
      <c r="R599" s="505"/>
      <c r="S599" s="505"/>
      <c r="T599" s="505"/>
      <c r="U599" s="505"/>
      <c r="V599" s="505"/>
      <c r="W599" s="505"/>
      <c r="X599" s="505"/>
      <c r="Y599" s="505"/>
      <c r="Z599" s="505"/>
      <c r="AA599" s="505"/>
      <c r="AB599" s="505"/>
      <c r="AC599" s="505"/>
    </row>
    <row r="600" spans="1:29">
      <c r="A600" s="505"/>
      <c r="B600" s="505"/>
      <c r="C600" s="505"/>
      <c r="D600" s="505"/>
      <c r="E600" s="505"/>
      <c r="F600" s="505"/>
      <c r="G600" s="505"/>
      <c r="H600" s="505"/>
      <c r="I600" s="505"/>
      <c r="J600" s="505"/>
      <c r="K600" s="517"/>
      <c r="L600" s="518"/>
      <c r="M600" s="505"/>
      <c r="N600" s="505"/>
      <c r="O600" s="505"/>
      <c r="P600" s="619"/>
      <c r="Q600" s="505"/>
      <c r="R600" s="505"/>
      <c r="S600" s="505"/>
      <c r="T600" s="505"/>
      <c r="U600" s="505"/>
      <c r="V600" s="505"/>
      <c r="W600" s="505"/>
      <c r="X600" s="505"/>
      <c r="Y600" s="505"/>
      <c r="Z600" s="505"/>
      <c r="AA600" s="505"/>
      <c r="AB600" s="505"/>
      <c r="AC600" s="505"/>
    </row>
    <row r="601" spans="1:29">
      <c r="A601" s="505"/>
      <c r="B601" s="505"/>
      <c r="C601" s="505"/>
      <c r="D601" s="505"/>
      <c r="E601" s="505"/>
      <c r="F601" s="505"/>
      <c r="G601" s="505"/>
      <c r="H601" s="505"/>
      <c r="I601" s="505"/>
      <c r="J601" s="505"/>
      <c r="K601" s="517"/>
      <c r="L601" s="518"/>
      <c r="M601" s="505"/>
      <c r="N601" s="505"/>
      <c r="O601" s="505"/>
      <c r="P601" s="619"/>
      <c r="Q601" s="505"/>
      <c r="R601" s="505"/>
      <c r="S601" s="505"/>
      <c r="T601" s="505"/>
      <c r="U601" s="505"/>
      <c r="V601" s="505"/>
      <c r="W601" s="505"/>
      <c r="X601" s="505"/>
      <c r="Y601" s="505"/>
      <c r="Z601" s="505"/>
      <c r="AA601" s="505"/>
      <c r="AB601" s="505"/>
      <c r="AC601" s="505"/>
    </row>
    <row r="602" spans="1:29">
      <c r="A602" s="505"/>
      <c r="B602" s="505"/>
      <c r="C602" s="505"/>
      <c r="D602" s="505"/>
      <c r="E602" s="505"/>
      <c r="F602" s="505"/>
      <c r="G602" s="505"/>
      <c r="H602" s="505"/>
      <c r="I602" s="505"/>
      <c r="J602" s="505"/>
      <c r="K602" s="517"/>
      <c r="L602" s="518"/>
      <c r="M602" s="505"/>
      <c r="N602" s="505"/>
      <c r="O602" s="505"/>
      <c r="P602" s="619"/>
      <c r="Q602" s="505"/>
      <c r="R602" s="505"/>
      <c r="S602" s="505"/>
      <c r="T602" s="505"/>
      <c r="U602" s="505"/>
      <c r="V602" s="505"/>
      <c r="W602" s="505"/>
      <c r="X602" s="505"/>
      <c r="Y602" s="505"/>
      <c r="Z602" s="505"/>
      <c r="AA602" s="505"/>
      <c r="AB602" s="505"/>
      <c r="AC602" s="505"/>
    </row>
    <row r="603" spans="1:29">
      <c r="A603" s="505"/>
      <c r="B603" s="505"/>
      <c r="C603" s="505"/>
      <c r="D603" s="505"/>
      <c r="E603" s="505"/>
      <c r="F603" s="505"/>
      <c r="G603" s="505"/>
      <c r="H603" s="505"/>
      <c r="I603" s="505"/>
      <c r="J603" s="505"/>
      <c r="K603" s="517"/>
      <c r="L603" s="518"/>
      <c r="M603" s="505"/>
      <c r="N603" s="505"/>
      <c r="O603" s="505"/>
      <c r="P603" s="619"/>
      <c r="Q603" s="505"/>
      <c r="R603" s="505"/>
      <c r="S603" s="505"/>
      <c r="T603" s="505"/>
      <c r="U603" s="505"/>
      <c r="V603" s="505"/>
      <c r="W603" s="505"/>
      <c r="X603" s="505"/>
      <c r="Y603" s="505"/>
      <c r="Z603" s="505"/>
      <c r="AA603" s="505"/>
      <c r="AB603" s="505"/>
      <c r="AC603" s="505"/>
    </row>
    <row r="604" spans="1:29">
      <c r="A604" s="505"/>
      <c r="B604" s="505"/>
      <c r="C604" s="505"/>
      <c r="D604" s="505"/>
      <c r="E604" s="505"/>
      <c r="F604" s="505"/>
      <c r="G604" s="505"/>
      <c r="H604" s="505"/>
      <c r="I604" s="505"/>
      <c r="J604" s="505"/>
      <c r="K604" s="517"/>
      <c r="L604" s="518"/>
      <c r="M604" s="505"/>
      <c r="N604" s="505"/>
      <c r="O604" s="505"/>
      <c r="P604" s="619"/>
      <c r="Q604" s="505"/>
      <c r="R604" s="505"/>
      <c r="S604" s="505"/>
      <c r="T604" s="505"/>
      <c r="U604" s="505"/>
      <c r="V604" s="505"/>
      <c r="W604" s="505"/>
      <c r="X604" s="505"/>
      <c r="Y604" s="505"/>
      <c r="Z604" s="505"/>
      <c r="AA604" s="505"/>
      <c r="AB604" s="505"/>
      <c r="AC604" s="505"/>
    </row>
    <row r="605" spans="1:29">
      <c r="A605" s="505"/>
      <c r="B605" s="505"/>
      <c r="C605" s="505"/>
      <c r="D605" s="505"/>
      <c r="E605" s="505"/>
      <c r="F605" s="505"/>
      <c r="G605" s="505"/>
      <c r="H605" s="505"/>
      <c r="I605" s="505"/>
      <c r="J605" s="505"/>
      <c r="K605" s="517"/>
      <c r="L605" s="518"/>
      <c r="M605" s="505"/>
      <c r="N605" s="505"/>
      <c r="O605" s="505"/>
      <c r="P605" s="619"/>
      <c r="Q605" s="505"/>
      <c r="R605" s="505"/>
      <c r="S605" s="505"/>
      <c r="T605" s="505"/>
      <c r="U605" s="505"/>
      <c r="V605" s="505"/>
      <c r="W605" s="505"/>
      <c r="X605" s="505"/>
      <c r="Y605" s="505"/>
      <c r="Z605" s="505"/>
      <c r="AA605" s="505"/>
      <c r="AB605" s="505"/>
      <c r="AC605" s="505"/>
    </row>
    <row r="606" spans="1:29">
      <c r="A606" s="505"/>
      <c r="B606" s="505"/>
      <c r="C606" s="505"/>
      <c r="D606" s="505"/>
      <c r="E606" s="505"/>
      <c r="F606" s="505"/>
      <c r="G606" s="505"/>
      <c r="H606" s="505"/>
      <c r="I606" s="505"/>
      <c r="J606" s="505"/>
      <c r="K606" s="517"/>
      <c r="L606" s="518"/>
      <c r="M606" s="505"/>
      <c r="N606" s="505"/>
      <c r="O606" s="505"/>
      <c r="P606" s="619"/>
      <c r="Q606" s="505"/>
      <c r="R606" s="505"/>
      <c r="S606" s="505"/>
      <c r="T606" s="505"/>
      <c r="U606" s="505"/>
      <c r="V606" s="505"/>
      <c r="W606" s="505"/>
      <c r="X606" s="505"/>
      <c r="Y606" s="505"/>
      <c r="Z606" s="505"/>
      <c r="AA606" s="505"/>
      <c r="AB606" s="505"/>
      <c r="AC606" s="505"/>
    </row>
    <row r="607" spans="1:29">
      <c r="A607" s="505"/>
      <c r="B607" s="505"/>
      <c r="C607" s="505"/>
      <c r="D607" s="505"/>
      <c r="E607" s="505"/>
      <c r="F607" s="505"/>
      <c r="G607" s="505"/>
      <c r="H607" s="505"/>
      <c r="I607" s="505"/>
      <c r="J607" s="505"/>
      <c r="K607" s="517"/>
      <c r="L607" s="518"/>
      <c r="M607" s="505"/>
      <c r="N607" s="505"/>
      <c r="O607" s="505"/>
      <c r="P607" s="619"/>
      <c r="Q607" s="505"/>
      <c r="R607" s="505"/>
      <c r="S607" s="505"/>
      <c r="T607" s="505"/>
      <c r="U607" s="505"/>
      <c r="V607" s="505"/>
      <c r="W607" s="505"/>
      <c r="X607" s="505"/>
      <c r="Y607" s="505"/>
      <c r="Z607" s="505"/>
      <c r="AA607" s="505"/>
      <c r="AB607" s="505"/>
      <c r="AC607" s="505"/>
    </row>
    <row r="608" spans="1:29">
      <c r="A608" s="505"/>
      <c r="B608" s="505"/>
      <c r="C608" s="505"/>
      <c r="D608" s="505"/>
      <c r="E608" s="505"/>
      <c r="F608" s="505"/>
      <c r="G608" s="505"/>
      <c r="H608" s="505"/>
      <c r="I608" s="505"/>
      <c r="J608" s="505"/>
      <c r="K608" s="517"/>
      <c r="L608" s="518"/>
      <c r="M608" s="505"/>
      <c r="N608" s="505"/>
      <c r="O608" s="505"/>
      <c r="P608" s="619"/>
      <c r="Q608" s="505"/>
      <c r="R608" s="505"/>
      <c r="S608" s="505"/>
      <c r="T608" s="505"/>
      <c r="U608" s="505"/>
      <c r="V608" s="505"/>
      <c r="W608" s="505"/>
      <c r="X608" s="505"/>
      <c r="Y608" s="505"/>
      <c r="Z608" s="505"/>
      <c r="AA608" s="505"/>
      <c r="AB608" s="505"/>
      <c r="AC608" s="505"/>
    </row>
    <row r="609" spans="1:29">
      <c r="A609" s="505"/>
      <c r="B609" s="505"/>
      <c r="C609" s="505"/>
      <c r="D609" s="505"/>
      <c r="E609" s="505"/>
      <c r="F609" s="505"/>
      <c r="G609" s="505"/>
      <c r="H609" s="505"/>
      <c r="I609" s="505"/>
      <c r="J609" s="505"/>
      <c r="K609" s="517"/>
      <c r="L609" s="518"/>
      <c r="M609" s="505"/>
      <c r="N609" s="505"/>
      <c r="O609" s="505"/>
      <c r="P609" s="619"/>
      <c r="Q609" s="505"/>
      <c r="R609" s="505"/>
      <c r="S609" s="505"/>
      <c r="T609" s="505"/>
      <c r="U609" s="505"/>
      <c r="V609" s="505"/>
      <c r="W609" s="505"/>
      <c r="X609" s="505"/>
      <c r="Y609" s="505"/>
      <c r="Z609" s="505"/>
      <c r="AA609" s="505"/>
      <c r="AB609" s="505"/>
      <c r="AC609" s="505"/>
    </row>
    <row r="610" spans="1:29">
      <c r="A610" s="505"/>
      <c r="B610" s="505"/>
      <c r="C610" s="505"/>
      <c r="D610" s="505"/>
      <c r="E610" s="505"/>
      <c r="F610" s="505"/>
      <c r="G610" s="505"/>
      <c r="H610" s="505"/>
      <c r="I610" s="505"/>
      <c r="J610" s="505"/>
      <c r="K610" s="517"/>
      <c r="L610" s="518"/>
      <c r="M610" s="505"/>
      <c r="N610" s="505"/>
      <c r="O610" s="505"/>
      <c r="P610" s="619"/>
      <c r="Q610" s="505"/>
      <c r="R610" s="505"/>
      <c r="S610" s="505"/>
      <c r="T610" s="505"/>
      <c r="U610" s="505"/>
      <c r="V610" s="505"/>
      <c r="W610" s="505"/>
      <c r="X610" s="505"/>
      <c r="Y610" s="505"/>
      <c r="Z610" s="505"/>
      <c r="AA610" s="505"/>
      <c r="AB610" s="505"/>
      <c r="AC610" s="505"/>
    </row>
    <row r="611" spans="1:29">
      <c r="A611" s="505"/>
      <c r="B611" s="505"/>
      <c r="C611" s="505"/>
      <c r="D611" s="505"/>
      <c r="E611" s="505"/>
      <c r="F611" s="505"/>
      <c r="G611" s="505"/>
      <c r="H611" s="505"/>
      <c r="I611" s="505"/>
      <c r="J611" s="505"/>
      <c r="K611" s="517"/>
      <c r="L611" s="518"/>
      <c r="M611" s="505"/>
      <c r="N611" s="505"/>
      <c r="O611" s="505"/>
      <c r="P611" s="619"/>
      <c r="Q611" s="505"/>
      <c r="R611" s="505"/>
      <c r="S611" s="505"/>
      <c r="T611" s="505"/>
      <c r="U611" s="505"/>
      <c r="V611" s="505"/>
      <c r="W611" s="505"/>
      <c r="X611" s="505"/>
      <c r="Y611" s="505"/>
      <c r="Z611" s="505"/>
      <c r="AA611" s="505"/>
      <c r="AB611" s="505"/>
      <c r="AC611" s="505"/>
    </row>
    <row r="612" spans="1:29">
      <c r="A612" s="505"/>
      <c r="B612" s="505"/>
      <c r="C612" s="505"/>
      <c r="D612" s="505"/>
      <c r="E612" s="505"/>
      <c r="F612" s="505"/>
      <c r="G612" s="505"/>
      <c r="H612" s="505"/>
      <c r="I612" s="505"/>
      <c r="J612" s="505"/>
      <c r="K612" s="517"/>
      <c r="L612" s="518"/>
      <c r="M612" s="505"/>
      <c r="N612" s="505"/>
      <c r="O612" s="505"/>
      <c r="P612" s="619"/>
      <c r="Q612" s="505"/>
      <c r="R612" s="505"/>
      <c r="S612" s="505"/>
      <c r="T612" s="505"/>
      <c r="U612" s="505"/>
      <c r="V612" s="505"/>
      <c r="W612" s="505"/>
      <c r="X612" s="505"/>
      <c r="Y612" s="505"/>
      <c r="Z612" s="505"/>
      <c r="AA612" s="505"/>
      <c r="AB612" s="505"/>
      <c r="AC612" s="505"/>
    </row>
    <row r="613" spans="1:29">
      <c r="A613" s="505"/>
      <c r="B613" s="505"/>
      <c r="C613" s="505"/>
      <c r="D613" s="505"/>
      <c r="E613" s="505"/>
      <c r="F613" s="505"/>
      <c r="G613" s="505"/>
      <c r="H613" s="505"/>
      <c r="I613" s="505"/>
      <c r="J613" s="505"/>
      <c r="K613" s="517"/>
      <c r="L613" s="518"/>
      <c r="M613" s="505"/>
      <c r="N613" s="505"/>
      <c r="O613" s="505"/>
      <c r="P613" s="619"/>
      <c r="Q613" s="505"/>
      <c r="R613" s="505"/>
      <c r="S613" s="505"/>
      <c r="T613" s="505"/>
      <c r="U613" s="505"/>
      <c r="V613" s="505"/>
      <c r="W613" s="505"/>
      <c r="X613" s="505"/>
      <c r="Y613" s="505"/>
      <c r="Z613" s="505"/>
      <c r="AA613" s="505"/>
      <c r="AB613" s="505"/>
      <c r="AC613" s="505"/>
    </row>
    <row r="614" spans="1:29">
      <c r="A614" s="505"/>
      <c r="B614" s="505"/>
      <c r="C614" s="505"/>
      <c r="D614" s="505"/>
      <c r="E614" s="505"/>
      <c r="F614" s="505"/>
      <c r="G614" s="505"/>
      <c r="H614" s="505"/>
      <c r="I614" s="505"/>
      <c r="J614" s="505"/>
      <c r="K614" s="517"/>
      <c r="L614" s="518"/>
      <c r="M614" s="505"/>
      <c r="N614" s="505"/>
      <c r="O614" s="505"/>
      <c r="P614" s="619"/>
      <c r="Q614" s="505"/>
      <c r="R614" s="505"/>
      <c r="S614" s="505"/>
      <c r="T614" s="505"/>
      <c r="U614" s="505"/>
      <c r="V614" s="505"/>
      <c r="W614" s="505"/>
      <c r="X614" s="505"/>
      <c r="Y614" s="505"/>
      <c r="Z614" s="505"/>
      <c r="AA614" s="505"/>
      <c r="AB614" s="505"/>
      <c r="AC614" s="505"/>
    </row>
    <row r="615" spans="1:29">
      <c r="A615" s="505"/>
      <c r="B615" s="505"/>
      <c r="C615" s="505"/>
      <c r="D615" s="505"/>
      <c r="E615" s="505"/>
      <c r="F615" s="505"/>
      <c r="G615" s="505"/>
      <c r="H615" s="505"/>
      <c r="I615" s="505"/>
      <c r="J615" s="505"/>
      <c r="K615" s="517"/>
      <c r="L615" s="518"/>
      <c r="M615" s="505"/>
      <c r="N615" s="505"/>
      <c r="O615" s="505"/>
      <c r="P615" s="619"/>
      <c r="Q615" s="505"/>
      <c r="R615" s="505"/>
      <c r="S615" s="505"/>
      <c r="T615" s="505"/>
      <c r="U615" s="505"/>
      <c r="V615" s="505"/>
      <c r="W615" s="505"/>
      <c r="X615" s="505"/>
      <c r="Y615" s="505"/>
      <c r="Z615" s="505"/>
      <c r="AA615" s="505"/>
      <c r="AB615" s="505"/>
      <c r="AC615" s="505"/>
    </row>
    <row r="616" spans="1:29">
      <c r="A616" s="505"/>
      <c r="B616" s="505"/>
      <c r="C616" s="505"/>
      <c r="D616" s="505"/>
      <c r="E616" s="505"/>
      <c r="F616" s="505"/>
      <c r="G616" s="505"/>
      <c r="H616" s="505"/>
      <c r="I616" s="505"/>
      <c r="J616" s="505"/>
      <c r="K616" s="517"/>
      <c r="L616" s="518"/>
      <c r="M616" s="505"/>
      <c r="N616" s="505"/>
      <c r="O616" s="505"/>
      <c r="P616" s="619"/>
      <c r="Q616" s="505"/>
      <c r="R616" s="505"/>
      <c r="S616" s="505"/>
      <c r="T616" s="505"/>
      <c r="U616" s="505"/>
      <c r="V616" s="505"/>
      <c r="W616" s="505"/>
      <c r="X616" s="505"/>
      <c r="Y616" s="505"/>
      <c r="Z616" s="505"/>
      <c r="AA616" s="505"/>
      <c r="AB616" s="505"/>
      <c r="AC616" s="505"/>
    </row>
    <row r="617" spans="1:29">
      <c r="A617" s="505"/>
      <c r="B617" s="505"/>
      <c r="C617" s="505"/>
      <c r="D617" s="505"/>
      <c r="E617" s="505"/>
      <c r="F617" s="505"/>
      <c r="G617" s="505"/>
      <c r="H617" s="505"/>
      <c r="I617" s="505"/>
      <c r="J617" s="505"/>
      <c r="K617" s="517"/>
      <c r="L617" s="518"/>
      <c r="M617" s="505"/>
      <c r="N617" s="505"/>
      <c r="O617" s="505"/>
      <c r="P617" s="619"/>
      <c r="Q617" s="505"/>
      <c r="R617" s="505"/>
      <c r="S617" s="505"/>
      <c r="T617" s="505"/>
      <c r="U617" s="505"/>
      <c r="V617" s="505"/>
      <c r="W617" s="505"/>
      <c r="X617" s="505"/>
      <c r="Y617" s="505"/>
      <c r="Z617" s="505"/>
      <c r="AA617" s="505"/>
      <c r="AB617" s="505"/>
      <c r="AC617" s="505"/>
    </row>
    <row r="618" spans="1:29">
      <c r="A618" s="505"/>
      <c r="B618" s="505"/>
      <c r="C618" s="505"/>
      <c r="D618" s="505"/>
      <c r="E618" s="505"/>
      <c r="F618" s="505"/>
      <c r="G618" s="505"/>
      <c r="H618" s="505"/>
      <c r="I618" s="505"/>
      <c r="J618" s="505"/>
      <c r="K618" s="517"/>
      <c r="L618" s="518"/>
      <c r="M618" s="505"/>
      <c r="N618" s="505"/>
      <c r="O618" s="505"/>
      <c r="P618" s="619"/>
      <c r="Q618" s="505"/>
      <c r="R618" s="505"/>
      <c r="S618" s="505"/>
      <c r="T618" s="505"/>
      <c r="U618" s="505"/>
      <c r="V618" s="505"/>
      <c r="W618" s="505"/>
      <c r="X618" s="505"/>
      <c r="Y618" s="505"/>
      <c r="Z618" s="505"/>
      <c r="AA618" s="505"/>
      <c r="AB618" s="505"/>
      <c r="AC618" s="505"/>
    </row>
    <row r="619" spans="1:29">
      <c r="A619" s="505"/>
      <c r="B619" s="505"/>
      <c r="C619" s="505"/>
      <c r="D619" s="505"/>
      <c r="E619" s="505"/>
      <c r="F619" s="505"/>
      <c r="G619" s="505"/>
      <c r="H619" s="505"/>
      <c r="I619" s="505"/>
      <c r="J619" s="505"/>
      <c r="K619" s="517"/>
      <c r="L619" s="518"/>
      <c r="M619" s="505"/>
      <c r="N619" s="505"/>
      <c r="O619" s="505"/>
      <c r="P619" s="619"/>
      <c r="Q619" s="505"/>
      <c r="R619" s="505"/>
      <c r="S619" s="505"/>
      <c r="T619" s="505"/>
      <c r="U619" s="505"/>
      <c r="V619" s="505"/>
      <c r="W619" s="505"/>
      <c r="X619" s="505"/>
      <c r="Y619" s="505"/>
      <c r="Z619" s="505"/>
      <c r="AA619" s="505"/>
      <c r="AB619" s="505"/>
      <c r="AC619" s="505"/>
    </row>
    <row r="620" spans="1:29">
      <c r="A620" s="505"/>
      <c r="B620" s="505"/>
      <c r="C620" s="505"/>
      <c r="D620" s="505"/>
      <c r="E620" s="505"/>
      <c r="F620" s="505"/>
      <c r="G620" s="505"/>
      <c r="H620" s="505"/>
      <c r="I620" s="505"/>
      <c r="J620" s="505"/>
      <c r="K620" s="517"/>
      <c r="L620" s="518"/>
      <c r="M620" s="505"/>
      <c r="N620" s="505"/>
      <c r="O620" s="505"/>
      <c r="P620" s="619"/>
      <c r="Q620" s="505"/>
      <c r="R620" s="505"/>
      <c r="S620" s="505"/>
      <c r="T620" s="505"/>
      <c r="U620" s="505"/>
      <c r="V620" s="505"/>
      <c r="W620" s="505"/>
      <c r="X620" s="505"/>
      <c r="Y620" s="505"/>
      <c r="Z620" s="505"/>
      <c r="AA620" s="505"/>
      <c r="AB620" s="505"/>
      <c r="AC620" s="505"/>
    </row>
    <row r="621" spans="1:29">
      <c r="A621" s="505"/>
      <c r="B621" s="505"/>
      <c r="C621" s="505"/>
      <c r="D621" s="505"/>
      <c r="E621" s="505"/>
      <c r="F621" s="505"/>
      <c r="G621" s="505"/>
      <c r="H621" s="505"/>
      <c r="I621" s="505"/>
      <c r="J621" s="505"/>
      <c r="K621" s="517"/>
      <c r="L621" s="518"/>
      <c r="M621" s="505"/>
      <c r="N621" s="505"/>
      <c r="O621" s="505"/>
      <c r="P621" s="619"/>
      <c r="Q621" s="505"/>
      <c r="R621" s="505"/>
      <c r="S621" s="505"/>
      <c r="T621" s="505"/>
      <c r="U621" s="505"/>
      <c r="V621" s="505"/>
      <c r="W621" s="505"/>
      <c r="X621" s="505"/>
      <c r="Y621" s="505"/>
      <c r="Z621" s="505"/>
      <c r="AA621" s="505"/>
      <c r="AB621" s="505"/>
      <c r="AC621" s="505"/>
    </row>
    <row r="622" spans="1:29">
      <c r="A622" s="505"/>
      <c r="B622" s="505"/>
      <c r="C622" s="505"/>
      <c r="D622" s="505"/>
      <c r="E622" s="505"/>
      <c r="F622" s="505"/>
      <c r="G622" s="505"/>
      <c r="H622" s="505"/>
      <c r="I622" s="505"/>
      <c r="J622" s="505"/>
      <c r="K622" s="517"/>
      <c r="L622" s="518"/>
      <c r="M622" s="505"/>
      <c r="N622" s="505"/>
      <c r="O622" s="505"/>
      <c r="P622" s="619"/>
      <c r="Q622" s="505"/>
      <c r="R622" s="505"/>
      <c r="S622" s="505"/>
      <c r="T622" s="505"/>
      <c r="U622" s="505"/>
      <c r="V622" s="505"/>
      <c r="W622" s="505"/>
      <c r="X622" s="505"/>
      <c r="Y622" s="505"/>
      <c r="Z622" s="505"/>
      <c r="AA622" s="505"/>
      <c r="AB622" s="505"/>
      <c r="AC622" s="505"/>
    </row>
    <row r="623" spans="1:29">
      <c r="A623" s="505"/>
      <c r="B623" s="505"/>
      <c r="C623" s="505"/>
      <c r="D623" s="505"/>
      <c r="E623" s="505"/>
      <c r="F623" s="505"/>
      <c r="G623" s="505"/>
      <c r="H623" s="505"/>
      <c r="I623" s="505"/>
      <c r="J623" s="505"/>
      <c r="K623" s="517"/>
      <c r="L623" s="518"/>
      <c r="M623" s="505"/>
      <c r="N623" s="505"/>
      <c r="O623" s="505"/>
      <c r="P623" s="619"/>
      <c r="Q623" s="505"/>
      <c r="R623" s="505"/>
      <c r="S623" s="505"/>
      <c r="T623" s="505"/>
      <c r="U623" s="505"/>
      <c r="V623" s="505"/>
      <c r="W623" s="505"/>
      <c r="X623" s="505"/>
      <c r="Y623" s="505"/>
      <c r="Z623" s="505"/>
      <c r="AA623" s="505"/>
      <c r="AB623" s="505"/>
      <c r="AC623" s="505"/>
    </row>
    <row r="624" spans="1:29">
      <c r="A624" s="505"/>
      <c r="B624" s="505"/>
      <c r="C624" s="505"/>
      <c r="D624" s="505"/>
      <c r="E624" s="505"/>
      <c r="F624" s="505"/>
      <c r="G624" s="505"/>
      <c r="H624" s="505"/>
      <c r="I624" s="505"/>
      <c r="J624" s="505"/>
      <c r="K624" s="517"/>
      <c r="L624" s="518"/>
      <c r="M624" s="505"/>
      <c r="N624" s="505"/>
      <c r="O624" s="505"/>
      <c r="P624" s="619"/>
      <c r="Q624" s="505"/>
      <c r="R624" s="505"/>
      <c r="S624" s="505"/>
      <c r="T624" s="505"/>
      <c r="U624" s="505"/>
      <c r="V624" s="505"/>
      <c r="W624" s="505"/>
      <c r="X624" s="505"/>
      <c r="Y624" s="505"/>
      <c r="Z624" s="505"/>
      <c r="AA624" s="505"/>
      <c r="AB624" s="505"/>
      <c r="AC624" s="505"/>
    </row>
    <row r="625" spans="1:29">
      <c r="A625" s="505"/>
      <c r="B625" s="505"/>
      <c r="C625" s="505"/>
      <c r="D625" s="505"/>
      <c r="E625" s="505"/>
      <c r="F625" s="505"/>
      <c r="G625" s="505"/>
      <c r="H625" s="505"/>
      <c r="I625" s="505"/>
      <c r="J625" s="505"/>
      <c r="K625" s="517"/>
      <c r="L625" s="518"/>
      <c r="M625" s="505"/>
      <c r="N625" s="505"/>
      <c r="O625" s="505"/>
      <c r="P625" s="619"/>
      <c r="Q625" s="505"/>
      <c r="R625" s="505"/>
      <c r="S625" s="505"/>
      <c r="T625" s="505"/>
      <c r="U625" s="505"/>
      <c r="V625" s="505"/>
      <c r="W625" s="505"/>
      <c r="X625" s="505"/>
      <c r="Y625" s="505"/>
      <c r="Z625" s="505"/>
      <c r="AA625" s="505"/>
      <c r="AB625" s="505"/>
      <c r="AC625" s="505"/>
    </row>
    <row r="626" spans="1:29">
      <c r="A626" s="505"/>
      <c r="B626" s="505"/>
      <c r="C626" s="505"/>
      <c r="D626" s="505"/>
      <c r="E626" s="505"/>
      <c r="F626" s="505"/>
      <c r="G626" s="505"/>
      <c r="H626" s="505"/>
      <c r="I626" s="505"/>
      <c r="J626" s="505"/>
      <c r="K626" s="517"/>
      <c r="L626" s="518"/>
      <c r="M626" s="505"/>
      <c r="N626" s="505"/>
      <c r="O626" s="505"/>
      <c r="P626" s="619"/>
      <c r="Q626" s="505"/>
      <c r="R626" s="505"/>
      <c r="S626" s="505"/>
      <c r="T626" s="505"/>
      <c r="U626" s="505"/>
      <c r="V626" s="505"/>
      <c r="W626" s="505"/>
      <c r="X626" s="505"/>
      <c r="Y626" s="505"/>
      <c r="Z626" s="505"/>
      <c r="AA626" s="505"/>
      <c r="AB626" s="505"/>
      <c r="AC626" s="505"/>
    </row>
    <row r="627" spans="1:29">
      <c r="A627" s="505"/>
      <c r="B627" s="505"/>
      <c r="C627" s="505"/>
      <c r="D627" s="505"/>
      <c r="E627" s="505"/>
      <c r="F627" s="505"/>
      <c r="G627" s="505"/>
      <c r="H627" s="505"/>
      <c r="I627" s="505"/>
      <c r="J627" s="505"/>
      <c r="K627" s="517"/>
      <c r="L627" s="518"/>
      <c r="M627" s="505"/>
      <c r="N627" s="505"/>
      <c r="O627" s="505"/>
      <c r="P627" s="619"/>
      <c r="Q627" s="505"/>
      <c r="R627" s="505"/>
      <c r="S627" s="505"/>
      <c r="T627" s="505"/>
      <c r="U627" s="505"/>
      <c r="V627" s="505"/>
      <c r="W627" s="505"/>
      <c r="X627" s="505"/>
      <c r="Y627" s="505"/>
      <c r="Z627" s="505"/>
      <c r="AA627" s="505"/>
      <c r="AB627" s="505"/>
      <c r="AC627" s="505"/>
    </row>
    <row r="628" spans="1:29">
      <c r="A628" s="505"/>
      <c r="B628" s="505"/>
      <c r="C628" s="505"/>
      <c r="D628" s="505"/>
      <c r="E628" s="505"/>
      <c r="F628" s="505"/>
      <c r="G628" s="505"/>
      <c r="H628" s="505"/>
      <c r="I628" s="505"/>
      <c r="J628" s="505"/>
      <c r="K628" s="517"/>
      <c r="L628" s="518"/>
      <c r="M628" s="505"/>
      <c r="N628" s="505"/>
      <c r="O628" s="505"/>
      <c r="P628" s="619"/>
      <c r="Q628" s="505"/>
      <c r="R628" s="505"/>
      <c r="S628" s="505"/>
      <c r="T628" s="505"/>
      <c r="U628" s="505"/>
      <c r="V628" s="505"/>
      <c r="W628" s="505"/>
      <c r="X628" s="505"/>
      <c r="Y628" s="505"/>
      <c r="Z628" s="505"/>
      <c r="AA628" s="505"/>
      <c r="AB628" s="505"/>
      <c r="AC628" s="505"/>
    </row>
    <row r="629" spans="1:29">
      <c r="A629" s="505"/>
      <c r="B629" s="505"/>
      <c r="C629" s="505"/>
      <c r="D629" s="505"/>
      <c r="E629" s="505"/>
      <c r="F629" s="505"/>
      <c r="G629" s="505"/>
      <c r="H629" s="505"/>
      <c r="I629" s="505"/>
      <c r="J629" s="505"/>
      <c r="K629" s="517"/>
      <c r="L629" s="518"/>
      <c r="M629" s="505"/>
      <c r="N629" s="505"/>
      <c r="O629" s="505"/>
      <c r="P629" s="619"/>
      <c r="Q629" s="505"/>
      <c r="R629" s="505"/>
      <c r="S629" s="505"/>
      <c r="T629" s="505"/>
      <c r="U629" s="505"/>
      <c r="V629" s="505"/>
      <c r="W629" s="505"/>
      <c r="X629" s="505"/>
      <c r="Y629" s="505"/>
      <c r="Z629" s="505"/>
      <c r="AA629" s="505"/>
      <c r="AB629" s="505"/>
      <c r="AC629" s="505"/>
    </row>
    <row r="630" spans="1:29">
      <c r="A630" s="505"/>
      <c r="B630" s="505"/>
      <c r="C630" s="505"/>
      <c r="D630" s="505"/>
      <c r="E630" s="505"/>
      <c r="F630" s="505"/>
      <c r="G630" s="505"/>
      <c r="H630" s="505"/>
      <c r="I630" s="505"/>
      <c r="J630" s="505"/>
      <c r="K630" s="517"/>
      <c r="L630" s="518"/>
      <c r="M630" s="505"/>
      <c r="N630" s="505"/>
      <c r="O630" s="505"/>
      <c r="P630" s="619"/>
      <c r="Q630" s="505"/>
      <c r="R630" s="505"/>
      <c r="S630" s="505"/>
      <c r="T630" s="505"/>
      <c r="U630" s="505"/>
      <c r="V630" s="505"/>
      <c r="W630" s="505"/>
      <c r="X630" s="505"/>
      <c r="Y630" s="505"/>
      <c r="Z630" s="505"/>
      <c r="AA630" s="505"/>
      <c r="AB630" s="505"/>
      <c r="AC630" s="505"/>
    </row>
    <row r="631" spans="1:29">
      <c r="A631" s="505"/>
      <c r="B631" s="505"/>
      <c r="C631" s="505"/>
      <c r="D631" s="505"/>
      <c r="E631" s="505"/>
      <c r="F631" s="505"/>
      <c r="G631" s="505"/>
      <c r="H631" s="505"/>
      <c r="I631" s="505"/>
      <c r="J631" s="505"/>
      <c r="K631" s="517"/>
      <c r="L631" s="518"/>
      <c r="M631" s="505"/>
      <c r="N631" s="505"/>
      <c r="O631" s="505"/>
      <c r="P631" s="619"/>
      <c r="Q631" s="505"/>
      <c r="R631" s="505"/>
      <c r="S631" s="505"/>
      <c r="T631" s="505"/>
      <c r="U631" s="505"/>
      <c r="V631" s="505"/>
      <c r="W631" s="505"/>
      <c r="X631" s="505"/>
      <c r="Y631" s="505"/>
      <c r="Z631" s="505"/>
      <c r="AA631" s="505"/>
      <c r="AB631" s="505"/>
      <c r="AC631" s="505"/>
    </row>
    <row r="632" spans="1:29">
      <c r="A632" s="505"/>
      <c r="B632" s="505"/>
      <c r="C632" s="505"/>
      <c r="D632" s="505"/>
      <c r="E632" s="505"/>
      <c r="F632" s="505"/>
      <c r="G632" s="505"/>
      <c r="H632" s="505"/>
      <c r="I632" s="505"/>
      <c r="J632" s="505"/>
      <c r="K632" s="517"/>
      <c r="L632" s="518"/>
      <c r="M632" s="505"/>
      <c r="N632" s="505"/>
      <c r="O632" s="505"/>
      <c r="P632" s="619"/>
      <c r="Q632" s="505"/>
      <c r="R632" s="505"/>
      <c r="S632" s="505"/>
      <c r="T632" s="505"/>
      <c r="U632" s="505"/>
      <c r="V632" s="505"/>
      <c r="W632" s="505"/>
      <c r="X632" s="505"/>
      <c r="Y632" s="505"/>
      <c r="Z632" s="505"/>
      <c r="AA632" s="505"/>
      <c r="AB632" s="505"/>
      <c r="AC632" s="505"/>
    </row>
    <row r="633" spans="1:29">
      <c r="A633" s="505"/>
      <c r="B633" s="505"/>
      <c r="C633" s="505"/>
      <c r="D633" s="505"/>
      <c r="E633" s="505"/>
      <c r="F633" s="505"/>
      <c r="G633" s="505"/>
      <c r="H633" s="505"/>
      <c r="I633" s="505"/>
      <c r="J633" s="505"/>
      <c r="K633" s="517"/>
      <c r="L633" s="518"/>
      <c r="M633" s="505"/>
      <c r="N633" s="505"/>
      <c r="O633" s="505"/>
      <c r="P633" s="619"/>
      <c r="Q633" s="505"/>
      <c r="R633" s="505"/>
      <c r="S633" s="505"/>
      <c r="T633" s="505"/>
      <c r="U633" s="505"/>
      <c r="V633" s="505"/>
      <c r="W633" s="505"/>
      <c r="X633" s="505"/>
      <c r="Y633" s="505"/>
      <c r="Z633" s="505"/>
      <c r="AA633" s="505"/>
      <c r="AB633" s="505"/>
      <c r="AC633" s="505"/>
    </row>
    <row r="634" spans="1:29">
      <c r="A634" s="505"/>
      <c r="B634" s="505"/>
      <c r="C634" s="505"/>
      <c r="D634" s="505"/>
      <c r="E634" s="505"/>
      <c r="F634" s="505"/>
      <c r="G634" s="505"/>
      <c r="H634" s="505"/>
      <c r="I634" s="505"/>
      <c r="J634" s="505"/>
      <c r="K634" s="517"/>
      <c r="L634" s="518"/>
      <c r="M634" s="505"/>
      <c r="N634" s="505"/>
      <c r="O634" s="505"/>
      <c r="P634" s="619"/>
      <c r="Q634" s="505"/>
      <c r="R634" s="505"/>
      <c r="S634" s="505"/>
      <c r="T634" s="505"/>
      <c r="U634" s="505"/>
      <c r="V634" s="505"/>
      <c r="W634" s="505"/>
      <c r="X634" s="505"/>
      <c r="Y634" s="505"/>
      <c r="Z634" s="505"/>
      <c r="AA634" s="505"/>
      <c r="AB634" s="505"/>
      <c r="AC634" s="505"/>
    </row>
    <row r="635" spans="1:29">
      <c r="A635" s="505"/>
      <c r="B635" s="505"/>
      <c r="C635" s="505"/>
      <c r="D635" s="505"/>
      <c r="E635" s="505"/>
      <c r="F635" s="505"/>
      <c r="G635" s="505"/>
      <c r="H635" s="505"/>
      <c r="I635" s="505"/>
      <c r="J635" s="505"/>
      <c r="K635" s="517"/>
      <c r="L635" s="518"/>
      <c r="M635" s="505"/>
      <c r="N635" s="505"/>
      <c r="O635" s="505"/>
      <c r="P635" s="619"/>
      <c r="Q635" s="505"/>
      <c r="R635" s="505"/>
      <c r="S635" s="505"/>
      <c r="T635" s="505"/>
      <c r="U635" s="505"/>
      <c r="V635" s="505"/>
      <c r="W635" s="505"/>
      <c r="X635" s="505"/>
      <c r="Y635" s="505"/>
      <c r="Z635" s="505"/>
      <c r="AA635" s="505"/>
      <c r="AB635" s="505"/>
      <c r="AC635" s="505"/>
    </row>
    <row r="636" spans="1:29">
      <c r="A636" s="505"/>
      <c r="B636" s="505"/>
      <c r="C636" s="505"/>
      <c r="D636" s="505"/>
      <c r="E636" s="505"/>
      <c r="F636" s="505"/>
      <c r="G636" s="505"/>
      <c r="H636" s="505"/>
      <c r="I636" s="505"/>
      <c r="J636" s="505"/>
      <c r="K636" s="517"/>
      <c r="L636" s="518"/>
      <c r="M636" s="505"/>
      <c r="N636" s="505"/>
      <c r="O636" s="505"/>
      <c r="P636" s="619"/>
      <c r="Q636" s="505"/>
      <c r="R636" s="505"/>
      <c r="S636" s="505"/>
      <c r="T636" s="505"/>
      <c r="U636" s="505"/>
      <c r="V636" s="505"/>
      <c r="W636" s="505"/>
      <c r="X636" s="505"/>
      <c r="Y636" s="505"/>
      <c r="Z636" s="505"/>
      <c r="AA636" s="505"/>
      <c r="AB636" s="505"/>
      <c r="AC636" s="505"/>
    </row>
    <row r="637" spans="1:29">
      <c r="A637" s="505"/>
      <c r="B637" s="505"/>
      <c r="C637" s="505"/>
      <c r="D637" s="505"/>
      <c r="E637" s="505"/>
      <c r="F637" s="505"/>
      <c r="G637" s="505"/>
      <c r="H637" s="505"/>
      <c r="I637" s="505"/>
      <c r="J637" s="505"/>
      <c r="K637" s="517"/>
      <c r="L637" s="518"/>
      <c r="M637" s="505"/>
      <c r="N637" s="505"/>
      <c r="O637" s="505"/>
      <c r="P637" s="619"/>
      <c r="Q637" s="505"/>
      <c r="R637" s="505"/>
      <c r="S637" s="505"/>
      <c r="T637" s="505"/>
      <c r="U637" s="505"/>
      <c r="V637" s="505"/>
      <c r="W637" s="505"/>
      <c r="X637" s="505"/>
      <c r="Y637" s="505"/>
      <c r="Z637" s="505"/>
      <c r="AA637" s="505"/>
      <c r="AB637" s="505"/>
      <c r="AC637" s="505"/>
    </row>
    <row r="638" spans="1:29">
      <c r="A638" s="505"/>
      <c r="B638" s="505"/>
      <c r="C638" s="505"/>
      <c r="D638" s="505"/>
      <c r="E638" s="505"/>
      <c r="F638" s="505"/>
      <c r="G638" s="505"/>
      <c r="H638" s="505"/>
      <c r="I638" s="505"/>
      <c r="J638" s="505"/>
      <c r="K638" s="517"/>
      <c r="L638" s="518"/>
      <c r="M638" s="505"/>
      <c r="N638" s="505"/>
      <c r="O638" s="505"/>
      <c r="P638" s="619"/>
      <c r="Q638" s="505"/>
      <c r="R638" s="505"/>
      <c r="S638" s="505"/>
      <c r="T638" s="505"/>
      <c r="U638" s="505"/>
      <c r="V638" s="505"/>
      <c r="W638" s="505"/>
      <c r="X638" s="505"/>
      <c r="Y638" s="505"/>
      <c r="Z638" s="505"/>
      <c r="AA638" s="505"/>
      <c r="AB638" s="505"/>
      <c r="AC638" s="505"/>
    </row>
    <row r="639" spans="1:29">
      <c r="A639" s="505"/>
      <c r="B639" s="505"/>
      <c r="C639" s="505"/>
      <c r="D639" s="505"/>
      <c r="E639" s="505"/>
      <c r="F639" s="505"/>
      <c r="G639" s="505"/>
      <c r="H639" s="505"/>
      <c r="I639" s="505"/>
      <c r="J639" s="505"/>
      <c r="K639" s="517"/>
      <c r="L639" s="518"/>
      <c r="M639" s="505"/>
      <c r="N639" s="505"/>
      <c r="O639" s="505"/>
      <c r="P639" s="619"/>
      <c r="Q639" s="505"/>
      <c r="R639" s="505"/>
      <c r="S639" s="505"/>
      <c r="T639" s="505"/>
      <c r="U639" s="505"/>
      <c r="V639" s="505"/>
      <c r="W639" s="505"/>
      <c r="X639" s="505"/>
      <c r="Y639" s="505"/>
      <c r="Z639" s="505"/>
      <c r="AA639" s="505"/>
      <c r="AB639" s="505"/>
      <c r="AC639" s="505"/>
    </row>
    <row r="640" spans="1:29">
      <c r="A640" s="505"/>
      <c r="B640" s="505"/>
      <c r="C640" s="505"/>
      <c r="D640" s="505"/>
      <c r="E640" s="505"/>
      <c r="F640" s="505"/>
      <c r="G640" s="505"/>
      <c r="H640" s="505"/>
      <c r="I640" s="505"/>
      <c r="J640" s="505"/>
      <c r="K640" s="517"/>
      <c r="L640" s="518"/>
      <c r="M640" s="505"/>
      <c r="N640" s="505"/>
      <c r="O640" s="505"/>
      <c r="P640" s="619"/>
      <c r="Q640" s="505"/>
      <c r="R640" s="505"/>
      <c r="S640" s="505"/>
      <c r="T640" s="505"/>
      <c r="U640" s="505"/>
      <c r="V640" s="505"/>
      <c r="W640" s="505"/>
      <c r="X640" s="505"/>
      <c r="Y640" s="505"/>
      <c r="Z640" s="505"/>
      <c r="AA640" s="505"/>
      <c r="AB640" s="505"/>
      <c r="AC640" s="505"/>
    </row>
    <row r="641" spans="1:29">
      <c r="A641" s="505"/>
      <c r="B641" s="505"/>
      <c r="C641" s="505"/>
      <c r="D641" s="505"/>
      <c r="E641" s="505"/>
      <c r="F641" s="505"/>
      <c r="G641" s="505"/>
      <c r="H641" s="505"/>
      <c r="I641" s="505"/>
      <c r="J641" s="505"/>
      <c r="K641" s="517"/>
      <c r="L641" s="518"/>
      <c r="M641" s="505"/>
      <c r="N641" s="505"/>
      <c r="O641" s="505"/>
      <c r="P641" s="619"/>
      <c r="Q641" s="505"/>
      <c r="R641" s="505"/>
      <c r="S641" s="505"/>
      <c r="T641" s="505"/>
      <c r="U641" s="505"/>
      <c r="V641" s="505"/>
      <c r="W641" s="505"/>
      <c r="X641" s="505"/>
      <c r="Y641" s="505"/>
      <c r="Z641" s="505"/>
      <c r="AA641" s="505"/>
      <c r="AB641" s="505"/>
      <c r="AC641" s="505"/>
    </row>
    <row r="642" spans="1:29">
      <c r="A642" s="505"/>
      <c r="B642" s="505"/>
      <c r="C642" s="505"/>
      <c r="D642" s="505"/>
      <c r="E642" s="505"/>
      <c r="F642" s="505"/>
      <c r="G642" s="505"/>
      <c r="H642" s="505"/>
      <c r="I642" s="505"/>
      <c r="J642" s="505"/>
      <c r="K642" s="517"/>
      <c r="L642" s="518"/>
      <c r="M642" s="505"/>
      <c r="N642" s="505"/>
      <c r="O642" s="505"/>
      <c r="P642" s="619"/>
      <c r="Q642" s="505"/>
      <c r="R642" s="505"/>
      <c r="S642" s="505"/>
      <c r="T642" s="505"/>
      <c r="U642" s="505"/>
      <c r="V642" s="505"/>
      <c r="W642" s="505"/>
      <c r="X642" s="505"/>
      <c r="Y642" s="505"/>
      <c r="Z642" s="505"/>
      <c r="AA642" s="505"/>
      <c r="AB642" s="505"/>
      <c r="AC642" s="505"/>
    </row>
    <row r="643" spans="1:29">
      <c r="A643" s="505"/>
      <c r="B643" s="505"/>
      <c r="C643" s="505"/>
      <c r="D643" s="505"/>
      <c r="E643" s="505"/>
      <c r="F643" s="505"/>
      <c r="G643" s="505"/>
      <c r="H643" s="505"/>
      <c r="I643" s="505"/>
      <c r="J643" s="505"/>
      <c r="K643" s="517"/>
      <c r="L643" s="518"/>
      <c r="M643" s="505"/>
      <c r="N643" s="505"/>
      <c r="O643" s="505"/>
      <c r="P643" s="619"/>
      <c r="Q643" s="505"/>
      <c r="R643" s="505"/>
      <c r="S643" s="505"/>
      <c r="T643" s="505"/>
      <c r="U643" s="505"/>
      <c r="V643" s="505"/>
      <c r="W643" s="505"/>
      <c r="X643" s="505"/>
      <c r="Y643" s="505"/>
      <c r="Z643" s="505"/>
      <c r="AA643" s="505"/>
      <c r="AB643" s="505"/>
      <c r="AC643" s="505"/>
    </row>
    <row r="644" spans="1:29">
      <c r="A644" s="505"/>
      <c r="B644" s="505"/>
      <c r="C644" s="505"/>
      <c r="D644" s="505"/>
      <c r="E644" s="505"/>
      <c r="F644" s="505"/>
      <c r="G644" s="505"/>
      <c r="H644" s="505"/>
      <c r="I644" s="505"/>
      <c r="J644" s="505"/>
      <c r="K644" s="517"/>
      <c r="L644" s="518"/>
      <c r="M644" s="505"/>
      <c r="N644" s="505"/>
      <c r="O644" s="505"/>
      <c r="P644" s="619"/>
      <c r="Q644" s="505"/>
      <c r="R644" s="505"/>
      <c r="S644" s="505"/>
      <c r="T644" s="505"/>
      <c r="U644" s="505"/>
      <c r="V644" s="505"/>
      <c r="W644" s="505"/>
      <c r="X644" s="505"/>
      <c r="Y644" s="505"/>
      <c r="Z644" s="505"/>
      <c r="AA644" s="505"/>
      <c r="AB644" s="505"/>
      <c r="AC644" s="505"/>
    </row>
    <row r="645" spans="1:29">
      <c r="A645" s="505"/>
      <c r="B645" s="505"/>
      <c r="C645" s="505"/>
      <c r="D645" s="505"/>
      <c r="E645" s="505"/>
      <c r="F645" s="505"/>
      <c r="G645" s="505"/>
      <c r="H645" s="505"/>
      <c r="I645" s="505"/>
      <c r="J645" s="505"/>
      <c r="K645" s="517"/>
      <c r="L645" s="518"/>
      <c r="M645" s="505"/>
      <c r="N645" s="505"/>
      <c r="O645" s="505"/>
      <c r="P645" s="619"/>
      <c r="Q645" s="505"/>
      <c r="R645" s="505"/>
      <c r="S645" s="505"/>
      <c r="T645" s="505"/>
      <c r="U645" s="505"/>
      <c r="V645" s="505"/>
      <c r="W645" s="505"/>
      <c r="X645" s="505"/>
      <c r="Y645" s="505"/>
      <c r="Z645" s="505"/>
      <c r="AA645" s="505"/>
      <c r="AB645" s="505"/>
      <c r="AC645" s="505"/>
    </row>
    <row r="646" spans="1:29">
      <c r="A646" s="505"/>
      <c r="B646" s="505"/>
      <c r="C646" s="505"/>
      <c r="D646" s="505"/>
      <c r="E646" s="505"/>
      <c r="F646" s="505"/>
      <c r="G646" s="505"/>
      <c r="H646" s="505"/>
      <c r="I646" s="505"/>
      <c r="J646" s="505"/>
      <c r="K646" s="517"/>
      <c r="L646" s="518"/>
      <c r="M646" s="505"/>
      <c r="N646" s="505"/>
      <c r="O646" s="505"/>
      <c r="P646" s="619"/>
      <c r="Q646" s="505"/>
      <c r="R646" s="505"/>
      <c r="S646" s="505"/>
      <c r="T646" s="505"/>
      <c r="U646" s="505"/>
      <c r="V646" s="505"/>
      <c r="W646" s="505"/>
      <c r="X646" s="505"/>
      <c r="Y646" s="505"/>
      <c r="Z646" s="505"/>
      <c r="AA646" s="505"/>
      <c r="AB646" s="505"/>
      <c r="AC646" s="505"/>
    </row>
    <row r="647" spans="1:29">
      <c r="A647" s="505"/>
      <c r="B647" s="505"/>
      <c r="C647" s="505"/>
      <c r="D647" s="505"/>
      <c r="E647" s="505"/>
      <c r="F647" s="505"/>
      <c r="G647" s="505"/>
      <c r="H647" s="505"/>
      <c r="I647" s="505"/>
      <c r="J647" s="505"/>
      <c r="K647" s="517"/>
      <c r="L647" s="518"/>
      <c r="M647" s="505"/>
      <c r="N647" s="505"/>
      <c r="O647" s="505"/>
      <c r="P647" s="619"/>
      <c r="Q647" s="505"/>
      <c r="R647" s="505"/>
      <c r="S647" s="505"/>
      <c r="T647" s="505"/>
      <c r="U647" s="505"/>
      <c r="V647" s="505"/>
      <c r="W647" s="505"/>
      <c r="X647" s="505"/>
      <c r="Y647" s="505"/>
      <c r="Z647" s="505"/>
      <c r="AA647" s="505"/>
      <c r="AB647" s="505"/>
      <c r="AC647" s="505"/>
    </row>
    <row r="648" spans="1:29">
      <c r="A648" s="505"/>
      <c r="B648" s="505"/>
      <c r="C648" s="505"/>
      <c r="D648" s="505"/>
      <c r="E648" s="505"/>
      <c r="F648" s="505"/>
      <c r="G648" s="505"/>
      <c r="H648" s="505"/>
      <c r="I648" s="505"/>
      <c r="J648" s="505"/>
      <c r="K648" s="517"/>
      <c r="L648" s="518"/>
      <c r="M648" s="505"/>
      <c r="N648" s="505"/>
      <c r="O648" s="505"/>
      <c r="P648" s="619"/>
      <c r="Q648" s="505"/>
      <c r="R648" s="505"/>
      <c r="S648" s="505"/>
      <c r="T648" s="505"/>
      <c r="U648" s="505"/>
      <c r="V648" s="505"/>
      <c r="W648" s="505"/>
      <c r="X648" s="505"/>
      <c r="Y648" s="505"/>
      <c r="Z648" s="505"/>
      <c r="AA648" s="505"/>
      <c r="AB648" s="505"/>
      <c r="AC648" s="505"/>
    </row>
    <row r="649" spans="1:29">
      <c r="A649" s="505"/>
      <c r="B649" s="505"/>
      <c r="C649" s="505"/>
      <c r="D649" s="505"/>
      <c r="E649" s="505"/>
      <c r="F649" s="505"/>
      <c r="G649" s="505"/>
      <c r="H649" s="505"/>
      <c r="I649" s="505"/>
      <c r="J649" s="505"/>
      <c r="K649" s="517"/>
      <c r="L649" s="518"/>
      <c r="M649" s="505"/>
      <c r="N649" s="505"/>
      <c r="O649" s="505"/>
      <c r="P649" s="619"/>
      <c r="Q649" s="505"/>
      <c r="R649" s="505"/>
      <c r="S649" s="505"/>
      <c r="T649" s="505"/>
      <c r="U649" s="505"/>
      <c r="V649" s="505"/>
      <c r="W649" s="505"/>
      <c r="X649" s="505"/>
      <c r="Y649" s="505"/>
      <c r="Z649" s="505"/>
      <c r="AA649" s="505"/>
      <c r="AB649" s="505"/>
      <c r="AC649" s="505"/>
    </row>
    <row r="650" spans="1:29">
      <c r="A650" s="505"/>
      <c r="B650" s="505"/>
      <c r="C650" s="505"/>
      <c r="D650" s="505"/>
      <c r="E650" s="505"/>
      <c r="F650" s="505"/>
      <c r="G650" s="505"/>
      <c r="H650" s="505"/>
      <c r="I650" s="505"/>
      <c r="J650" s="505"/>
      <c r="K650" s="517"/>
      <c r="L650" s="518"/>
      <c r="M650" s="505"/>
      <c r="N650" s="505"/>
      <c r="O650" s="505"/>
      <c r="P650" s="619"/>
      <c r="Q650" s="505"/>
      <c r="R650" s="505"/>
      <c r="S650" s="505"/>
      <c r="T650" s="505"/>
      <c r="U650" s="505"/>
      <c r="V650" s="505"/>
      <c r="W650" s="505"/>
      <c r="X650" s="505"/>
      <c r="Y650" s="505"/>
      <c r="Z650" s="505"/>
      <c r="AA650" s="505"/>
      <c r="AB650" s="505"/>
      <c r="AC650" s="505"/>
    </row>
    <row r="651" spans="1:29">
      <c r="A651" s="505"/>
      <c r="B651" s="505"/>
      <c r="C651" s="505"/>
      <c r="D651" s="505"/>
      <c r="E651" s="505"/>
      <c r="F651" s="505"/>
      <c r="G651" s="505"/>
      <c r="H651" s="505"/>
      <c r="I651" s="505"/>
      <c r="J651" s="505"/>
      <c r="K651" s="517"/>
      <c r="L651" s="518"/>
      <c r="M651" s="505"/>
      <c r="N651" s="505"/>
      <c r="O651" s="505"/>
      <c r="P651" s="619"/>
      <c r="Q651" s="505"/>
      <c r="R651" s="505"/>
      <c r="S651" s="505"/>
      <c r="T651" s="505"/>
      <c r="U651" s="505"/>
      <c r="V651" s="505"/>
      <c r="W651" s="505"/>
      <c r="X651" s="505"/>
      <c r="Y651" s="505"/>
      <c r="Z651" s="505"/>
      <c r="AA651" s="505"/>
      <c r="AB651" s="505"/>
      <c r="AC651" s="505"/>
    </row>
    <row r="652" spans="1:29">
      <c r="A652" s="505"/>
      <c r="B652" s="505"/>
      <c r="C652" s="505"/>
      <c r="D652" s="505"/>
      <c r="E652" s="505"/>
      <c r="F652" s="505"/>
      <c r="G652" s="505"/>
      <c r="H652" s="505"/>
      <c r="I652" s="505"/>
      <c r="J652" s="505"/>
      <c r="K652" s="517"/>
      <c r="L652" s="518"/>
      <c r="M652" s="505"/>
      <c r="N652" s="505"/>
      <c r="O652" s="505"/>
      <c r="P652" s="619"/>
      <c r="Q652" s="505"/>
      <c r="R652" s="505"/>
      <c r="S652" s="505"/>
      <c r="T652" s="505"/>
      <c r="U652" s="505"/>
      <c r="V652" s="505"/>
      <c r="W652" s="505"/>
      <c r="X652" s="505"/>
      <c r="Y652" s="505"/>
      <c r="Z652" s="505"/>
      <c r="AA652" s="505"/>
      <c r="AB652" s="505"/>
      <c r="AC652" s="505"/>
    </row>
    <row r="653" spans="1:29">
      <c r="A653" s="505"/>
      <c r="B653" s="505"/>
      <c r="C653" s="505"/>
      <c r="D653" s="505"/>
      <c r="E653" s="505"/>
      <c r="F653" s="505"/>
      <c r="G653" s="505"/>
      <c r="H653" s="505"/>
      <c r="I653" s="505"/>
      <c r="J653" s="505"/>
      <c r="K653" s="517"/>
      <c r="L653" s="518"/>
      <c r="M653" s="505"/>
      <c r="N653" s="505"/>
      <c r="O653" s="505"/>
      <c r="P653" s="619"/>
      <c r="Q653" s="505"/>
      <c r="R653" s="505"/>
      <c r="S653" s="505"/>
      <c r="T653" s="505"/>
      <c r="U653" s="505"/>
      <c r="V653" s="505"/>
      <c r="W653" s="505"/>
      <c r="X653" s="505"/>
      <c r="Y653" s="505"/>
      <c r="Z653" s="505"/>
      <c r="AA653" s="505"/>
      <c r="AB653" s="505"/>
      <c r="AC653" s="505"/>
    </row>
    <row r="654" spans="1:29">
      <c r="A654" s="505"/>
      <c r="B654" s="505"/>
      <c r="C654" s="505"/>
      <c r="D654" s="505"/>
      <c r="E654" s="505"/>
      <c r="F654" s="505"/>
      <c r="G654" s="505"/>
      <c r="H654" s="505"/>
      <c r="I654" s="505"/>
      <c r="J654" s="505"/>
      <c r="K654" s="517"/>
      <c r="L654" s="518"/>
      <c r="M654" s="505"/>
      <c r="N654" s="505"/>
      <c r="O654" s="505"/>
      <c r="P654" s="619"/>
      <c r="Q654" s="505"/>
      <c r="R654" s="505"/>
      <c r="S654" s="505"/>
      <c r="T654" s="505"/>
      <c r="U654" s="505"/>
      <c r="V654" s="505"/>
      <c r="W654" s="505"/>
      <c r="X654" s="505"/>
      <c r="Y654" s="505"/>
      <c r="Z654" s="505"/>
      <c r="AA654" s="505"/>
      <c r="AB654" s="505"/>
      <c r="AC654" s="505"/>
    </row>
    <row r="655" spans="1:29">
      <c r="A655" s="505"/>
      <c r="B655" s="505"/>
      <c r="C655" s="505"/>
      <c r="D655" s="505"/>
      <c r="E655" s="505"/>
      <c r="F655" s="505"/>
      <c r="G655" s="505"/>
      <c r="H655" s="505"/>
      <c r="I655" s="505"/>
      <c r="J655" s="505"/>
      <c r="K655" s="517"/>
      <c r="L655" s="518"/>
      <c r="M655" s="505"/>
      <c r="N655" s="505"/>
      <c r="O655" s="505"/>
      <c r="P655" s="619"/>
      <c r="Q655" s="505"/>
      <c r="R655" s="505"/>
      <c r="S655" s="505"/>
      <c r="T655" s="505"/>
      <c r="U655" s="505"/>
      <c r="V655" s="505"/>
      <c r="W655" s="505"/>
      <c r="X655" s="505"/>
      <c r="Y655" s="505"/>
      <c r="Z655" s="505"/>
      <c r="AA655" s="505"/>
      <c r="AB655" s="505"/>
      <c r="AC655" s="505"/>
    </row>
    <row r="656" spans="1:29">
      <c r="A656" s="505"/>
      <c r="B656" s="505"/>
      <c r="C656" s="505"/>
      <c r="D656" s="505"/>
      <c r="E656" s="505"/>
      <c r="F656" s="505"/>
      <c r="G656" s="505"/>
      <c r="H656" s="505"/>
      <c r="I656" s="505"/>
      <c r="J656" s="505"/>
      <c r="K656" s="517"/>
      <c r="L656" s="518"/>
      <c r="M656" s="505"/>
      <c r="N656" s="505"/>
      <c r="O656" s="505"/>
      <c r="P656" s="619"/>
      <c r="Q656" s="505"/>
      <c r="R656" s="505"/>
      <c r="S656" s="505"/>
      <c r="T656" s="505"/>
      <c r="U656" s="505"/>
      <c r="V656" s="505"/>
      <c r="W656" s="505"/>
      <c r="X656" s="505"/>
      <c r="Y656" s="505"/>
      <c r="Z656" s="505"/>
      <c r="AA656" s="505"/>
      <c r="AB656" s="505"/>
      <c r="AC656" s="505"/>
    </row>
    <row r="657" spans="1:29">
      <c r="A657" s="505"/>
      <c r="B657" s="505"/>
      <c r="C657" s="505"/>
      <c r="D657" s="505"/>
      <c r="E657" s="505"/>
      <c r="F657" s="505"/>
      <c r="G657" s="505"/>
      <c r="H657" s="505"/>
      <c r="I657" s="505"/>
      <c r="J657" s="505"/>
      <c r="K657" s="517"/>
      <c r="L657" s="518"/>
      <c r="M657" s="505"/>
      <c r="N657" s="505"/>
      <c r="O657" s="505"/>
      <c r="P657" s="619"/>
      <c r="Q657" s="505"/>
      <c r="R657" s="505"/>
      <c r="S657" s="505"/>
      <c r="T657" s="505"/>
      <c r="U657" s="505"/>
      <c r="V657" s="505"/>
      <c r="W657" s="505"/>
      <c r="X657" s="505"/>
      <c r="Y657" s="505"/>
      <c r="Z657" s="505"/>
      <c r="AA657" s="505"/>
      <c r="AB657" s="505"/>
      <c r="AC657" s="505"/>
    </row>
    <row r="658" spans="1:29">
      <c r="A658" s="505"/>
      <c r="B658" s="505"/>
      <c r="C658" s="505"/>
      <c r="D658" s="505"/>
      <c r="E658" s="505"/>
      <c r="F658" s="505"/>
      <c r="G658" s="505"/>
      <c r="H658" s="505"/>
      <c r="I658" s="505"/>
      <c r="J658" s="505"/>
      <c r="K658" s="517"/>
      <c r="L658" s="518"/>
      <c r="M658" s="505"/>
      <c r="N658" s="505"/>
      <c r="O658" s="505"/>
      <c r="P658" s="619"/>
      <c r="Q658" s="505"/>
      <c r="R658" s="505"/>
      <c r="S658" s="505"/>
      <c r="T658" s="505"/>
      <c r="U658" s="505"/>
      <c r="V658" s="505"/>
      <c r="W658" s="505"/>
      <c r="X658" s="505"/>
      <c r="Y658" s="505"/>
      <c r="Z658" s="505"/>
      <c r="AA658" s="505"/>
      <c r="AB658" s="505"/>
      <c r="AC658" s="505"/>
    </row>
    <row r="659" spans="1:29">
      <c r="A659" s="505"/>
      <c r="B659" s="505"/>
      <c r="C659" s="505"/>
      <c r="D659" s="505"/>
      <c r="E659" s="505"/>
      <c r="F659" s="505"/>
      <c r="G659" s="505"/>
      <c r="H659" s="505"/>
      <c r="I659" s="505"/>
      <c r="J659" s="505"/>
      <c r="K659" s="517"/>
      <c r="L659" s="518"/>
      <c r="M659" s="505"/>
      <c r="N659" s="505"/>
      <c r="O659" s="505"/>
      <c r="P659" s="619"/>
      <c r="Q659" s="505"/>
      <c r="R659" s="505"/>
      <c r="S659" s="505"/>
      <c r="T659" s="505"/>
      <c r="U659" s="505"/>
      <c r="V659" s="505"/>
      <c r="W659" s="505"/>
      <c r="X659" s="505"/>
      <c r="Y659" s="505"/>
      <c r="Z659" s="505"/>
      <c r="AA659" s="505"/>
      <c r="AB659" s="505"/>
      <c r="AC659" s="505"/>
    </row>
    <row r="660" spans="1:29">
      <c r="A660" s="505"/>
      <c r="B660" s="505"/>
      <c r="C660" s="505"/>
      <c r="D660" s="505"/>
      <c r="E660" s="505"/>
      <c r="F660" s="505"/>
      <c r="G660" s="505"/>
      <c r="H660" s="505"/>
      <c r="I660" s="505"/>
      <c r="J660" s="505"/>
      <c r="K660" s="517"/>
      <c r="L660" s="518"/>
      <c r="M660" s="505"/>
      <c r="N660" s="505"/>
      <c r="O660" s="505"/>
      <c r="P660" s="619"/>
      <c r="Q660" s="505"/>
      <c r="R660" s="505"/>
      <c r="S660" s="505"/>
      <c r="T660" s="505"/>
      <c r="U660" s="505"/>
      <c r="V660" s="505"/>
      <c r="W660" s="505"/>
      <c r="X660" s="505"/>
      <c r="Y660" s="505"/>
      <c r="Z660" s="505"/>
      <c r="AA660" s="505"/>
      <c r="AB660" s="505"/>
      <c r="AC660" s="505"/>
    </row>
    <row r="661" spans="1:29">
      <c r="A661" s="505"/>
      <c r="B661" s="505"/>
      <c r="C661" s="505"/>
      <c r="D661" s="505"/>
      <c r="E661" s="505"/>
      <c r="F661" s="505"/>
      <c r="G661" s="505"/>
      <c r="H661" s="505"/>
      <c r="I661" s="505"/>
      <c r="J661" s="505"/>
      <c r="K661" s="517"/>
      <c r="L661" s="518"/>
      <c r="M661" s="505"/>
      <c r="N661" s="505"/>
      <c r="O661" s="505"/>
      <c r="P661" s="619"/>
      <c r="Q661" s="505"/>
      <c r="R661" s="505"/>
      <c r="S661" s="505"/>
      <c r="T661" s="505"/>
      <c r="U661" s="505"/>
      <c r="V661" s="505"/>
      <c r="W661" s="505"/>
      <c r="X661" s="505"/>
      <c r="Y661" s="505"/>
      <c r="Z661" s="505"/>
      <c r="AA661" s="505"/>
      <c r="AB661" s="505"/>
      <c r="AC661" s="505"/>
    </row>
    <row r="662" spans="1:29">
      <c r="A662" s="505"/>
      <c r="B662" s="505"/>
      <c r="C662" s="505"/>
      <c r="D662" s="505"/>
      <c r="E662" s="505"/>
      <c r="F662" s="505"/>
      <c r="G662" s="505"/>
      <c r="H662" s="505"/>
      <c r="I662" s="505"/>
      <c r="J662" s="505"/>
      <c r="K662" s="517"/>
      <c r="L662" s="518"/>
      <c r="M662" s="505"/>
      <c r="N662" s="505"/>
      <c r="O662" s="505"/>
      <c r="P662" s="619"/>
      <c r="Q662" s="505"/>
      <c r="R662" s="505"/>
      <c r="S662" s="505"/>
      <c r="T662" s="505"/>
      <c r="U662" s="505"/>
      <c r="V662" s="505"/>
      <c r="W662" s="505"/>
      <c r="X662" s="505"/>
      <c r="Y662" s="505"/>
      <c r="Z662" s="505"/>
      <c r="AA662" s="505"/>
      <c r="AB662" s="505"/>
      <c r="AC662" s="505"/>
    </row>
    <row r="663" spans="1:29">
      <c r="A663" s="505"/>
      <c r="B663" s="505"/>
      <c r="C663" s="505"/>
      <c r="D663" s="505"/>
      <c r="E663" s="505"/>
      <c r="F663" s="505"/>
      <c r="G663" s="505"/>
      <c r="H663" s="505"/>
      <c r="I663" s="505"/>
      <c r="J663" s="505"/>
      <c r="K663" s="517"/>
      <c r="L663" s="518"/>
      <c r="M663" s="505"/>
      <c r="N663" s="505"/>
      <c r="O663" s="505"/>
      <c r="P663" s="619"/>
      <c r="Q663" s="505"/>
      <c r="R663" s="505"/>
      <c r="S663" s="505"/>
      <c r="T663" s="505"/>
      <c r="U663" s="505"/>
      <c r="V663" s="505"/>
      <c r="W663" s="505"/>
      <c r="X663" s="505"/>
      <c r="Y663" s="505"/>
      <c r="Z663" s="505"/>
      <c r="AA663" s="505"/>
      <c r="AB663" s="505"/>
      <c r="AC663" s="505"/>
    </row>
    <row r="664" spans="1:29">
      <c r="A664" s="505"/>
      <c r="B664" s="505"/>
      <c r="C664" s="505"/>
      <c r="D664" s="505"/>
      <c r="E664" s="505"/>
      <c r="F664" s="505"/>
      <c r="G664" s="505"/>
      <c r="H664" s="505"/>
      <c r="I664" s="505"/>
      <c r="J664" s="505"/>
      <c r="K664" s="517"/>
      <c r="L664" s="518"/>
      <c r="M664" s="505"/>
      <c r="N664" s="505"/>
      <c r="O664" s="505"/>
      <c r="P664" s="619"/>
      <c r="Q664" s="505"/>
      <c r="R664" s="505"/>
      <c r="S664" s="505"/>
      <c r="T664" s="505"/>
      <c r="U664" s="505"/>
      <c r="V664" s="505"/>
      <c r="W664" s="505"/>
      <c r="X664" s="505"/>
      <c r="Y664" s="505"/>
      <c r="Z664" s="505"/>
      <c r="AA664" s="505"/>
      <c r="AB664" s="505"/>
      <c r="AC664" s="505"/>
    </row>
    <row r="665" spans="1:29">
      <c r="A665" s="505"/>
      <c r="B665" s="505"/>
      <c r="C665" s="505"/>
      <c r="D665" s="505"/>
      <c r="E665" s="505"/>
      <c r="F665" s="505"/>
      <c r="G665" s="505"/>
      <c r="H665" s="505"/>
      <c r="I665" s="505"/>
      <c r="J665" s="505"/>
      <c r="K665" s="517"/>
      <c r="L665" s="518"/>
      <c r="M665" s="505"/>
      <c r="N665" s="505"/>
      <c r="O665" s="505"/>
      <c r="P665" s="619"/>
      <c r="Q665" s="505"/>
      <c r="R665" s="505"/>
      <c r="S665" s="505"/>
      <c r="T665" s="505"/>
      <c r="U665" s="505"/>
      <c r="V665" s="505"/>
      <c r="W665" s="505"/>
      <c r="X665" s="505"/>
      <c r="Y665" s="505"/>
      <c r="Z665" s="505"/>
      <c r="AA665" s="505"/>
      <c r="AB665" s="505"/>
      <c r="AC665" s="505"/>
    </row>
    <row r="666" spans="1:29">
      <c r="A666" s="505"/>
      <c r="B666" s="505"/>
      <c r="C666" s="505"/>
      <c r="D666" s="505"/>
      <c r="E666" s="505"/>
      <c r="F666" s="505"/>
      <c r="G666" s="505"/>
      <c r="H666" s="505"/>
      <c r="I666" s="505"/>
      <c r="J666" s="505"/>
      <c r="K666" s="517"/>
      <c r="L666" s="518"/>
      <c r="M666" s="505"/>
      <c r="N666" s="505"/>
      <c r="O666" s="505"/>
      <c r="P666" s="619"/>
      <c r="Q666" s="505"/>
      <c r="R666" s="505"/>
      <c r="S666" s="505"/>
      <c r="T666" s="505"/>
      <c r="U666" s="505"/>
      <c r="V666" s="505"/>
      <c r="W666" s="505"/>
      <c r="X666" s="505"/>
      <c r="Y666" s="505"/>
      <c r="Z666" s="505"/>
      <c r="AA666" s="505"/>
      <c r="AB666" s="505"/>
      <c r="AC666" s="505"/>
    </row>
    <row r="667" spans="1:29">
      <c r="A667" s="505"/>
      <c r="B667" s="505"/>
      <c r="C667" s="505"/>
      <c r="D667" s="505"/>
      <c r="E667" s="505"/>
      <c r="F667" s="505"/>
      <c r="G667" s="505"/>
      <c r="H667" s="505"/>
      <c r="I667" s="505"/>
      <c r="J667" s="505"/>
      <c r="K667" s="517"/>
      <c r="L667" s="518"/>
      <c r="M667" s="505"/>
      <c r="N667" s="505"/>
      <c r="O667" s="505"/>
      <c r="P667" s="619"/>
      <c r="Q667" s="505"/>
      <c r="R667" s="505"/>
      <c r="S667" s="505"/>
      <c r="T667" s="505"/>
      <c r="U667" s="505"/>
      <c r="V667" s="505"/>
      <c r="W667" s="505"/>
      <c r="X667" s="505"/>
      <c r="Y667" s="505"/>
      <c r="Z667" s="505"/>
      <c r="AA667" s="505"/>
      <c r="AB667" s="505"/>
      <c r="AC667" s="505"/>
    </row>
    <row r="668" spans="1:29">
      <c r="A668" s="505"/>
      <c r="B668" s="505"/>
      <c r="C668" s="505"/>
      <c r="D668" s="505"/>
      <c r="E668" s="505"/>
      <c r="F668" s="505"/>
      <c r="G668" s="505"/>
      <c r="H668" s="505"/>
      <c r="I668" s="505"/>
      <c r="J668" s="505"/>
      <c r="K668" s="517"/>
      <c r="L668" s="518"/>
      <c r="M668" s="505"/>
      <c r="N668" s="505"/>
      <c r="O668" s="505"/>
      <c r="P668" s="619"/>
      <c r="Q668" s="505"/>
      <c r="R668" s="505"/>
      <c r="S668" s="505"/>
      <c r="T668" s="505"/>
      <c r="U668" s="505"/>
      <c r="V668" s="505"/>
      <c r="W668" s="505"/>
      <c r="X668" s="505"/>
      <c r="Y668" s="505"/>
      <c r="Z668" s="505"/>
      <c r="AA668" s="505"/>
      <c r="AB668" s="505"/>
      <c r="AC668" s="505"/>
    </row>
    <row r="669" spans="1:29">
      <c r="A669" s="505"/>
      <c r="B669" s="505"/>
      <c r="C669" s="505"/>
      <c r="D669" s="505"/>
      <c r="E669" s="505"/>
      <c r="F669" s="505"/>
      <c r="G669" s="505"/>
      <c r="H669" s="505"/>
      <c r="I669" s="505"/>
      <c r="J669" s="505"/>
      <c r="K669" s="517"/>
      <c r="L669" s="518"/>
      <c r="M669" s="505"/>
      <c r="N669" s="505"/>
      <c r="O669" s="505"/>
      <c r="P669" s="619"/>
      <c r="Q669" s="505"/>
      <c r="R669" s="505"/>
      <c r="S669" s="505"/>
      <c r="T669" s="505"/>
      <c r="U669" s="505"/>
      <c r="V669" s="505"/>
      <c r="W669" s="505"/>
      <c r="X669" s="505"/>
      <c r="Y669" s="505"/>
      <c r="Z669" s="505"/>
      <c r="AA669" s="505"/>
      <c r="AB669" s="505"/>
      <c r="AC669" s="505"/>
    </row>
    <row r="670" spans="1:29">
      <c r="A670" s="505"/>
      <c r="B670" s="505"/>
      <c r="C670" s="505"/>
      <c r="D670" s="505"/>
      <c r="E670" s="505"/>
      <c r="F670" s="505"/>
      <c r="G670" s="505"/>
      <c r="H670" s="505"/>
      <c r="I670" s="505"/>
      <c r="J670" s="505"/>
      <c r="K670" s="517"/>
      <c r="L670" s="518"/>
      <c r="M670" s="505"/>
      <c r="N670" s="505"/>
      <c r="O670" s="505"/>
      <c r="P670" s="619"/>
      <c r="Q670" s="505"/>
      <c r="R670" s="505"/>
      <c r="S670" s="505"/>
      <c r="T670" s="505"/>
      <c r="U670" s="505"/>
      <c r="V670" s="505"/>
      <c r="W670" s="505"/>
      <c r="X670" s="505"/>
      <c r="Y670" s="505"/>
      <c r="Z670" s="505"/>
      <c r="AA670" s="505"/>
      <c r="AB670" s="505"/>
      <c r="AC670" s="505"/>
    </row>
    <row r="671" spans="1:29">
      <c r="A671" s="505"/>
      <c r="B671" s="505"/>
      <c r="C671" s="505"/>
      <c r="D671" s="505"/>
      <c r="E671" s="505"/>
      <c r="F671" s="505"/>
      <c r="G671" s="505"/>
      <c r="H671" s="505"/>
      <c r="I671" s="505"/>
      <c r="J671" s="505"/>
      <c r="K671" s="517"/>
      <c r="L671" s="518"/>
      <c r="M671" s="505"/>
      <c r="N671" s="505"/>
      <c r="O671" s="505"/>
      <c r="P671" s="619"/>
      <c r="Q671" s="505"/>
      <c r="R671" s="505"/>
      <c r="S671" s="505"/>
      <c r="T671" s="505"/>
      <c r="U671" s="505"/>
      <c r="V671" s="505"/>
      <c r="W671" s="505"/>
      <c r="X671" s="505"/>
      <c r="Y671" s="505"/>
      <c r="Z671" s="505"/>
      <c r="AA671" s="505"/>
      <c r="AB671" s="505"/>
      <c r="AC671" s="505"/>
    </row>
    <row r="672" spans="1:29">
      <c r="A672" s="505"/>
      <c r="B672" s="505"/>
      <c r="C672" s="505"/>
      <c r="D672" s="505"/>
      <c r="E672" s="505"/>
      <c r="F672" s="505"/>
      <c r="G672" s="505"/>
      <c r="H672" s="505"/>
      <c r="I672" s="505"/>
      <c r="J672" s="505"/>
      <c r="K672" s="517"/>
      <c r="L672" s="518"/>
      <c r="M672" s="505"/>
      <c r="N672" s="505"/>
      <c r="O672" s="505"/>
      <c r="P672" s="619"/>
      <c r="Q672" s="505"/>
      <c r="R672" s="505"/>
      <c r="S672" s="505"/>
      <c r="T672" s="505"/>
      <c r="U672" s="505"/>
      <c r="V672" s="505"/>
      <c r="W672" s="505"/>
      <c r="X672" s="505"/>
      <c r="Y672" s="505"/>
      <c r="Z672" s="505"/>
      <c r="AA672" s="505"/>
      <c r="AB672" s="505"/>
      <c r="AC672" s="505"/>
    </row>
    <row r="673" spans="1:29">
      <c r="A673" s="505"/>
      <c r="B673" s="505"/>
      <c r="C673" s="505"/>
      <c r="D673" s="505"/>
      <c r="E673" s="505"/>
      <c r="F673" s="505"/>
      <c r="G673" s="505"/>
      <c r="H673" s="505"/>
      <c r="I673" s="505"/>
      <c r="J673" s="505"/>
      <c r="K673" s="517"/>
      <c r="L673" s="518"/>
      <c r="M673" s="505"/>
      <c r="N673" s="505"/>
      <c r="O673" s="505"/>
      <c r="P673" s="619"/>
      <c r="Q673" s="505"/>
      <c r="R673" s="505"/>
      <c r="S673" s="505"/>
      <c r="T673" s="505"/>
      <c r="U673" s="505"/>
      <c r="V673" s="505"/>
      <c r="W673" s="505"/>
      <c r="X673" s="505"/>
      <c r="Y673" s="505"/>
      <c r="Z673" s="505"/>
      <c r="AA673" s="505"/>
      <c r="AB673" s="505"/>
      <c r="AC673" s="505"/>
    </row>
    <row r="674" spans="1:29">
      <c r="A674" s="505"/>
      <c r="B674" s="505"/>
      <c r="C674" s="505"/>
      <c r="D674" s="505"/>
      <c r="E674" s="505"/>
      <c r="F674" s="505"/>
      <c r="G674" s="505"/>
      <c r="H674" s="505"/>
      <c r="I674" s="505"/>
      <c r="J674" s="505"/>
      <c r="K674" s="517"/>
      <c r="L674" s="518"/>
      <c r="M674" s="505"/>
      <c r="N674" s="505"/>
      <c r="O674" s="505"/>
      <c r="P674" s="619"/>
      <c r="Q674" s="505"/>
      <c r="R674" s="505"/>
      <c r="S674" s="505"/>
      <c r="T674" s="505"/>
      <c r="U674" s="505"/>
      <c r="V674" s="505"/>
      <c r="W674" s="505"/>
      <c r="X674" s="505"/>
      <c r="Y674" s="505"/>
      <c r="Z674" s="505"/>
      <c r="AA674" s="505"/>
      <c r="AB674" s="505"/>
      <c r="AC674" s="505"/>
    </row>
    <row r="675" spans="1:29">
      <c r="A675" s="505"/>
      <c r="B675" s="505"/>
      <c r="C675" s="505"/>
      <c r="D675" s="505"/>
      <c r="E675" s="505"/>
      <c r="F675" s="505"/>
      <c r="G675" s="505"/>
      <c r="H675" s="505"/>
      <c r="I675" s="505"/>
      <c r="J675" s="505"/>
      <c r="K675" s="517"/>
      <c r="L675" s="518"/>
      <c r="M675" s="505"/>
      <c r="N675" s="505"/>
      <c r="O675" s="505"/>
      <c r="P675" s="619"/>
      <c r="Q675" s="505"/>
      <c r="R675" s="505"/>
      <c r="S675" s="505"/>
      <c r="T675" s="505"/>
      <c r="U675" s="505"/>
      <c r="V675" s="505"/>
      <c r="W675" s="505"/>
      <c r="X675" s="505"/>
      <c r="Y675" s="505"/>
      <c r="Z675" s="505"/>
      <c r="AA675" s="505"/>
      <c r="AB675" s="505"/>
      <c r="AC675" s="505"/>
    </row>
    <row r="676" spans="1:29">
      <c r="A676" s="505"/>
      <c r="B676" s="505"/>
      <c r="C676" s="505"/>
      <c r="D676" s="505"/>
      <c r="E676" s="505"/>
      <c r="F676" s="505"/>
      <c r="G676" s="505"/>
      <c r="H676" s="505"/>
      <c r="I676" s="505"/>
      <c r="J676" s="505"/>
      <c r="K676" s="517"/>
      <c r="L676" s="518"/>
      <c r="M676" s="505"/>
      <c r="N676" s="505"/>
      <c r="O676" s="505"/>
      <c r="P676" s="619"/>
      <c r="Q676" s="505"/>
      <c r="R676" s="505"/>
      <c r="S676" s="505"/>
      <c r="T676" s="505"/>
      <c r="U676" s="505"/>
      <c r="V676" s="505"/>
      <c r="W676" s="505"/>
      <c r="X676" s="505"/>
      <c r="Y676" s="505"/>
      <c r="Z676" s="505"/>
      <c r="AA676" s="505"/>
      <c r="AB676" s="505"/>
      <c r="AC676" s="505"/>
    </row>
    <row r="677" spans="1:29">
      <c r="A677" s="505"/>
      <c r="B677" s="505"/>
      <c r="C677" s="505"/>
      <c r="D677" s="505"/>
      <c r="E677" s="505"/>
      <c r="F677" s="505"/>
      <c r="G677" s="505"/>
      <c r="H677" s="505"/>
      <c r="I677" s="505"/>
      <c r="J677" s="505"/>
      <c r="K677" s="517"/>
      <c r="L677" s="518"/>
      <c r="M677" s="505"/>
      <c r="N677" s="505"/>
      <c r="O677" s="505"/>
      <c r="P677" s="619"/>
      <c r="Q677" s="505"/>
      <c r="R677" s="505"/>
      <c r="S677" s="505"/>
      <c r="T677" s="505"/>
      <c r="U677" s="505"/>
      <c r="V677" s="505"/>
      <c r="W677" s="505"/>
      <c r="X677" s="505"/>
      <c r="Y677" s="505"/>
      <c r="Z677" s="505"/>
      <c r="AA677" s="505"/>
      <c r="AB677" s="505"/>
      <c r="AC677" s="505"/>
    </row>
    <row r="678" spans="1:29">
      <c r="A678" s="505"/>
      <c r="B678" s="505"/>
      <c r="C678" s="505"/>
      <c r="D678" s="505"/>
      <c r="E678" s="505"/>
      <c r="F678" s="505"/>
      <c r="G678" s="505"/>
      <c r="H678" s="505"/>
      <c r="I678" s="505"/>
      <c r="J678" s="505"/>
      <c r="K678" s="517"/>
      <c r="L678" s="518"/>
      <c r="M678" s="505"/>
      <c r="N678" s="505"/>
      <c r="O678" s="505"/>
      <c r="P678" s="619"/>
      <c r="Q678" s="505"/>
      <c r="R678" s="505"/>
      <c r="S678" s="505"/>
      <c r="T678" s="505"/>
      <c r="U678" s="505"/>
      <c r="V678" s="505"/>
      <c r="W678" s="505"/>
      <c r="X678" s="505"/>
      <c r="Y678" s="505"/>
      <c r="Z678" s="505"/>
      <c r="AA678" s="505"/>
      <c r="AB678" s="505"/>
      <c r="AC678" s="505"/>
    </row>
    <row r="679" spans="1:29">
      <c r="A679" s="505"/>
      <c r="B679" s="505"/>
      <c r="C679" s="505"/>
      <c r="D679" s="505"/>
      <c r="E679" s="505"/>
      <c r="F679" s="505"/>
      <c r="G679" s="505"/>
      <c r="H679" s="505"/>
      <c r="I679" s="505"/>
      <c r="J679" s="505"/>
      <c r="K679" s="517"/>
      <c r="L679" s="518"/>
      <c r="M679" s="505"/>
      <c r="N679" s="505"/>
      <c r="O679" s="505"/>
      <c r="P679" s="619"/>
      <c r="Q679" s="505"/>
      <c r="R679" s="505"/>
      <c r="S679" s="505"/>
      <c r="T679" s="505"/>
      <c r="U679" s="505"/>
      <c r="V679" s="505"/>
      <c r="W679" s="505"/>
      <c r="X679" s="505"/>
      <c r="Y679" s="505"/>
      <c r="Z679" s="505"/>
      <c r="AA679" s="505"/>
      <c r="AB679" s="505"/>
      <c r="AC679" s="505"/>
    </row>
    <row r="680" spans="1:29">
      <c r="A680" s="505"/>
      <c r="B680" s="505"/>
      <c r="C680" s="505"/>
      <c r="D680" s="505"/>
      <c r="E680" s="505"/>
      <c r="F680" s="505"/>
      <c r="G680" s="505"/>
      <c r="H680" s="505"/>
      <c r="I680" s="505"/>
      <c r="J680" s="505"/>
      <c r="K680" s="517"/>
      <c r="L680" s="518"/>
      <c r="M680" s="505"/>
      <c r="N680" s="505"/>
      <c r="O680" s="505"/>
      <c r="P680" s="619"/>
      <c r="Q680" s="505"/>
      <c r="R680" s="505"/>
      <c r="S680" s="505"/>
      <c r="T680" s="505"/>
      <c r="U680" s="505"/>
      <c r="V680" s="505"/>
      <c r="W680" s="505"/>
      <c r="X680" s="505"/>
      <c r="Y680" s="505"/>
      <c r="Z680" s="505"/>
      <c r="AA680" s="505"/>
      <c r="AB680" s="505"/>
      <c r="AC680" s="505"/>
    </row>
    <row r="681" spans="1:29">
      <c r="A681" s="505"/>
      <c r="B681" s="505"/>
      <c r="C681" s="505"/>
      <c r="D681" s="505"/>
      <c r="E681" s="505"/>
      <c r="F681" s="505"/>
      <c r="G681" s="505"/>
      <c r="H681" s="505"/>
      <c r="I681" s="505"/>
      <c r="J681" s="505"/>
      <c r="K681" s="517"/>
      <c r="L681" s="518"/>
      <c r="M681" s="505"/>
      <c r="N681" s="505"/>
      <c r="O681" s="505"/>
      <c r="P681" s="619"/>
      <c r="Q681" s="505"/>
      <c r="R681" s="505"/>
      <c r="S681" s="505"/>
      <c r="T681" s="505"/>
      <c r="U681" s="505"/>
      <c r="V681" s="505"/>
      <c r="W681" s="505"/>
      <c r="X681" s="505"/>
      <c r="Y681" s="505"/>
      <c r="Z681" s="505"/>
      <c r="AA681" s="505"/>
      <c r="AB681" s="505"/>
      <c r="AC681" s="505"/>
    </row>
    <row r="682" spans="1:29">
      <c r="A682" s="505"/>
      <c r="B682" s="505"/>
      <c r="C682" s="505"/>
      <c r="D682" s="505"/>
      <c r="E682" s="505"/>
      <c r="F682" s="505"/>
      <c r="G682" s="505"/>
      <c r="H682" s="505"/>
      <c r="I682" s="505"/>
      <c r="J682" s="505"/>
      <c r="K682" s="517"/>
      <c r="L682" s="518"/>
      <c r="M682" s="505"/>
      <c r="N682" s="505"/>
      <c r="O682" s="505"/>
      <c r="P682" s="619"/>
      <c r="Q682" s="505"/>
      <c r="R682" s="505"/>
      <c r="S682" s="505"/>
      <c r="T682" s="505"/>
      <c r="U682" s="505"/>
      <c r="V682" s="505"/>
      <c r="W682" s="505"/>
      <c r="X682" s="505"/>
      <c r="Y682" s="505"/>
      <c r="Z682" s="505"/>
      <c r="AA682" s="505"/>
      <c r="AB682" s="505"/>
      <c r="AC682" s="505"/>
    </row>
    <row r="683" spans="1:29">
      <c r="A683" s="505"/>
      <c r="B683" s="505"/>
      <c r="C683" s="505"/>
      <c r="D683" s="505"/>
      <c r="E683" s="505"/>
      <c r="F683" s="505"/>
      <c r="G683" s="505"/>
      <c r="H683" s="505"/>
      <c r="I683" s="505"/>
      <c r="J683" s="505"/>
      <c r="K683" s="517"/>
      <c r="L683" s="518"/>
      <c r="M683" s="505"/>
      <c r="N683" s="505"/>
      <c r="O683" s="505"/>
      <c r="P683" s="619"/>
      <c r="Q683" s="505"/>
      <c r="R683" s="505"/>
      <c r="S683" s="505"/>
      <c r="T683" s="505"/>
      <c r="U683" s="505"/>
      <c r="V683" s="505"/>
      <c r="W683" s="505"/>
      <c r="X683" s="505"/>
      <c r="Y683" s="505"/>
      <c r="Z683" s="505"/>
      <c r="AA683" s="505"/>
      <c r="AB683" s="505"/>
      <c r="AC683" s="505"/>
    </row>
    <row r="684" spans="1:29">
      <c r="A684" s="505"/>
      <c r="B684" s="505"/>
      <c r="C684" s="505"/>
      <c r="D684" s="505"/>
      <c r="E684" s="505"/>
      <c r="F684" s="505"/>
      <c r="G684" s="505"/>
      <c r="H684" s="505"/>
      <c r="I684" s="505"/>
      <c r="J684" s="505"/>
      <c r="K684" s="517"/>
      <c r="L684" s="518"/>
      <c r="M684" s="505"/>
      <c r="N684" s="505"/>
      <c r="O684" s="505"/>
      <c r="P684" s="619"/>
      <c r="Q684" s="505"/>
      <c r="R684" s="505"/>
      <c r="S684" s="505"/>
      <c r="T684" s="505"/>
      <c r="U684" s="505"/>
      <c r="V684" s="505"/>
      <c r="W684" s="505"/>
      <c r="X684" s="505"/>
      <c r="Y684" s="505"/>
      <c r="Z684" s="505"/>
      <c r="AA684" s="505"/>
      <c r="AB684" s="505"/>
      <c r="AC684" s="505"/>
    </row>
    <row r="685" spans="1:29">
      <c r="A685" s="505"/>
      <c r="B685" s="505"/>
      <c r="C685" s="505"/>
      <c r="D685" s="505"/>
      <c r="E685" s="505"/>
      <c r="F685" s="505"/>
      <c r="G685" s="505"/>
      <c r="H685" s="505"/>
      <c r="I685" s="505"/>
      <c r="J685" s="505"/>
      <c r="K685" s="517"/>
      <c r="L685" s="518"/>
      <c r="M685" s="505"/>
      <c r="N685" s="505"/>
      <c r="O685" s="505"/>
      <c r="P685" s="619"/>
      <c r="Q685" s="505"/>
      <c r="R685" s="505"/>
      <c r="S685" s="505"/>
      <c r="T685" s="505"/>
      <c r="U685" s="505"/>
      <c r="V685" s="505"/>
      <c r="W685" s="505"/>
      <c r="X685" s="505"/>
      <c r="Y685" s="505"/>
      <c r="Z685" s="505"/>
      <c r="AA685" s="505"/>
      <c r="AB685" s="505"/>
      <c r="AC685" s="505"/>
    </row>
    <row r="686" spans="1:29">
      <c r="A686" s="505"/>
      <c r="B686" s="505"/>
      <c r="C686" s="505"/>
      <c r="D686" s="505"/>
      <c r="E686" s="505"/>
      <c r="F686" s="505"/>
      <c r="G686" s="505"/>
      <c r="H686" s="505"/>
      <c r="I686" s="505"/>
      <c r="J686" s="505"/>
      <c r="K686" s="517"/>
      <c r="L686" s="518"/>
      <c r="M686" s="505"/>
      <c r="N686" s="505"/>
      <c r="O686" s="505"/>
      <c r="P686" s="619"/>
      <c r="Q686" s="505"/>
      <c r="R686" s="505"/>
      <c r="S686" s="505"/>
      <c r="T686" s="505"/>
      <c r="U686" s="505"/>
      <c r="V686" s="505"/>
      <c r="W686" s="505"/>
      <c r="X686" s="505"/>
      <c r="Y686" s="505"/>
      <c r="Z686" s="505"/>
      <c r="AA686" s="505"/>
      <c r="AB686" s="505"/>
      <c r="AC686" s="505"/>
    </row>
    <row r="687" spans="1:29">
      <c r="A687" s="505"/>
      <c r="B687" s="505"/>
      <c r="C687" s="505"/>
      <c r="D687" s="505"/>
      <c r="E687" s="505"/>
      <c r="F687" s="505"/>
      <c r="G687" s="505"/>
      <c r="H687" s="505"/>
      <c r="I687" s="505"/>
      <c r="J687" s="505"/>
      <c r="K687" s="517"/>
      <c r="L687" s="518"/>
      <c r="M687" s="505"/>
      <c r="N687" s="505"/>
      <c r="O687" s="505"/>
      <c r="P687" s="619"/>
      <c r="Q687" s="505"/>
      <c r="R687" s="505"/>
      <c r="S687" s="505"/>
      <c r="T687" s="505"/>
      <c r="U687" s="505"/>
      <c r="V687" s="505"/>
      <c r="W687" s="505"/>
      <c r="X687" s="505"/>
      <c r="Y687" s="505"/>
      <c r="Z687" s="505"/>
      <c r="AA687" s="505"/>
      <c r="AB687" s="505"/>
      <c r="AC687" s="505"/>
    </row>
    <row r="688" spans="1:29">
      <c r="A688" s="505"/>
      <c r="B688" s="505"/>
      <c r="C688" s="505"/>
      <c r="D688" s="505"/>
      <c r="E688" s="505"/>
      <c r="F688" s="505"/>
      <c r="G688" s="505"/>
      <c r="H688" s="505"/>
      <c r="I688" s="505"/>
      <c r="J688" s="505"/>
      <c r="K688" s="517"/>
      <c r="L688" s="518"/>
      <c r="M688" s="505"/>
      <c r="N688" s="505"/>
      <c r="O688" s="505"/>
      <c r="P688" s="619"/>
      <c r="Q688" s="505"/>
      <c r="R688" s="505"/>
      <c r="S688" s="505"/>
      <c r="T688" s="505"/>
      <c r="U688" s="505"/>
      <c r="V688" s="505"/>
      <c r="W688" s="505"/>
      <c r="X688" s="505"/>
      <c r="Y688" s="505"/>
      <c r="Z688" s="505"/>
      <c r="AA688" s="505"/>
      <c r="AB688" s="505"/>
      <c r="AC688" s="505"/>
    </row>
    <row r="689" spans="1:29">
      <c r="A689" s="505"/>
      <c r="B689" s="505"/>
      <c r="C689" s="505"/>
      <c r="D689" s="505"/>
      <c r="E689" s="505"/>
      <c r="F689" s="505"/>
      <c r="G689" s="505"/>
      <c r="H689" s="505"/>
      <c r="I689" s="505"/>
      <c r="J689" s="505"/>
      <c r="K689" s="517"/>
      <c r="L689" s="518"/>
      <c r="M689" s="505"/>
      <c r="N689" s="505"/>
      <c r="O689" s="505"/>
      <c r="P689" s="619"/>
      <c r="Q689" s="505"/>
      <c r="R689" s="505"/>
      <c r="S689" s="505"/>
      <c r="T689" s="505"/>
      <c r="U689" s="505"/>
      <c r="V689" s="505"/>
      <c r="W689" s="505"/>
      <c r="X689" s="505"/>
      <c r="Y689" s="505"/>
      <c r="Z689" s="505"/>
      <c r="AA689" s="505"/>
      <c r="AB689" s="505"/>
      <c r="AC689" s="505"/>
    </row>
    <row r="690" spans="1:29">
      <c r="A690" s="505"/>
      <c r="B690" s="505"/>
      <c r="C690" s="505"/>
      <c r="D690" s="505"/>
      <c r="E690" s="505"/>
      <c r="F690" s="505"/>
      <c r="G690" s="505"/>
      <c r="H690" s="505"/>
      <c r="I690" s="505"/>
      <c r="J690" s="505"/>
      <c r="K690" s="517"/>
      <c r="L690" s="518"/>
      <c r="M690" s="505"/>
      <c r="N690" s="505"/>
      <c r="O690" s="505"/>
      <c r="P690" s="619"/>
      <c r="Q690" s="505"/>
      <c r="R690" s="505"/>
      <c r="S690" s="505"/>
      <c r="T690" s="505"/>
      <c r="U690" s="505"/>
      <c r="V690" s="505"/>
      <c r="W690" s="505"/>
      <c r="X690" s="505"/>
      <c r="Y690" s="505"/>
      <c r="Z690" s="505"/>
      <c r="AA690" s="505"/>
      <c r="AB690" s="505"/>
      <c r="AC690" s="505"/>
    </row>
    <row r="691" spans="1:29">
      <c r="A691" s="505"/>
      <c r="B691" s="505"/>
      <c r="C691" s="505"/>
      <c r="D691" s="505"/>
      <c r="E691" s="505"/>
      <c r="F691" s="505"/>
      <c r="G691" s="505"/>
      <c r="H691" s="505"/>
      <c r="I691" s="505"/>
      <c r="J691" s="505"/>
      <c r="K691" s="517"/>
      <c r="L691" s="518"/>
      <c r="M691" s="505"/>
      <c r="N691" s="505"/>
      <c r="O691" s="505"/>
      <c r="P691" s="619"/>
      <c r="Q691" s="505"/>
      <c r="R691" s="505"/>
      <c r="S691" s="505"/>
      <c r="T691" s="505"/>
      <c r="U691" s="505"/>
      <c r="V691" s="505"/>
      <c r="W691" s="505"/>
      <c r="X691" s="505"/>
      <c r="Y691" s="505"/>
      <c r="Z691" s="505"/>
      <c r="AA691" s="505"/>
      <c r="AB691" s="505"/>
      <c r="AC691" s="505"/>
    </row>
    <row r="692" spans="1:29">
      <c r="A692" s="505"/>
      <c r="B692" s="505"/>
      <c r="C692" s="505"/>
      <c r="D692" s="505"/>
      <c r="E692" s="505"/>
      <c r="F692" s="505"/>
      <c r="G692" s="505"/>
      <c r="H692" s="505"/>
      <c r="I692" s="505"/>
      <c r="J692" s="505"/>
      <c r="K692" s="517"/>
      <c r="L692" s="518"/>
      <c r="M692" s="505"/>
      <c r="N692" s="505"/>
      <c r="O692" s="505"/>
      <c r="P692" s="619"/>
      <c r="Q692" s="505"/>
      <c r="R692" s="505"/>
      <c r="S692" s="505"/>
      <c r="T692" s="505"/>
      <c r="U692" s="505"/>
      <c r="V692" s="505"/>
      <c r="W692" s="505"/>
      <c r="X692" s="505"/>
      <c r="Y692" s="505"/>
      <c r="Z692" s="505"/>
      <c r="AA692" s="505"/>
      <c r="AB692" s="505"/>
      <c r="AC692" s="505"/>
    </row>
    <row r="693" spans="1:29">
      <c r="A693" s="505"/>
      <c r="B693" s="505"/>
      <c r="C693" s="505"/>
      <c r="D693" s="505"/>
      <c r="E693" s="505"/>
      <c r="F693" s="505"/>
      <c r="G693" s="505"/>
      <c r="H693" s="505"/>
      <c r="I693" s="505"/>
      <c r="J693" s="505"/>
      <c r="K693" s="517"/>
      <c r="L693" s="518"/>
      <c r="M693" s="505"/>
      <c r="N693" s="505"/>
      <c r="O693" s="505"/>
      <c r="P693" s="619"/>
      <c r="Q693" s="505"/>
      <c r="R693" s="505"/>
      <c r="S693" s="505"/>
      <c r="T693" s="505"/>
      <c r="U693" s="505"/>
      <c r="V693" s="505"/>
      <c r="W693" s="505"/>
      <c r="X693" s="505"/>
      <c r="Y693" s="505"/>
      <c r="Z693" s="505"/>
      <c r="AA693" s="505"/>
      <c r="AB693" s="505"/>
      <c r="AC693" s="505"/>
    </row>
    <row r="694" spans="1:29">
      <c r="A694" s="505"/>
      <c r="B694" s="505"/>
      <c r="C694" s="505"/>
      <c r="D694" s="505"/>
      <c r="E694" s="505"/>
      <c r="F694" s="505"/>
      <c r="G694" s="505"/>
      <c r="H694" s="505"/>
      <c r="I694" s="505"/>
      <c r="J694" s="505"/>
      <c r="K694" s="517"/>
      <c r="L694" s="518"/>
      <c r="M694" s="505"/>
      <c r="N694" s="505"/>
      <c r="O694" s="505"/>
      <c r="P694" s="619"/>
      <c r="Q694" s="505"/>
      <c r="R694" s="505"/>
      <c r="S694" s="505"/>
      <c r="T694" s="505"/>
      <c r="U694" s="505"/>
      <c r="V694" s="505"/>
      <c r="W694" s="505"/>
      <c r="X694" s="505"/>
      <c r="Y694" s="505"/>
      <c r="Z694" s="505"/>
      <c r="AA694" s="505"/>
      <c r="AB694" s="505"/>
      <c r="AC694" s="505"/>
    </row>
    <row r="695" spans="1:29">
      <c r="A695" s="505"/>
      <c r="B695" s="505"/>
      <c r="C695" s="505"/>
      <c r="D695" s="505"/>
      <c r="E695" s="505"/>
      <c r="F695" s="505"/>
      <c r="G695" s="505"/>
      <c r="H695" s="505"/>
      <c r="I695" s="505"/>
      <c r="J695" s="505"/>
      <c r="K695" s="517"/>
      <c r="L695" s="518"/>
      <c r="M695" s="505"/>
      <c r="N695" s="505"/>
      <c r="O695" s="505"/>
      <c r="P695" s="619"/>
      <c r="Q695" s="505"/>
      <c r="R695" s="505"/>
      <c r="S695" s="505"/>
      <c r="T695" s="505"/>
      <c r="U695" s="505"/>
      <c r="V695" s="505"/>
      <c r="W695" s="505"/>
      <c r="X695" s="505"/>
      <c r="Y695" s="505"/>
      <c r="Z695" s="505"/>
      <c r="AA695" s="505"/>
      <c r="AB695" s="505"/>
      <c r="AC695" s="505"/>
    </row>
    <row r="696" spans="1:29">
      <c r="A696" s="505"/>
      <c r="B696" s="505"/>
      <c r="C696" s="505"/>
      <c r="D696" s="505"/>
      <c r="E696" s="505"/>
      <c r="F696" s="505"/>
      <c r="G696" s="505"/>
      <c r="H696" s="505"/>
      <c r="I696" s="505"/>
      <c r="J696" s="505"/>
      <c r="K696" s="517"/>
      <c r="L696" s="518"/>
      <c r="M696" s="505"/>
      <c r="N696" s="505"/>
      <c r="O696" s="505"/>
      <c r="P696" s="619"/>
      <c r="Q696" s="505"/>
      <c r="R696" s="505"/>
      <c r="S696" s="505"/>
      <c r="T696" s="505"/>
      <c r="U696" s="505"/>
      <c r="V696" s="505"/>
      <c r="W696" s="505"/>
      <c r="X696" s="505"/>
      <c r="Y696" s="505"/>
      <c r="Z696" s="505"/>
      <c r="AA696" s="505"/>
      <c r="AB696" s="505"/>
      <c r="AC696" s="505"/>
    </row>
    <row r="697" spans="1:29">
      <c r="A697" s="505"/>
      <c r="B697" s="505"/>
      <c r="C697" s="505"/>
      <c r="D697" s="505"/>
      <c r="E697" s="505"/>
      <c r="F697" s="505"/>
      <c r="G697" s="505"/>
      <c r="H697" s="505"/>
      <c r="I697" s="505"/>
      <c r="J697" s="505"/>
      <c r="K697" s="517"/>
      <c r="L697" s="518"/>
      <c r="M697" s="505"/>
      <c r="N697" s="505"/>
      <c r="O697" s="505"/>
      <c r="P697" s="619"/>
      <c r="Q697" s="505"/>
      <c r="R697" s="505"/>
      <c r="S697" s="505"/>
      <c r="T697" s="505"/>
      <c r="U697" s="505"/>
      <c r="V697" s="505"/>
      <c r="W697" s="505"/>
      <c r="X697" s="505"/>
      <c r="Y697" s="505"/>
      <c r="Z697" s="505"/>
      <c r="AA697" s="505"/>
      <c r="AB697" s="505"/>
      <c r="AC697" s="505"/>
    </row>
    <row r="698" spans="1:29">
      <c r="A698" s="505"/>
      <c r="B698" s="505"/>
      <c r="C698" s="505"/>
      <c r="D698" s="505"/>
      <c r="E698" s="505"/>
      <c r="F698" s="505"/>
      <c r="G698" s="505"/>
      <c r="H698" s="505"/>
      <c r="I698" s="505"/>
      <c r="J698" s="505"/>
      <c r="K698" s="517"/>
      <c r="L698" s="518"/>
      <c r="M698" s="505"/>
      <c r="N698" s="505"/>
      <c r="O698" s="505"/>
      <c r="P698" s="619"/>
      <c r="Q698" s="505"/>
      <c r="R698" s="505"/>
      <c r="S698" s="505"/>
      <c r="T698" s="505"/>
      <c r="U698" s="505"/>
      <c r="V698" s="505"/>
      <c r="W698" s="505"/>
      <c r="X698" s="505"/>
      <c r="Y698" s="505"/>
      <c r="Z698" s="505"/>
      <c r="AA698" s="505"/>
      <c r="AB698" s="505"/>
      <c r="AC698" s="505"/>
    </row>
    <row r="699" spans="1:29">
      <c r="A699" s="505"/>
      <c r="B699" s="505"/>
      <c r="C699" s="505"/>
      <c r="D699" s="505"/>
      <c r="E699" s="505"/>
      <c r="F699" s="505"/>
      <c r="G699" s="505"/>
      <c r="H699" s="505"/>
      <c r="I699" s="505"/>
      <c r="J699" s="505"/>
      <c r="K699" s="517"/>
      <c r="L699" s="518"/>
      <c r="M699" s="505"/>
      <c r="N699" s="505"/>
      <c r="O699" s="505"/>
      <c r="P699" s="619"/>
      <c r="Q699" s="505"/>
      <c r="R699" s="505"/>
      <c r="S699" s="505"/>
      <c r="T699" s="505"/>
      <c r="U699" s="505"/>
      <c r="V699" s="505"/>
      <c r="W699" s="505"/>
      <c r="X699" s="505"/>
      <c r="Y699" s="505"/>
      <c r="Z699" s="505"/>
      <c r="AA699" s="505"/>
      <c r="AB699" s="505"/>
      <c r="AC699" s="505"/>
    </row>
    <row r="700" spans="1:29">
      <c r="A700" s="505"/>
      <c r="B700" s="505"/>
      <c r="C700" s="505"/>
      <c r="D700" s="505"/>
      <c r="E700" s="505"/>
      <c r="F700" s="505"/>
      <c r="G700" s="505"/>
      <c r="H700" s="505"/>
      <c r="I700" s="505"/>
      <c r="J700" s="505"/>
      <c r="K700" s="517"/>
      <c r="L700" s="518"/>
      <c r="M700" s="505"/>
      <c r="N700" s="505"/>
      <c r="O700" s="505"/>
      <c r="P700" s="619"/>
      <c r="Q700" s="505"/>
      <c r="R700" s="505"/>
      <c r="S700" s="505"/>
      <c r="T700" s="505"/>
      <c r="U700" s="505"/>
      <c r="V700" s="505"/>
      <c r="W700" s="505"/>
      <c r="X700" s="505"/>
      <c r="Y700" s="505"/>
      <c r="Z700" s="505"/>
      <c r="AA700" s="505"/>
      <c r="AB700" s="505"/>
      <c r="AC700" s="505"/>
    </row>
    <row r="701" spans="1:29">
      <c r="A701" s="505"/>
      <c r="B701" s="505"/>
      <c r="C701" s="505"/>
      <c r="D701" s="505"/>
      <c r="E701" s="505"/>
      <c r="F701" s="505"/>
      <c r="G701" s="505"/>
      <c r="H701" s="505"/>
      <c r="I701" s="505"/>
      <c r="J701" s="505"/>
      <c r="K701" s="517"/>
      <c r="L701" s="518"/>
      <c r="M701" s="505"/>
      <c r="N701" s="505"/>
      <c r="O701" s="505"/>
      <c r="P701" s="619"/>
      <c r="Q701" s="505"/>
      <c r="R701" s="505"/>
      <c r="S701" s="505"/>
      <c r="T701" s="505"/>
      <c r="U701" s="505"/>
      <c r="V701" s="505"/>
      <c r="W701" s="505"/>
      <c r="X701" s="505"/>
      <c r="Y701" s="505"/>
      <c r="Z701" s="505"/>
      <c r="AA701" s="505"/>
      <c r="AB701" s="505"/>
      <c r="AC701" s="505"/>
    </row>
    <row r="702" spans="1:29">
      <c r="A702" s="505"/>
      <c r="B702" s="505"/>
      <c r="C702" s="505"/>
      <c r="D702" s="505"/>
      <c r="E702" s="505"/>
      <c r="F702" s="505"/>
      <c r="G702" s="505"/>
      <c r="H702" s="505"/>
      <c r="I702" s="505"/>
      <c r="J702" s="505"/>
      <c r="K702" s="517"/>
      <c r="L702" s="518"/>
      <c r="M702" s="505"/>
      <c r="N702" s="505"/>
      <c r="O702" s="505"/>
      <c r="P702" s="619"/>
      <c r="Q702" s="505"/>
      <c r="R702" s="505"/>
      <c r="S702" s="505"/>
      <c r="T702" s="505"/>
      <c r="U702" s="505"/>
      <c r="V702" s="505"/>
      <c r="W702" s="505"/>
      <c r="X702" s="505"/>
      <c r="Y702" s="505"/>
      <c r="Z702" s="505"/>
      <c r="AA702" s="505"/>
      <c r="AB702" s="505"/>
      <c r="AC702" s="505"/>
    </row>
    <row r="703" spans="1:29">
      <c r="A703" s="505"/>
      <c r="B703" s="505"/>
      <c r="C703" s="505"/>
      <c r="D703" s="505"/>
      <c r="E703" s="505"/>
      <c r="F703" s="505"/>
      <c r="G703" s="505"/>
      <c r="H703" s="505"/>
      <c r="I703" s="505"/>
      <c r="J703" s="505"/>
      <c r="K703" s="517"/>
      <c r="L703" s="518"/>
      <c r="M703" s="505"/>
      <c r="N703" s="505"/>
      <c r="O703" s="505"/>
      <c r="P703" s="619"/>
      <c r="Q703" s="505"/>
      <c r="R703" s="505"/>
      <c r="S703" s="505"/>
      <c r="T703" s="505"/>
      <c r="U703" s="505"/>
      <c r="V703" s="505"/>
      <c r="W703" s="505"/>
      <c r="X703" s="505"/>
      <c r="Y703" s="505"/>
      <c r="Z703" s="505"/>
      <c r="AA703" s="505"/>
      <c r="AB703" s="505"/>
      <c r="AC703" s="505"/>
    </row>
    <row r="704" spans="1:29">
      <c r="A704" s="505"/>
      <c r="B704" s="505"/>
      <c r="C704" s="505"/>
      <c r="D704" s="505"/>
      <c r="E704" s="505"/>
      <c r="F704" s="505"/>
      <c r="G704" s="505"/>
      <c r="H704" s="505"/>
      <c r="I704" s="505"/>
      <c r="J704" s="505"/>
      <c r="K704" s="517"/>
      <c r="L704" s="518"/>
      <c r="M704" s="505"/>
      <c r="N704" s="505"/>
      <c r="O704" s="505"/>
      <c r="P704" s="619"/>
      <c r="Q704" s="505"/>
      <c r="R704" s="505"/>
      <c r="S704" s="505"/>
      <c r="T704" s="505"/>
      <c r="U704" s="505"/>
      <c r="V704" s="505"/>
      <c r="W704" s="505"/>
      <c r="X704" s="505"/>
      <c r="Y704" s="505"/>
      <c r="Z704" s="505"/>
      <c r="AA704" s="505"/>
      <c r="AB704" s="505"/>
      <c r="AC704" s="505"/>
    </row>
    <row r="705" spans="1:29">
      <c r="A705" s="505"/>
      <c r="B705" s="505"/>
      <c r="C705" s="505"/>
      <c r="D705" s="505"/>
      <c r="E705" s="505"/>
      <c r="F705" s="505"/>
      <c r="G705" s="505"/>
      <c r="H705" s="505"/>
      <c r="I705" s="505"/>
      <c r="J705" s="505"/>
      <c r="K705" s="517"/>
      <c r="L705" s="518"/>
      <c r="M705" s="505"/>
      <c r="N705" s="505"/>
      <c r="O705" s="505"/>
      <c r="P705" s="619"/>
      <c r="Q705" s="505"/>
      <c r="R705" s="505"/>
      <c r="S705" s="505"/>
      <c r="T705" s="505"/>
      <c r="U705" s="505"/>
      <c r="V705" s="505"/>
      <c r="W705" s="505"/>
      <c r="X705" s="505"/>
      <c r="Y705" s="505"/>
      <c r="Z705" s="505"/>
      <c r="AA705" s="505"/>
      <c r="AB705" s="505"/>
      <c r="AC705" s="505"/>
    </row>
    <row r="706" spans="1:29">
      <c r="A706" s="505"/>
      <c r="B706" s="505"/>
      <c r="C706" s="505"/>
      <c r="D706" s="505"/>
      <c r="E706" s="505"/>
      <c r="F706" s="505"/>
      <c r="G706" s="505"/>
      <c r="H706" s="505"/>
      <c r="I706" s="505"/>
      <c r="J706" s="505"/>
      <c r="K706" s="517"/>
      <c r="L706" s="518"/>
      <c r="M706" s="505"/>
      <c r="N706" s="505"/>
      <c r="O706" s="505"/>
      <c r="P706" s="619"/>
      <c r="Q706" s="505"/>
      <c r="R706" s="505"/>
      <c r="S706" s="505"/>
      <c r="T706" s="505"/>
      <c r="U706" s="505"/>
      <c r="V706" s="505"/>
      <c r="W706" s="505"/>
      <c r="X706" s="505"/>
      <c r="Y706" s="505"/>
      <c r="Z706" s="505"/>
      <c r="AA706" s="505"/>
      <c r="AB706" s="505"/>
      <c r="AC706" s="505"/>
    </row>
    <row r="707" spans="1:29">
      <c r="A707" s="505"/>
      <c r="B707" s="505"/>
      <c r="C707" s="505"/>
      <c r="D707" s="505"/>
      <c r="E707" s="505"/>
      <c r="F707" s="505"/>
      <c r="G707" s="505"/>
      <c r="H707" s="505"/>
      <c r="I707" s="505"/>
      <c r="J707" s="505"/>
      <c r="K707" s="517"/>
      <c r="L707" s="518"/>
      <c r="M707" s="505"/>
      <c r="N707" s="505"/>
      <c r="O707" s="505"/>
      <c r="P707" s="619"/>
      <c r="Q707" s="505"/>
      <c r="R707" s="505"/>
      <c r="S707" s="505"/>
      <c r="T707" s="505"/>
      <c r="U707" s="505"/>
      <c r="V707" s="505"/>
      <c r="W707" s="505"/>
      <c r="X707" s="505"/>
      <c r="Y707" s="505"/>
      <c r="Z707" s="505"/>
      <c r="AA707" s="505"/>
      <c r="AB707" s="505"/>
      <c r="AC707" s="505"/>
    </row>
    <row r="708" spans="1:29">
      <c r="A708" s="505"/>
      <c r="B708" s="505"/>
      <c r="C708" s="505"/>
      <c r="D708" s="505"/>
      <c r="E708" s="505"/>
      <c r="F708" s="505"/>
      <c r="G708" s="505"/>
      <c r="H708" s="505"/>
      <c r="I708" s="505"/>
      <c r="J708" s="505"/>
      <c r="K708" s="517"/>
      <c r="L708" s="518"/>
      <c r="M708" s="505"/>
      <c r="N708" s="505"/>
      <c r="O708" s="505"/>
      <c r="P708" s="619"/>
      <c r="Q708" s="505"/>
      <c r="R708" s="505"/>
      <c r="S708" s="505"/>
      <c r="T708" s="505"/>
      <c r="U708" s="505"/>
      <c r="V708" s="505"/>
      <c r="W708" s="505"/>
      <c r="X708" s="505"/>
      <c r="Y708" s="505"/>
      <c r="Z708" s="505"/>
      <c r="AA708" s="505"/>
      <c r="AB708" s="505"/>
      <c r="AC708" s="505"/>
    </row>
    <row r="709" spans="1:29">
      <c r="A709" s="505"/>
      <c r="B709" s="505"/>
      <c r="C709" s="505"/>
      <c r="D709" s="505"/>
      <c r="E709" s="505"/>
      <c r="F709" s="505"/>
      <c r="G709" s="505"/>
      <c r="H709" s="505"/>
      <c r="I709" s="505"/>
      <c r="J709" s="505"/>
      <c r="K709" s="517"/>
      <c r="L709" s="518"/>
      <c r="M709" s="505"/>
      <c r="N709" s="505"/>
      <c r="O709" s="505"/>
      <c r="P709" s="619"/>
      <c r="Q709" s="505"/>
      <c r="R709" s="505"/>
      <c r="S709" s="505"/>
      <c r="T709" s="505"/>
      <c r="U709" s="505"/>
      <c r="V709" s="505"/>
      <c r="W709" s="505"/>
      <c r="X709" s="505"/>
      <c r="Y709" s="505"/>
      <c r="Z709" s="505"/>
      <c r="AA709" s="505"/>
      <c r="AB709" s="505"/>
      <c r="AC709" s="505"/>
    </row>
    <row r="710" spans="1:29">
      <c r="A710" s="505"/>
      <c r="B710" s="505"/>
      <c r="C710" s="505"/>
      <c r="D710" s="505"/>
      <c r="E710" s="505"/>
      <c r="F710" s="505"/>
      <c r="G710" s="505"/>
      <c r="H710" s="505"/>
      <c r="I710" s="505"/>
      <c r="J710" s="505"/>
      <c r="K710" s="517"/>
      <c r="L710" s="518"/>
      <c r="M710" s="505"/>
      <c r="N710" s="505"/>
      <c r="O710" s="505"/>
      <c r="P710" s="619"/>
      <c r="Q710" s="505"/>
      <c r="R710" s="505"/>
      <c r="S710" s="505"/>
      <c r="T710" s="505"/>
      <c r="U710" s="505"/>
      <c r="V710" s="505"/>
      <c r="W710" s="505"/>
      <c r="X710" s="505"/>
      <c r="Y710" s="505"/>
      <c r="Z710" s="505"/>
      <c r="AA710" s="505"/>
      <c r="AB710" s="505"/>
      <c r="AC710" s="505"/>
    </row>
    <row r="711" spans="1:29">
      <c r="A711" s="505"/>
      <c r="B711" s="505"/>
      <c r="C711" s="505"/>
      <c r="D711" s="505"/>
      <c r="E711" s="505"/>
      <c r="F711" s="505"/>
      <c r="G711" s="505"/>
      <c r="H711" s="505"/>
      <c r="I711" s="505"/>
      <c r="J711" s="505"/>
      <c r="K711" s="517"/>
      <c r="L711" s="518"/>
      <c r="M711" s="505"/>
      <c r="N711" s="505"/>
      <c r="O711" s="505"/>
      <c r="P711" s="619"/>
      <c r="Q711" s="505"/>
      <c r="R711" s="505"/>
      <c r="S711" s="505"/>
      <c r="T711" s="505"/>
      <c r="U711" s="505"/>
      <c r="V711" s="505"/>
      <c r="W711" s="505"/>
      <c r="X711" s="505"/>
      <c r="Y711" s="505"/>
      <c r="Z711" s="505"/>
      <c r="AA711" s="505"/>
      <c r="AB711" s="505"/>
      <c r="AC711" s="505"/>
    </row>
    <row r="712" spans="1:29">
      <c r="A712" s="505"/>
      <c r="B712" s="505"/>
      <c r="C712" s="505"/>
      <c r="D712" s="505"/>
      <c r="E712" s="505"/>
      <c r="F712" s="505"/>
      <c r="G712" s="505"/>
      <c r="H712" s="505"/>
      <c r="I712" s="505"/>
      <c r="J712" s="505"/>
      <c r="K712" s="517"/>
      <c r="L712" s="518"/>
      <c r="M712" s="505"/>
      <c r="N712" s="505"/>
      <c r="O712" s="505"/>
      <c r="P712" s="619"/>
      <c r="Q712" s="505"/>
      <c r="R712" s="505"/>
      <c r="S712" s="505"/>
      <c r="T712" s="505"/>
      <c r="U712" s="505"/>
      <c r="V712" s="505"/>
      <c r="W712" s="505"/>
      <c r="X712" s="505"/>
      <c r="Y712" s="505"/>
      <c r="Z712" s="505"/>
      <c r="AA712" s="505"/>
      <c r="AB712" s="505"/>
      <c r="AC712" s="505"/>
    </row>
    <row r="713" spans="1:29">
      <c r="A713" s="505"/>
      <c r="B713" s="505"/>
      <c r="C713" s="505"/>
      <c r="D713" s="505"/>
      <c r="E713" s="505"/>
      <c r="F713" s="505"/>
      <c r="G713" s="505"/>
      <c r="H713" s="505"/>
      <c r="I713" s="505"/>
      <c r="J713" s="505"/>
      <c r="K713" s="517"/>
      <c r="L713" s="518"/>
      <c r="M713" s="505"/>
      <c r="N713" s="505"/>
      <c r="O713" s="505"/>
      <c r="P713" s="619"/>
      <c r="Q713" s="505"/>
      <c r="R713" s="505"/>
      <c r="S713" s="505"/>
      <c r="T713" s="505"/>
      <c r="U713" s="505"/>
      <c r="V713" s="505"/>
      <c r="W713" s="505"/>
      <c r="X713" s="505"/>
      <c r="Y713" s="505"/>
      <c r="Z713" s="505"/>
      <c r="AA713" s="505"/>
      <c r="AB713" s="505"/>
      <c r="AC713" s="505"/>
    </row>
    <row r="714" spans="1:29">
      <c r="A714" s="505"/>
      <c r="B714" s="505"/>
      <c r="C714" s="505"/>
      <c r="D714" s="505"/>
      <c r="E714" s="505"/>
      <c r="F714" s="505"/>
      <c r="G714" s="505"/>
      <c r="H714" s="505"/>
      <c r="I714" s="505"/>
      <c r="J714" s="505"/>
      <c r="K714" s="517"/>
      <c r="L714" s="518"/>
      <c r="M714" s="505"/>
      <c r="N714" s="505"/>
      <c r="O714" s="505"/>
      <c r="P714" s="619"/>
      <c r="Q714" s="505"/>
      <c r="R714" s="505"/>
      <c r="S714" s="505"/>
      <c r="T714" s="505"/>
      <c r="U714" s="505"/>
      <c r="V714" s="505"/>
      <c r="W714" s="505"/>
      <c r="X714" s="505"/>
      <c r="Y714" s="505"/>
      <c r="Z714" s="505"/>
      <c r="AA714" s="505"/>
      <c r="AB714" s="505"/>
      <c r="AC714" s="505"/>
    </row>
    <row r="715" spans="1:29">
      <c r="A715" s="505"/>
      <c r="B715" s="505"/>
      <c r="C715" s="505"/>
      <c r="D715" s="505"/>
      <c r="E715" s="505"/>
      <c r="F715" s="505"/>
      <c r="G715" s="505"/>
      <c r="H715" s="505"/>
      <c r="I715" s="505"/>
      <c r="J715" s="505"/>
      <c r="K715" s="517"/>
      <c r="L715" s="518"/>
      <c r="M715" s="505"/>
      <c r="N715" s="505"/>
      <c r="O715" s="505"/>
      <c r="P715" s="619"/>
      <c r="Q715" s="505"/>
      <c r="R715" s="505"/>
      <c r="S715" s="505"/>
      <c r="T715" s="505"/>
      <c r="U715" s="505"/>
      <c r="V715" s="505"/>
      <c r="W715" s="505"/>
      <c r="X715" s="505"/>
      <c r="Y715" s="505"/>
      <c r="Z715" s="505"/>
      <c r="AA715" s="505"/>
      <c r="AB715" s="505"/>
      <c r="AC715" s="505"/>
    </row>
    <row r="716" spans="1:29">
      <c r="A716" s="505"/>
      <c r="B716" s="505"/>
      <c r="C716" s="505"/>
      <c r="D716" s="505"/>
      <c r="E716" s="505"/>
      <c r="F716" s="505"/>
      <c r="G716" s="505"/>
      <c r="H716" s="505"/>
      <c r="I716" s="505"/>
      <c r="J716" s="505"/>
      <c r="K716" s="517"/>
      <c r="L716" s="518"/>
      <c r="M716" s="505"/>
      <c r="N716" s="505"/>
      <c r="O716" s="505"/>
      <c r="P716" s="619"/>
      <c r="Q716" s="505"/>
      <c r="R716" s="505"/>
      <c r="S716" s="505"/>
      <c r="T716" s="505"/>
      <c r="U716" s="505"/>
      <c r="V716" s="505"/>
      <c r="W716" s="505"/>
      <c r="X716" s="505"/>
      <c r="Y716" s="505"/>
      <c r="Z716" s="505"/>
      <c r="AA716" s="505"/>
      <c r="AB716" s="505"/>
      <c r="AC716" s="505"/>
    </row>
    <row r="717" spans="1:29">
      <c r="A717" s="505"/>
      <c r="B717" s="505"/>
      <c r="C717" s="505"/>
      <c r="D717" s="505"/>
      <c r="E717" s="505"/>
      <c r="F717" s="505"/>
      <c r="G717" s="505"/>
      <c r="H717" s="505"/>
      <c r="I717" s="505"/>
      <c r="J717" s="505"/>
      <c r="K717" s="517"/>
      <c r="L717" s="518"/>
      <c r="M717" s="505"/>
      <c r="N717" s="505"/>
      <c r="O717" s="505"/>
      <c r="P717" s="619"/>
      <c r="Q717" s="505"/>
      <c r="R717" s="505"/>
      <c r="S717" s="505"/>
      <c r="T717" s="505"/>
      <c r="U717" s="505"/>
      <c r="V717" s="505"/>
      <c r="W717" s="505"/>
      <c r="X717" s="505"/>
      <c r="Y717" s="505"/>
      <c r="Z717" s="505"/>
      <c r="AA717" s="505"/>
      <c r="AB717" s="505"/>
      <c r="AC717" s="505"/>
    </row>
    <row r="718" spans="1:29">
      <c r="A718" s="505"/>
      <c r="B718" s="505"/>
      <c r="C718" s="505"/>
      <c r="D718" s="505"/>
      <c r="E718" s="505"/>
      <c r="F718" s="505"/>
      <c r="G718" s="505"/>
      <c r="H718" s="505"/>
      <c r="I718" s="505"/>
      <c r="J718" s="505"/>
      <c r="K718" s="517"/>
      <c r="L718" s="518"/>
      <c r="M718" s="505"/>
      <c r="N718" s="505"/>
      <c r="O718" s="505"/>
      <c r="P718" s="619"/>
      <c r="Q718" s="505"/>
      <c r="R718" s="505"/>
      <c r="S718" s="505"/>
      <c r="T718" s="505"/>
      <c r="U718" s="505"/>
      <c r="V718" s="505"/>
      <c r="W718" s="505"/>
      <c r="X718" s="505"/>
      <c r="Y718" s="505"/>
      <c r="Z718" s="505"/>
      <c r="AA718" s="505"/>
      <c r="AB718" s="505"/>
      <c r="AC718" s="505"/>
    </row>
    <row r="719" spans="1:29">
      <c r="A719" s="505"/>
      <c r="B719" s="505"/>
      <c r="C719" s="505"/>
      <c r="D719" s="505"/>
      <c r="E719" s="505"/>
      <c r="F719" s="505"/>
      <c r="G719" s="505"/>
      <c r="H719" s="505"/>
      <c r="I719" s="505"/>
      <c r="J719" s="505"/>
      <c r="K719" s="517"/>
      <c r="L719" s="518"/>
      <c r="M719" s="505"/>
      <c r="N719" s="505"/>
      <c r="O719" s="505"/>
      <c r="P719" s="619"/>
      <c r="Q719" s="505"/>
      <c r="R719" s="505"/>
      <c r="S719" s="505"/>
      <c r="T719" s="505"/>
      <c r="U719" s="505"/>
      <c r="V719" s="505"/>
      <c r="W719" s="505"/>
      <c r="X719" s="505"/>
      <c r="Y719" s="505"/>
      <c r="Z719" s="505"/>
      <c r="AA719" s="505"/>
      <c r="AB719" s="505"/>
      <c r="AC719" s="505"/>
    </row>
    <row r="720" spans="1:29">
      <c r="A720" s="505"/>
      <c r="B720" s="505"/>
      <c r="C720" s="505"/>
      <c r="D720" s="505"/>
      <c r="E720" s="505"/>
      <c r="F720" s="505"/>
      <c r="G720" s="505"/>
      <c r="H720" s="505"/>
      <c r="I720" s="505"/>
      <c r="J720" s="505"/>
      <c r="K720" s="517"/>
      <c r="L720" s="518"/>
      <c r="M720" s="505"/>
      <c r="N720" s="505"/>
      <c r="O720" s="505"/>
      <c r="P720" s="619"/>
      <c r="Q720" s="505"/>
      <c r="R720" s="505"/>
      <c r="S720" s="505"/>
      <c r="T720" s="505"/>
      <c r="U720" s="505"/>
      <c r="V720" s="505"/>
      <c r="W720" s="505"/>
      <c r="X720" s="505"/>
      <c r="Y720" s="505"/>
      <c r="Z720" s="505"/>
      <c r="AA720" s="505"/>
      <c r="AB720" s="505"/>
      <c r="AC720" s="505"/>
    </row>
    <row r="721" spans="1:29">
      <c r="A721" s="505"/>
      <c r="B721" s="505"/>
      <c r="C721" s="505"/>
      <c r="D721" s="505"/>
      <c r="E721" s="505"/>
      <c r="F721" s="505"/>
      <c r="G721" s="505"/>
      <c r="H721" s="505"/>
      <c r="I721" s="505"/>
      <c r="J721" s="505"/>
      <c r="K721" s="517"/>
      <c r="L721" s="518"/>
      <c r="M721" s="505"/>
      <c r="N721" s="505"/>
      <c r="O721" s="505"/>
      <c r="P721" s="619"/>
      <c r="Q721" s="505"/>
      <c r="R721" s="505"/>
      <c r="S721" s="505"/>
      <c r="T721" s="505"/>
      <c r="U721" s="505"/>
      <c r="V721" s="505"/>
      <c r="W721" s="505"/>
      <c r="X721" s="505"/>
      <c r="Y721" s="505"/>
      <c r="Z721" s="505"/>
      <c r="AA721" s="505"/>
      <c r="AB721" s="505"/>
      <c r="AC721" s="505"/>
    </row>
    <row r="722" spans="1:29">
      <c r="A722" s="505"/>
      <c r="B722" s="505"/>
      <c r="C722" s="505"/>
      <c r="D722" s="505"/>
      <c r="E722" s="505"/>
      <c r="F722" s="505"/>
      <c r="G722" s="505"/>
      <c r="H722" s="505"/>
      <c r="I722" s="505"/>
      <c r="J722" s="505"/>
      <c r="K722" s="517"/>
      <c r="L722" s="518"/>
      <c r="M722" s="505"/>
      <c r="N722" s="505"/>
      <c r="O722" s="505"/>
      <c r="P722" s="619"/>
      <c r="Q722" s="505"/>
      <c r="R722" s="505"/>
      <c r="S722" s="505"/>
      <c r="T722" s="505"/>
      <c r="U722" s="505"/>
      <c r="V722" s="505"/>
      <c r="W722" s="505"/>
      <c r="X722" s="505"/>
      <c r="Y722" s="505"/>
      <c r="Z722" s="505"/>
      <c r="AA722" s="505"/>
      <c r="AB722" s="505"/>
      <c r="AC722" s="505"/>
    </row>
    <row r="723" spans="1:29">
      <c r="A723" s="505"/>
      <c r="B723" s="505"/>
      <c r="C723" s="505"/>
      <c r="D723" s="505"/>
      <c r="E723" s="505"/>
      <c r="F723" s="505"/>
      <c r="G723" s="505"/>
      <c r="H723" s="505"/>
      <c r="I723" s="505"/>
      <c r="J723" s="505"/>
      <c r="K723" s="517"/>
      <c r="L723" s="518"/>
      <c r="M723" s="505"/>
      <c r="N723" s="505"/>
      <c r="O723" s="505"/>
      <c r="P723" s="619"/>
      <c r="Q723" s="505"/>
      <c r="R723" s="505"/>
      <c r="S723" s="505"/>
      <c r="T723" s="505"/>
      <c r="U723" s="505"/>
      <c r="V723" s="505"/>
      <c r="W723" s="505"/>
      <c r="X723" s="505"/>
      <c r="Y723" s="505"/>
      <c r="Z723" s="505"/>
      <c r="AA723" s="505"/>
      <c r="AB723" s="505"/>
      <c r="AC723" s="505"/>
    </row>
    <row r="724" spans="1:29">
      <c r="A724" s="505"/>
      <c r="B724" s="505"/>
      <c r="C724" s="505"/>
      <c r="D724" s="505"/>
      <c r="E724" s="505"/>
      <c r="F724" s="505"/>
      <c r="G724" s="505"/>
      <c r="H724" s="505"/>
      <c r="I724" s="505"/>
      <c r="J724" s="505"/>
      <c r="K724" s="517"/>
      <c r="L724" s="518"/>
      <c r="M724" s="505"/>
      <c r="N724" s="505"/>
      <c r="O724" s="505"/>
      <c r="P724" s="619"/>
      <c r="Q724" s="505"/>
      <c r="R724" s="505"/>
      <c r="S724" s="505"/>
      <c r="T724" s="505"/>
      <c r="U724" s="505"/>
      <c r="V724" s="505"/>
      <c r="W724" s="505"/>
      <c r="X724" s="505"/>
      <c r="Y724" s="505"/>
      <c r="Z724" s="505"/>
      <c r="AA724" s="505"/>
      <c r="AB724" s="505"/>
      <c r="AC724" s="505"/>
    </row>
    <row r="725" spans="1:29">
      <c r="A725" s="505"/>
      <c r="B725" s="505"/>
      <c r="C725" s="505"/>
      <c r="D725" s="505"/>
      <c r="E725" s="505"/>
      <c r="F725" s="505"/>
      <c r="G725" s="505"/>
      <c r="H725" s="505"/>
      <c r="I725" s="505"/>
      <c r="J725" s="505"/>
      <c r="K725" s="517"/>
      <c r="L725" s="518"/>
      <c r="M725" s="505"/>
      <c r="N725" s="505"/>
      <c r="O725" s="505"/>
      <c r="P725" s="619"/>
      <c r="Q725" s="505"/>
      <c r="R725" s="505"/>
      <c r="S725" s="505"/>
      <c r="T725" s="505"/>
      <c r="U725" s="505"/>
      <c r="V725" s="505"/>
      <c r="W725" s="505"/>
      <c r="X725" s="505"/>
      <c r="Y725" s="505"/>
      <c r="Z725" s="505"/>
      <c r="AA725" s="505"/>
      <c r="AB725" s="505"/>
      <c r="AC725" s="505"/>
    </row>
    <row r="726" spans="1:29">
      <c r="A726" s="505"/>
      <c r="B726" s="505"/>
      <c r="C726" s="505"/>
      <c r="D726" s="505"/>
      <c r="E726" s="505"/>
      <c r="F726" s="505"/>
      <c r="G726" s="505"/>
      <c r="H726" s="505"/>
      <c r="I726" s="505"/>
      <c r="J726" s="505"/>
      <c r="K726" s="517"/>
      <c r="L726" s="518"/>
      <c r="M726" s="505"/>
      <c r="N726" s="505"/>
      <c r="O726" s="505"/>
      <c r="P726" s="619"/>
      <c r="Q726" s="505"/>
      <c r="R726" s="505"/>
      <c r="S726" s="505"/>
      <c r="T726" s="505"/>
      <c r="U726" s="505"/>
      <c r="V726" s="505"/>
      <c r="W726" s="505"/>
      <c r="X726" s="505"/>
      <c r="Y726" s="505"/>
      <c r="Z726" s="505"/>
      <c r="AA726" s="505"/>
      <c r="AB726" s="505"/>
      <c r="AC726" s="505"/>
    </row>
    <row r="727" spans="1:29">
      <c r="A727" s="505"/>
      <c r="B727" s="505"/>
      <c r="C727" s="505"/>
      <c r="D727" s="505"/>
      <c r="E727" s="505"/>
      <c r="F727" s="505"/>
      <c r="G727" s="505"/>
      <c r="H727" s="505"/>
      <c r="I727" s="505"/>
      <c r="J727" s="505"/>
      <c r="K727" s="517"/>
      <c r="L727" s="518"/>
      <c r="M727" s="505"/>
      <c r="N727" s="505"/>
      <c r="O727" s="505"/>
      <c r="P727" s="619"/>
      <c r="Q727" s="505"/>
      <c r="R727" s="505"/>
      <c r="S727" s="505"/>
      <c r="T727" s="505"/>
      <c r="U727" s="505"/>
      <c r="V727" s="505"/>
      <c r="W727" s="505"/>
      <c r="X727" s="505"/>
      <c r="Y727" s="505"/>
      <c r="Z727" s="505"/>
      <c r="AA727" s="505"/>
      <c r="AB727" s="505"/>
      <c r="AC727" s="505"/>
    </row>
    <row r="728" spans="1:29">
      <c r="A728" s="505"/>
      <c r="B728" s="505"/>
      <c r="C728" s="505"/>
      <c r="D728" s="505"/>
      <c r="E728" s="505"/>
      <c r="F728" s="505"/>
      <c r="G728" s="505"/>
      <c r="H728" s="505"/>
      <c r="I728" s="505"/>
      <c r="J728" s="505"/>
      <c r="K728" s="517"/>
      <c r="L728" s="518"/>
      <c r="M728" s="505"/>
      <c r="N728" s="505"/>
      <c r="O728" s="505"/>
      <c r="P728" s="619"/>
      <c r="Q728" s="505"/>
      <c r="R728" s="505"/>
      <c r="S728" s="505"/>
      <c r="T728" s="505"/>
      <c r="U728" s="505"/>
      <c r="V728" s="505"/>
      <c r="W728" s="505"/>
      <c r="X728" s="505"/>
      <c r="Y728" s="505"/>
      <c r="Z728" s="505"/>
      <c r="AA728" s="505"/>
      <c r="AB728" s="505"/>
      <c r="AC728" s="505"/>
    </row>
    <row r="729" spans="1:29">
      <c r="A729" s="505"/>
      <c r="B729" s="505"/>
      <c r="C729" s="505"/>
      <c r="D729" s="505"/>
      <c r="E729" s="505"/>
      <c r="F729" s="505"/>
      <c r="G729" s="505"/>
      <c r="H729" s="505"/>
      <c r="I729" s="505"/>
      <c r="J729" s="505"/>
      <c r="K729" s="517"/>
      <c r="L729" s="518"/>
      <c r="M729" s="505"/>
      <c r="N729" s="505"/>
      <c r="O729" s="505"/>
      <c r="P729" s="619"/>
      <c r="Q729" s="505"/>
      <c r="R729" s="505"/>
      <c r="S729" s="505"/>
      <c r="T729" s="505"/>
      <c r="U729" s="505"/>
      <c r="V729" s="505"/>
      <c r="W729" s="505"/>
      <c r="X729" s="505"/>
      <c r="Y729" s="505"/>
      <c r="Z729" s="505"/>
      <c r="AA729" s="505"/>
      <c r="AB729" s="505"/>
      <c r="AC729" s="505"/>
    </row>
    <row r="730" spans="1:29">
      <c r="A730" s="505"/>
      <c r="B730" s="505"/>
      <c r="C730" s="505"/>
      <c r="D730" s="505"/>
      <c r="E730" s="505"/>
      <c r="F730" s="505"/>
      <c r="G730" s="505"/>
      <c r="H730" s="505"/>
      <c r="I730" s="505"/>
      <c r="J730" s="505"/>
      <c r="K730" s="517"/>
      <c r="L730" s="518"/>
      <c r="M730" s="505"/>
      <c r="N730" s="505"/>
      <c r="O730" s="505"/>
      <c r="P730" s="619"/>
      <c r="Q730" s="505"/>
      <c r="R730" s="505"/>
      <c r="S730" s="505"/>
      <c r="T730" s="505"/>
      <c r="U730" s="505"/>
      <c r="V730" s="505"/>
      <c r="W730" s="505"/>
      <c r="X730" s="505"/>
      <c r="Y730" s="505"/>
      <c r="Z730" s="505"/>
      <c r="AA730" s="505"/>
      <c r="AB730" s="505"/>
      <c r="AC730" s="505"/>
    </row>
    <row r="731" spans="1:29">
      <c r="A731" s="505"/>
      <c r="B731" s="505"/>
      <c r="C731" s="505"/>
      <c r="D731" s="505"/>
      <c r="E731" s="505"/>
      <c r="F731" s="505"/>
      <c r="G731" s="505"/>
      <c r="H731" s="505"/>
      <c r="I731" s="505"/>
      <c r="J731" s="505"/>
      <c r="K731" s="517"/>
      <c r="L731" s="518"/>
      <c r="M731" s="505"/>
      <c r="N731" s="505"/>
      <c r="O731" s="505"/>
      <c r="P731" s="619"/>
      <c r="Q731" s="505"/>
      <c r="R731" s="505"/>
      <c r="S731" s="505"/>
      <c r="T731" s="505"/>
      <c r="U731" s="505"/>
      <c r="V731" s="505"/>
      <c r="W731" s="505"/>
      <c r="X731" s="505"/>
      <c r="Y731" s="505"/>
      <c r="Z731" s="505"/>
      <c r="AA731" s="505"/>
      <c r="AB731" s="505"/>
      <c r="AC731" s="505"/>
    </row>
    <row r="732" spans="1:29">
      <c r="A732" s="505"/>
      <c r="B732" s="505"/>
      <c r="C732" s="505"/>
      <c r="D732" s="505"/>
      <c r="E732" s="505"/>
      <c r="F732" s="505"/>
      <c r="G732" s="505"/>
      <c r="H732" s="505"/>
      <c r="I732" s="505"/>
      <c r="J732" s="505"/>
      <c r="K732" s="517"/>
      <c r="L732" s="518"/>
      <c r="M732" s="505"/>
      <c r="N732" s="505"/>
      <c r="O732" s="505"/>
      <c r="P732" s="619"/>
      <c r="Q732" s="505"/>
      <c r="R732" s="505"/>
      <c r="S732" s="505"/>
      <c r="T732" s="505"/>
      <c r="U732" s="505"/>
      <c r="V732" s="505"/>
      <c r="W732" s="505"/>
      <c r="X732" s="505"/>
      <c r="Y732" s="505"/>
      <c r="Z732" s="505"/>
      <c r="AA732" s="505"/>
      <c r="AB732" s="505"/>
      <c r="AC732" s="505"/>
    </row>
    <row r="733" spans="1:29">
      <c r="A733" s="505"/>
      <c r="B733" s="505"/>
      <c r="C733" s="505"/>
      <c r="D733" s="505"/>
      <c r="E733" s="505"/>
      <c r="F733" s="505"/>
      <c r="G733" s="505"/>
      <c r="H733" s="505"/>
      <c r="I733" s="505"/>
      <c r="J733" s="505"/>
      <c r="K733" s="517"/>
      <c r="L733" s="518"/>
      <c r="M733" s="505"/>
      <c r="N733" s="505"/>
      <c r="O733" s="505"/>
      <c r="P733" s="619"/>
      <c r="Q733" s="505"/>
      <c r="R733" s="505"/>
      <c r="S733" s="505"/>
      <c r="T733" s="505"/>
      <c r="U733" s="505"/>
      <c r="V733" s="505"/>
      <c r="W733" s="505"/>
      <c r="X733" s="505"/>
      <c r="Y733" s="505"/>
      <c r="Z733" s="505"/>
      <c r="AA733" s="505"/>
      <c r="AB733" s="505"/>
      <c r="AC733" s="505"/>
    </row>
    <row r="734" spans="1:29">
      <c r="A734" s="505"/>
      <c r="B734" s="505"/>
      <c r="C734" s="505"/>
      <c r="D734" s="505"/>
      <c r="E734" s="505"/>
      <c r="F734" s="505"/>
      <c r="G734" s="505"/>
      <c r="H734" s="505"/>
      <c r="I734" s="505"/>
      <c r="J734" s="505"/>
      <c r="K734" s="517"/>
      <c r="L734" s="518"/>
      <c r="M734" s="505"/>
      <c r="N734" s="505"/>
      <c r="O734" s="505"/>
      <c r="P734" s="619"/>
      <c r="Q734" s="505"/>
      <c r="R734" s="505"/>
      <c r="S734" s="505"/>
      <c r="T734" s="505"/>
      <c r="U734" s="505"/>
      <c r="V734" s="505"/>
      <c r="W734" s="505"/>
      <c r="X734" s="505"/>
      <c r="Y734" s="505"/>
      <c r="Z734" s="505"/>
      <c r="AA734" s="505"/>
      <c r="AB734" s="505"/>
      <c r="AC734" s="505"/>
    </row>
    <row r="735" spans="1:29">
      <c r="A735" s="505"/>
      <c r="B735" s="505"/>
      <c r="C735" s="505"/>
      <c r="D735" s="505"/>
      <c r="E735" s="505"/>
      <c r="F735" s="505"/>
      <c r="G735" s="505"/>
      <c r="H735" s="505"/>
      <c r="I735" s="505"/>
      <c r="J735" s="505"/>
      <c r="K735" s="517"/>
      <c r="L735" s="518"/>
      <c r="M735" s="505"/>
      <c r="N735" s="505"/>
      <c r="O735" s="505"/>
      <c r="P735" s="619"/>
      <c r="Q735" s="505"/>
      <c r="R735" s="505"/>
      <c r="S735" s="505"/>
      <c r="T735" s="505"/>
      <c r="U735" s="505"/>
      <c r="V735" s="505"/>
      <c r="W735" s="505"/>
      <c r="X735" s="505"/>
      <c r="Y735" s="505"/>
      <c r="Z735" s="505"/>
      <c r="AA735" s="505"/>
      <c r="AB735" s="505"/>
      <c r="AC735" s="505"/>
    </row>
    <row r="736" spans="1:29">
      <c r="A736" s="505"/>
      <c r="B736" s="505"/>
      <c r="C736" s="505"/>
      <c r="D736" s="505"/>
      <c r="E736" s="505"/>
      <c r="F736" s="505"/>
      <c r="G736" s="505"/>
      <c r="H736" s="505"/>
      <c r="I736" s="505"/>
      <c r="J736" s="505"/>
      <c r="K736" s="517"/>
      <c r="L736" s="518"/>
      <c r="M736" s="505"/>
      <c r="N736" s="505"/>
      <c r="O736" s="505"/>
      <c r="P736" s="619"/>
      <c r="Q736" s="505"/>
      <c r="R736" s="505"/>
      <c r="S736" s="505"/>
      <c r="T736" s="505"/>
      <c r="U736" s="505"/>
      <c r="V736" s="505"/>
      <c r="W736" s="505"/>
      <c r="X736" s="505"/>
      <c r="Y736" s="505"/>
      <c r="Z736" s="505"/>
      <c r="AA736" s="505"/>
      <c r="AB736" s="505"/>
      <c r="AC736" s="505"/>
    </row>
    <row r="737" spans="1:29">
      <c r="A737" s="505"/>
      <c r="B737" s="505"/>
      <c r="C737" s="505"/>
      <c r="D737" s="505"/>
      <c r="E737" s="505"/>
      <c r="F737" s="505"/>
      <c r="G737" s="505"/>
      <c r="H737" s="505"/>
      <c r="I737" s="505"/>
      <c r="J737" s="505"/>
      <c r="K737" s="517"/>
      <c r="L737" s="518"/>
      <c r="M737" s="505"/>
      <c r="N737" s="505"/>
      <c r="O737" s="505"/>
      <c r="P737" s="619"/>
      <c r="Q737" s="505"/>
      <c r="R737" s="505"/>
      <c r="S737" s="505"/>
      <c r="T737" s="505"/>
      <c r="U737" s="505"/>
      <c r="V737" s="505"/>
      <c r="W737" s="505"/>
      <c r="X737" s="505"/>
      <c r="Y737" s="505"/>
      <c r="Z737" s="505"/>
      <c r="AA737" s="505"/>
      <c r="AB737" s="505"/>
      <c r="AC737" s="505"/>
    </row>
    <row r="738" spans="1:29">
      <c r="A738" s="505"/>
      <c r="B738" s="505"/>
      <c r="C738" s="505"/>
      <c r="D738" s="505"/>
      <c r="E738" s="505"/>
      <c r="F738" s="505"/>
      <c r="G738" s="505"/>
      <c r="H738" s="505"/>
      <c r="I738" s="505"/>
      <c r="J738" s="505"/>
      <c r="K738" s="517"/>
      <c r="L738" s="518"/>
      <c r="M738" s="505"/>
      <c r="N738" s="505"/>
      <c r="O738" s="505"/>
      <c r="P738" s="619"/>
      <c r="Q738" s="505"/>
      <c r="R738" s="505"/>
      <c r="S738" s="505"/>
      <c r="T738" s="505"/>
      <c r="U738" s="505"/>
      <c r="V738" s="505"/>
      <c r="W738" s="505"/>
      <c r="X738" s="505"/>
      <c r="Y738" s="505"/>
      <c r="Z738" s="505"/>
      <c r="AA738" s="505"/>
      <c r="AB738" s="505"/>
      <c r="AC738" s="505"/>
    </row>
    <row r="739" spans="1:29">
      <c r="A739" s="505"/>
      <c r="B739" s="505"/>
      <c r="C739" s="505"/>
      <c r="D739" s="505"/>
      <c r="E739" s="505"/>
      <c r="F739" s="505"/>
      <c r="G739" s="505"/>
      <c r="H739" s="505"/>
      <c r="I739" s="505"/>
      <c r="J739" s="505"/>
      <c r="K739" s="517"/>
      <c r="L739" s="518"/>
      <c r="M739" s="505"/>
      <c r="N739" s="505"/>
      <c r="O739" s="505"/>
      <c r="P739" s="619"/>
      <c r="Q739" s="505"/>
      <c r="R739" s="505"/>
      <c r="S739" s="505"/>
      <c r="T739" s="505"/>
      <c r="U739" s="505"/>
      <c r="V739" s="505"/>
      <c r="W739" s="505"/>
      <c r="X739" s="505"/>
      <c r="Y739" s="505"/>
      <c r="Z739" s="505"/>
      <c r="AA739" s="505"/>
      <c r="AB739" s="505"/>
      <c r="AC739" s="505"/>
    </row>
    <row r="740" spans="1:29">
      <c r="A740" s="505"/>
      <c r="B740" s="505"/>
      <c r="C740" s="505"/>
      <c r="D740" s="505"/>
      <c r="E740" s="505"/>
      <c r="F740" s="505"/>
      <c r="G740" s="505"/>
      <c r="H740" s="505"/>
      <c r="I740" s="505"/>
      <c r="J740" s="505"/>
      <c r="K740" s="517"/>
      <c r="L740" s="518"/>
      <c r="M740" s="505"/>
      <c r="N740" s="505"/>
      <c r="O740" s="505"/>
      <c r="P740" s="619"/>
      <c r="Q740" s="505"/>
      <c r="R740" s="505"/>
      <c r="S740" s="505"/>
      <c r="T740" s="505"/>
      <c r="U740" s="505"/>
      <c r="V740" s="505"/>
      <c r="W740" s="505"/>
      <c r="X740" s="505"/>
      <c r="Y740" s="505"/>
      <c r="Z740" s="505"/>
      <c r="AA740" s="505"/>
      <c r="AB740" s="505"/>
      <c r="AC740" s="505"/>
    </row>
    <row r="741" spans="1:29">
      <c r="A741" s="505"/>
      <c r="B741" s="505"/>
      <c r="C741" s="505"/>
      <c r="D741" s="505"/>
      <c r="E741" s="505"/>
      <c r="F741" s="505"/>
      <c r="G741" s="505"/>
      <c r="H741" s="505"/>
      <c r="I741" s="505"/>
      <c r="J741" s="505"/>
      <c r="K741" s="517"/>
      <c r="L741" s="518"/>
      <c r="M741" s="505"/>
      <c r="N741" s="505"/>
      <c r="O741" s="505"/>
      <c r="P741" s="619"/>
      <c r="Q741" s="505"/>
      <c r="R741" s="505"/>
      <c r="S741" s="505"/>
      <c r="T741" s="505"/>
      <c r="U741" s="505"/>
      <c r="V741" s="505"/>
      <c r="W741" s="505"/>
      <c r="X741" s="505"/>
      <c r="Y741" s="505"/>
      <c r="Z741" s="505"/>
      <c r="AA741" s="505"/>
      <c r="AB741" s="505"/>
      <c r="AC741" s="505"/>
    </row>
    <row r="742" spans="1:29">
      <c r="A742" s="505"/>
      <c r="B742" s="505"/>
      <c r="C742" s="505"/>
      <c r="D742" s="505"/>
      <c r="E742" s="505"/>
      <c r="F742" s="505"/>
      <c r="G742" s="505"/>
      <c r="H742" s="505"/>
      <c r="I742" s="505"/>
      <c r="J742" s="505"/>
      <c r="K742" s="517"/>
      <c r="L742" s="518"/>
      <c r="M742" s="505"/>
      <c r="N742" s="505"/>
      <c r="O742" s="505"/>
      <c r="P742" s="619"/>
      <c r="Q742" s="505"/>
      <c r="R742" s="505"/>
      <c r="S742" s="505"/>
      <c r="T742" s="505"/>
      <c r="U742" s="505"/>
      <c r="V742" s="505"/>
      <c r="W742" s="505"/>
      <c r="X742" s="505"/>
      <c r="Y742" s="505"/>
      <c r="Z742" s="505"/>
      <c r="AA742" s="505"/>
      <c r="AB742" s="505"/>
      <c r="AC742" s="505"/>
    </row>
    <row r="743" spans="1:29">
      <c r="A743" s="505"/>
      <c r="B743" s="505"/>
      <c r="C743" s="505"/>
      <c r="D743" s="505"/>
      <c r="E743" s="505"/>
      <c r="F743" s="505"/>
      <c r="G743" s="505"/>
      <c r="H743" s="505"/>
      <c r="I743" s="505"/>
      <c r="J743" s="505"/>
      <c r="K743" s="517"/>
      <c r="L743" s="518"/>
      <c r="M743" s="505"/>
      <c r="N743" s="505"/>
      <c r="O743" s="505"/>
      <c r="P743" s="619"/>
      <c r="Q743" s="505"/>
      <c r="R743" s="505"/>
      <c r="S743" s="505"/>
      <c r="T743" s="505"/>
      <c r="U743" s="505"/>
      <c r="V743" s="505"/>
      <c r="W743" s="505"/>
      <c r="X743" s="505"/>
      <c r="Y743" s="505"/>
      <c r="Z743" s="505"/>
      <c r="AA743" s="505"/>
      <c r="AB743" s="505"/>
      <c r="AC743" s="505"/>
    </row>
    <row r="744" spans="1:29">
      <c r="A744" s="505"/>
      <c r="B744" s="505"/>
      <c r="C744" s="505"/>
      <c r="D744" s="505"/>
      <c r="E744" s="505"/>
      <c r="F744" s="505"/>
      <c r="G744" s="505"/>
      <c r="H744" s="505"/>
      <c r="I744" s="505"/>
      <c r="J744" s="505"/>
      <c r="K744" s="517"/>
      <c r="L744" s="518"/>
      <c r="M744" s="505"/>
      <c r="N744" s="505"/>
      <c r="O744" s="505"/>
      <c r="P744" s="619"/>
      <c r="Q744" s="505"/>
      <c r="R744" s="505"/>
      <c r="S744" s="505"/>
      <c r="T744" s="505"/>
      <c r="U744" s="505"/>
      <c r="V744" s="505"/>
      <c r="W744" s="505"/>
      <c r="X744" s="505"/>
      <c r="Y744" s="505"/>
      <c r="Z744" s="505"/>
      <c r="AA744" s="505"/>
      <c r="AB744" s="505"/>
      <c r="AC744" s="505"/>
    </row>
    <row r="745" spans="1:29">
      <c r="A745" s="505"/>
      <c r="B745" s="505"/>
      <c r="C745" s="505"/>
      <c r="D745" s="505"/>
      <c r="E745" s="505"/>
      <c r="F745" s="505"/>
      <c r="G745" s="505"/>
      <c r="H745" s="505"/>
      <c r="I745" s="505"/>
      <c r="J745" s="505"/>
      <c r="K745" s="517"/>
      <c r="L745" s="518"/>
      <c r="M745" s="505"/>
      <c r="N745" s="505"/>
      <c r="O745" s="505"/>
      <c r="P745" s="619"/>
      <c r="Q745" s="505"/>
      <c r="R745" s="505"/>
      <c r="S745" s="505"/>
      <c r="T745" s="505"/>
      <c r="U745" s="505"/>
      <c r="V745" s="505"/>
      <c r="W745" s="505"/>
      <c r="X745" s="505"/>
      <c r="Y745" s="505"/>
      <c r="Z745" s="505"/>
      <c r="AA745" s="505"/>
      <c r="AB745" s="505"/>
      <c r="AC745" s="505"/>
    </row>
    <row r="746" spans="1:29">
      <c r="A746" s="505"/>
      <c r="B746" s="505"/>
      <c r="C746" s="505"/>
      <c r="D746" s="505"/>
      <c r="E746" s="505"/>
      <c r="F746" s="505"/>
      <c r="G746" s="505"/>
      <c r="H746" s="505"/>
      <c r="I746" s="505"/>
      <c r="J746" s="505"/>
      <c r="K746" s="517"/>
      <c r="L746" s="518"/>
      <c r="M746" s="505"/>
      <c r="N746" s="505"/>
      <c r="O746" s="505"/>
      <c r="P746" s="619"/>
      <c r="Q746" s="505"/>
      <c r="R746" s="505"/>
      <c r="S746" s="505"/>
      <c r="T746" s="505"/>
      <c r="U746" s="505"/>
      <c r="V746" s="505"/>
      <c r="W746" s="505"/>
      <c r="X746" s="505"/>
      <c r="Y746" s="505"/>
      <c r="Z746" s="505"/>
      <c r="AA746" s="505"/>
      <c r="AB746" s="505"/>
      <c r="AC746" s="505"/>
    </row>
    <row r="747" spans="1:29">
      <c r="A747" s="505"/>
      <c r="B747" s="505"/>
      <c r="C747" s="505"/>
      <c r="D747" s="505"/>
      <c r="E747" s="505"/>
      <c r="F747" s="505"/>
      <c r="G747" s="505"/>
      <c r="H747" s="505"/>
      <c r="I747" s="505"/>
      <c r="J747" s="505"/>
      <c r="K747" s="517"/>
      <c r="L747" s="518"/>
      <c r="M747" s="505"/>
      <c r="N747" s="505"/>
      <c r="O747" s="505"/>
      <c r="P747" s="619"/>
      <c r="Q747" s="505"/>
      <c r="R747" s="505"/>
      <c r="S747" s="505"/>
      <c r="T747" s="505"/>
      <c r="U747" s="505"/>
      <c r="V747" s="505"/>
      <c r="W747" s="505"/>
      <c r="X747" s="505"/>
      <c r="Y747" s="505"/>
      <c r="Z747" s="505"/>
      <c r="AA747" s="505"/>
      <c r="AB747" s="505"/>
      <c r="AC747" s="505"/>
    </row>
    <row r="748" spans="1:29">
      <c r="A748" s="505"/>
      <c r="B748" s="505"/>
      <c r="C748" s="505"/>
      <c r="D748" s="505"/>
      <c r="E748" s="505"/>
      <c r="F748" s="505"/>
      <c r="G748" s="505"/>
      <c r="H748" s="505"/>
      <c r="I748" s="505"/>
      <c r="J748" s="505"/>
      <c r="K748" s="517"/>
      <c r="L748" s="518"/>
      <c r="M748" s="505"/>
      <c r="N748" s="505"/>
      <c r="O748" s="505"/>
      <c r="P748" s="619"/>
      <c r="Q748" s="505"/>
      <c r="R748" s="505"/>
      <c r="S748" s="505"/>
      <c r="T748" s="505"/>
      <c r="U748" s="505"/>
      <c r="V748" s="505"/>
      <c r="W748" s="505"/>
      <c r="X748" s="505"/>
      <c r="Y748" s="505"/>
      <c r="Z748" s="505"/>
      <c r="AA748" s="505"/>
      <c r="AB748" s="505"/>
      <c r="AC748" s="505"/>
    </row>
    <row r="749" spans="1:29">
      <c r="A749" s="505"/>
      <c r="B749" s="505"/>
      <c r="C749" s="505"/>
      <c r="D749" s="505"/>
      <c r="E749" s="505"/>
      <c r="F749" s="505"/>
      <c r="G749" s="505"/>
      <c r="H749" s="505"/>
      <c r="I749" s="505"/>
      <c r="J749" s="505"/>
      <c r="K749" s="517"/>
      <c r="L749" s="518"/>
      <c r="M749" s="505"/>
      <c r="N749" s="505"/>
      <c r="O749" s="505"/>
      <c r="P749" s="619"/>
      <c r="Q749" s="505"/>
      <c r="R749" s="505"/>
      <c r="S749" s="505"/>
      <c r="T749" s="505"/>
      <c r="U749" s="505"/>
      <c r="V749" s="505"/>
      <c r="W749" s="505"/>
      <c r="X749" s="505"/>
      <c r="Y749" s="505"/>
      <c r="Z749" s="505"/>
      <c r="AA749" s="505"/>
      <c r="AB749" s="505"/>
      <c r="AC749" s="505"/>
    </row>
    <row r="750" spans="1:29">
      <c r="A750" s="505"/>
      <c r="B750" s="505"/>
      <c r="C750" s="505"/>
      <c r="D750" s="505"/>
      <c r="E750" s="505"/>
      <c r="F750" s="505"/>
      <c r="G750" s="505"/>
      <c r="H750" s="505"/>
      <c r="I750" s="505"/>
      <c r="J750" s="505"/>
      <c r="K750" s="517"/>
      <c r="L750" s="518"/>
      <c r="M750" s="505"/>
      <c r="N750" s="505"/>
      <c r="O750" s="505"/>
      <c r="P750" s="619"/>
      <c r="Q750" s="505"/>
      <c r="R750" s="505"/>
      <c r="S750" s="505"/>
      <c r="T750" s="505"/>
      <c r="U750" s="505"/>
      <c r="V750" s="505"/>
      <c r="W750" s="505"/>
      <c r="X750" s="505"/>
      <c r="Y750" s="505"/>
      <c r="Z750" s="505"/>
      <c r="AA750" s="505"/>
      <c r="AB750" s="505"/>
      <c r="AC750" s="505"/>
    </row>
    <row r="751" spans="1:29">
      <c r="A751" s="505"/>
      <c r="B751" s="505"/>
      <c r="C751" s="505"/>
      <c r="D751" s="505"/>
      <c r="E751" s="505"/>
      <c r="F751" s="505"/>
      <c r="G751" s="505"/>
      <c r="H751" s="505"/>
      <c r="I751" s="505"/>
      <c r="J751" s="505"/>
      <c r="K751" s="517"/>
      <c r="L751" s="518"/>
      <c r="M751" s="505"/>
      <c r="N751" s="505"/>
      <c r="O751" s="505"/>
      <c r="P751" s="619"/>
      <c r="Q751" s="505"/>
      <c r="R751" s="505"/>
      <c r="S751" s="505"/>
      <c r="T751" s="505"/>
      <c r="U751" s="505"/>
      <c r="V751" s="505"/>
      <c r="W751" s="505"/>
      <c r="X751" s="505"/>
      <c r="Y751" s="505"/>
      <c r="Z751" s="505"/>
      <c r="AA751" s="505"/>
      <c r="AB751" s="505"/>
      <c r="AC751" s="505"/>
    </row>
    <row r="752" spans="1:29">
      <c r="A752" s="505"/>
      <c r="B752" s="505"/>
      <c r="C752" s="505"/>
      <c r="D752" s="505"/>
      <c r="E752" s="505"/>
      <c r="F752" s="505"/>
      <c r="G752" s="505"/>
      <c r="H752" s="505"/>
      <c r="I752" s="505"/>
      <c r="J752" s="505"/>
      <c r="K752" s="517"/>
      <c r="L752" s="518"/>
      <c r="M752" s="505"/>
      <c r="N752" s="505"/>
      <c r="O752" s="505"/>
      <c r="P752" s="619"/>
      <c r="Q752" s="505"/>
      <c r="R752" s="505"/>
      <c r="S752" s="505"/>
      <c r="T752" s="505"/>
      <c r="U752" s="505"/>
      <c r="V752" s="505"/>
      <c r="W752" s="505"/>
      <c r="X752" s="505"/>
      <c r="Y752" s="505"/>
      <c r="Z752" s="505"/>
      <c r="AA752" s="505"/>
      <c r="AB752" s="505"/>
      <c r="AC752" s="505"/>
    </row>
    <row r="753" spans="1:29">
      <c r="A753" s="505"/>
      <c r="B753" s="505"/>
      <c r="C753" s="505"/>
      <c r="D753" s="505"/>
      <c r="E753" s="505"/>
      <c r="F753" s="505"/>
      <c r="G753" s="505"/>
      <c r="H753" s="505"/>
      <c r="I753" s="505"/>
      <c r="J753" s="505"/>
      <c r="K753" s="517"/>
      <c r="L753" s="518"/>
      <c r="M753" s="505"/>
      <c r="N753" s="505"/>
      <c r="O753" s="505"/>
      <c r="P753" s="619"/>
      <c r="Q753" s="505"/>
      <c r="R753" s="505"/>
      <c r="S753" s="505"/>
      <c r="T753" s="505"/>
      <c r="U753" s="505"/>
      <c r="V753" s="505"/>
      <c r="W753" s="505"/>
      <c r="X753" s="505"/>
      <c r="Y753" s="505"/>
      <c r="Z753" s="505"/>
      <c r="AA753" s="505"/>
      <c r="AB753" s="505"/>
      <c r="AC753" s="505"/>
    </row>
    <row r="754" spans="1:29">
      <c r="A754" s="505"/>
      <c r="B754" s="505"/>
      <c r="C754" s="505"/>
      <c r="D754" s="505"/>
      <c r="E754" s="505"/>
      <c r="F754" s="505"/>
      <c r="G754" s="505"/>
      <c r="H754" s="505"/>
      <c r="I754" s="505"/>
      <c r="J754" s="505"/>
      <c r="K754" s="517"/>
      <c r="L754" s="518"/>
      <c r="M754" s="505"/>
      <c r="N754" s="505"/>
      <c r="O754" s="505"/>
      <c r="P754" s="619"/>
      <c r="Q754" s="505"/>
      <c r="R754" s="505"/>
      <c r="S754" s="505"/>
      <c r="T754" s="505"/>
      <c r="U754" s="505"/>
      <c r="V754" s="505"/>
      <c r="W754" s="505"/>
      <c r="X754" s="505"/>
      <c r="Y754" s="505"/>
      <c r="Z754" s="505"/>
      <c r="AA754" s="505"/>
      <c r="AB754" s="505"/>
      <c r="AC754" s="505"/>
    </row>
    <row r="755" spans="1:29">
      <c r="A755" s="505"/>
      <c r="B755" s="505"/>
      <c r="C755" s="505"/>
      <c r="D755" s="505"/>
      <c r="E755" s="505"/>
      <c r="F755" s="505"/>
      <c r="G755" s="505"/>
      <c r="H755" s="505"/>
      <c r="I755" s="505"/>
      <c r="J755" s="505"/>
      <c r="K755" s="517"/>
      <c r="L755" s="518"/>
      <c r="M755" s="505"/>
      <c r="N755" s="505"/>
      <c r="O755" s="505"/>
      <c r="P755" s="619"/>
      <c r="Q755" s="505"/>
      <c r="R755" s="505"/>
      <c r="S755" s="505"/>
      <c r="T755" s="505"/>
      <c r="U755" s="505"/>
      <c r="V755" s="505"/>
      <c r="W755" s="505"/>
      <c r="X755" s="505"/>
      <c r="Y755" s="505"/>
      <c r="Z755" s="505"/>
      <c r="AA755" s="505"/>
      <c r="AB755" s="505"/>
      <c r="AC755" s="505"/>
    </row>
    <row r="756" spans="1:29">
      <c r="A756" s="505"/>
      <c r="B756" s="505"/>
      <c r="C756" s="505"/>
      <c r="D756" s="505"/>
      <c r="E756" s="505"/>
      <c r="F756" s="505"/>
      <c r="G756" s="505"/>
      <c r="H756" s="505"/>
      <c r="I756" s="505"/>
      <c r="J756" s="505"/>
      <c r="K756" s="517"/>
      <c r="L756" s="518"/>
      <c r="M756" s="505"/>
      <c r="N756" s="505"/>
      <c r="O756" s="505"/>
      <c r="P756" s="619"/>
      <c r="Q756" s="505"/>
      <c r="R756" s="505"/>
      <c r="S756" s="505"/>
      <c r="T756" s="505"/>
      <c r="U756" s="505"/>
      <c r="V756" s="505"/>
      <c r="W756" s="505"/>
      <c r="X756" s="505"/>
      <c r="Y756" s="505"/>
      <c r="Z756" s="505"/>
      <c r="AA756" s="505"/>
      <c r="AB756" s="505"/>
      <c r="AC756" s="505"/>
    </row>
    <row r="757" spans="1:29">
      <c r="A757" s="505"/>
      <c r="B757" s="505"/>
      <c r="C757" s="505"/>
      <c r="D757" s="505"/>
      <c r="E757" s="505"/>
      <c r="F757" s="505"/>
      <c r="G757" s="505"/>
      <c r="H757" s="505"/>
      <c r="I757" s="505"/>
      <c r="J757" s="505"/>
      <c r="K757" s="517"/>
      <c r="L757" s="518"/>
      <c r="M757" s="505"/>
      <c r="N757" s="505"/>
      <c r="O757" s="505"/>
      <c r="P757" s="619"/>
      <c r="Q757" s="505"/>
      <c r="R757" s="505"/>
      <c r="S757" s="505"/>
      <c r="T757" s="505"/>
      <c r="U757" s="505"/>
      <c r="V757" s="505"/>
      <c r="W757" s="505"/>
      <c r="X757" s="505"/>
      <c r="Y757" s="505"/>
      <c r="Z757" s="505"/>
      <c r="AA757" s="505"/>
      <c r="AB757" s="505"/>
      <c r="AC757" s="505"/>
    </row>
    <row r="758" spans="1:29">
      <c r="A758" s="505"/>
      <c r="B758" s="505"/>
      <c r="C758" s="505"/>
      <c r="D758" s="505"/>
      <c r="E758" s="505"/>
      <c r="F758" s="505"/>
      <c r="G758" s="505"/>
      <c r="H758" s="505"/>
      <c r="I758" s="505"/>
      <c r="J758" s="505"/>
      <c r="K758" s="517"/>
      <c r="L758" s="518"/>
      <c r="M758" s="505"/>
      <c r="N758" s="505"/>
      <c r="O758" s="505"/>
      <c r="P758" s="619"/>
      <c r="Q758" s="505"/>
      <c r="R758" s="505"/>
      <c r="S758" s="505"/>
      <c r="T758" s="505"/>
      <c r="U758" s="505"/>
      <c r="V758" s="505"/>
      <c r="W758" s="505"/>
      <c r="X758" s="505"/>
      <c r="Y758" s="505"/>
      <c r="Z758" s="505"/>
      <c r="AA758" s="505"/>
      <c r="AB758" s="505"/>
      <c r="AC758" s="505"/>
    </row>
    <row r="759" spans="1:29">
      <c r="A759" s="505"/>
      <c r="B759" s="505"/>
      <c r="C759" s="505"/>
      <c r="D759" s="505"/>
      <c r="E759" s="505"/>
      <c r="F759" s="505"/>
      <c r="G759" s="505"/>
      <c r="H759" s="505"/>
      <c r="I759" s="505"/>
      <c r="J759" s="505"/>
      <c r="K759" s="517"/>
      <c r="L759" s="518"/>
      <c r="M759" s="505"/>
      <c r="N759" s="505"/>
      <c r="O759" s="505"/>
      <c r="P759" s="619"/>
      <c r="Q759" s="505"/>
      <c r="R759" s="505"/>
      <c r="S759" s="505"/>
      <c r="T759" s="505"/>
      <c r="U759" s="505"/>
      <c r="V759" s="505"/>
      <c r="W759" s="505"/>
      <c r="X759" s="505"/>
      <c r="Y759" s="505"/>
      <c r="Z759" s="505"/>
      <c r="AA759" s="505"/>
      <c r="AB759" s="505"/>
      <c r="AC759" s="505"/>
    </row>
    <row r="760" spans="1:29">
      <c r="A760" s="505"/>
      <c r="B760" s="505"/>
      <c r="C760" s="505"/>
      <c r="D760" s="505"/>
      <c r="E760" s="505"/>
      <c r="F760" s="505"/>
      <c r="G760" s="505"/>
      <c r="H760" s="505"/>
      <c r="I760" s="505"/>
      <c r="J760" s="505"/>
      <c r="K760" s="517"/>
      <c r="L760" s="518"/>
      <c r="M760" s="505"/>
      <c r="N760" s="505"/>
      <c r="O760" s="505"/>
      <c r="P760" s="619"/>
      <c r="Q760" s="505"/>
      <c r="R760" s="505"/>
      <c r="S760" s="505"/>
      <c r="T760" s="505"/>
      <c r="U760" s="505"/>
      <c r="V760" s="505"/>
      <c r="W760" s="505"/>
      <c r="X760" s="505"/>
      <c r="Y760" s="505"/>
      <c r="Z760" s="505"/>
      <c r="AA760" s="505"/>
      <c r="AB760" s="505"/>
      <c r="AC760" s="505"/>
    </row>
    <row r="761" spans="1:29">
      <c r="A761" s="505"/>
      <c r="B761" s="505"/>
      <c r="C761" s="505"/>
      <c r="D761" s="505"/>
      <c r="E761" s="505"/>
      <c r="F761" s="505"/>
      <c r="G761" s="505"/>
      <c r="H761" s="505"/>
      <c r="I761" s="505"/>
      <c r="J761" s="505"/>
      <c r="K761" s="517"/>
      <c r="L761" s="518"/>
      <c r="M761" s="505"/>
      <c r="N761" s="505"/>
      <c r="O761" s="505"/>
      <c r="P761" s="619"/>
      <c r="Q761" s="505"/>
      <c r="R761" s="505"/>
      <c r="S761" s="505"/>
      <c r="T761" s="505"/>
      <c r="U761" s="505"/>
      <c r="V761" s="505"/>
      <c r="W761" s="505"/>
      <c r="X761" s="505"/>
      <c r="Y761" s="505"/>
      <c r="Z761" s="505"/>
      <c r="AA761" s="505"/>
      <c r="AB761" s="505"/>
      <c r="AC761" s="505"/>
    </row>
    <row r="762" spans="1:29">
      <c r="A762" s="505"/>
      <c r="B762" s="505"/>
      <c r="C762" s="505"/>
      <c r="D762" s="505"/>
      <c r="E762" s="505"/>
      <c r="F762" s="505"/>
      <c r="G762" s="505"/>
      <c r="H762" s="505"/>
      <c r="I762" s="505"/>
      <c r="J762" s="505"/>
      <c r="K762" s="517"/>
      <c r="L762" s="518"/>
      <c r="M762" s="505"/>
      <c r="N762" s="505"/>
      <c r="O762" s="505"/>
      <c r="P762" s="619"/>
      <c r="Q762" s="505"/>
      <c r="R762" s="505"/>
      <c r="S762" s="505"/>
      <c r="T762" s="505"/>
      <c r="U762" s="505"/>
      <c r="V762" s="505"/>
      <c r="W762" s="505"/>
      <c r="X762" s="505"/>
      <c r="Y762" s="505"/>
      <c r="Z762" s="505"/>
      <c r="AA762" s="505"/>
      <c r="AB762" s="505"/>
      <c r="AC762" s="505"/>
    </row>
    <row r="763" spans="1:29">
      <c r="A763" s="505"/>
      <c r="B763" s="505"/>
      <c r="C763" s="505"/>
      <c r="D763" s="505"/>
      <c r="E763" s="505"/>
      <c r="F763" s="505"/>
      <c r="G763" s="505"/>
      <c r="H763" s="505"/>
      <c r="I763" s="505"/>
      <c r="J763" s="505"/>
      <c r="K763" s="517"/>
      <c r="L763" s="518"/>
      <c r="M763" s="505"/>
      <c r="N763" s="505"/>
      <c r="O763" s="505"/>
      <c r="P763" s="619"/>
      <c r="Q763" s="505"/>
      <c r="R763" s="505"/>
      <c r="S763" s="505"/>
      <c r="T763" s="505"/>
      <c r="U763" s="505"/>
      <c r="V763" s="505"/>
      <c r="W763" s="505"/>
      <c r="X763" s="505"/>
      <c r="Y763" s="505"/>
      <c r="Z763" s="505"/>
      <c r="AA763" s="505"/>
      <c r="AB763" s="505"/>
      <c r="AC763" s="505"/>
    </row>
    <row r="764" spans="1:29">
      <c r="A764" s="505"/>
      <c r="B764" s="505"/>
      <c r="C764" s="505"/>
      <c r="D764" s="505"/>
      <c r="E764" s="505"/>
      <c r="F764" s="505"/>
      <c r="G764" s="505"/>
      <c r="H764" s="505"/>
      <c r="I764" s="505"/>
      <c r="J764" s="505"/>
      <c r="K764" s="517"/>
      <c r="L764" s="518"/>
      <c r="M764" s="505"/>
      <c r="N764" s="505"/>
      <c r="O764" s="505"/>
      <c r="P764" s="619"/>
      <c r="Q764" s="505"/>
      <c r="R764" s="505"/>
      <c r="S764" s="505"/>
      <c r="T764" s="505"/>
      <c r="U764" s="505"/>
      <c r="V764" s="505"/>
      <c r="W764" s="505"/>
      <c r="X764" s="505"/>
      <c r="Y764" s="505"/>
      <c r="Z764" s="505"/>
      <c r="AA764" s="505"/>
      <c r="AB764" s="505"/>
      <c r="AC764" s="505"/>
    </row>
    <row r="765" spans="1:29">
      <c r="A765" s="505"/>
      <c r="B765" s="505"/>
      <c r="C765" s="505"/>
      <c r="D765" s="505"/>
      <c r="E765" s="505"/>
      <c r="F765" s="505"/>
      <c r="G765" s="505"/>
      <c r="H765" s="505"/>
      <c r="I765" s="505"/>
      <c r="J765" s="505"/>
      <c r="K765" s="517"/>
      <c r="L765" s="518"/>
      <c r="M765" s="505"/>
      <c r="N765" s="505"/>
      <c r="O765" s="505"/>
      <c r="P765" s="619"/>
      <c r="Q765" s="505"/>
      <c r="R765" s="505"/>
      <c r="S765" s="505"/>
      <c r="T765" s="505"/>
      <c r="U765" s="505"/>
      <c r="V765" s="505"/>
      <c r="W765" s="505"/>
      <c r="X765" s="505"/>
      <c r="Y765" s="505"/>
      <c r="Z765" s="505"/>
      <c r="AA765" s="505"/>
      <c r="AB765" s="505"/>
      <c r="AC765" s="505"/>
    </row>
    <row r="766" spans="1:29">
      <c r="A766" s="505"/>
      <c r="B766" s="505"/>
      <c r="C766" s="505"/>
      <c r="D766" s="505"/>
      <c r="E766" s="505"/>
      <c r="F766" s="505"/>
      <c r="G766" s="505"/>
      <c r="H766" s="505"/>
      <c r="I766" s="505"/>
      <c r="J766" s="505"/>
      <c r="K766" s="517"/>
      <c r="L766" s="518"/>
      <c r="M766" s="505"/>
      <c r="N766" s="505"/>
      <c r="O766" s="505"/>
      <c r="P766" s="619"/>
      <c r="Q766" s="505"/>
      <c r="R766" s="505"/>
      <c r="S766" s="505"/>
      <c r="T766" s="505"/>
      <c r="U766" s="505"/>
      <c r="V766" s="505"/>
      <c r="W766" s="505"/>
      <c r="X766" s="505"/>
      <c r="Y766" s="505"/>
      <c r="Z766" s="505"/>
      <c r="AA766" s="505"/>
      <c r="AB766" s="505"/>
      <c r="AC766" s="505"/>
    </row>
    <row r="767" spans="1:29">
      <c r="A767" s="505"/>
      <c r="B767" s="505"/>
      <c r="C767" s="505"/>
      <c r="D767" s="505"/>
      <c r="E767" s="505"/>
      <c r="F767" s="505"/>
      <c r="G767" s="505"/>
      <c r="H767" s="505"/>
      <c r="I767" s="505"/>
      <c r="J767" s="505"/>
      <c r="K767" s="517"/>
      <c r="L767" s="518"/>
      <c r="M767" s="505"/>
      <c r="N767" s="505"/>
      <c r="O767" s="505"/>
      <c r="P767" s="619"/>
      <c r="Q767" s="505"/>
      <c r="R767" s="505"/>
      <c r="S767" s="505"/>
      <c r="T767" s="505"/>
      <c r="U767" s="505"/>
      <c r="V767" s="505"/>
      <c r="W767" s="505"/>
      <c r="X767" s="505"/>
      <c r="Y767" s="505"/>
      <c r="Z767" s="505"/>
      <c r="AA767" s="505"/>
      <c r="AB767" s="505"/>
      <c r="AC767" s="505"/>
    </row>
    <row r="768" spans="1:29">
      <c r="A768" s="505"/>
      <c r="B768" s="505"/>
      <c r="C768" s="505"/>
      <c r="D768" s="505"/>
      <c r="E768" s="505"/>
      <c r="F768" s="505"/>
      <c r="G768" s="505"/>
      <c r="H768" s="505"/>
      <c r="I768" s="505"/>
      <c r="J768" s="505"/>
      <c r="K768" s="517"/>
      <c r="L768" s="518"/>
      <c r="M768" s="505"/>
      <c r="N768" s="505"/>
      <c r="O768" s="505"/>
      <c r="P768" s="619"/>
      <c r="Q768" s="505"/>
      <c r="R768" s="505"/>
      <c r="S768" s="505"/>
      <c r="T768" s="505"/>
      <c r="U768" s="505"/>
      <c r="V768" s="505"/>
      <c r="W768" s="505"/>
      <c r="X768" s="505"/>
      <c r="Y768" s="505"/>
      <c r="Z768" s="505"/>
      <c r="AA768" s="505"/>
      <c r="AB768" s="505"/>
      <c r="AC768" s="505"/>
    </row>
    <row r="769" spans="1:29">
      <c r="A769" s="505"/>
      <c r="B769" s="505"/>
      <c r="C769" s="505"/>
      <c r="D769" s="505"/>
      <c r="E769" s="505"/>
      <c r="F769" s="505"/>
      <c r="G769" s="505"/>
      <c r="H769" s="505"/>
      <c r="I769" s="505"/>
      <c r="J769" s="505"/>
      <c r="K769" s="517"/>
      <c r="L769" s="518"/>
      <c r="M769" s="505"/>
      <c r="N769" s="505"/>
      <c r="O769" s="505"/>
      <c r="P769" s="619"/>
      <c r="Q769" s="505"/>
      <c r="R769" s="505"/>
      <c r="S769" s="505"/>
      <c r="T769" s="505"/>
      <c r="U769" s="505"/>
      <c r="V769" s="505"/>
      <c r="W769" s="505"/>
      <c r="X769" s="505"/>
      <c r="Y769" s="505"/>
      <c r="Z769" s="505"/>
      <c r="AA769" s="505"/>
      <c r="AB769" s="505"/>
      <c r="AC769" s="505"/>
    </row>
    <row r="770" spans="1:29">
      <c r="A770" s="505"/>
      <c r="B770" s="505"/>
      <c r="C770" s="505"/>
      <c r="D770" s="505"/>
      <c r="E770" s="505"/>
      <c r="F770" s="505"/>
      <c r="G770" s="505"/>
      <c r="H770" s="505"/>
      <c r="I770" s="505"/>
      <c r="J770" s="505"/>
      <c r="K770" s="517"/>
      <c r="L770" s="518"/>
      <c r="M770" s="505"/>
      <c r="N770" s="505"/>
      <c r="O770" s="505"/>
      <c r="P770" s="619"/>
      <c r="Q770" s="505"/>
      <c r="R770" s="505"/>
      <c r="S770" s="505"/>
      <c r="T770" s="505"/>
      <c r="U770" s="505"/>
      <c r="V770" s="505"/>
      <c r="W770" s="505"/>
      <c r="X770" s="505"/>
      <c r="Y770" s="505"/>
      <c r="Z770" s="505"/>
      <c r="AA770" s="505"/>
      <c r="AB770" s="505"/>
      <c r="AC770" s="505"/>
    </row>
    <row r="771" spans="1:29">
      <c r="A771" s="505"/>
      <c r="B771" s="505"/>
      <c r="C771" s="505"/>
      <c r="D771" s="505"/>
      <c r="E771" s="505"/>
      <c r="F771" s="505"/>
      <c r="G771" s="505"/>
      <c r="H771" s="505"/>
      <c r="I771" s="505"/>
      <c r="J771" s="505"/>
      <c r="K771" s="517"/>
      <c r="L771" s="518"/>
      <c r="M771" s="505"/>
      <c r="N771" s="505"/>
      <c r="O771" s="505"/>
      <c r="P771" s="619"/>
      <c r="Q771" s="505"/>
      <c r="R771" s="505"/>
      <c r="S771" s="505"/>
      <c r="T771" s="505"/>
      <c r="U771" s="505"/>
      <c r="V771" s="505"/>
      <c r="W771" s="505"/>
      <c r="X771" s="505"/>
      <c r="Y771" s="505"/>
      <c r="Z771" s="505"/>
      <c r="AA771" s="505"/>
      <c r="AB771" s="505"/>
      <c r="AC771" s="505"/>
    </row>
    <row r="772" spans="1:29">
      <c r="A772" s="505"/>
      <c r="B772" s="505"/>
      <c r="C772" s="505"/>
      <c r="D772" s="505"/>
      <c r="E772" s="505"/>
      <c r="F772" s="505"/>
      <c r="G772" s="505"/>
      <c r="H772" s="505"/>
      <c r="I772" s="505"/>
      <c r="J772" s="505"/>
      <c r="K772" s="517"/>
      <c r="L772" s="518"/>
      <c r="M772" s="505"/>
      <c r="N772" s="505"/>
      <c r="O772" s="505"/>
      <c r="P772" s="619"/>
      <c r="Q772" s="505"/>
      <c r="R772" s="505"/>
      <c r="S772" s="505"/>
      <c r="T772" s="505"/>
      <c r="U772" s="505"/>
      <c r="V772" s="505"/>
      <c r="W772" s="505"/>
      <c r="X772" s="505"/>
      <c r="Y772" s="505"/>
      <c r="Z772" s="505"/>
      <c r="AA772" s="505"/>
      <c r="AB772" s="505"/>
      <c r="AC772" s="505"/>
    </row>
    <row r="773" spans="1:29">
      <c r="A773" s="505"/>
      <c r="B773" s="505"/>
      <c r="C773" s="505"/>
      <c r="D773" s="505"/>
      <c r="E773" s="505"/>
      <c r="F773" s="505"/>
      <c r="G773" s="505"/>
      <c r="H773" s="505"/>
      <c r="I773" s="505"/>
      <c r="J773" s="505"/>
      <c r="K773" s="517"/>
      <c r="L773" s="518"/>
      <c r="M773" s="505"/>
      <c r="N773" s="505"/>
      <c r="O773" s="505"/>
      <c r="P773" s="619"/>
      <c r="Q773" s="505"/>
      <c r="R773" s="505"/>
      <c r="S773" s="505"/>
      <c r="T773" s="505"/>
      <c r="U773" s="505"/>
      <c r="V773" s="505"/>
      <c r="W773" s="505"/>
      <c r="X773" s="505"/>
      <c r="Y773" s="505"/>
      <c r="Z773" s="505"/>
      <c r="AA773" s="505"/>
      <c r="AB773" s="505"/>
      <c r="AC773" s="505"/>
    </row>
    <row r="774" spans="1:29">
      <c r="A774" s="505"/>
      <c r="B774" s="505"/>
      <c r="C774" s="505"/>
      <c r="D774" s="505"/>
      <c r="E774" s="505"/>
      <c r="F774" s="505"/>
      <c r="G774" s="505"/>
      <c r="H774" s="505"/>
      <c r="I774" s="505"/>
      <c r="J774" s="505"/>
      <c r="K774" s="517"/>
      <c r="L774" s="518"/>
      <c r="M774" s="505"/>
      <c r="N774" s="505"/>
      <c r="O774" s="505"/>
      <c r="P774" s="619"/>
      <c r="Q774" s="505"/>
      <c r="R774" s="505"/>
      <c r="S774" s="505"/>
      <c r="T774" s="505"/>
      <c r="U774" s="505"/>
      <c r="V774" s="505"/>
      <c r="W774" s="505"/>
      <c r="X774" s="505"/>
      <c r="Y774" s="505"/>
      <c r="Z774" s="505"/>
      <c r="AA774" s="505"/>
      <c r="AB774" s="505"/>
      <c r="AC774" s="505"/>
    </row>
    <row r="775" spans="1:29">
      <c r="A775" s="505"/>
      <c r="B775" s="505"/>
      <c r="C775" s="505"/>
      <c r="D775" s="505"/>
      <c r="E775" s="505"/>
      <c r="F775" s="505"/>
      <c r="G775" s="505"/>
      <c r="H775" s="505"/>
      <c r="I775" s="505"/>
      <c r="J775" s="505"/>
      <c r="K775" s="517"/>
      <c r="L775" s="518"/>
      <c r="M775" s="505"/>
      <c r="N775" s="505"/>
      <c r="O775" s="505"/>
      <c r="P775" s="619"/>
      <c r="Q775" s="505"/>
      <c r="R775" s="505"/>
      <c r="S775" s="505"/>
      <c r="T775" s="505"/>
      <c r="U775" s="505"/>
      <c r="V775" s="505"/>
      <c r="W775" s="505"/>
      <c r="X775" s="505"/>
      <c r="Y775" s="505"/>
      <c r="Z775" s="505"/>
      <c r="AA775" s="505"/>
      <c r="AB775" s="505"/>
      <c r="AC775" s="505"/>
    </row>
    <row r="776" spans="1:29">
      <c r="A776" s="505"/>
      <c r="B776" s="505"/>
      <c r="C776" s="505"/>
      <c r="D776" s="505"/>
      <c r="E776" s="505"/>
      <c r="F776" s="505"/>
      <c r="G776" s="505"/>
      <c r="H776" s="505"/>
      <c r="I776" s="505"/>
      <c r="J776" s="505"/>
      <c r="K776" s="517"/>
      <c r="L776" s="518"/>
      <c r="M776" s="505"/>
      <c r="N776" s="505"/>
      <c r="O776" s="505"/>
      <c r="P776" s="619"/>
      <c r="Q776" s="505"/>
      <c r="R776" s="505"/>
      <c r="S776" s="505"/>
      <c r="T776" s="505"/>
      <c r="U776" s="505"/>
      <c r="V776" s="505"/>
      <c r="W776" s="505"/>
      <c r="X776" s="505"/>
      <c r="Y776" s="505"/>
      <c r="Z776" s="505"/>
      <c r="AA776" s="505"/>
      <c r="AB776" s="505"/>
      <c r="AC776" s="505"/>
    </row>
    <row r="777" spans="1:29">
      <c r="A777" s="505"/>
      <c r="B777" s="505"/>
      <c r="C777" s="505"/>
      <c r="D777" s="505"/>
      <c r="E777" s="505"/>
      <c r="F777" s="505"/>
      <c r="G777" s="505"/>
      <c r="H777" s="505"/>
      <c r="I777" s="505"/>
      <c r="J777" s="505"/>
      <c r="K777" s="517"/>
      <c r="L777" s="518"/>
      <c r="M777" s="505"/>
      <c r="N777" s="505"/>
      <c r="O777" s="505"/>
      <c r="P777" s="619"/>
      <c r="Q777" s="505"/>
      <c r="R777" s="505"/>
      <c r="S777" s="505"/>
      <c r="T777" s="505"/>
      <c r="U777" s="505"/>
      <c r="V777" s="505"/>
      <c r="W777" s="505"/>
      <c r="X777" s="505"/>
      <c r="Y777" s="505"/>
      <c r="Z777" s="505"/>
      <c r="AA777" s="505"/>
      <c r="AB777" s="505"/>
      <c r="AC777" s="505"/>
    </row>
    <row r="778" spans="1:29">
      <c r="A778" s="505"/>
      <c r="B778" s="505"/>
      <c r="C778" s="505"/>
      <c r="D778" s="505"/>
      <c r="E778" s="505"/>
      <c r="F778" s="505"/>
      <c r="G778" s="505"/>
      <c r="H778" s="505"/>
      <c r="I778" s="505"/>
      <c r="J778" s="505"/>
      <c r="K778" s="517"/>
      <c r="L778" s="518"/>
      <c r="M778" s="505"/>
      <c r="N778" s="505"/>
      <c r="O778" s="505"/>
      <c r="P778" s="619"/>
      <c r="Q778" s="505"/>
      <c r="R778" s="505"/>
      <c r="S778" s="505"/>
      <c r="T778" s="505"/>
      <c r="U778" s="505"/>
      <c r="V778" s="505"/>
      <c r="W778" s="505"/>
      <c r="X778" s="505"/>
      <c r="Y778" s="505"/>
      <c r="Z778" s="505"/>
      <c r="AA778" s="505"/>
      <c r="AB778" s="505"/>
      <c r="AC778" s="505"/>
    </row>
    <row r="779" spans="1:29">
      <c r="A779" s="505"/>
      <c r="B779" s="505"/>
      <c r="C779" s="505"/>
      <c r="D779" s="505"/>
      <c r="E779" s="505"/>
      <c r="F779" s="505"/>
      <c r="G779" s="505"/>
      <c r="H779" s="505"/>
      <c r="I779" s="505"/>
      <c r="J779" s="505"/>
      <c r="K779" s="517"/>
      <c r="L779" s="518"/>
      <c r="M779" s="505"/>
      <c r="N779" s="505"/>
      <c r="O779" s="505"/>
      <c r="P779" s="619"/>
      <c r="Q779" s="505"/>
      <c r="R779" s="505"/>
      <c r="S779" s="505"/>
      <c r="T779" s="505"/>
      <c r="U779" s="505"/>
      <c r="V779" s="505"/>
      <c r="W779" s="505"/>
      <c r="X779" s="505"/>
      <c r="Y779" s="505"/>
      <c r="Z779" s="505"/>
      <c r="AA779" s="505"/>
      <c r="AB779" s="505"/>
      <c r="AC779" s="505"/>
    </row>
    <row r="780" spans="1:29">
      <c r="A780" s="505"/>
      <c r="B780" s="505"/>
      <c r="C780" s="505"/>
      <c r="D780" s="505"/>
      <c r="E780" s="505"/>
      <c r="F780" s="505"/>
      <c r="G780" s="505"/>
      <c r="H780" s="505"/>
      <c r="I780" s="505"/>
      <c r="J780" s="505"/>
      <c r="K780" s="517"/>
      <c r="L780" s="518"/>
      <c r="M780" s="505"/>
      <c r="N780" s="505"/>
      <c r="O780" s="505"/>
      <c r="P780" s="619"/>
      <c r="Q780" s="505"/>
      <c r="R780" s="505"/>
      <c r="S780" s="505"/>
      <c r="T780" s="505"/>
      <c r="U780" s="505"/>
      <c r="V780" s="505"/>
      <c r="W780" s="505"/>
      <c r="X780" s="505"/>
      <c r="Y780" s="505"/>
      <c r="Z780" s="505"/>
      <c r="AA780" s="505"/>
      <c r="AB780" s="505"/>
      <c r="AC780" s="505"/>
    </row>
    <row r="781" spans="1:29">
      <c r="A781" s="505"/>
      <c r="B781" s="505"/>
      <c r="C781" s="505"/>
      <c r="D781" s="505"/>
      <c r="E781" s="505"/>
      <c r="F781" s="505"/>
      <c r="G781" s="505"/>
      <c r="H781" s="505"/>
      <c r="I781" s="505"/>
      <c r="J781" s="505"/>
      <c r="K781" s="517"/>
      <c r="L781" s="518"/>
      <c r="M781" s="505"/>
      <c r="N781" s="505"/>
      <c r="O781" s="505"/>
      <c r="P781" s="619"/>
      <c r="Q781" s="505"/>
      <c r="R781" s="505"/>
      <c r="S781" s="505"/>
      <c r="T781" s="505"/>
      <c r="U781" s="505"/>
      <c r="V781" s="505"/>
      <c r="W781" s="505"/>
      <c r="X781" s="505"/>
      <c r="Y781" s="505"/>
      <c r="Z781" s="505"/>
      <c r="AA781" s="505"/>
      <c r="AB781" s="505"/>
      <c r="AC781" s="505"/>
    </row>
    <row r="782" spans="1:29">
      <c r="A782" s="505"/>
      <c r="B782" s="505"/>
      <c r="C782" s="505"/>
      <c r="D782" s="505"/>
      <c r="E782" s="505"/>
      <c r="F782" s="505"/>
      <c r="G782" s="505"/>
      <c r="H782" s="505"/>
      <c r="I782" s="505"/>
      <c r="J782" s="505"/>
      <c r="K782" s="517"/>
      <c r="L782" s="518"/>
      <c r="M782" s="505"/>
      <c r="N782" s="505"/>
      <c r="O782" s="505"/>
      <c r="P782" s="619"/>
      <c r="Q782" s="505"/>
      <c r="R782" s="505"/>
      <c r="S782" s="505"/>
      <c r="T782" s="505"/>
      <c r="U782" s="505"/>
      <c r="V782" s="505"/>
      <c r="W782" s="505"/>
      <c r="X782" s="505"/>
      <c r="Y782" s="505"/>
      <c r="Z782" s="505"/>
      <c r="AA782" s="505"/>
      <c r="AB782" s="505"/>
      <c r="AC782" s="505"/>
    </row>
    <row r="783" spans="1:29">
      <c r="A783" s="505"/>
      <c r="B783" s="505"/>
      <c r="C783" s="505"/>
      <c r="D783" s="505"/>
      <c r="E783" s="505"/>
      <c r="F783" s="505"/>
      <c r="G783" s="505"/>
      <c r="H783" s="505"/>
      <c r="I783" s="505"/>
      <c r="J783" s="505"/>
      <c r="K783" s="517"/>
      <c r="L783" s="518"/>
      <c r="M783" s="505"/>
      <c r="N783" s="505"/>
      <c r="O783" s="505"/>
      <c r="P783" s="619"/>
      <c r="Q783" s="505"/>
      <c r="R783" s="505"/>
      <c r="S783" s="505"/>
      <c r="T783" s="505"/>
      <c r="U783" s="505"/>
      <c r="V783" s="505"/>
      <c r="W783" s="505"/>
      <c r="X783" s="505"/>
      <c r="Y783" s="505"/>
      <c r="Z783" s="505"/>
      <c r="AA783" s="505"/>
      <c r="AB783" s="505"/>
      <c r="AC783" s="505"/>
    </row>
    <row r="784" spans="1:29">
      <c r="A784" s="505"/>
      <c r="B784" s="505"/>
      <c r="C784" s="505"/>
      <c r="D784" s="505"/>
      <c r="E784" s="505"/>
      <c r="F784" s="505"/>
      <c r="G784" s="505"/>
      <c r="H784" s="505"/>
      <c r="I784" s="505"/>
      <c r="J784" s="505"/>
      <c r="K784" s="517"/>
      <c r="L784" s="518"/>
      <c r="M784" s="505"/>
      <c r="N784" s="505"/>
      <c r="O784" s="505"/>
      <c r="P784" s="619"/>
      <c r="Q784" s="505"/>
      <c r="R784" s="505"/>
      <c r="S784" s="505"/>
      <c r="T784" s="505"/>
      <c r="U784" s="505"/>
      <c r="V784" s="505"/>
      <c r="W784" s="505"/>
      <c r="X784" s="505"/>
      <c r="Y784" s="505"/>
      <c r="Z784" s="505"/>
      <c r="AA784" s="505"/>
      <c r="AB784" s="505"/>
      <c r="AC784" s="505"/>
    </row>
    <row r="785" spans="1:29">
      <c r="A785" s="505"/>
      <c r="B785" s="505"/>
      <c r="C785" s="505"/>
      <c r="D785" s="505"/>
      <c r="E785" s="505"/>
      <c r="F785" s="505"/>
      <c r="G785" s="505"/>
      <c r="H785" s="505"/>
      <c r="I785" s="505"/>
      <c r="J785" s="505"/>
      <c r="K785" s="517"/>
      <c r="L785" s="518"/>
      <c r="M785" s="505"/>
      <c r="N785" s="505"/>
      <c r="O785" s="505"/>
      <c r="P785" s="619"/>
      <c r="Q785" s="505"/>
      <c r="R785" s="505"/>
      <c r="S785" s="505"/>
      <c r="T785" s="505"/>
      <c r="U785" s="505"/>
      <c r="V785" s="505"/>
      <c r="W785" s="505"/>
      <c r="X785" s="505"/>
      <c r="Y785" s="505"/>
      <c r="Z785" s="505"/>
      <c r="AA785" s="505"/>
      <c r="AB785" s="505"/>
      <c r="AC785" s="505"/>
    </row>
    <row r="786" spans="1:29">
      <c r="A786" s="505"/>
      <c r="B786" s="505"/>
      <c r="C786" s="505"/>
      <c r="D786" s="505"/>
      <c r="E786" s="505"/>
      <c r="F786" s="505"/>
      <c r="G786" s="505"/>
      <c r="H786" s="505"/>
      <c r="I786" s="505"/>
      <c r="J786" s="505"/>
      <c r="K786" s="517"/>
      <c r="L786" s="518"/>
      <c r="M786" s="505"/>
      <c r="N786" s="505"/>
      <c r="O786" s="505"/>
      <c r="P786" s="619"/>
      <c r="Q786" s="505"/>
      <c r="R786" s="505"/>
      <c r="S786" s="505"/>
      <c r="T786" s="505"/>
      <c r="U786" s="505"/>
      <c r="V786" s="505"/>
      <c r="W786" s="505"/>
      <c r="X786" s="505"/>
      <c r="Y786" s="505"/>
      <c r="Z786" s="505"/>
      <c r="AA786" s="505"/>
      <c r="AB786" s="505"/>
      <c r="AC786" s="505"/>
    </row>
    <row r="787" spans="1:29">
      <c r="A787" s="505"/>
      <c r="B787" s="505"/>
      <c r="C787" s="505"/>
      <c r="D787" s="505"/>
      <c r="E787" s="505"/>
      <c r="F787" s="505"/>
      <c r="G787" s="505"/>
      <c r="H787" s="505"/>
      <c r="I787" s="505"/>
      <c r="J787" s="505"/>
      <c r="K787" s="517"/>
      <c r="L787" s="518"/>
      <c r="M787" s="505"/>
      <c r="N787" s="505"/>
      <c r="O787" s="505"/>
      <c r="P787" s="619"/>
      <c r="Q787" s="505"/>
      <c r="R787" s="505"/>
      <c r="S787" s="505"/>
      <c r="T787" s="505"/>
      <c r="U787" s="505"/>
      <c r="V787" s="505"/>
      <c r="W787" s="505"/>
      <c r="X787" s="505"/>
      <c r="Y787" s="505"/>
      <c r="Z787" s="505"/>
      <c r="AA787" s="505"/>
      <c r="AB787" s="505"/>
      <c r="AC787" s="505"/>
    </row>
    <row r="788" spans="1:29">
      <c r="A788" s="505"/>
      <c r="B788" s="505"/>
      <c r="C788" s="505"/>
      <c r="D788" s="505"/>
      <c r="E788" s="505"/>
      <c r="F788" s="505"/>
      <c r="G788" s="505"/>
      <c r="H788" s="505"/>
      <c r="I788" s="505"/>
      <c r="J788" s="505"/>
      <c r="K788" s="517"/>
      <c r="L788" s="518"/>
      <c r="M788" s="505"/>
      <c r="N788" s="505"/>
      <c r="O788" s="505"/>
      <c r="P788" s="619"/>
      <c r="Q788" s="505"/>
      <c r="R788" s="505"/>
      <c r="S788" s="505"/>
      <c r="T788" s="505"/>
      <c r="U788" s="505"/>
      <c r="V788" s="505"/>
      <c r="W788" s="505"/>
      <c r="X788" s="505"/>
      <c r="Y788" s="505"/>
      <c r="Z788" s="505"/>
      <c r="AA788" s="505"/>
      <c r="AB788" s="505"/>
      <c r="AC788" s="505"/>
    </row>
    <row r="789" spans="1:29">
      <c r="A789" s="505"/>
      <c r="B789" s="505"/>
      <c r="C789" s="505"/>
      <c r="D789" s="505"/>
      <c r="E789" s="505"/>
      <c r="F789" s="505"/>
      <c r="G789" s="505"/>
      <c r="H789" s="505"/>
      <c r="I789" s="505"/>
      <c r="J789" s="505"/>
      <c r="K789" s="517"/>
      <c r="L789" s="518"/>
      <c r="M789" s="505"/>
      <c r="N789" s="505"/>
      <c r="O789" s="505"/>
      <c r="P789" s="619"/>
      <c r="Q789" s="505"/>
      <c r="R789" s="505"/>
      <c r="S789" s="505"/>
      <c r="T789" s="505"/>
      <c r="U789" s="505"/>
      <c r="V789" s="505"/>
      <c r="W789" s="505"/>
      <c r="X789" s="505"/>
      <c r="Y789" s="505"/>
      <c r="Z789" s="505"/>
      <c r="AA789" s="505"/>
      <c r="AB789" s="505"/>
      <c r="AC789" s="505"/>
    </row>
    <row r="790" spans="1:29">
      <c r="A790" s="505"/>
      <c r="B790" s="505"/>
      <c r="C790" s="505"/>
      <c r="D790" s="505"/>
      <c r="E790" s="505"/>
      <c r="F790" s="505"/>
      <c r="G790" s="505"/>
      <c r="H790" s="505"/>
      <c r="I790" s="505"/>
      <c r="J790" s="505"/>
      <c r="K790" s="517"/>
      <c r="L790" s="518"/>
      <c r="M790" s="505"/>
      <c r="N790" s="505"/>
      <c r="O790" s="505"/>
      <c r="P790" s="619"/>
      <c r="Q790" s="505"/>
      <c r="R790" s="505"/>
      <c r="S790" s="505"/>
      <c r="T790" s="505"/>
      <c r="U790" s="505"/>
      <c r="V790" s="505"/>
      <c r="W790" s="505"/>
      <c r="X790" s="505"/>
      <c r="Y790" s="505"/>
      <c r="Z790" s="505"/>
      <c r="AA790" s="505"/>
      <c r="AB790" s="505"/>
      <c r="AC790" s="505"/>
    </row>
    <row r="791" spans="1:29">
      <c r="A791" s="505"/>
      <c r="B791" s="505"/>
      <c r="C791" s="505"/>
      <c r="D791" s="505"/>
      <c r="E791" s="505"/>
      <c r="F791" s="505"/>
      <c r="G791" s="505"/>
      <c r="H791" s="505"/>
      <c r="I791" s="505"/>
      <c r="J791" s="505"/>
      <c r="K791" s="517"/>
      <c r="L791" s="518"/>
      <c r="M791" s="505"/>
      <c r="N791" s="505"/>
      <c r="O791" s="505"/>
      <c r="P791" s="619"/>
      <c r="Q791" s="505"/>
      <c r="R791" s="505"/>
      <c r="S791" s="505"/>
      <c r="T791" s="505"/>
      <c r="U791" s="505"/>
      <c r="V791" s="505"/>
      <c r="W791" s="505"/>
      <c r="X791" s="505"/>
      <c r="Y791" s="505"/>
      <c r="Z791" s="505"/>
      <c r="AA791" s="505"/>
      <c r="AB791" s="505"/>
      <c r="AC791" s="505"/>
    </row>
    <row r="792" spans="1:29">
      <c r="A792" s="505"/>
      <c r="B792" s="505"/>
      <c r="C792" s="505"/>
      <c r="D792" s="505"/>
      <c r="E792" s="505"/>
      <c r="F792" s="505"/>
      <c r="G792" s="505"/>
      <c r="H792" s="505"/>
      <c r="I792" s="505"/>
      <c r="J792" s="505"/>
      <c r="K792" s="517"/>
      <c r="L792" s="518"/>
      <c r="M792" s="505"/>
      <c r="N792" s="505"/>
      <c r="O792" s="505"/>
      <c r="P792" s="619"/>
      <c r="Q792" s="505"/>
      <c r="R792" s="505"/>
      <c r="S792" s="505"/>
      <c r="T792" s="505"/>
      <c r="U792" s="505"/>
      <c r="V792" s="505"/>
      <c r="W792" s="505"/>
      <c r="X792" s="505"/>
      <c r="Y792" s="505"/>
      <c r="Z792" s="505"/>
      <c r="AA792" s="505"/>
      <c r="AB792" s="505"/>
      <c r="AC792" s="505"/>
    </row>
    <row r="793" spans="1:29">
      <c r="A793" s="505"/>
      <c r="B793" s="505"/>
      <c r="C793" s="505"/>
      <c r="D793" s="505"/>
      <c r="E793" s="505"/>
      <c r="F793" s="505"/>
      <c r="G793" s="505"/>
      <c r="H793" s="505"/>
      <c r="I793" s="505"/>
      <c r="J793" s="505"/>
      <c r="K793" s="517"/>
      <c r="L793" s="518"/>
      <c r="M793" s="505"/>
      <c r="N793" s="505"/>
      <c r="O793" s="505"/>
      <c r="P793" s="619"/>
      <c r="Q793" s="505"/>
      <c r="R793" s="505"/>
      <c r="S793" s="505"/>
      <c r="T793" s="505"/>
      <c r="U793" s="505"/>
      <c r="V793" s="505"/>
      <c r="W793" s="505"/>
      <c r="X793" s="505"/>
      <c r="Y793" s="505"/>
      <c r="Z793" s="505"/>
      <c r="AA793" s="505"/>
      <c r="AB793" s="505"/>
      <c r="AC793" s="505"/>
    </row>
    <row r="794" spans="1:29">
      <c r="A794" s="505"/>
      <c r="B794" s="505"/>
      <c r="C794" s="505"/>
      <c r="D794" s="505"/>
      <c r="E794" s="505"/>
      <c r="F794" s="505"/>
      <c r="G794" s="505"/>
      <c r="H794" s="505"/>
      <c r="I794" s="505"/>
      <c r="J794" s="505"/>
      <c r="K794" s="517"/>
      <c r="L794" s="518"/>
      <c r="M794" s="505"/>
      <c r="N794" s="505"/>
      <c r="O794" s="505"/>
      <c r="P794" s="619"/>
      <c r="Q794" s="505"/>
      <c r="R794" s="505"/>
      <c r="S794" s="505"/>
      <c r="T794" s="505"/>
      <c r="U794" s="505"/>
      <c r="V794" s="505"/>
      <c r="W794" s="505"/>
      <c r="X794" s="505"/>
      <c r="Y794" s="505"/>
      <c r="Z794" s="505"/>
      <c r="AA794" s="505"/>
      <c r="AB794" s="505"/>
      <c r="AC794" s="505"/>
    </row>
    <row r="795" spans="1:29">
      <c r="A795" s="505"/>
      <c r="B795" s="505"/>
      <c r="C795" s="505"/>
      <c r="D795" s="505"/>
      <c r="E795" s="505"/>
      <c r="F795" s="505"/>
      <c r="G795" s="505"/>
      <c r="H795" s="505"/>
      <c r="I795" s="505"/>
      <c r="J795" s="505"/>
      <c r="K795" s="517"/>
      <c r="L795" s="518"/>
      <c r="M795" s="505"/>
      <c r="N795" s="505"/>
      <c r="O795" s="505"/>
      <c r="P795" s="619"/>
      <c r="Q795" s="505"/>
      <c r="R795" s="505"/>
      <c r="S795" s="505"/>
      <c r="T795" s="505"/>
      <c r="U795" s="505"/>
      <c r="V795" s="505"/>
      <c r="W795" s="505"/>
      <c r="X795" s="505"/>
      <c r="Y795" s="505"/>
      <c r="Z795" s="505"/>
      <c r="AA795" s="505"/>
      <c r="AB795" s="505"/>
      <c r="AC795" s="505"/>
    </row>
    <row r="796" spans="1:29">
      <c r="A796" s="505"/>
      <c r="B796" s="505"/>
      <c r="C796" s="505"/>
      <c r="D796" s="505"/>
      <c r="E796" s="505"/>
      <c r="F796" s="505"/>
      <c r="G796" s="505"/>
      <c r="H796" s="505"/>
      <c r="I796" s="505"/>
      <c r="J796" s="505"/>
      <c r="K796" s="517"/>
      <c r="L796" s="518"/>
      <c r="M796" s="505"/>
      <c r="N796" s="505"/>
      <c r="O796" s="505"/>
      <c r="P796" s="619"/>
      <c r="Q796" s="505"/>
      <c r="R796" s="505"/>
      <c r="S796" s="505"/>
      <c r="T796" s="505"/>
      <c r="U796" s="505"/>
      <c r="V796" s="505"/>
      <c r="W796" s="505"/>
      <c r="X796" s="505"/>
      <c r="Y796" s="505"/>
      <c r="Z796" s="505"/>
      <c r="AA796" s="505"/>
      <c r="AB796" s="505"/>
      <c r="AC796" s="505"/>
    </row>
    <row r="797" spans="1:29">
      <c r="A797" s="505"/>
      <c r="B797" s="505"/>
      <c r="C797" s="505"/>
      <c r="D797" s="505"/>
      <c r="E797" s="505"/>
      <c r="F797" s="505"/>
      <c r="G797" s="505"/>
      <c r="H797" s="505"/>
      <c r="I797" s="505"/>
      <c r="J797" s="505"/>
      <c r="K797" s="517"/>
      <c r="L797" s="518"/>
      <c r="M797" s="505"/>
      <c r="N797" s="505"/>
      <c r="O797" s="505"/>
      <c r="P797" s="619"/>
      <c r="Q797" s="505"/>
      <c r="R797" s="505"/>
      <c r="S797" s="505"/>
      <c r="T797" s="505"/>
      <c r="U797" s="505"/>
      <c r="V797" s="505"/>
      <c r="W797" s="505"/>
      <c r="X797" s="505"/>
      <c r="Y797" s="505"/>
      <c r="Z797" s="505"/>
      <c r="AA797" s="505"/>
      <c r="AB797" s="505"/>
      <c r="AC797" s="505"/>
    </row>
    <row r="798" spans="1:29">
      <c r="A798" s="505"/>
      <c r="B798" s="505"/>
      <c r="C798" s="505"/>
      <c r="D798" s="505"/>
      <c r="E798" s="505"/>
      <c r="F798" s="505"/>
      <c r="G798" s="505"/>
      <c r="H798" s="505"/>
      <c r="I798" s="505"/>
      <c r="J798" s="505"/>
      <c r="K798" s="517"/>
      <c r="L798" s="518"/>
      <c r="M798" s="505"/>
      <c r="N798" s="505"/>
      <c r="O798" s="505"/>
      <c r="P798" s="619"/>
      <c r="Q798" s="505"/>
      <c r="R798" s="505"/>
      <c r="S798" s="505"/>
      <c r="T798" s="505"/>
      <c r="U798" s="505"/>
      <c r="V798" s="505"/>
      <c r="W798" s="505"/>
      <c r="X798" s="505"/>
      <c r="Y798" s="505"/>
      <c r="Z798" s="505"/>
      <c r="AA798" s="505"/>
      <c r="AB798" s="505"/>
      <c r="AC798" s="505"/>
    </row>
    <row r="799" spans="1:29">
      <c r="A799" s="505"/>
      <c r="B799" s="505"/>
      <c r="C799" s="505"/>
      <c r="D799" s="505"/>
      <c r="E799" s="505"/>
      <c r="F799" s="505"/>
      <c r="G799" s="505"/>
      <c r="H799" s="505"/>
      <c r="I799" s="505"/>
      <c r="J799" s="505"/>
      <c r="K799" s="517"/>
      <c r="L799" s="518"/>
      <c r="M799" s="505"/>
      <c r="N799" s="505"/>
      <c r="O799" s="505"/>
      <c r="P799" s="619"/>
      <c r="Q799" s="505"/>
      <c r="R799" s="505"/>
      <c r="S799" s="505"/>
      <c r="T799" s="505"/>
      <c r="U799" s="505"/>
      <c r="V799" s="505"/>
      <c r="W799" s="505"/>
      <c r="X799" s="505"/>
      <c r="Y799" s="505"/>
      <c r="Z799" s="505"/>
      <c r="AA799" s="505"/>
      <c r="AB799" s="505"/>
      <c r="AC799" s="505"/>
    </row>
    <row r="800" spans="1:29">
      <c r="A800" s="505"/>
      <c r="B800" s="505"/>
      <c r="C800" s="505"/>
      <c r="D800" s="505"/>
      <c r="E800" s="505"/>
      <c r="F800" s="505"/>
      <c r="G800" s="505"/>
      <c r="H800" s="505"/>
      <c r="I800" s="505"/>
      <c r="J800" s="505"/>
      <c r="K800" s="517"/>
      <c r="L800" s="518"/>
      <c r="M800" s="505"/>
      <c r="N800" s="505"/>
      <c r="O800" s="505"/>
      <c r="P800" s="619"/>
      <c r="Q800" s="505"/>
      <c r="R800" s="505"/>
      <c r="S800" s="505"/>
      <c r="T800" s="505"/>
      <c r="U800" s="505"/>
      <c r="V800" s="505"/>
      <c r="W800" s="505"/>
      <c r="X800" s="505"/>
      <c r="Y800" s="505"/>
      <c r="Z800" s="505"/>
      <c r="AA800" s="505"/>
      <c r="AB800" s="505"/>
      <c r="AC800" s="505"/>
    </row>
    <row r="801" spans="1:29">
      <c r="A801" s="505"/>
      <c r="B801" s="505"/>
      <c r="C801" s="505"/>
      <c r="D801" s="505"/>
      <c r="E801" s="505"/>
      <c r="F801" s="505"/>
      <c r="G801" s="505"/>
      <c r="H801" s="505"/>
      <c r="I801" s="505"/>
      <c r="J801" s="505"/>
      <c r="K801" s="517"/>
      <c r="L801" s="518"/>
      <c r="M801" s="505"/>
      <c r="N801" s="505"/>
      <c r="O801" s="505"/>
      <c r="P801" s="619"/>
      <c r="Q801" s="505"/>
      <c r="R801" s="505"/>
      <c r="S801" s="505"/>
      <c r="T801" s="505"/>
      <c r="U801" s="505"/>
      <c r="V801" s="505"/>
      <c r="W801" s="505"/>
      <c r="X801" s="505"/>
      <c r="Y801" s="505"/>
      <c r="Z801" s="505"/>
      <c r="AA801" s="505"/>
      <c r="AB801" s="505"/>
      <c r="AC801" s="505"/>
    </row>
    <row r="802" spans="1:29">
      <c r="A802" s="505"/>
      <c r="B802" s="505"/>
      <c r="C802" s="505"/>
      <c r="D802" s="505"/>
      <c r="E802" s="505"/>
      <c r="F802" s="505"/>
      <c r="G802" s="505"/>
      <c r="H802" s="505"/>
      <c r="I802" s="505"/>
      <c r="J802" s="505"/>
      <c r="K802" s="517"/>
      <c r="L802" s="518"/>
      <c r="M802" s="505"/>
      <c r="N802" s="505"/>
      <c r="O802" s="505"/>
      <c r="P802" s="619"/>
      <c r="Q802" s="505"/>
      <c r="R802" s="505"/>
      <c r="S802" s="505"/>
      <c r="T802" s="505"/>
      <c r="U802" s="505"/>
      <c r="V802" s="505"/>
      <c r="W802" s="505"/>
      <c r="X802" s="505"/>
      <c r="Y802" s="505"/>
      <c r="Z802" s="505"/>
      <c r="AA802" s="505"/>
      <c r="AB802" s="505"/>
      <c r="AC802" s="505"/>
    </row>
    <row r="803" spans="1:29">
      <c r="A803" s="505"/>
      <c r="B803" s="505"/>
      <c r="C803" s="505"/>
      <c r="D803" s="505"/>
      <c r="E803" s="505"/>
      <c r="F803" s="505"/>
      <c r="G803" s="505"/>
      <c r="H803" s="505"/>
      <c r="I803" s="505"/>
      <c r="J803" s="505"/>
      <c r="K803" s="517"/>
      <c r="L803" s="518"/>
      <c r="M803" s="505"/>
      <c r="N803" s="505"/>
      <c r="O803" s="505"/>
      <c r="P803" s="619"/>
      <c r="Q803" s="505"/>
      <c r="R803" s="505"/>
      <c r="S803" s="505"/>
      <c r="T803" s="505"/>
      <c r="U803" s="505"/>
      <c r="V803" s="505"/>
      <c r="W803" s="505"/>
      <c r="X803" s="505"/>
      <c r="Y803" s="505"/>
      <c r="Z803" s="505"/>
      <c r="AA803" s="505"/>
      <c r="AB803" s="505"/>
      <c r="AC803" s="505"/>
    </row>
    <row r="804" spans="1:29">
      <c r="A804" s="505"/>
      <c r="B804" s="505"/>
      <c r="C804" s="505"/>
      <c r="D804" s="505"/>
      <c r="E804" s="505"/>
      <c r="F804" s="505"/>
      <c r="G804" s="505"/>
      <c r="H804" s="505"/>
      <c r="I804" s="505"/>
      <c r="J804" s="505"/>
      <c r="K804" s="517"/>
      <c r="L804" s="518"/>
      <c r="M804" s="505"/>
      <c r="N804" s="505"/>
      <c r="O804" s="505"/>
      <c r="P804" s="619"/>
      <c r="Q804" s="505"/>
      <c r="R804" s="505"/>
      <c r="S804" s="505"/>
      <c r="T804" s="505"/>
      <c r="U804" s="505"/>
      <c r="V804" s="505"/>
      <c r="W804" s="505"/>
      <c r="X804" s="505"/>
      <c r="Y804" s="505"/>
      <c r="Z804" s="505"/>
      <c r="AA804" s="505"/>
      <c r="AB804" s="505"/>
      <c r="AC804" s="505"/>
    </row>
    <row r="805" spans="1:29">
      <c r="A805" s="505"/>
      <c r="B805" s="505"/>
      <c r="C805" s="505"/>
      <c r="D805" s="505"/>
      <c r="E805" s="505"/>
      <c r="F805" s="505"/>
      <c r="G805" s="505"/>
      <c r="H805" s="505"/>
      <c r="I805" s="505"/>
      <c r="J805" s="505"/>
      <c r="K805" s="517"/>
      <c r="L805" s="518"/>
      <c r="M805" s="505"/>
      <c r="N805" s="505"/>
      <c r="O805" s="505"/>
      <c r="P805" s="619"/>
      <c r="Q805" s="505"/>
      <c r="R805" s="505"/>
      <c r="S805" s="505"/>
      <c r="T805" s="505"/>
      <c r="U805" s="505"/>
      <c r="V805" s="505"/>
      <c r="W805" s="505"/>
      <c r="X805" s="505"/>
      <c r="Y805" s="505"/>
      <c r="Z805" s="505"/>
      <c r="AA805" s="505"/>
      <c r="AB805" s="505"/>
      <c r="AC805" s="505"/>
    </row>
    <row r="806" spans="1:29">
      <c r="A806" s="505"/>
      <c r="B806" s="505"/>
      <c r="C806" s="505"/>
      <c r="D806" s="505"/>
      <c r="E806" s="505"/>
      <c r="F806" s="505"/>
      <c r="G806" s="505"/>
      <c r="H806" s="505"/>
      <c r="I806" s="505"/>
      <c r="J806" s="505"/>
      <c r="K806" s="517"/>
      <c r="L806" s="518"/>
      <c r="M806" s="505"/>
      <c r="N806" s="505"/>
      <c r="O806" s="505"/>
      <c r="P806" s="619"/>
      <c r="Q806" s="505"/>
      <c r="R806" s="505"/>
      <c r="S806" s="505"/>
      <c r="T806" s="505"/>
      <c r="U806" s="505"/>
      <c r="V806" s="505"/>
      <c r="W806" s="505"/>
      <c r="X806" s="505"/>
      <c r="Y806" s="505"/>
      <c r="Z806" s="505"/>
      <c r="AA806" s="505"/>
      <c r="AB806" s="505"/>
      <c r="AC806" s="505"/>
    </row>
    <row r="807" spans="1:29">
      <c r="A807" s="505"/>
      <c r="B807" s="505"/>
      <c r="C807" s="505"/>
      <c r="D807" s="505"/>
      <c r="E807" s="505"/>
      <c r="F807" s="505"/>
      <c r="G807" s="505"/>
      <c r="H807" s="505"/>
      <c r="I807" s="505"/>
      <c r="J807" s="505"/>
      <c r="K807" s="517"/>
      <c r="L807" s="518"/>
      <c r="M807" s="505"/>
      <c r="N807" s="505"/>
      <c r="O807" s="505"/>
      <c r="P807" s="619"/>
      <c r="Q807" s="505"/>
      <c r="R807" s="505"/>
      <c r="S807" s="505"/>
      <c r="T807" s="505"/>
      <c r="U807" s="505"/>
      <c r="V807" s="505"/>
      <c r="W807" s="505"/>
      <c r="X807" s="505"/>
      <c r="Y807" s="505"/>
      <c r="Z807" s="505"/>
      <c r="AA807" s="505"/>
      <c r="AB807" s="505"/>
      <c r="AC807" s="505"/>
    </row>
    <row r="808" spans="1:29">
      <c r="A808" s="505"/>
      <c r="B808" s="505"/>
      <c r="C808" s="505"/>
      <c r="D808" s="505"/>
      <c r="E808" s="505"/>
      <c r="F808" s="505"/>
      <c r="G808" s="505"/>
      <c r="H808" s="505"/>
      <c r="I808" s="505"/>
      <c r="J808" s="505"/>
      <c r="K808" s="517"/>
      <c r="L808" s="518"/>
      <c r="M808" s="505"/>
      <c r="N808" s="505"/>
      <c r="O808" s="505"/>
      <c r="P808" s="619"/>
      <c r="Q808" s="505"/>
      <c r="R808" s="505"/>
      <c r="S808" s="505"/>
      <c r="T808" s="505"/>
      <c r="U808" s="505"/>
      <c r="V808" s="505"/>
      <c r="W808" s="505"/>
      <c r="X808" s="505"/>
      <c r="Y808" s="505"/>
      <c r="Z808" s="505"/>
      <c r="AA808" s="505"/>
      <c r="AB808" s="505"/>
      <c r="AC808" s="505"/>
    </row>
    <row r="809" spans="1:29">
      <c r="A809" s="505"/>
      <c r="B809" s="505"/>
      <c r="C809" s="505"/>
      <c r="D809" s="505"/>
      <c r="E809" s="505"/>
      <c r="F809" s="505"/>
      <c r="G809" s="505"/>
      <c r="H809" s="505"/>
      <c r="I809" s="505"/>
      <c r="J809" s="505"/>
      <c r="K809" s="517"/>
      <c r="L809" s="518"/>
      <c r="M809" s="505"/>
      <c r="N809" s="505"/>
      <c r="O809" s="505"/>
      <c r="P809" s="619"/>
      <c r="Q809" s="505"/>
      <c r="R809" s="505"/>
      <c r="S809" s="505"/>
      <c r="T809" s="505"/>
      <c r="U809" s="505"/>
      <c r="V809" s="505"/>
      <c r="W809" s="505"/>
      <c r="X809" s="505"/>
      <c r="Y809" s="505"/>
      <c r="Z809" s="505"/>
      <c r="AA809" s="505"/>
      <c r="AB809" s="505"/>
      <c r="AC809" s="505"/>
    </row>
    <row r="810" spans="1:29">
      <c r="A810" s="505"/>
      <c r="B810" s="505"/>
      <c r="C810" s="505"/>
      <c r="D810" s="505"/>
      <c r="E810" s="505"/>
      <c r="F810" s="505"/>
      <c r="G810" s="505"/>
      <c r="H810" s="505"/>
      <c r="I810" s="505"/>
      <c r="J810" s="505"/>
      <c r="K810" s="517"/>
      <c r="L810" s="518"/>
      <c r="M810" s="505"/>
      <c r="N810" s="505"/>
      <c r="O810" s="505"/>
      <c r="P810" s="619"/>
      <c r="Q810" s="505"/>
      <c r="R810" s="505"/>
      <c r="S810" s="505"/>
      <c r="T810" s="505"/>
      <c r="U810" s="505"/>
      <c r="V810" s="505"/>
      <c r="W810" s="505"/>
      <c r="X810" s="505"/>
      <c r="Y810" s="505"/>
      <c r="Z810" s="505"/>
      <c r="AA810" s="505"/>
      <c r="AB810" s="505"/>
      <c r="AC810" s="505"/>
    </row>
    <row r="811" spans="1:29">
      <c r="A811" s="505"/>
      <c r="B811" s="505"/>
      <c r="C811" s="505"/>
      <c r="D811" s="505"/>
      <c r="E811" s="505"/>
      <c r="F811" s="505"/>
      <c r="G811" s="505"/>
      <c r="H811" s="505"/>
      <c r="I811" s="505"/>
      <c r="J811" s="505"/>
      <c r="K811" s="517"/>
      <c r="L811" s="518"/>
      <c r="M811" s="505"/>
      <c r="N811" s="505"/>
      <c r="O811" s="505"/>
      <c r="P811" s="619"/>
      <c r="Q811" s="505"/>
      <c r="R811" s="505"/>
      <c r="S811" s="505"/>
      <c r="T811" s="505"/>
      <c r="U811" s="505"/>
      <c r="V811" s="505"/>
      <c r="W811" s="505"/>
      <c r="X811" s="505"/>
      <c r="Y811" s="505"/>
      <c r="Z811" s="505"/>
      <c r="AA811" s="505"/>
      <c r="AB811" s="505"/>
      <c r="AC811" s="505"/>
    </row>
    <row r="812" spans="1:29">
      <c r="A812" s="505"/>
      <c r="B812" s="505"/>
      <c r="C812" s="505"/>
      <c r="D812" s="505"/>
      <c r="E812" s="505"/>
      <c r="F812" s="505"/>
      <c r="G812" s="505"/>
      <c r="H812" s="505"/>
      <c r="I812" s="505"/>
      <c r="J812" s="505"/>
      <c r="K812" s="517"/>
      <c r="L812" s="518"/>
      <c r="M812" s="505"/>
      <c r="N812" s="505"/>
      <c r="O812" s="505"/>
      <c r="P812" s="619"/>
      <c r="Q812" s="505"/>
      <c r="R812" s="505"/>
      <c r="S812" s="505"/>
      <c r="T812" s="505"/>
      <c r="U812" s="505"/>
      <c r="V812" s="505"/>
      <c r="W812" s="505"/>
      <c r="X812" s="505"/>
      <c r="Y812" s="505"/>
      <c r="Z812" s="505"/>
      <c r="AA812" s="505"/>
      <c r="AB812" s="505"/>
      <c r="AC812" s="505"/>
    </row>
    <row r="813" spans="1:29">
      <c r="A813" s="505"/>
      <c r="B813" s="505"/>
      <c r="C813" s="505"/>
      <c r="D813" s="505"/>
      <c r="E813" s="505"/>
      <c r="F813" s="505"/>
      <c r="G813" s="505"/>
      <c r="H813" s="505"/>
      <c r="I813" s="505"/>
      <c r="J813" s="505"/>
      <c r="K813" s="517"/>
      <c r="L813" s="518"/>
      <c r="M813" s="505"/>
      <c r="N813" s="505"/>
      <c r="O813" s="505"/>
      <c r="P813" s="619"/>
      <c r="Q813" s="505"/>
      <c r="R813" s="505"/>
      <c r="S813" s="505"/>
      <c r="T813" s="505"/>
      <c r="U813" s="505"/>
      <c r="V813" s="505"/>
      <c r="W813" s="505"/>
      <c r="X813" s="505"/>
      <c r="Y813" s="505"/>
      <c r="Z813" s="505"/>
      <c r="AA813" s="505"/>
      <c r="AB813" s="505"/>
      <c r="AC813" s="505"/>
    </row>
    <row r="814" spans="1:29">
      <c r="A814" s="505"/>
      <c r="B814" s="505"/>
      <c r="C814" s="505"/>
      <c r="D814" s="505"/>
      <c r="E814" s="505"/>
      <c r="F814" s="505"/>
      <c r="G814" s="505"/>
      <c r="H814" s="505"/>
      <c r="I814" s="505"/>
      <c r="J814" s="505"/>
      <c r="K814" s="517"/>
      <c r="L814" s="518"/>
      <c r="M814" s="505"/>
      <c r="N814" s="505"/>
      <c r="O814" s="505"/>
      <c r="P814" s="619"/>
      <c r="Q814" s="505"/>
      <c r="R814" s="505"/>
      <c r="S814" s="505"/>
      <c r="T814" s="505"/>
      <c r="U814" s="505"/>
      <c r="V814" s="505"/>
      <c r="W814" s="505"/>
      <c r="X814" s="505"/>
      <c r="Y814" s="505"/>
      <c r="Z814" s="505"/>
      <c r="AA814" s="505"/>
      <c r="AB814" s="505"/>
      <c r="AC814" s="505"/>
    </row>
    <row r="815" spans="1:29">
      <c r="A815" s="505"/>
      <c r="B815" s="505"/>
      <c r="C815" s="505"/>
      <c r="D815" s="505"/>
      <c r="E815" s="505"/>
      <c r="F815" s="505"/>
      <c r="G815" s="505"/>
      <c r="H815" s="505"/>
      <c r="I815" s="505"/>
      <c r="J815" s="505"/>
      <c r="K815" s="517"/>
      <c r="L815" s="518"/>
      <c r="M815" s="505"/>
      <c r="N815" s="505"/>
      <c r="O815" s="505"/>
      <c r="P815" s="619"/>
      <c r="Q815" s="505"/>
      <c r="R815" s="505"/>
      <c r="S815" s="505"/>
      <c r="T815" s="505"/>
      <c r="U815" s="505"/>
      <c r="V815" s="505"/>
      <c r="W815" s="505"/>
      <c r="X815" s="505"/>
      <c r="Y815" s="505"/>
      <c r="Z815" s="505"/>
      <c r="AA815" s="505"/>
      <c r="AB815" s="505"/>
      <c r="AC815" s="505"/>
    </row>
    <row r="816" spans="1:29">
      <c r="A816" s="505"/>
      <c r="B816" s="505"/>
      <c r="C816" s="505"/>
      <c r="D816" s="505"/>
      <c r="E816" s="505"/>
      <c r="F816" s="505"/>
      <c r="G816" s="505"/>
      <c r="H816" s="505"/>
      <c r="I816" s="505"/>
      <c r="J816" s="505"/>
      <c r="K816" s="517"/>
      <c r="L816" s="518"/>
      <c r="M816" s="505"/>
      <c r="N816" s="505"/>
      <c r="O816" s="505"/>
      <c r="P816" s="619"/>
      <c r="Q816" s="505"/>
      <c r="R816" s="505"/>
      <c r="S816" s="505"/>
      <c r="T816" s="505"/>
      <c r="U816" s="505"/>
      <c r="V816" s="505"/>
      <c r="W816" s="505"/>
      <c r="X816" s="505"/>
      <c r="Y816" s="505"/>
      <c r="Z816" s="505"/>
      <c r="AA816" s="505"/>
      <c r="AB816" s="505"/>
      <c r="AC816" s="505"/>
    </row>
    <row r="817" spans="1:29">
      <c r="A817" s="505"/>
      <c r="B817" s="505"/>
      <c r="C817" s="505"/>
      <c r="D817" s="505"/>
      <c r="E817" s="505"/>
      <c r="F817" s="505"/>
      <c r="G817" s="505"/>
      <c r="H817" s="505"/>
      <c r="I817" s="505"/>
      <c r="J817" s="505"/>
      <c r="K817" s="517"/>
      <c r="L817" s="518"/>
      <c r="M817" s="505"/>
      <c r="N817" s="505"/>
      <c r="O817" s="505"/>
      <c r="P817" s="619"/>
      <c r="Q817" s="505"/>
      <c r="R817" s="505"/>
      <c r="S817" s="505"/>
      <c r="T817" s="505"/>
      <c r="U817" s="505"/>
      <c r="V817" s="505"/>
      <c r="W817" s="505"/>
      <c r="X817" s="505"/>
      <c r="Y817" s="505"/>
      <c r="Z817" s="505"/>
      <c r="AA817" s="505"/>
      <c r="AB817" s="505"/>
      <c r="AC817" s="505"/>
    </row>
    <row r="818" spans="1:29">
      <c r="A818" s="505"/>
      <c r="B818" s="505"/>
      <c r="C818" s="505"/>
      <c r="D818" s="505"/>
      <c r="E818" s="505"/>
      <c r="F818" s="505"/>
      <c r="G818" s="505"/>
      <c r="H818" s="505"/>
      <c r="I818" s="505"/>
      <c r="J818" s="505"/>
      <c r="K818" s="517"/>
      <c r="L818" s="518"/>
      <c r="M818" s="505"/>
      <c r="N818" s="505"/>
      <c r="O818" s="505"/>
      <c r="P818" s="619"/>
      <c r="Q818" s="505"/>
      <c r="R818" s="505"/>
      <c r="S818" s="505"/>
      <c r="T818" s="505"/>
      <c r="U818" s="505"/>
      <c r="V818" s="505"/>
      <c r="W818" s="505"/>
      <c r="X818" s="505"/>
      <c r="Y818" s="505"/>
      <c r="Z818" s="505"/>
      <c r="AA818" s="505"/>
      <c r="AB818" s="505"/>
      <c r="AC818" s="505"/>
    </row>
    <row r="819" spans="1:29">
      <c r="A819" s="505"/>
      <c r="B819" s="505"/>
      <c r="C819" s="505"/>
      <c r="D819" s="505"/>
      <c r="E819" s="505"/>
      <c r="F819" s="505"/>
      <c r="G819" s="505"/>
      <c r="H819" s="505"/>
      <c r="I819" s="505"/>
      <c r="J819" s="505"/>
      <c r="K819" s="517"/>
      <c r="L819" s="518"/>
      <c r="M819" s="505"/>
      <c r="N819" s="505"/>
      <c r="O819" s="505"/>
      <c r="P819" s="619"/>
      <c r="Q819" s="505"/>
      <c r="R819" s="505"/>
      <c r="S819" s="505"/>
      <c r="T819" s="505"/>
      <c r="U819" s="505"/>
      <c r="V819" s="505"/>
      <c r="W819" s="505"/>
      <c r="X819" s="505"/>
      <c r="Y819" s="505"/>
      <c r="Z819" s="505"/>
      <c r="AA819" s="505"/>
      <c r="AB819" s="505"/>
      <c r="AC819" s="505"/>
    </row>
    <row r="820" spans="1:29">
      <c r="A820" s="505"/>
      <c r="B820" s="505"/>
      <c r="C820" s="505"/>
      <c r="D820" s="505"/>
      <c r="E820" s="505"/>
      <c r="F820" s="505"/>
      <c r="G820" s="505"/>
      <c r="H820" s="505"/>
      <c r="I820" s="505"/>
      <c r="J820" s="505"/>
      <c r="K820" s="517"/>
      <c r="L820" s="518"/>
      <c r="M820" s="505"/>
      <c r="N820" s="505"/>
      <c r="O820" s="505"/>
      <c r="P820" s="619"/>
      <c r="Q820" s="505"/>
      <c r="R820" s="505"/>
      <c r="S820" s="505"/>
      <c r="T820" s="505"/>
      <c r="U820" s="505"/>
      <c r="V820" s="505"/>
      <c r="W820" s="505"/>
      <c r="X820" s="505"/>
      <c r="Y820" s="505"/>
      <c r="Z820" s="505"/>
      <c r="AA820" s="505"/>
      <c r="AB820" s="505"/>
      <c r="AC820" s="505"/>
    </row>
    <row r="821" spans="1:29">
      <c r="A821" s="505"/>
      <c r="B821" s="505"/>
      <c r="C821" s="505"/>
      <c r="D821" s="505"/>
      <c r="E821" s="505"/>
      <c r="F821" s="505"/>
      <c r="G821" s="505"/>
      <c r="H821" s="505"/>
      <c r="I821" s="505"/>
      <c r="J821" s="505"/>
      <c r="K821" s="517"/>
      <c r="L821" s="518"/>
      <c r="M821" s="505"/>
      <c r="N821" s="505"/>
      <c r="O821" s="505"/>
      <c r="P821" s="619"/>
      <c r="Q821" s="505"/>
      <c r="R821" s="505"/>
      <c r="S821" s="505"/>
      <c r="T821" s="505"/>
      <c r="U821" s="505"/>
      <c r="V821" s="505"/>
      <c r="W821" s="505"/>
      <c r="X821" s="505"/>
      <c r="Y821" s="505"/>
      <c r="Z821" s="505"/>
      <c r="AA821" s="505"/>
      <c r="AB821" s="505"/>
      <c r="AC821" s="505"/>
    </row>
    <row r="822" spans="1:29">
      <c r="A822" s="505"/>
      <c r="B822" s="505"/>
      <c r="C822" s="505"/>
      <c r="D822" s="505"/>
      <c r="E822" s="505"/>
      <c r="F822" s="505"/>
      <c r="G822" s="505"/>
      <c r="H822" s="505"/>
      <c r="I822" s="505"/>
      <c r="J822" s="505"/>
      <c r="K822" s="517"/>
      <c r="L822" s="518"/>
      <c r="M822" s="505"/>
      <c r="N822" s="505"/>
      <c r="O822" s="505"/>
      <c r="P822" s="619"/>
      <c r="Q822" s="505"/>
      <c r="R822" s="505"/>
      <c r="S822" s="505"/>
      <c r="T822" s="505"/>
      <c r="U822" s="505"/>
      <c r="V822" s="505"/>
      <c r="W822" s="505"/>
      <c r="X822" s="505"/>
      <c r="Y822" s="505"/>
      <c r="Z822" s="505"/>
      <c r="AA822" s="505"/>
      <c r="AB822" s="505"/>
      <c r="AC822" s="505"/>
    </row>
    <row r="823" spans="1:29">
      <c r="A823" s="505"/>
      <c r="B823" s="505"/>
      <c r="C823" s="505"/>
      <c r="D823" s="505"/>
      <c r="E823" s="505"/>
      <c r="F823" s="505"/>
      <c r="G823" s="505"/>
      <c r="H823" s="505"/>
      <c r="I823" s="505"/>
      <c r="J823" s="505"/>
      <c r="K823" s="517"/>
      <c r="L823" s="518"/>
      <c r="M823" s="505"/>
      <c r="N823" s="505"/>
      <c r="O823" s="505"/>
      <c r="P823" s="619"/>
      <c r="Q823" s="505"/>
      <c r="R823" s="505"/>
      <c r="S823" s="505"/>
      <c r="T823" s="505"/>
      <c r="U823" s="505"/>
      <c r="V823" s="505"/>
      <c r="W823" s="505"/>
      <c r="X823" s="505"/>
      <c r="Y823" s="505"/>
      <c r="Z823" s="505"/>
      <c r="AA823" s="505"/>
      <c r="AB823" s="505"/>
      <c r="AC823" s="505"/>
    </row>
    <row r="824" spans="1:29">
      <c r="A824" s="505"/>
      <c r="B824" s="505"/>
      <c r="C824" s="505"/>
      <c r="D824" s="505"/>
      <c r="E824" s="505"/>
      <c r="F824" s="505"/>
      <c r="G824" s="505"/>
      <c r="H824" s="505"/>
      <c r="I824" s="505"/>
      <c r="J824" s="505"/>
      <c r="K824" s="517"/>
      <c r="L824" s="518"/>
      <c r="M824" s="505"/>
      <c r="N824" s="505"/>
      <c r="O824" s="505"/>
      <c r="P824" s="619"/>
      <c r="Q824" s="505"/>
      <c r="R824" s="505"/>
      <c r="S824" s="505"/>
      <c r="T824" s="505"/>
      <c r="U824" s="505"/>
      <c r="V824" s="505"/>
      <c r="W824" s="505"/>
      <c r="X824" s="505"/>
      <c r="Y824" s="505"/>
      <c r="Z824" s="505"/>
      <c r="AA824" s="505"/>
      <c r="AB824" s="505"/>
      <c r="AC824" s="505"/>
    </row>
    <row r="825" spans="1:29">
      <c r="A825" s="505"/>
      <c r="B825" s="505"/>
      <c r="C825" s="505"/>
      <c r="D825" s="505"/>
      <c r="E825" s="505"/>
      <c r="F825" s="505"/>
      <c r="G825" s="505"/>
      <c r="H825" s="505"/>
      <c r="I825" s="505"/>
      <c r="J825" s="505"/>
      <c r="K825" s="517"/>
      <c r="L825" s="518"/>
      <c r="M825" s="505"/>
      <c r="N825" s="505"/>
      <c r="O825" s="505"/>
      <c r="P825" s="619"/>
      <c r="Q825" s="505"/>
      <c r="R825" s="505"/>
      <c r="S825" s="505"/>
      <c r="T825" s="505"/>
      <c r="U825" s="505"/>
      <c r="V825" s="505"/>
      <c r="W825" s="505"/>
      <c r="X825" s="505"/>
      <c r="Y825" s="505"/>
      <c r="Z825" s="505"/>
      <c r="AA825" s="505"/>
      <c r="AB825" s="505"/>
      <c r="AC825" s="505"/>
    </row>
    <row r="826" spans="1:29">
      <c r="A826" s="505"/>
      <c r="B826" s="505"/>
      <c r="C826" s="505"/>
      <c r="D826" s="505"/>
      <c r="E826" s="505"/>
      <c r="F826" s="505"/>
      <c r="G826" s="505"/>
      <c r="H826" s="505"/>
      <c r="I826" s="505"/>
      <c r="J826" s="505"/>
      <c r="K826" s="517"/>
      <c r="L826" s="518"/>
      <c r="M826" s="505"/>
      <c r="N826" s="505"/>
      <c r="O826" s="505"/>
      <c r="P826" s="619"/>
      <c r="Q826" s="505"/>
      <c r="R826" s="505"/>
      <c r="S826" s="505"/>
      <c r="T826" s="505"/>
      <c r="U826" s="505"/>
      <c r="V826" s="505"/>
      <c r="W826" s="505"/>
      <c r="X826" s="505"/>
      <c r="Y826" s="505"/>
      <c r="Z826" s="505"/>
      <c r="AA826" s="505"/>
      <c r="AB826" s="505"/>
      <c r="AC826" s="505"/>
    </row>
    <row r="827" spans="1:29">
      <c r="A827" s="505"/>
      <c r="B827" s="505"/>
      <c r="C827" s="505"/>
      <c r="D827" s="505"/>
      <c r="E827" s="505"/>
      <c r="F827" s="505"/>
      <c r="G827" s="505"/>
      <c r="H827" s="505"/>
      <c r="I827" s="505"/>
      <c r="J827" s="505"/>
      <c r="K827" s="517"/>
      <c r="L827" s="518"/>
      <c r="M827" s="505"/>
      <c r="N827" s="505"/>
      <c r="O827" s="505"/>
      <c r="P827" s="619"/>
      <c r="Q827" s="505"/>
      <c r="R827" s="505"/>
      <c r="S827" s="505"/>
      <c r="T827" s="505"/>
      <c r="U827" s="505"/>
      <c r="V827" s="505"/>
      <c r="W827" s="505"/>
      <c r="X827" s="505"/>
      <c r="Y827" s="505"/>
      <c r="Z827" s="505"/>
      <c r="AA827" s="505"/>
      <c r="AB827" s="505"/>
      <c r="AC827" s="505"/>
    </row>
    <row r="828" spans="1:29">
      <c r="A828" s="505"/>
      <c r="B828" s="505"/>
      <c r="C828" s="505"/>
      <c r="D828" s="505"/>
      <c r="E828" s="505"/>
      <c r="F828" s="505"/>
      <c r="G828" s="505"/>
      <c r="H828" s="505"/>
      <c r="I828" s="505"/>
      <c r="J828" s="505"/>
      <c r="K828" s="517"/>
      <c r="L828" s="518"/>
      <c r="M828" s="505"/>
      <c r="N828" s="505"/>
      <c r="O828" s="505"/>
      <c r="P828" s="619"/>
      <c r="Q828" s="505"/>
      <c r="R828" s="505"/>
      <c r="S828" s="505"/>
      <c r="T828" s="505"/>
      <c r="U828" s="505"/>
      <c r="V828" s="505"/>
      <c r="W828" s="505"/>
      <c r="X828" s="505"/>
      <c r="Y828" s="505"/>
      <c r="Z828" s="505"/>
      <c r="AA828" s="505"/>
      <c r="AB828" s="505"/>
      <c r="AC828" s="505"/>
    </row>
    <row r="829" spans="1:29">
      <c r="A829" s="505"/>
      <c r="B829" s="505"/>
      <c r="C829" s="505"/>
      <c r="D829" s="505"/>
      <c r="E829" s="505"/>
      <c r="F829" s="505"/>
      <c r="G829" s="505"/>
      <c r="H829" s="505"/>
      <c r="I829" s="505"/>
      <c r="J829" s="505"/>
      <c r="K829" s="517"/>
      <c r="L829" s="518"/>
      <c r="M829" s="505"/>
      <c r="N829" s="505"/>
      <c r="O829" s="505"/>
      <c r="P829" s="619"/>
      <c r="Q829" s="505"/>
      <c r="R829" s="505"/>
      <c r="S829" s="505"/>
      <c r="T829" s="505"/>
      <c r="U829" s="505"/>
      <c r="V829" s="505"/>
      <c r="W829" s="505"/>
      <c r="X829" s="505"/>
      <c r="Y829" s="505"/>
      <c r="Z829" s="505"/>
      <c r="AA829" s="505"/>
      <c r="AB829" s="505"/>
      <c r="AC829" s="505"/>
    </row>
    <row r="830" spans="1:29">
      <c r="A830" s="505"/>
      <c r="B830" s="505"/>
      <c r="C830" s="505"/>
      <c r="D830" s="505"/>
      <c r="E830" s="505"/>
      <c r="F830" s="505"/>
      <c r="G830" s="505"/>
      <c r="H830" s="505"/>
      <c r="I830" s="505"/>
      <c r="J830" s="505"/>
      <c r="K830" s="517"/>
      <c r="L830" s="518"/>
      <c r="M830" s="505"/>
      <c r="N830" s="505"/>
      <c r="O830" s="505"/>
      <c r="P830" s="619"/>
      <c r="Q830" s="505"/>
      <c r="R830" s="505"/>
      <c r="S830" s="505"/>
      <c r="T830" s="505"/>
      <c r="U830" s="505"/>
      <c r="V830" s="505"/>
      <c r="W830" s="505"/>
      <c r="X830" s="505"/>
      <c r="Y830" s="505"/>
      <c r="Z830" s="505"/>
      <c r="AA830" s="505"/>
      <c r="AB830" s="505"/>
      <c r="AC830" s="505"/>
    </row>
    <row r="831" spans="1:29">
      <c r="A831" s="505"/>
      <c r="B831" s="505"/>
      <c r="C831" s="505"/>
      <c r="D831" s="505"/>
      <c r="E831" s="505"/>
      <c r="F831" s="505"/>
      <c r="G831" s="505"/>
      <c r="H831" s="505"/>
      <c r="I831" s="505"/>
      <c r="J831" s="505"/>
      <c r="K831" s="517"/>
      <c r="L831" s="518"/>
      <c r="M831" s="505"/>
      <c r="N831" s="505"/>
      <c r="O831" s="505"/>
      <c r="P831" s="619"/>
      <c r="Q831" s="505"/>
      <c r="R831" s="505"/>
      <c r="S831" s="505"/>
      <c r="T831" s="505"/>
      <c r="U831" s="505"/>
      <c r="V831" s="505"/>
      <c r="W831" s="505"/>
      <c r="X831" s="505"/>
      <c r="Y831" s="505"/>
      <c r="Z831" s="505"/>
      <c r="AA831" s="505"/>
      <c r="AB831" s="505"/>
      <c r="AC831" s="505"/>
    </row>
    <row r="832" spans="1:29">
      <c r="A832" s="505"/>
      <c r="B832" s="505"/>
      <c r="C832" s="505"/>
      <c r="D832" s="505"/>
      <c r="E832" s="505"/>
      <c r="F832" s="505"/>
      <c r="G832" s="505"/>
      <c r="H832" s="505"/>
      <c r="I832" s="505"/>
      <c r="J832" s="505"/>
      <c r="K832" s="517"/>
      <c r="L832" s="518"/>
      <c r="M832" s="505"/>
      <c r="N832" s="505"/>
      <c r="O832" s="505"/>
      <c r="P832" s="619"/>
      <c r="Q832" s="505"/>
      <c r="R832" s="505"/>
      <c r="S832" s="505"/>
      <c r="T832" s="505"/>
      <c r="U832" s="505"/>
      <c r="V832" s="505"/>
      <c r="W832" s="505"/>
      <c r="X832" s="505"/>
      <c r="Y832" s="505"/>
      <c r="Z832" s="505"/>
      <c r="AA832" s="505"/>
      <c r="AB832" s="505"/>
      <c r="AC832" s="505"/>
    </row>
    <row r="833" spans="1:29">
      <c r="A833" s="505"/>
      <c r="B833" s="505"/>
      <c r="C833" s="505"/>
      <c r="D833" s="505"/>
      <c r="E833" s="505"/>
      <c r="F833" s="505"/>
      <c r="G833" s="505"/>
      <c r="H833" s="505"/>
      <c r="I833" s="505"/>
      <c r="J833" s="505"/>
      <c r="K833" s="517"/>
      <c r="L833" s="518"/>
      <c r="M833" s="505"/>
      <c r="N833" s="505"/>
      <c r="O833" s="505"/>
      <c r="P833" s="619"/>
      <c r="Q833" s="505"/>
      <c r="R833" s="505"/>
      <c r="S833" s="505"/>
      <c r="T833" s="505"/>
      <c r="U833" s="505"/>
      <c r="V833" s="505"/>
      <c r="W833" s="505"/>
      <c r="X833" s="505"/>
      <c r="Y833" s="505"/>
      <c r="Z833" s="505"/>
      <c r="AA833" s="505"/>
      <c r="AB833" s="505"/>
      <c r="AC833" s="505"/>
    </row>
    <row r="834" spans="1:29">
      <c r="A834" s="505"/>
      <c r="B834" s="505"/>
      <c r="C834" s="505"/>
      <c r="D834" s="505"/>
      <c r="E834" s="505"/>
      <c r="F834" s="505"/>
      <c r="G834" s="505"/>
      <c r="H834" s="505"/>
      <c r="I834" s="505"/>
      <c r="J834" s="505"/>
      <c r="K834" s="517"/>
      <c r="L834" s="518"/>
      <c r="M834" s="505"/>
      <c r="N834" s="505"/>
      <c r="O834" s="505"/>
      <c r="P834" s="619"/>
      <c r="Q834" s="505"/>
      <c r="R834" s="505"/>
      <c r="S834" s="505"/>
      <c r="T834" s="505"/>
      <c r="U834" s="505"/>
      <c r="V834" s="505"/>
      <c r="W834" s="505"/>
      <c r="X834" s="505"/>
      <c r="Y834" s="505"/>
      <c r="Z834" s="505"/>
      <c r="AA834" s="505"/>
      <c r="AB834" s="505"/>
      <c r="AC834" s="505"/>
    </row>
    <row r="835" spans="1:29">
      <c r="A835" s="505"/>
      <c r="B835" s="505"/>
      <c r="C835" s="505"/>
      <c r="D835" s="505"/>
      <c r="E835" s="505"/>
      <c r="F835" s="505"/>
      <c r="G835" s="505"/>
      <c r="H835" s="505"/>
      <c r="I835" s="505"/>
      <c r="J835" s="505"/>
      <c r="K835" s="517"/>
      <c r="L835" s="518"/>
      <c r="M835" s="505"/>
      <c r="N835" s="505"/>
      <c r="O835" s="505"/>
      <c r="P835" s="619"/>
      <c r="Q835" s="505"/>
      <c r="R835" s="505"/>
      <c r="S835" s="505"/>
      <c r="T835" s="505"/>
      <c r="U835" s="505"/>
      <c r="V835" s="505"/>
      <c r="W835" s="505"/>
      <c r="X835" s="505"/>
      <c r="Y835" s="505"/>
      <c r="Z835" s="505"/>
      <c r="AA835" s="505"/>
      <c r="AB835" s="505"/>
      <c r="AC835" s="505"/>
    </row>
    <row r="836" spans="1:29">
      <c r="A836" s="505"/>
      <c r="B836" s="505"/>
      <c r="C836" s="505"/>
      <c r="D836" s="505"/>
      <c r="E836" s="505"/>
      <c r="F836" s="505"/>
      <c r="G836" s="505"/>
      <c r="H836" s="505"/>
      <c r="I836" s="505"/>
      <c r="J836" s="505"/>
      <c r="K836" s="517"/>
      <c r="L836" s="518"/>
      <c r="M836" s="505"/>
      <c r="N836" s="505"/>
      <c r="O836" s="505"/>
      <c r="P836" s="619"/>
      <c r="Q836" s="505"/>
      <c r="R836" s="505"/>
      <c r="S836" s="505"/>
      <c r="T836" s="505"/>
      <c r="U836" s="505"/>
      <c r="V836" s="505"/>
      <c r="W836" s="505"/>
      <c r="X836" s="505"/>
      <c r="Y836" s="505"/>
      <c r="Z836" s="505"/>
      <c r="AA836" s="505"/>
      <c r="AB836" s="505"/>
      <c r="AC836" s="505"/>
    </row>
    <row r="837" spans="1:29">
      <c r="A837" s="505"/>
      <c r="B837" s="505"/>
      <c r="C837" s="505"/>
      <c r="D837" s="505"/>
      <c r="E837" s="505"/>
      <c r="F837" s="505"/>
      <c r="G837" s="505"/>
      <c r="H837" s="505"/>
      <c r="I837" s="505"/>
      <c r="J837" s="505"/>
      <c r="K837" s="517"/>
      <c r="L837" s="518"/>
      <c r="M837" s="505"/>
      <c r="N837" s="505"/>
      <c r="O837" s="505"/>
      <c r="P837" s="619"/>
      <c r="Q837" s="505"/>
      <c r="R837" s="505"/>
      <c r="S837" s="505"/>
      <c r="T837" s="505"/>
      <c r="U837" s="505"/>
      <c r="V837" s="505"/>
      <c r="W837" s="505"/>
      <c r="X837" s="505"/>
      <c r="Y837" s="505"/>
      <c r="Z837" s="505"/>
      <c r="AA837" s="505"/>
      <c r="AB837" s="505"/>
      <c r="AC837" s="505"/>
    </row>
    <row r="838" spans="1:29">
      <c r="A838" s="505"/>
      <c r="B838" s="505"/>
      <c r="C838" s="505"/>
      <c r="D838" s="505"/>
      <c r="E838" s="505"/>
      <c r="F838" s="505"/>
      <c r="G838" s="505"/>
      <c r="H838" s="505"/>
      <c r="I838" s="505"/>
      <c r="J838" s="505"/>
      <c r="K838" s="517"/>
      <c r="L838" s="518"/>
      <c r="M838" s="505"/>
      <c r="N838" s="505"/>
      <c r="O838" s="505"/>
      <c r="P838" s="619"/>
      <c r="Q838" s="505"/>
      <c r="R838" s="505"/>
      <c r="S838" s="505"/>
      <c r="T838" s="505"/>
      <c r="U838" s="505"/>
      <c r="V838" s="505"/>
      <c r="W838" s="505"/>
      <c r="X838" s="505"/>
      <c r="Y838" s="505"/>
      <c r="Z838" s="505"/>
      <c r="AA838" s="505"/>
      <c r="AB838" s="505"/>
      <c r="AC838" s="505"/>
    </row>
    <row r="839" spans="1:29">
      <c r="A839" s="505"/>
      <c r="B839" s="505"/>
      <c r="C839" s="505"/>
      <c r="D839" s="505"/>
      <c r="E839" s="505"/>
      <c r="F839" s="505"/>
      <c r="G839" s="505"/>
      <c r="H839" s="505"/>
      <c r="I839" s="505"/>
      <c r="J839" s="505"/>
      <c r="K839" s="517"/>
      <c r="L839" s="518"/>
      <c r="M839" s="505"/>
      <c r="N839" s="505"/>
      <c r="O839" s="505"/>
      <c r="P839" s="619"/>
      <c r="Q839" s="505"/>
      <c r="R839" s="505"/>
      <c r="S839" s="505"/>
      <c r="T839" s="505"/>
      <c r="U839" s="505"/>
      <c r="V839" s="505"/>
      <c r="W839" s="505"/>
      <c r="X839" s="505"/>
      <c r="Y839" s="505"/>
      <c r="Z839" s="505"/>
      <c r="AA839" s="505"/>
      <c r="AB839" s="505"/>
      <c r="AC839" s="505"/>
    </row>
    <row r="840" spans="1:29">
      <c r="A840" s="505"/>
      <c r="B840" s="505"/>
      <c r="C840" s="505"/>
      <c r="D840" s="505"/>
      <c r="E840" s="505"/>
      <c r="F840" s="505"/>
      <c r="G840" s="505"/>
      <c r="H840" s="505"/>
      <c r="I840" s="505"/>
      <c r="J840" s="505"/>
      <c r="K840" s="517"/>
      <c r="L840" s="518"/>
      <c r="M840" s="505"/>
      <c r="N840" s="505"/>
      <c r="O840" s="505"/>
      <c r="P840" s="619"/>
      <c r="Q840" s="505"/>
      <c r="R840" s="505"/>
      <c r="S840" s="505"/>
      <c r="T840" s="505"/>
      <c r="U840" s="505"/>
      <c r="V840" s="505"/>
      <c r="W840" s="505"/>
      <c r="X840" s="505"/>
      <c r="Y840" s="505"/>
      <c r="Z840" s="505"/>
      <c r="AA840" s="505"/>
      <c r="AB840" s="505"/>
      <c r="AC840" s="505"/>
    </row>
    <row r="841" spans="1:29">
      <c r="A841" s="505"/>
      <c r="B841" s="505"/>
      <c r="C841" s="505"/>
      <c r="D841" s="505"/>
      <c r="E841" s="505"/>
      <c r="F841" s="505"/>
      <c r="G841" s="505"/>
      <c r="H841" s="505"/>
      <c r="I841" s="505"/>
      <c r="J841" s="505"/>
      <c r="K841" s="517"/>
      <c r="L841" s="518"/>
      <c r="M841" s="505"/>
      <c r="N841" s="505"/>
      <c r="O841" s="505"/>
      <c r="P841" s="619"/>
      <c r="Q841" s="505"/>
      <c r="R841" s="505"/>
      <c r="S841" s="505"/>
      <c r="T841" s="505"/>
      <c r="U841" s="505"/>
      <c r="V841" s="505"/>
      <c r="W841" s="505"/>
      <c r="X841" s="505"/>
      <c r="Y841" s="505"/>
      <c r="Z841" s="505"/>
      <c r="AA841" s="505"/>
      <c r="AB841" s="505"/>
      <c r="AC841" s="505"/>
    </row>
    <row r="842" spans="1:29">
      <c r="A842" s="505"/>
      <c r="B842" s="505"/>
      <c r="C842" s="505"/>
      <c r="D842" s="505"/>
      <c r="E842" s="505"/>
      <c r="F842" s="505"/>
      <c r="G842" s="505"/>
      <c r="H842" s="505"/>
      <c r="I842" s="505"/>
      <c r="J842" s="505"/>
      <c r="K842" s="517"/>
      <c r="L842" s="518"/>
      <c r="M842" s="505"/>
      <c r="N842" s="505"/>
      <c r="O842" s="505"/>
      <c r="P842" s="619"/>
      <c r="Q842" s="505"/>
      <c r="R842" s="505"/>
      <c r="S842" s="505"/>
      <c r="T842" s="505"/>
      <c r="U842" s="505"/>
      <c r="V842" s="505"/>
      <c r="W842" s="505"/>
      <c r="X842" s="505"/>
      <c r="Y842" s="505"/>
      <c r="Z842" s="505"/>
      <c r="AA842" s="505"/>
      <c r="AB842" s="505"/>
      <c r="AC842" s="505"/>
    </row>
    <row r="843" spans="1:29">
      <c r="A843" s="505"/>
      <c r="B843" s="505"/>
      <c r="C843" s="505"/>
      <c r="D843" s="505"/>
      <c r="E843" s="505"/>
      <c r="F843" s="505"/>
      <c r="G843" s="505"/>
      <c r="H843" s="505"/>
      <c r="I843" s="505"/>
      <c r="J843" s="505"/>
      <c r="K843" s="517"/>
      <c r="L843" s="518"/>
      <c r="M843" s="505"/>
      <c r="N843" s="505"/>
      <c r="O843" s="505"/>
      <c r="P843" s="619"/>
      <c r="Q843" s="505"/>
      <c r="R843" s="505"/>
      <c r="S843" s="505"/>
      <c r="T843" s="505"/>
      <c r="U843" s="505"/>
      <c r="V843" s="505"/>
      <c r="W843" s="505"/>
      <c r="X843" s="505"/>
      <c r="Y843" s="505"/>
      <c r="Z843" s="505"/>
      <c r="AA843" s="505"/>
      <c r="AB843" s="505"/>
      <c r="AC843" s="505"/>
    </row>
    <row r="844" spans="1:29">
      <c r="A844" s="505"/>
      <c r="B844" s="505"/>
      <c r="C844" s="505"/>
      <c r="D844" s="505"/>
      <c r="E844" s="505"/>
      <c r="F844" s="505"/>
      <c r="G844" s="505"/>
      <c r="H844" s="505"/>
      <c r="I844" s="505"/>
      <c r="J844" s="505"/>
      <c r="K844" s="517"/>
      <c r="L844" s="518"/>
      <c r="M844" s="505"/>
      <c r="N844" s="505"/>
      <c r="O844" s="505"/>
      <c r="P844" s="619"/>
      <c r="Q844" s="505"/>
      <c r="R844" s="505"/>
      <c r="S844" s="505"/>
      <c r="T844" s="505"/>
      <c r="U844" s="505"/>
      <c r="V844" s="505"/>
      <c r="W844" s="505"/>
      <c r="X844" s="505"/>
      <c r="Y844" s="505"/>
      <c r="Z844" s="505"/>
      <c r="AA844" s="505"/>
      <c r="AB844" s="505"/>
      <c r="AC844" s="505"/>
    </row>
    <row r="845" spans="1:29">
      <c r="A845" s="505"/>
      <c r="B845" s="505"/>
      <c r="C845" s="505"/>
      <c r="D845" s="505"/>
      <c r="E845" s="505"/>
      <c r="F845" s="505"/>
      <c r="G845" s="505"/>
      <c r="H845" s="505"/>
      <c r="I845" s="505"/>
      <c r="J845" s="505"/>
      <c r="K845" s="517"/>
      <c r="L845" s="518"/>
      <c r="M845" s="505"/>
      <c r="N845" s="505"/>
      <c r="O845" s="505"/>
      <c r="P845" s="619"/>
      <c r="Q845" s="505"/>
      <c r="R845" s="505"/>
      <c r="S845" s="505"/>
      <c r="T845" s="505"/>
      <c r="U845" s="505"/>
      <c r="V845" s="505"/>
      <c r="W845" s="505"/>
      <c r="X845" s="505"/>
      <c r="Y845" s="505"/>
      <c r="Z845" s="505"/>
      <c r="AA845" s="505"/>
      <c r="AB845" s="505"/>
      <c r="AC845" s="505"/>
    </row>
    <row r="846" spans="1:29">
      <c r="A846" s="505"/>
      <c r="B846" s="505"/>
      <c r="C846" s="505"/>
      <c r="D846" s="505"/>
      <c r="E846" s="505"/>
      <c r="F846" s="505"/>
      <c r="G846" s="505"/>
      <c r="H846" s="505"/>
      <c r="I846" s="505"/>
      <c r="J846" s="505"/>
      <c r="K846" s="517"/>
      <c r="L846" s="518"/>
      <c r="M846" s="505"/>
      <c r="N846" s="505"/>
      <c r="O846" s="505"/>
      <c r="P846" s="619"/>
      <c r="Q846" s="505"/>
      <c r="R846" s="505"/>
      <c r="S846" s="505"/>
      <c r="T846" s="505"/>
      <c r="U846" s="505"/>
      <c r="V846" s="505"/>
      <c r="W846" s="505"/>
      <c r="X846" s="505"/>
      <c r="Y846" s="505"/>
      <c r="Z846" s="505"/>
      <c r="AA846" s="505"/>
      <c r="AB846" s="505"/>
      <c r="AC846" s="505"/>
    </row>
    <row r="847" spans="1:29">
      <c r="A847" s="505"/>
      <c r="B847" s="505"/>
      <c r="C847" s="505"/>
      <c r="D847" s="505"/>
      <c r="E847" s="505"/>
      <c r="F847" s="505"/>
      <c r="G847" s="505"/>
      <c r="H847" s="505"/>
      <c r="I847" s="505"/>
      <c r="J847" s="505"/>
      <c r="K847" s="517"/>
      <c r="L847" s="518"/>
      <c r="M847" s="505"/>
      <c r="N847" s="505"/>
      <c r="O847" s="505"/>
      <c r="P847" s="619"/>
      <c r="Q847" s="505"/>
      <c r="R847" s="505"/>
      <c r="S847" s="505"/>
      <c r="T847" s="505"/>
      <c r="U847" s="505"/>
      <c r="V847" s="505"/>
      <c r="W847" s="505"/>
      <c r="X847" s="505"/>
      <c r="Y847" s="505"/>
      <c r="Z847" s="505"/>
      <c r="AA847" s="505"/>
      <c r="AB847" s="505"/>
      <c r="AC847" s="505"/>
    </row>
    <row r="848" spans="1:29">
      <c r="A848" s="505"/>
      <c r="B848" s="505"/>
      <c r="C848" s="505"/>
      <c r="D848" s="505"/>
      <c r="E848" s="505"/>
      <c r="F848" s="505"/>
      <c r="G848" s="505"/>
      <c r="H848" s="505"/>
      <c r="I848" s="505"/>
      <c r="J848" s="505"/>
      <c r="K848" s="517"/>
      <c r="L848" s="518"/>
      <c r="M848" s="505"/>
      <c r="N848" s="505"/>
      <c r="O848" s="505"/>
      <c r="P848" s="619"/>
      <c r="Q848" s="505"/>
      <c r="R848" s="505"/>
      <c r="S848" s="505"/>
      <c r="T848" s="505"/>
      <c r="U848" s="505"/>
      <c r="V848" s="505"/>
      <c r="W848" s="505"/>
      <c r="X848" s="505"/>
      <c r="Y848" s="505"/>
      <c r="Z848" s="505"/>
      <c r="AA848" s="505"/>
      <c r="AB848" s="505"/>
      <c r="AC848" s="505"/>
    </row>
    <row r="849" spans="1:29">
      <c r="A849" s="505"/>
      <c r="B849" s="505"/>
      <c r="C849" s="505"/>
      <c r="D849" s="505"/>
      <c r="E849" s="505"/>
      <c r="F849" s="505"/>
      <c r="G849" s="505"/>
      <c r="H849" s="505"/>
      <c r="I849" s="505"/>
      <c r="J849" s="505"/>
      <c r="K849" s="517"/>
      <c r="L849" s="518"/>
      <c r="M849" s="505"/>
      <c r="N849" s="505"/>
      <c r="O849" s="505"/>
      <c r="P849" s="619"/>
      <c r="Q849" s="505"/>
      <c r="R849" s="505"/>
      <c r="S849" s="505"/>
      <c r="T849" s="505"/>
      <c r="U849" s="505"/>
      <c r="V849" s="505"/>
      <c r="W849" s="505"/>
      <c r="X849" s="505"/>
      <c r="Y849" s="505"/>
      <c r="Z849" s="505"/>
      <c r="AA849" s="505"/>
      <c r="AB849" s="505"/>
      <c r="AC849" s="505"/>
    </row>
    <row r="850" spans="1:29">
      <c r="A850" s="505"/>
      <c r="B850" s="505"/>
      <c r="C850" s="505"/>
      <c r="D850" s="505"/>
      <c r="E850" s="505"/>
      <c r="F850" s="505"/>
      <c r="G850" s="505"/>
      <c r="H850" s="505"/>
      <c r="I850" s="505"/>
      <c r="J850" s="505"/>
      <c r="K850" s="517"/>
      <c r="L850" s="518"/>
      <c r="M850" s="505"/>
      <c r="N850" s="505"/>
      <c r="O850" s="505"/>
      <c r="P850" s="619"/>
      <c r="Q850" s="505"/>
      <c r="R850" s="505"/>
      <c r="S850" s="505"/>
      <c r="T850" s="505"/>
      <c r="U850" s="505"/>
      <c r="V850" s="505"/>
      <c r="W850" s="505"/>
      <c r="X850" s="505"/>
      <c r="Y850" s="505"/>
      <c r="Z850" s="505"/>
      <c r="AA850" s="505"/>
      <c r="AB850" s="505"/>
      <c r="AC850" s="505"/>
    </row>
    <row r="851" spans="1:29">
      <c r="A851" s="505"/>
      <c r="B851" s="505"/>
      <c r="C851" s="505"/>
      <c r="D851" s="505"/>
      <c r="E851" s="505"/>
      <c r="F851" s="505"/>
      <c r="G851" s="505"/>
      <c r="H851" s="505"/>
      <c r="I851" s="505"/>
      <c r="J851" s="505"/>
      <c r="K851" s="517"/>
      <c r="L851" s="518"/>
      <c r="M851" s="505"/>
      <c r="N851" s="505"/>
      <c r="O851" s="505"/>
      <c r="P851" s="619"/>
      <c r="Q851" s="505"/>
      <c r="R851" s="505"/>
      <c r="S851" s="505"/>
      <c r="T851" s="505"/>
      <c r="U851" s="505"/>
      <c r="V851" s="505"/>
      <c r="W851" s="505"/>
      <c r="X851" s="505"/>
      <c r="Y851" s="505"/>
      <c r="Z851" s="505"/>
      <c r="AA851" s="505"/>
      <c r="AB851" s="505"/>
      <c r="AC851" s="505"/>
    </row>
    <row r="852" spans="1:29">
      <c r="A852" s="505"/>
      <c r="B852" s="505"/>
      <c r="C852" s="505"/>
      <c r="D852" s="505"/>
      <c r="E852" s="505"/>
      <c r="F852" s="505"/>
      <c r="G852" s="505"/>
      <c r="H852" s="505"/>
      <c r="I852" s="505"/>
      <c r="J852" s="505"/>
      <c r="K852" s="517"/>
      <c r="L852" s="518"/>
      <c r="M852" s="505"/>
      <c r="N852" s="505"/>
      <c r="O852" s="505"/>
      <c r="P852" s="619"/>
      <c r="Q852" s="505"/>
      <c r="R852" s="505"/>
      <c r="S852" s="505"/>
      <c r="T852" s="505"/>
      <c r="U852" s="505"/>
      <c r="V852" s="505"/>
      <c r="W852" s="505"/>
      <c r="X852" s="505"/>
      <c r="Y852" s="505"/>
      <c r="Z852" s="505"/>
      <c r="AA852" s="505"/>
      <c r="AB852" s="505"/>
      <c r="AC852" s="505"/>
    </row>
    <row r="853" spans="1:29">
      <c r="A853" s="505"/>
      <c r="B853" s="505"/>
      <c r="C853" s="505"/>
      <c r="D853" s="505"/>
      <c r="E853" s="505"/>
      <c r="F853" s="505"/>
      <c r="G853" s="505"/>
      <c r="H853" s="505"/>
      <c r="I853" s="505"/>
      <c r="J853" s="505"/>
      <c r="K853" s="517"/>
      <c r="L853" s="518"/>
      <c r="M853" s="505"/>
      <c r="N853" s="505"/>
      <c r="O853" s="505"/>
      <c r="P853" s="619"/>
      <c r="Q853" s="505"/>
      <c r="R853" s="505"/>
      <c r="S853" s="505"/>
      <c r="T853" s="505"/>
      <c r="U853" s="505"/>
      <c r="V853" s="505"/>
      <c r="W853" s="505"/>
      <c r="X853" s="505"/>
      <c r="Y853" s="505"/>
      <c r="Z853" s="505"/>
      <c r="AA853" s="505"/>
      <c r="AB853" s="505"/>
      <c r="AC853" s="50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54" type="noConversion"/>
  <conditionalFormatting sqref="F49">
    <cfRule type="expression" dxfId="76" priority="4">
      <formula>$D$49="简单平均"</formula>
    </cfRule>
  </conditionalFormatting>
  <conditionalFormatting sqref="H49">
    <cfRule type="expression" dxfId="75" priority="3">
      <formula>$D$49="简单平均"</formula>
    </cfRule>
  </conditionalFormatting>
  <conditionalFormatting sqref="J49">
    <cfRule type="expression" dxfId="74" priority="2">
      <formula>$D$49="简单平均"</formula>
    </cfRule>
  </conditionalFormatting>
  <conditionalFormatting sqref="E53">
    <cfRule type="expression" dxfId="73" priority="16" stopIfTrue="1">
      <formula>$F$53="超过30%"</formula>
    </cfRule>
  </conditionalFormatting>
  <conditionalFormatting sqref="G53">
    <cfRule type="expression" dxfId="72" priority="12" stopIfTrue="1">
      <formula>$H$53="超过30%"</formula>
    </cfRule>
  </conditionalFormatting>
  <conditionalFormatting sqref="I53">
    <cfRule type="expression" dxfId="71" priority="7" stopIfTrue="1">
      <formula>$J$53="超过30%"</formula>
    </cfRule>
  </conditionalFormatting>
  <conditionalFormatting sqref="J53">
    <cfRule type="containsText" dxfId="70" priority="10" stopIfTrue="1" operator="containsText" text="超过">
      <formula>NOT(ISERROR(SEARCH("超过",J53)))</formula>
    </cfRule>
  </conditionalFormatting>
  <conditionalFormatting sqref="E54">
    <cfRule type="expression" dxfId="69" priority="15" stopIfTrue="1">
      <formula>$F$54="超过20%"</formula>
    </cfRule>
  </conditionalFormatting>
  <conditionalFormatting sqref="G54">
    <cfRule type="expression" dxfId="68" priority="11" stopIfTrue="1">
      <formula>$H$54="超过20%"</formula>
    </cfRule>
  </conditionalFormatting>
  <conditionalFormatting sqref="I54">
    <cfRule type="expression" dxfId="67" priority="6" stopIfTrue="1">
      <formula>$J$53+$J$54="超过20%"</formula>
    </cfRule>
  </conditionalFormatting>
  <conditionalFormatting sqref="J54">
    <cfRule type="containsText" dxfId="66" priority="8" stopIfTrue="1" operator="containsText" text="超过">
      <formula>NOT(ISERROR(SEARCH("超过",J54)))</formula>
    </cfRule>
  </conditionalFormatting>
  <conditionalFormatting sqref="E55">
    <cfRule type="expression" dxfId="65" priority="14" stopIfTrue="1">
      <formula>$F$55="超过30%"</formula>
    </cfRule>
  </conditionalFormatting>
  <conditionalFormatting sqref="F55">
    <cfRule type="containsText" dxfId="64" priority="18" stopIfTrue="1" operator="containsText" text="超过">
      <formula>NOT(ISERROR(SEARCH("超过",F55)))</formula>
    </cfRule>
  </conditionalFormatting>
  <conditionalFormatting sqref="G55">
    <cfRule type="expression" dxfId="63" priority="13" stopIfTrue="1">
      <formula>$H$55="超过30%"</formula>
    </cfRule>
  </conditionalFormatting>
  <conditionalFormatting sqref="H55">
    <cfRule type="containsText" dxfId="62" priority="19" stopIfTrue="1" operator="containsText" text="超过">
      <formula>NOT(ISERROR(SEARCH("超过",H55)))</formula>
    </cfRule>
  </conditionalFormatting>
  <conditionalFormatting sqref="I55">
    <cfRule type="expression" dxfId="61" priority="5" stopIfTrue="1">
      <formula>$J$55="超过30%"</formula>
    </cfRule>
  </conditionalFormatting>
  <conditionalFormatting sqref="J55">
    <cfRule type="containsText" dxfId="60" priority="9" stopIfTrue="1" operator="containsText" text="超过">
      <formula>NOT(ISERROR(SEARCH("超过",J55)))</formula>
    </cfRule>
  </conditionalFormatting>
  <conditionalFormatting sqref="F7:F47 H7:H47 J7:J47">
    <cfRule type="cellIs" dxfId="59" priority="1" operator="notEqual">
      <formula>100</formula>
    </cfRule>
  </conditionalFormatting>
  <conditionalFormatting sqref="F53 H53">
    <cfRule type="containsText" dxfId="58" priority="20" stopIfTrue="1" operator="containsText" text="超过">
      <formula>NOT(ISERROR(SEARCH("超过",F53)))</formula>
    </cfRule>
  </conditionalFormatting>
  <conditionalFormatting sqref="F54 H54">
    <cfRule type="containsText" dxfId="57" priority="17" stopIfTrue="1" operator="containsText" text="超过">
      <formula>NOT(ISERROR(SEARCH("超过",F54)))</formula>
    </cfRule>
  </conditionalFormatting>
  <dataValidations count="22">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31" zoomScale="60" zoomScaleNormal="60" workbookViewId="0">
      <selection activeCell="T45" sqref="T45"/>
    </sheetView>
  </sheetViews>
  <sheetFormatPr defaultColWidth="9" defaultRowHeight="14.25"/>
  <cols>
    <col min="1" max="1" width="10.5" style="215" customWidth="1"/>
    <col min="2" max="2" width="15.75" style="215" customWidth="1"/>
    <col min="3" max="3" width="14.375" style="215" customWidth="1"/>
    <col min="4" max="4" width="12.25" style="215" customWidth="1"/>
    <col min="5" max="5" width="14.375" style="215" customWidth="1"/>
    <col min="6" max="6" width="12.25" style="215" customWidth="1"/>
    <col min="7" max="7" width="14.5" style="215" customWidth="1"/>
    <col min="8" max="8" width="12.25" style="215" customWidth="1"/>
    <col min="9" max="9" width="14.5" style="215" customWidth="1"/>
    <col min="10" max="10" width="12.25" style="215" customWidth="1"/>
    <col min="11" max="11" width="12.25" style="216" customWidth="1"/>
    <col min="12" max="12" width="12.25" style="217" customWidth="1"/>
    <col min="13" max="15" width="12.25" style="215" customWidth="1"/>
    <col min="16" max="16" width="4.75" style="215" customWidth="1"/>
    <col min="17" max="17" width="19.5" style="215" customWidth="1"/>
    <col min="18" max="22" width="6.125" style="215" customWidth="1"/>
    <col min="23" max="23" width="5.75" style="215" customWidth="1"/>
    <col min="24" max="24" width="4.25" style="215" customWidth="1"/>
    <col min="25" max="25" width="3.5" style="215" customWidth="1"/>
    <col min="26" max="26" width="19.75" style="215" customWidth="1"/>
    <col min="27" max="28" width="9.375" style="215" customWidth="1"/>
    <col min="29" max="16384" width="9" style="215"/>
  </cols>
  <sheetData>
    <row r="1" spans="1:29" s="209" customFormat="1" ht="28.5" customHeight="1">
      <c r="A1" s="218" t="s">
        <v>2406</v>
      </c>
      <c r="B1" s="553" t="s">
        <v>1109</v>
      </c>
      <c r="C1" s="220" t="s">
        <v>2408</v>
      </c>
      <c r="D1" s="221"/>
      <c r="E1" s="222"/>
      <c r="F1" s="223"/>
      <c r="G1" s="224" t="s">
        <v>2409</v>
      </c>
      <c r="H1" s="222"/>
      <c r="I1" s="222"/>
      <c r="J1" s="222"/>
      <c r="K1" s="393"/>
      <c r="L1" s="394"/>
      <c r="M1" s="395"/>
      <c r="N1" s="395"/>
      <c r="O1" s="395"/>
      <c r="P1" s="396"/>
      <c r="Q1" s="396"/>
      <c r="R1" s="396"/>
      <c r="S1" s="396"/>
      <c r="T1" s="396"/>
      <c r="U1" s="396"/>
      <c r="V1" s="396"/>
      <c r="W1" s="396"/>
      <c r="X1" s="396"/>
      <c r="Y1" s="396"/>
      <c r="Z1" s="396"/>
      <c r="AA1" s="396"/>
      <c r="AB1" s="396"/>
      <c r="AC1" s="490"/>
    </row>
    <row r="2" spans="1:29" s="209" customFormat="1" ht="28.5" customHeight="1">
      <c r="A2" s="225" t="s">
        <v>945</v>
      </c>
      <c r="B2" s="226" t="e">
        <f>ROUND(B3*D3/10000,0)</f>
        <v>#DIV/0!</v>
      </c>
      <c r="C2" s="227"/>
      <c r="D2" s="227"/>
      <c r="E2" s="228"/>
      <c r="F2" s="229"/>
      <c r="G2" s="228"/>
      <c r="H2" s="228"/>
      <c r="I2" s="228"/>
      <c r="J2" s="228"/>
      <c r="K2" s="228"/>
      <c r="L2" s="398"/>
      <c r="M2" s="396"/>
      <c r="N2" s="396"/>
      <c r="O2" s="396"/>
      <c r="P2" s="396"/>
      <c r="Q2" s="396"/>
      <c r="R2" s="396"/>
      <c r="S2" s="396"/>
      <c r="T2" s="396"/>
      <c r="U2" s="396"/>
      <c r="V2" s="396"/>
      <c r="W2" s="396"/>
      <c r="X2" s="396"/>
      <c r="Y2" s="396"/>
      <c r="Z2" s="396"/>
      <c r="AA2" s="396"/>
      <c r="AB2" s="396"/>
      <c r="AC2" s="490"/>
    </row>
    <row r="3" spans="1:29" s="209" customFormat="1" ht="28.5" customHeight="1">
      <c r="A3" s="230" t="s">
        <v>2219</v>
      </c>
      <c r="B3" s="231" t="e">
        <f>C43</f>
        <v>#DIV/0!</v>
      </c>
      <c r="C3" s="232" t="s">
        <v>2410</v>
      </c>
      <c r="D3" s="233">
        <f>SUMIF('数据-汇总表'!$C19:$C33,D1,'数据-汇总表'!$E19:$E33)</f>
        <v>0</v>
      </c>
      <c r="E3" s="228"/>
      <c r="F3" s="229"/>
      <c r="G3" s="228"/>
      <c r="H3" s="228"/>
      <c r="I3" s="228"/>
      <c r="J3" s="228"/>
      <c r="K3" s="397"/>
      <c r="L3" s="398"/>
      <c r="M3" s="396"/>
      <c r="N3" s="396"/>
      <c r="O3" s="396"/>
      <c r="P3" s="396"/>
      <c r="Q3" s="396"/>
      <c r="R3" s="396"/>
      <c r="S3" s="396"/>
      <c r="T3" s="396"/>
      <c r="U3" s="396"/>
      <c r="V3" s="396"/>
      <c r="W3" s="396"/>
      <c r="X3" s="396"/>
      <c r="Y3" s="396"/>
      <c r="Z3" s="396"/>
      <c r="AA3" s="396"/>
      <c r="AB3" s="489"/>
      <c r="AC3" s="490"/>
    </row>
    <row r="4" spans="1:29" ht="15">
      <c r="A4" s="234" t="s">
        <v>1030</v>
      </c>
      <c r="B4" s="235"/>
      <c r="C4" s="3823" t="s">
        <v>1031</v>
      </c>
      <c r="D4" s="3824"/>
      <c r="E4" s="3863" t="s">
        <v>1032</v>
      </c>
      <c r="F4" s="3864"/>
      <c r="G4" s="3823" t="s">
        <v>1033</v>
      </c>
      <c r="H4" s="3824"/>
      <c r="I4" s="3823" t="s">
        <v>1034</v>
      </c>
      <c r="J4" s="3824"/>
      <c r="K4" s="399" t="s">
        <v>1035</v>
      </c>
      <c r="L4" s="400"/>
      <c r="M4" s="401"/>
      <c r="N4" s="401"/>
      <c r="O4" s="401"/>
      <c r="P4" s="3847" t="s">
        <v>1036</v>
      </c>
      <c r="Q4" s="3848"/>
      <c r="R4" s="3853" t="s">
        <v>1032</v>
      </c>
      <c r="S4" s="3854"/>
      <c r="T4" s="3853" t="s">
        <v>1033</v>
      </c>
      <c r="U4" s="3854"/>
      <c r="V4" s="3835" t="s">
        <v>1034</v>
      </c>
      <c r="W4" s="3835"/>
      <c r="X4" s="471"/>
      <c r="Y4" s="3853" t="s">
        <v>1036</v>
      </c>
      <c r="Z4" s="3854"/>
      <c r="AA4" s="3844" t="s">
        <v>1032</v>
      </c>
      <c r="AB4" s="3845" t="s">
        <v>1033</v>
      </c>
      <c r="AC4" s="3844" t="s">
        <v>1034</v>
      </c>
    </row>
    <row r="5" spans="1:29" ht="15">
      <c r="A5" s="236"/>
      <c r="B5" s="237"/>
      <c r="C5" s="3825" t="s">
        <v>1037</v>
      </c>
      <c r="D5" s="3826"/>
      <c r="E5" s="3865" t="s">
        <v>1038</v>
      </c>
      <c r="F5" s="3866"/>
      <c r="G5" s="3825" t="s">
        <v>1039</v>
      </c>
      <c r="H5" s="3826"/>
      <c r="I5" s="3825" t="s">
        <v>1040</v>
      </c>
      <c r="J5" s="3826"/>
      <c r="K5" s="399"/>
      <c r="L5" s="400"/>
      <c r="M5" s="401"/>
      <c r="N5" s="401"/>
      <c r="O5" s="401"/>
      <c r="P5" s="3849"/>
      <c r="Q5" s="3850"/>
      <c r="R5" s="3855"/>
      <c r="S5" s="3856"/>
      <c r="T5" s="3855"/>
      <c r="U5" s="3856"/>
      <c r="V5" s="3835"/>
      <c r="W5" s="3835"/>
      <c r="X5" s="471"/>
      <c r="Y5" s="3855"/>
      <c r="Z5" s="3856"/>
      <c r="AA5" s="3845"/>
      <c r="AB5" s="3845"/>
      <c r="AC5" s="3845"/>
    </row>
    <row r="6" spans="1:29" ht="15">
      <c r="A6" s="238"/>
      <c r="B6" s="239"/>
      <c r="C6" s="3829" t="s">
        <v>1041</v>
      </c>
      <c r="D6" s="3830"/>
      <c r="E6" s="3867" t="s">
        <v>1041</v>
      </c>
      <c r="F6" s="3868"/>
      <c r="G6" s="3829" t="s">
        <v>1041</v>
      </c>
      <c r="H6" s="3830"/>
      <c r="I6" s="3829" t="s">
        <v>1041</v>
      </c>
      <c r="J6" s="3830"/>
      <c r="K6" s="399" t="s">
        <v>1042</v>
      </c>
      <c r="L6" s="400"/>
      <c r="M6" s="401"/>
      <c r="N6" s="401"/>
      <c r="O6" s="401"/>
      <c r="P6" s="3851"/>
      <c r="Q6" s="3852"/>
      <c r="R6" s="3855"/>
      <c r="S6" s="3856"/>
      <c r="T6" s="3857"/>
      <c r="U6" s="3858"/>
      <c r="V6" s="3835"/>
      <c r="W6" s="3835"/>
      <c r="X6" s="471"/>
      <c r="Y6" s="3857"/>
      <c r="Z6" s="3858"/>
      <c r="AA6" s="3846"/>
      <c r="AB6" s="3846"/>
      <c r="AC6" s="3846"/>
    </row>
    <row r="7" spans="1:29" s="210" customFormat="1" ht="15">
      <c r="A7" s="240"/>
      <c r="B7" s="241" t="s">
        <v>1043</v>
      </c>
      <c r="C7" s="242">
        <f>'数据-取费表'!B2</f>
        <v>45260</v>
      </c>
      <c r="D7" s="243">
        <v>100</v>
      </c>
      <c r="E7" s="244"/>
      <c r="F7" s="245">
        <f>SUMIF(52:52,YEAR(E7)&amp;"-"&amp;MONTH(E7),53:53)</f>
        <v>0</v>
      </c>
      <c r="G7" s="244"/>
      <c r="H7" s="243">
        <f>SUMIF(52:52,YEAR(G7)&amp;"-"&amp;MONTH(G7),53:53)</f>
        <v>0</v>
      </c>
      <c r="I7" s="244"/>
      <c r="J7" s="243">
        <f>SUMIF(52:52,YEAR(I7)&amp;"-"&amp;MONTH(I7),53:53)</f>
        <v>0</v>
      </c>
      <c r="K7" s="402"/>
      <c r="L7" s="403"/>
      <c r="M7" s="404"/>
      <c r="N7" s="404"/>
      <c r="O7" s="404"/>
      <c r="P7" s="3831" t="s">
        <v>1044</v>
      </c>
      <c r="Q7" s="3832"/>
      <c r="R7" s="472" t="s">
        <v>1045</v>
      </c>
      <c r="S7" s="473">
        <f t="shared" ref="S7:S15" si="0">F7</f>
        <v>0</v>
      </c>
      <c r="T7" s="472" t="s">
        <v>1045</v>
      </c>
      <c r="U7" s="473">
        <f t="shared" ref="U7:U15" si="1">H7</f>
        <v>0</v>
      </c>
      <c r="V7" s="472" t="s">
        <v>1045</v>
      </c>
      <c r="W7" s="473">
        <f t="shared" ref="W7:W15" si="2">J7</f>
        <v>0</v>
      </c>
      <c r="X7" s="474"/>
      <c r="Y7" s="3831" t="s">
        <v>1044</v>
      </c>
      <c r="Z7" s="3833"/>
      <c r="AA7" s="491" t="e">
        <f>D7/F7</f>
        <v>#DIV/0!</v>
      </c>
      <c r="AB7" s="491" t="e">
        <f>D7/H7</f>
        <v>#DIV/0!</v>
      </c>
      <c r="AC7" s="491" t="e">
        <f>D7/J7</f>
        <v>#DIV/0!</v>
      </c>
    </row>
    <row r="8" spans="1:29" s="210" customFormat="1" ht="15">
      <c r="A8" s="247"/>
      <c r="B8" s="248" t="s">
        <v>1046</v>
      </c>
      <c r="C8" s="249" t="s">
        <v>1047</v>
      </c>
      <c r="D8" s="243">
        <v>100</v>
      </c>
      <c r="E8" s="249"/>
      <c r="F8" s="245">
        <f>SUMIF(55:55,E8,56:56)-SUMIF(55:55,C8,56:56)+100</f>
        <v>0</v>
      </c>
      <c r="G8" s="249"/>
      <c r="H8" s="243">
        <f>SUMIF(55:55,G8,56:56)-SUMIF(55:55,C8,56:56)+100</f>
        <v>0</v>
      </c>
      <c r="I8" s="249"/>
      <c r="J8" s="243">
        <f>SUMIF(55:55,I8,56:56)-SUMIF(55:55,C8,56:56)+100</f>
        <v>0</v>
      </c>
      <c r="K8" s="402"/>
      <c r="L8" s="403"/>
      <c r="M8" s="404"/>
      <c r="N8" s="404"/>
      <c r="O8" s="404"/>
      <c r="P8" s="3831" t="s">
        <v>1048</v>
      </c>
      <c r="Q8" s="3833"/>
      <c r="R8" s="472" t="s">
        <v>1045</v>
      </c>
      <c r="S8" s="473">
        <f t="shared" si="0"/>
        <v>0</v>
      </c>
      <c r="T8" s="472" t="s">
        <v>1045</v>
      </c>
      <c r="U8" s="473">
        <f t="shared" si="1"/>
        <v>0</v>
      </c>
      <c r="V8" s="472" t="s">
        <v>1045</v>
      </c>
      <c r="W8" s="473">
        <f t="shared" si="2"/>
        <v>0</v>
      </c>
      <c r="X8" s="474"/>
      <c r="Y8" s="3831" t="s">
        <v>1048</v>
      </c>
      <c r="Z8" s="3833"/>
      <c r="AA8" s="491" t="e">
        <f t="shared" ref="AA8:AA40" si="3">D8/F8</f>
        <v>#DIV/0!</v>
      </c>
      <c r="AB8" s="491" t="e">
        <f t="shared" ref="AB8:AB40" si="4">D8/H8</f>
        <v>#DIV/0!</v>
      </c>
      <c r="AC8" s="491" t="e">
        <f t="shared" ref="AC8:AC40" si="5">D8/J8</f>
        <v>#DIV/0!</v>
      </c>
    </row>
    <row r="9" spans="1:29" s="210" customFormat="1" ht="15">
      <c r="A9" s="250"/>
      <c r="B9" s="251" t="s">
        <v>1049</v>
      </c>
      <c r="C9" s="252"/>
      <c r="D9" s="253">
        <v>100</v>
      </c>
      <c r="E9" s="254"/>
      <c r="F9" s="253">
        <f>SUMIF(57:57,E9,58:58)-SUMIF(57:57,C9,58:58)+100</f>
        <v>100</v>
      </c>
      <c r="G9" s="521"/>
      <c r="H9" s="253">
        <f>SUMIF(57:57,G9,58:58)-SUMIF(57:57,C9,58:58)+100</f>
        <v>100</v>
      </c>
      <c r="I9" s="521"/>
      <c r="J9" s="253">
        <f>SUMIF(57:57,I9,58:58)-SUMIF(57:57,C9,58:58)+100</f>
        <v>100</v>
      </c>
      <c r="K9" s="402"/>
      <c r="L9" s="403"/>
      <c r="M9" s="404"/>
      <c r="N9" s="404"/>
      <c r="O9" s="405"/>
      <c r="P9" s="3834" t="s">
        <v>1050</v>
      </c>
      <c r="Q9" s="475" t="str">
        <f t="shared" ref="Q9:Q15" si="6">B9</f>
        <v>用途</v>
      </c>
      <c r="R9" s="472" t="s">
        <v>1045</v>
      </c>
      <c r="S9" s="473">
        <f t="shared" si="0"/>
        <v>100</v>
      </c>
      <c r="T9" s="472" t="s">
        <v>1045</v>
      </c>
      <c r="U9" s="473">
        <f t="shared" si="1"/>
        <v>100</v>
      </c>
      <c r="V9" s="472" t="s">
        <v>1045</v>
      </c>
      <c r="W9" s="473">
        <f t="shared" si="2"/>
        <v>100</v>
      </c>
      <c r="X9" s="474"/>
      <c r="Y9" s="3802" t="s">
        <v>1051</v>
      </c>
      <c r="Z9" s="492" t="str">
        <f t="shared" ref="Z9:Z15" si="7">Q9</f>
        <v>用途</v>
      </c>
      <c r="AA9" s="491">
        <f t="shared" si="3"/>
        <v>1</v>
      </c>
      <c r="AB9" s="491">
        <f t="shared" si="4"/>
        <v>1</v>
      </c>
      <c r="AC9" s="491">
        <f t="shared" si="5"/>
        <v>1</v>
      </c>
    </row>
    <row r="10" spans="1:29" s="211" customFormat="1" ht="27">
      <c r="A10" s="255"/>
      <c r="B10" s="248" t="s">
        <v>1052</v>
      </c>
      <c r="C10" s="256"/>
      <c r="D10" s="257">
        <v>100</v>
      </c>
      <c r="E10" s="256"/>
      <c r="F10" s="257">
        <f>SUMIF(59:59,E10,60:60)-SUMIF(59:59,C10,60:60)+100</f>
        <v>100</v>
      </c>
      <c r="G10" s="258"/>
      <c r="H10" s="257">
        <f>SUMIF(59:59,G10,60:60)-SUMIF(59:59,C10,60:60)+100</f>
        <v>100</v>
      </c>
      <c r="I10" s="256"/>
      <c r="J10" s="257">
        <f>SUMIF(59:59,I10,60:60)-SUMIF(59:59,C10,60:60)+100</f>
        <v>100</v>
      </c>
      <c r="K10" s="402"/>
      <c r="L10" s="407"/>
      <c r="M10" s="408"/>
      <c r="N10" s="408"/>
      <c r="O10" s="409"/>
      <c r="P10" s="3834"/>
      <c r="Q10" s="475" t="str">
        <f t="shared" si="6"/>
        <v>土地使用年限（年）</v>
      </c>
      <c r="R10" s="472" t="s">
        <v>1045</v>
      </c>
      <c r="S10" s="473">
        <f t="shared" si="0"/>
        <v>100</v>
      </c>
      <c r="T10" s="472" t="s">
        <v>1045</v>
      </c>
      <c r="U10" s="473">
        <f t="shared" si="1"/>
        <v>100</v>
      </c>
      <c r="V10" s="472" t="s">
        <v>1045</v>
      </c>
      <c r="W10" s="473">
        <f t="shared" si="2"/>
        <v>100</v>
      </c>
      <c r="X10" s="474"/>
      <c r="Y10" s="3802"/>
      <c r="Z10" s="492" t="str">
        <f t="shared" si="7"/>
        <v>土地使用年限（年）</v>
      </c>
      <c r="AA10" s="491">
        <f t="shared" si="3"/>
        <v>1</v>
      </c>
      <c r="AB10" s="491">
        <f t="shared" si="4"/>
        <v>1</v>
      </c>
      <c r="AC10" s="491">
        <f t="shared" si="5"/>
        <v>1</v>
      </c>
    </row>
    <row r="11" spans="1:29" ht="15">
      <c r="A11" s="554"/>
      <c r="B11" s="248" t="s">
        <v>1053</v>
      </c>
      <c r="C11" s="555"/>
      <c r="D11" s="257">
        <v>100</v>
      </c>
      <c r="E11" s="555"/>
      <c r="F11" s="257" t="e">
        <f>LOOKUP(E11,62:62,63:63)-LOOKUP(C11,62:62,63:63)+100</f>
        <v>#N/A</v>
      </c>
      <c r="G11" s="556"/>
      <c r="H11" s="257" t="e">
        <f>LOOKUP(G11,62:62,63:63)-LOOKUP(C11,62:62,63:63)+100</f>
        <v>#N/A</v>
      </c>
      <c r="I11" s="555"/>
      <c r="J11" s="257" t="e">
        <f>LOOKUP(I11,62:62,63:63)-LOOKUP(C11,62:62,63:63)+100</f>
        <v>#N/A</v>
      </c>
      <c r="K11" s="417"/>
      <c r="L11" s="411"/>
      <c r="M11" s="401"/>
      <c r="N11" s="401"/>
      <c r="O11" s="412"/>
      <c r="P11" s="3834"/>
      <c r="Q11" s="475" t="str">
        <f t="shared" si="6"/>
        <v>容积率</v>
      </c>
      <c r="R11" s="472" t="s">
        <v>1045</v>
      </c>
      <c r="S11" s="473" t="e">
        <f t="shared" si="0"/>
        <v>#N/A</v>
      </c>
      <c r="T11" s="472" t="s">
        <v>1045</v>
      </c>
      <c r="U11" s="473" t="e">
        <f t="shared" si="1"/>
        <v>#N/A</v>
      </c>
      <c r="V11" s="472" t="s">
        <v>1045</v>
      </c>
      <c r="W11" s="473" t="e">
        <f t="shared" si="2"/>
        <v>#N/A</v>
      </c>
      <c r="X11" s="474"/>
      <c r="Y11" s="3802"/>
      <c r="Z11" s="492" t="str">
        <f t="shared" si="7"/>
        <v>容积率</v>
      </c>
      <c r="AA11" s="491" t="e">
        <f t="shared" si="3"/>
        <v>#N/A</v>
      </c>
      <c r="AB11" s="491" t="e">
        <f t="shared" si="4"/>
        <v>#N/A</v>
      </c>
      <c r="AC11" s="491" t="e">
        <f t="shared" si="5"/>
        <v>#N/A</v>
      </c>
    </row>
    <row r="12" spans="1:29" s="210" customFormat="1" ht="15">
      <c r="A12" s="259"/>
      <c r="B12" s="260">
        <v>111</v>
      </c>
      <c r="C12" s="261"/>
      <c r="D12" s="263">
        <v>100</v>
      </c>
      <c r="E12" s="266"/>
      <c r="F12" s="257">
        <f>SUMIF(64:64,E12,65:65)-SUMIF(64:64,C12,65:65)+100</f>
        <v>100</v>
      </c>
      <c r="G12" s="557"/>
      <c r="H12" s="257">
        <f>SUMIF(64:64,G12,65:65)-SUMIF(64:64,C12,65:65)+100</f>
        <v>100</v>
      </c>
      <c r="I12" s="262"/>
      <c r="J12" s="257">
        <f>SUMIF(64:64,I12,65:65)-SUMIF(64:64,C12,65:65)+100</f>
        <v>100</v>
      </c>
      <c r="K12" s="410"/>
      <c r="L12" s="403"/>
      <c r="M12" s="404"/>
      <c r="N12" s="404"/>
      <c r="O12" s="405"/>
      <c r="P12" s="3834"/>
      <c r="Q12" s="475">
        <f t="shared" si="6"/>
        <v>111</v>
      </c>
      <c r="R12" s="472" t="s">
        <v>1045</v>
      </c>
      <c r="S12" s="473">
        <f t="shared" si="0"/>
        <v>100</v>
      </c>
      <c r="T12" s="472" t="s">
        <v>1045</v>
      </c>
      <c r="U12" s="473">
        <f t="shared" si="1"/>
        <v>100</v>
      </c>
      <c r="V12" s="472" t="s">
        <v>1045</v>
      </c>
      <c r="W12" s="473">
        <f t="shared" si="2"/>
        <v>100</v>
      </c>
      <c r="X12" s="474"/>
      <c r="Y12" s="3802"/>
      <c r="Z12" s="492">
        <f t="shared" si="7"/>
        <v>111</v>
      </c>
      <c r="AA12" s="491">
        <f t="shared" si="3"/>
        <v>1</v>
      </c>
      <c r="AB12" s="491">
        <f t="shared" si="4"/>
        <v>1</v>
      </c>
      <c r="AC12" s="491">
        <f t="shared" si="5"/>
        <v>1</v>
      </c>
    </row>
    <row r="13" spans="1:29" ht="15">
      <c r="A13" s="259"/>
      <c r="B13" s="260">
        <v>111</v>
      </c>
      <c r="C13" s="266"/>
      <c r="D13" s="267">
        <v>100</v>
      </c>
      <c r="E13" s="266"/>
      <c r="F13" s="257">
        <f>SUMIF(66:66,E13,67:67)-SUMIF(66:66,C13,67:67)+100</f>
        <v>100</v>
      </c>
      <c r="G13" s="557"/>
      <c r="H13" s="267">
        <f>SUMIF(66:66,G13,67:67)-SUMIF(66:66,C13,67:67)+100</f>
        <v>100</v>
      </c>
      <c r="I13" s="262"/>
      <c r="J13" s="267">
        <f>SUMIF(66:66,I13,67:67)-SUMIF(66:66,C13,67:67)+100</f>
        <v>100</v>
      </c>
      <c r="K13" s="410"/>
      <c r="L13" s="413"/>
      <c r="M13" s="401"/>
      <c r="N13" s="401"/>
      <c r="O13" s="412"/>
      <c r="P13" s="3834"/>
      <c r="Q13" s="475">
        <f t="shared" si="6"/>
        <v>111</v>
      </c>
      <c r="R13" s="472" t="s">
        <v>1045</v>
      </c>
      <c r="S13" s="473">
        <f t="shared" si="0"/>
        <v>100</v>
      </c>
      <c r="T13" s="472" t="s">
        <v>1045</v>
      </c>
      <c r="U13" s="473">
        <f t="shared" si="1"/>
        <v>100</v>
      </c>
      <c r="V13" s="472" t="s">
        <v>1045</v>
      </c>
      <c r="W13" s="473">
        <f t="shared" si="2"/>
        <v>100</v>
      </c>
      <c r="X13" s="474"/>
      <c r="Y13" s="3802"/>
      <c r="Z13" s="492">
        <f t="shared" si="7"/>
        <v>111</v>
      </c>
      <c r="AA13" s="491">
        <f t="shared" si="3"/>
        <v>1</v>
      </c>
      <c r="AB13" s="491">
        <f t="shared" si="4"/>
        <v>1</v>
      </c>
      <c r="AC13" s="491">
        <f t="shared" si="5"/>
        <v>1</v>
      </c>
    </row>
    <row r="14" spans="1:29" ht="15">
      <c r="A14" s="264"/>
      <c r="B14" s="265">
        <v>111</v>
      </c>
      <c r="C14" s="319"/>
      <c r="D14" s="320">
        <v>100</v>
      </c>
      <c r="E14" s="319"/>
      <c r="F14" s="320">
        <f>SUMIF(68:68,E14,69:69)-SUMIF(68:68,C14,69:69)+100</f>
        <v>100</v>
      </c>
      <c r="G14" s="557"/>
      <c r="H14" s="320">
        <f>SUMIF(68:68,G14,69:69)-SUMIF(68:68,C14,69:69)+100</f>
        <v>100</v>
      </c>
      <c r="I14" s="262"/>
      <c r="J14" s="320">
        <f>SUMIF(68:68,I14,69:69)-SUMIF(68:68,C14,69:69)+100</f>
        <v>100</v>
      </c>
      <c r="K14" s="410"/>
      <c r="L14" s="413"/>
      <c r="M14" s="401"/>
      <c r="N14" s="401"/>
      <c r="O14" s="412"/>
      <c r="P14" s="3834"/>
      <c r="Q14" s="475">
        <f t="shared" si="6"/>
        <v>111</v>
      </c>
      <c r="R14" s="472" t="s">
        <v>1045</v>
      </c>
      <c r="S14" s="473">
        <f t="shared" si="0"/>
        <v>100</v>
      </c>
      <c r="T14" s="472" t="s">
        <v>1045</v>
      </c>
      <c r="U14" s="473">
        <f t="shared" si="1"/>
        <v>100</v>
      </c>
      <c r="V14" s="472" t="s">
        <v>1045</v>
      </c>
      <c r="W14" s="473">
        <f t="shared" si="2"/>
        <v>100</v>
      </c>
      <c r="X14" s="474"/>
      <c r="Y14" s="3802"/>
      <c r="Z14" s="492">
        <f t="shared" si="7"/>
        <v>111</v>
      </c>
      <c r="AA14" s="491">
        <f t="shared" si="3"/>
        <v>1</v>
      </c>
      <c r="AB14" s="491">
        <f t="shared" si="4"/>
        <v>1</v>
      </c>
      <c r="AC14" s="491">
        <f t="shared" si="5"/>
        <v>1</v>
      </c>
    </row>
    <row r="15" spans="1:29" ht="57">
      <c r="A15" s="268" t="s">
        <v>1055</v>
      </c>
      <c r="B15" s="269" t="s">
        <v>226</v>
      </c>
      <c r="C15" s="270" t="str">
        <f>估价对象房地状况!G3</f>
        <v>估价对象位于XX开发区，园区建设成熟度XX，产业集聚程度XX</v>
      </c>
      <c r="D15" s="271">
        <v>100</v>
      </c>
      <c r="E15" s="272"/>
      <c r="F15" s="273">
        <f>SUMIF(70:70,E16,71:71)-SUMIF(70:70,C16,71:71)+100</f>
        <v>100</v>
      </c>
      <c r="G15" s="274"/>
      <c r="H15" s="271">
        <f>SUMIF(70:70,G16,71:71)-SUMIF(70:70,C16,71:71)+100</f>
        <v>100</v>
      </c>
      <c r="I15" s="272"/>
      <c r="J15" s="271">
        <f>SUMIF(70:70,I16,71:71)-SUMIF(70:70,C16,71:71)+100</f>
        <v>100</v>
      </c>
      <c r="K15" s="414"/>
      <c r="L15" s="413"/>
      <c r="M15" s="401"/>
      <c r="N15" s="401"/>
      <c r="O15" s="412"/>
      <c r="P15" s="3840" t="s">
        <v>1056</v>
      </c>
      <c r="Q15" s="406" t="str">
        <f t="shared" si="6"/>
        <v>产业集聚程度</v>
      </c>
      <c r="R15" s="476" t="s">
        <v>1045</v>
      </c>
      <c r="S15" s="477">
        <f t="shared" si="0"/>
        <v>100</v>
      </c>
      <c r="T15" s="476" t="s">
        <v>1045</v>
      </c>
      <c r="U15" s="477">
        <f t="shared" si="1"/>
        <v>100</v>
      </c>
      <c r="V15" s="476" t="s">
        <v>1045</v>
      </c>
      <c r="W15" s="477">
        <f t="shared" si="2"/>
        <v>100</v>
      </c>
      <c r="X15" s="471"/>
      <c r="Y15" s="3840" t="s">
        <v>1056</v>
      </c>
      <c r="Z15" s="470" t="str">
        <f t="shared" si="7"/>
        <v>产业集聚程度</v>
      </c>
      <c r="AA15" s="482">
        <f t="shared" si="3"/>
        <v>1</v>
      </c>
      <c r="AB15" s="482">
        <f t="shared" si="4"/>
        <v>1</v>
      </c>
      <c r="AC15" s="482">
        <f t="shared" si="5"/>
        <v>1</v>
      </c>
    </row>
    <row r="16" spans="1:29" ht="15">
      <c r="A16" s="275"/>
      <c r="B16" s="276"/>
      <c r="C16" s="277"/>
      <c r="D16" s="278"/>
      <c r="E16" s="277"/>
      <c r="F16" s="279"/>
      <c r="G16" s="277"/>
      <c r="H16" s="280"/>
      <c r="I16" s="277"/>
      <c r="J16" s="278"/>
      <c r="K16" s="415"/>
      <c r="L16" s="413"/>
      <c r="M16" s="401"/>
      <c r="N16" s="401"/>
      <c r="O16" s="412"/>
      <c r="P16" s="3841"/>
      <c r="Q16" s="406"/>
      <c r="R16" s="476"/>
      <c r="S16" s="477"/>
      <c r="T16" s="476"/>
      <c r="U16" s="477"/>
      <c r="V16" s="476"/>
      <c r="W16" s="477"/>
      <c r="X16" s="471"/>
      <c r="Y16" s="3841"/>
      <c r="Z16" s="470"/>
      <c r="AA16" s="482">
        <v>1</v>
      </c>
      <c r="AB16" s="482">
        <v>1</v>
      </c>
      <c r="AC16" s="482">
        <v>1</v>
      </c>
    </row>
    <row r="17" spans="1:29" ht="85.5">
      <c r="A17" s="275"/>
      <c r="B17" s="294" t="s">
        <v>227</v>
      </c>
      <c r="C17" s="282" t="str">
        <f>估价对象房地状况!G4</f>
        <v>估价对象周边道路状况、公共交通通达情况、停车便捷程度，综合评价交通便捷度较好</v>
      </c>
      <c r="D17" s="280">
        <v>100</v>
      </c>
      <c r="E17" s="290"/>
      <c r="F17" s="291">
        <f>SUMIF(72:72,E18,73:73)-SUMIF(72:72,C18,73:73)+100</f>
        <v>100</v>
      </c>
      <c r="G17" s="292"/>
      <c r="H17" s="283">
        <f>SUMIF(72:72,G18,73:73)-SUMIF(72:72,C18,73:73)+100</f>
        <v>100</v>
      </c>
      <c r="I17" s="290"/>
      <c r="J17" s="283">
        <f>SUMIF(72:72,I18,73:73)-SUMIF(72:72,C18,73:73)+100</f>
        <v>100</v>
      </c>
      <c r="K17" s="414"/>
      <c r="L17" s="413"/>
      <c r="M17" s="401"/>
      <c r="N17" s="401"/>
      <c r="O17" s="412"/>
      <c r="P17" s="3841"/>
      <c r="Q17" s="406" t="str">
        <f>B17</f>
        <v>交通便捷度</v>
      </c>
      <c r="R17" s="476" t="s">
        <v>1045</v>
      </c>
      <c r="S17" s="477">
        <f>F17</f>
        <v>100</v>
      </c>
      <c r="T17" s="476" t="s">
        <v>1045</v>
      </c>
      <c r="U17" s="477">
        <f>H17</f>
        <v>100</v>
      </c>
      <c r="V17" s="476" t="s">
        <v>1045</v>
      </c>
      <c r="W17" s="477">
        <f>J17</f>
        <v>100</v>
      </c>
      <c r="X17" s="471"/>
      <c r="Y17" s="3841"/>
      <c r="Z17" s="470" t="str">
        <f>Q17</f>
        <v>交通便捷度</v>
      </c>
      <c r="AA17" s="482">
        <f t="shared" si="3"/>
        <v>1</v>
      </c>
      <c r="AB17" s="482">
        <f t="shared" si="4"/>
        <v>1</v>
      </c>
      <c r="AC17" s="482">
        <f t="shared" si="5"/>
        <v>1</v>
      </c>
    </row>
    <row r="18" spans="1:29" ht="15">
      <c r="A18" s="275"/>
      <c r="B18" s="295"/>
      <c r="C18" s="288"/>
      <c r="D18" s="280"/>
      <c r="E18" s="558"/>
      <c r="F18" s="291"/>
      <c r="G18" s="559"/>
      <c r="H18" s="278"/>
      <c r="I18" s="558"/>
      <c r="J18" s="278"/>
      <c r="K18" s="415"/>
      <c r="L18" s="413"/>
      <c r="M18" s="401"/>
      <c r="N18" s="401"/>
      <c r="O18" s="412"/>
      <c r="P18" s="3841"/>
      <c r="Q18" s="406"/>
      <c r="R18" s="476"/>
      <c r="S18" s="477"/>
      <c r="T18" s="476"/>
      <c r="U18" s="477"/>
      <c r="V18" s="476"/>
      <c r="W18" s="477"/>
      <c r="X18" s="471"/>
      <c r="Y18" s="3841"/>
      <c r="Z18" s="470"/>
      <c r="AA18" s="482">
        <v>1</v>
      </c>
      <c r="AB18" s="482">
        <v>1</v>
      </c>
      <c r="AC18" s="482">
        <v>1</v>
      </c>
    </row>
    <row r="19" spans="1:29" ht="42.75">
      <c r="A19" s="275"/>
      <c r="B19" s="281" t="s">
        <v>229</v>
      </c>
      <c r="C19" s="282" t="str">
        <f>估价对象房地状况!G5</f>
        <v>估价对象所在区域公共配套设施齐备情况</v>
      </c>
      <c r="D19" s="283">
        <v>100</v>
      </c>
      <c r="E19" s="284"/>
      <c r="F19" s="285">
        <f>SUMIF(74:74,E20,75:75)-SUMIF(74:74,C20,75:75)+100</f>
        <v>100</v>
      </c>
      <c r="G19" s="286"/>
      <c r="H19" s="280">
        <f>SUMIF(74:74,G20,75:75)-SUMIF(74:74,C20,75:75)+100</f>
        <v>100</v>
      </c>
      <c r="I19" s="284"/>
      <c r="J19" s="280">
        <f>SUMIF(74:74,I20,75:75)-SUMIF(74:74,C20,75:75)+100</f>
        <v>100</v>
      </c>
      <c r="K19" s="414"/>
      <c r="L19" s="413"/>
      <c r="M19" s="401"/>
      <c r="N19" s="401"/>
      <c r="O19" s="412"/>
      <c r="P19" s="3841"/>
      <c r="Q19" s="406" t="str">
        <f>B19</f>
        <v>公共配套设施</v>
      </c>
      <c r="R19" s="476" t="s">
        <v>1045</v>
      </c>
      <c r="S19" s="477">
        <f>F19</f>
        <v>100</v>
      </c>
      <c r="T19" s="476" t="s">
        <v>1045</v>
      </c>
      <c r="U19" s="477">
        <f>H19</f>
        <v>100</v>
      </c>
      <c r="V19" s="476" t="s">
        <v>1045</v>
      </c>
      <c r="W19" s="477">
        <f>J19</f>
        <v>100</v>
      </c>
      <c r="X19" s="471"/>
      <c r="Y19" s="3841"/>
      <c r="Z19" s="470" t="str">
        <f>Q19</f>
        <v>公共配套设施</v>
      </c>
      <c r="AA19" s="482">
        <f t="shared" si="3"/>
        <v>1</v>
      </c>
      <c r="AB19" s="482">
        <f t="shared" si="4"/>
        <v>1</v>
      </c>
      <c r="AC19" s="482">
        <f t="shared" si="5"/>
        <v>1</v>
      </c>
    </row>
    <row r="20" spans="1:29" ht="15">
      <c r="A20" s="275"/>
      <c r="B20" s="287"/>
      <c r="C20" s="277"/>
      <c r="D20" s="278"/>
      <c r="E20" s="560"/>
      <c r="F20" s="279"/>
      <c r="G20" s="561"/>
      <c r="H20" s="278"/>
      <c r="I20" s="560"/>
      <c r="J20" s="278"/>
      <c r="K20" s="415"/>
      <c r="L20" s="413"/>
      <c r="M20" s="401"/>
      <c r="N20" s="401"/>
      <c r="O20" s="412"/>
      <c r="P20" s="3841"/>
      <c r="Q20" s="406"/>
      <c r="R20" s="476"/>
      <c r="S20" s="477"/>
      <c r="T20" s="476"/>
      <c r="U20" s="477"/>
      <c r="V20" s="476"/>
      <c r="W20" s="477"/>
      <c r="X20" s="471"/>
      <c r="Y20" s="3841"/>
      <c r="Z20" s="470"/>
      <c r="AA20" s="482">
        <v>1</v>
      </c>
      <c r="AB20" s="482">
        <v>1</v>
      </c>
      <c r="AC20" s="482">
        <v>1</v>
      </c>
    </row>
    <row r="21" spans="1:29" ht="28.5">
      <c r="A21" s="275"/>
      <c r="B21" s="289" t="s">
        <v>230</v>
      </c>
      <c r="C21" s="282" t="str">
        <f>估价对象房地状况!G6</f>
        <v>估价对象所在区域基础设施水平</v>
      </c>
      <c r="D21" s="283">
        <v>100</v>
      </c>
      <c r="E21" s="286"/>
      <c r="F21" s="285">
        <f>SUMIF(76:76,E22,77:77)-SUMIF(76:76,C22,77:77)+100</f>
        <v>100</v>
      </c>
      <c r="G21" s="286"/>
      <c r="H21" s="283">
        <f>SUMIF(76:76,G22,77:77)-SUMIF(76:76,C22,77:77)+100</f>
        <v>100</v>
      </c>
      <c r="I21" s="284"/>
      <c r="J21" s="283">
        <f>SUMIF(76:76,I22,77:77)-SUMIF(76:76,C22,77:77)+100</f>
        <v>100</v>
      </c>
      <c r="K21" s="414"/>
      <c r="L21" s="413"/>
      <c r="M21" s="401"/>
      <c r="N21" s="401"/>
      <c r="O21" s="412"/>
      <c r="P21" s="3841"/>
      <c r="Q21" s="406" t="str">
        <f>B21</f>
        <v>基础设施水平</v>
      </c>
      <c r="R21" s="476" t="s">
        <v>1045</v>
      </c>
      <c r="S21" s="477">
        <f>F21</f>
        <v>100</v>
      </c>
      <c r="T21" s="476" t="s">
        <v>1045</v>
      </c>
      <c r="U21" s="477">
        <f>H21</f>
        <v>100</v>
      </c>
      <c r="V21" s="476" t="s">
        <v>1045</v>
      </c>
      <c r="W21" s="477">
        <f>J21</f>
        <v>100</v>
      </c>
      <c r="X21" s="471"/>
      <c r="Y21" s="3841"/>
      <c r="Z21" s="470" t="str">
        <f>Q21</f>
        <v>基础设施水平</v>
      </c>
      <c r="AA21" s="482">
        <f>D21/F21</f>
        <v>1</v>
      </c>
      <c r="AB21" s="482">
        <f>D21/H21</f>
        <v>1</v>
      </c>
      <c r="AC21" s="482">
        <f>D21/J21</f>
        <v>1</v>
      </c>
    </row>
    <row r="22" spans="1:29" ht="15">
      <c r="A22" s="275"/>
      <c r="B22" s="293"/>
      <c r="C22" s="288"/>
      <c r="D22" s="278"/>
      <c r="E22" s="277"/>
      <c r="F22" s="279"/>
      <c r="G22" s="277"/>
      <c r="H22" s="278"/>
      <c r="I22" s="277"/>
      <c r="J22" s="278"/>
      <c r="K22" s="416"/>
      <c r="L22" s="413"/>
      <c r="M22" s="401"/>
      <c r="N22" s="401"/>
      <c r="O22" s="412"/>
      <c r="P22" s="3841"/>
      <c r="Q22" s="406"/>
      <c r="R22" s="476"/>
      <c r="S22" s="477"/>
      <c r="T22" s="476"/>
      <c r="U22" s="477"/>
      <c r="V22" s="476"/>
      <c r="W22" s="477"/>
      <c r="X22" s="471"/>
      <c r="Y22" s="3841"/>
      <c r="Z22" s="470"/>
      <c r="AA22" s="482">
        <v>1</v>
      </c>
      <c r="AB22" s="482">
        <v>1</v>
      </c>
      <c r="AC22" s="482">
        <v>1</v>
      </c>
    </row>
    <row r="23" spans="1:29" ht="71.25">
      <c r="A23" s="275"/>
      <c r="B23" s="294" t="s">
        <v>231</v>
      </c>
      <c r="C23" s="282" t="str">
        <f>估价对象房地状况!G7</f>
        <v>该园区内是否有污染型企业，绿化情况，卫生条件，整体环境状况判断</v>
      </c>
      <c r="D23" s="280">
        <v>100</v>
      </c>
      <c r="E23" s="290"/>
      <c r="F23" s="291">
        <f>SUMIF(78:78,E24,79:79)-SUMIF(78:78,C24,79:79)+100</f>
        <v>100</v>
      </c>
      <c r="G23" s="292"/>
      <c r="H23" s="280">
        <f>SUMIF(78:78,G24,79:79)-SUMIF(78:78,C24,79:79)+100</f>
        <v>100</v>
      </c>
      <c r="I23" s="290"/>
      <c r="J23" s="280">
        <f>SUMIF(78:78,I24,79:79)-SUMIF(78:78,C24,79:79)+100</f>
        <v>100</v>
      </c>
      <c r="K23" s="414"/>
      <c r="L23" s="413"/>
      <c r="M23" s="401"/>
      <c r="N23" s="401"/>
      <c r="O23" s="412"/>
      <c r="P23" s="3841"/>
      <c r="Q23" s="406" t="str">
        <f>B23</f>
        <v>环境质量</v>
      </c>
      <c r="R23" s="476" t="s">
        <v>1045</v>
      </c>
      <c r="S23" s="477">
        <f>F23</f>
        <v>100</v>
      </c>
      <c r="T23" s="476" t="s">
        <v>1045</v>
      </c>
      <c r="U23" s="477">
        <f>H23</f>
        <v>100</v>
      </c>
      <c r="V23" s="476" t="s">
        <v>1045</v>
      </c>
      <c r="W23" s="477">
        <f>J23</f>
        <v>100</v>
      </c>
      <c r="X23" s="471"/>
      <c r="Y23" s="3841"/>
      <c r="Z23" s="470" t="str">
        <f>Q23</f>
        <v>环境质量</v>
      </c>
      <c r="AA23" s="482">
        <f t="shared" si="3"/>
        <v>1</v>
      </c>
      <c r="AB23" s="482">
        <f t="shared" si="4"/>
        <v>1</v>
      </c>
      <c r="AC23" s="482">
        <f t="shared" si="5"/>
        <v>1</v>
      </c>
    </row>
    <row r="24" spans="1:29" ht="15">
      <c r="A24" s="275"/>
      <c r="B24" s="562"/>
      <c r="C24" s="277"/>
      <c r="D24" s="278"/>
      <c r="E24" s="560"/>
      <c r="F24" s="279"/>
      <c r="G24" s="561"/>
      <c r="H24" s="278"/>
      <c r="I24" s="560"/>
      <c r="J24" s="278"/>
      <c r="K24" s="415"/>
      <c r="L24" s="413"/>
      <c r="M24" s="401"/>
      <c r="N24" s="401"/>
      <c r="O24" s="412"/>
      <c r="P24" s="3841"/>
      <c r="Q24" s="406"/>
      <c r="R24" s="476"/>
      <c r="S24" s="477"/>
      <c r="T24" s="476"/>
      <c r="U24" s="477"/>
      <c r="V24" s="476"/>
      <c r="W24" s="477"/>
      <c r="X24" s="471"/>
      <c r="Y24" s="3841"/>
      <c r="Z24" s="470"/>
      <c r="AA24" s="482">
        <v>1</v>
      </c>
      <c r="AB24" s="482">
        <v>1</v>
      </c>
      <c r="AC24" s="482">
        <v>1</v>
      </c>
    </row>
    <row r="25" spans="1:29" ht="15">
      <c r="A25" s="236"/>
      <c r="B25" s="563">
        <v>111</v>
      </c>
      <c r="C25" s="266"/>
      <c r="D25" s="267">
        <v>100</v>
      </c>
      <c r="E25" s="266"/>
      <c r="F25" s="297">
        <f>SUMIF(80:80,E25,81:81)-SUMIF(80:80,C25,81:81)+100</f>
        <v>100</v>
      </c>
      <c r="G25" s="266"/>
      <c r="H25" s="267">
        <f>SUMIF(80:80,G25,81:81)-SUMIF(80:80,C25,81:81)+100</f>
        <v>100</v>
      </c>
      <c r="I25" s="266"/>
      <c r="J25" s="267">
        <f>SUMIF(80:80,I25,81:81)-SUMIF(80:80,C25,81:81)+100</f>
        <v>100</v>
      </c>
      <c r="K25" s="410"/>
      <c r="L25" s="413"/>
      <c r="M25" s="401"/>
      <c r="N25" s="401"/>
      <c r="O25" s="412"/>
      <c r="P25" s="3841"/>
      <c r="Q25" s="406">
        <f>B25</f>
        <v>111</v>
      </c>
      <c r="R25" s="476" t="s">
        <v>1045</v>
      </c>
      <c r="S25" s="477">
        <f>F25</f>
        <v>100</v>
      </c>
      <c r="T25" s="476" t="s">
        <v>1045</v>
      </c>
      <c r="U25" s="477">
        <f>H25</f>
        <v>100</v>
      </c>
      <c r="V25" s="476" t="s">
        <v>1045</v>
      </c>
      <c r="W25" s="477">
        <f>J25</f>
        <v>100</v>
      </c>
      <c r="X25" s="471"/>
      <c r="Y25" s="3841"/>
      <c r="Z25" s="470">
        <f>Q25</f>
        <v>111</v>
      </c>
      <c r="AA25" s="482">
        <f t="shared" si="3"/>
        <v>1</v>
      </c>
      <c r="AB25" s="482">
        <f t="shared" si="4"/>
        <v>1</v>
      </c>
      <c r="AC25" s="482">
        <f t="shared" si="5"/>
        <v>1</v>
      </c>
    </row>
    <row r="26" spans="1:29" ht="15">
      <c r="A26" s="275"/>
      <c r="B26" s="563">
        <v>111</v>
      </c>
      <c r="C26" s="266"/>
      <c r="D26" s="267">
        <v>100</v>
      </c>
      <c r="E26" s="266"/>
      <c r="F26" s="297">
        <f>SUMIF(82:82,E26,83:83)-SUMIF(82:82,C26,83:83)+100</f>
        <v>100</v>
      </c>
      <c r="G26" s="266"/>
      <c r="H26" s="267">
        <f>SUMIF(82:82,G26,83:83)-SUMIF(82:82,C26,83:83)+100</f>
        <v>100</v>
      </c>
      <c r="I26" s="266"/>
      <c r="J26" s="267">
        <f>SUMIF(82:82,I26,83:83)-SUMIF(82:82,C26,83:83)+100</f>
        <v>100</v>
      </c>
      <c r="K26" s="410"/>
      <c r="L26" s="413"/>
      <c r="M26" s="401"/>
      <c r="N26" s="401"/>
      <c r="O26" s="412"/>
      <c r="P26" s="3841"/>
      <c r="Q26" s="406">
        <f t="shared" ref="Q26:Q40" si="8">B26</f>
        <v>111</v>
      </c>
      <c r="R26" s="476" t="s">
        <v>1045</v>
      </c>
      <c r="S26" s="477">
        <f>F26</f>
        <v>100</v>
      </c>
      <c r="T26" s="476" t="s">
        <v>1045</v>
      </c>
      <c r="U26" s="477">
        <f>H26</f>
        <v>100</v>
      </c>
      <c r="V26" s="476" t="s">
        <v>1045</v>
      </c>
      <c r="W26" s="477">
        <f>J26</f>
        <v>100</v>
      </c>
      <c r="X26" s="471"/>
      <c r="Y26" s="3841"/>
      <c r="Z26" s="470">
        <f>Q26</f>
        <v>111</v>
      </c>
      <c r="AA26" s="482">
        <f t="shared" si="3"/>
        <v>1</v>
      </c>
      <c r="AB26" s="482">
        <f t="shared" si="4"/>
        <v>1</v>
      </c>
      <c r="AC26" s="482">
        <f t="shared" si="5"/>
        <v>1</v>
      </c>
    </row>
    <row r="27" spans="1:29" s="210" customFormat="1" ht="15">
      <c r="A27" s="299"/>
      <c r="B27" s="563">
        <v>111</v>
      </c>
      <c r="C27" s="266"/>
      <c r="D27" s="564">
        <v>100</v>
      </c>
      <c r="E27" s="266"/>
      <c r="F27" s="565">
        <f>SUMIF(84:84,E27,85:85)-SUMIF(84:84,C27,85:85)+100</f>
        <v>100</v>
      </c>
      <c r="G27" s="266"/>
      <c r="H27" s="564">
        <f>SUMIF(84:84,G27,85:85)-SUMIF(84:84,C27,85:85)+100</f>
        <v>100</v>
      </c>
      <c r="I27" s="266"/>
      <c r="J27" s="564">
        <f>SUMIF(84:84,I27,85:85)-SUMIF(84:84,C27,85:85)+100</f>
        <v>100</v>
      </c>
      <c r="K27" s="410"/>
      <c r="L27" s="403"/>
      <c r="M27" s="404"/>
      <c r="N27" s="404"/>
      <c r="O27" s="405"/>
      <c r="P27" s="3841"/>
      <c r="Q27" s="475">
        <f t="shared" si="8"/>
        <v>111</v>
      </c>
      <c r="R27" s="472" t="s">
        <v>1045</v>
      </c>
      <c r="S27" s="473">
        <f>F27</f>
        <v>100</v>
      </c>
      <c r="T27" s="472" t="s">
        <v>1045</v>
      </c>
      <c r="U27" s="473">
        <f>H27</f>
        <v>100</v>
      </c>
      <c r="V27" s="472" t="s">
        <v>1045</v>
      </c>
      <c r="W27" s="473">
        <f>J27</f>
        <v>100</v>
      </c>
      <c r="X27" s="474"/>
      <c r="Y27" s="3841"/>
      <c r="Z27" s="492">
        <f>Q27</f>
        <v>111</v>
      </c>
      <c r="AA27" s="482">
        <f t="shared" si="3"/>
        <v>1</v>
      </c>
      <c r="AB27" s="482">
        <f t="shared" si="4"/>
        <v>1</v>
      </c>
      <c r="AC27" s="482">
        <f t="shared" si="5"/>
        <v>1</v>
      </c>
    </row>
    <row r="28" spans="1:29" ht="15">
      <c r="A28" s="566"/>
      <c r="B28" s="563">
        <v>111</v>
      </c>
      <c r="C28" s="319"/>
      <c r="D28" s="320">
        <v>100</v>
      </c>
      <c r="E28" s="266"/>
      <c r="F28" s="322">
        <f>SUMIF(86:86,E28,87:87)-SUMIF(86:86,C28,87:87)+100</f>
        <v>100</v>
      </c>
      <c r="G28" s="262"/>
      <c r="H28" s="320">
        <f>SUMIF(86:86,G28,87:87)-SUMIF(86:86,C28,87:87)+100</f>
        <v>100</v>
      </c>
      <c r="I28" s="262"/>
      <c r="J28" s="320">
        <f>SUMIF(86:86,I28,87:87)-SUMIF(86:86,C28,87:87)+100</f>
        <v>100</v>
      </c>
      <c r="K28" s="410"/>
      <c r="L28" s="413"/>
      <c r="M28" s="401"/>
      <c r="N28" s="401"/>
      <c r="O28" s="412"/>
      <c r="P28" s="3841"/>
      <c r="Q28" s="406">
        <f t="shared" si="8"/>
        <v>111</v>
      </c>
      <c r="R28" s="476" t="s">
        <v>1045</v>
      </c>
      <c r="S28" s="477">
        <f t="shared" ref="S28:S40" si="9">F28</f>
        <v>100</v>
      </c>
      <c r="T28" s="476" t="s">
        <v>1045</v>
      </c>
      <c r="U28" s="477">
        <f t="shared" ref="U28:U40" si="10">H28</f>
        <v>100</v>
      </c>
      <c r="V28" s="476" t="s">
        <v>1045</v>
      </c>
      <c r="W28" s="477">
        <f t="shared" ref="W28:W40" si="11">J28</f>
        <v>100</v>
      </c>
      <c r="X28" s="471"/>
      <c r="Y28" s="3841"/>
      <c r="Z28" s="470">
        <f t="shared" ref="Z28:Z40" si="12">Q28</f>
        <v>111</v>
      </c>
      <c r="AA28" s="482">
        <f t="shared" si="3"/>
        <v>1</v>
      </c>
      <c r="AB28" s="482">
        <f t="shared" si="4"/>
        <v>1</v>
      </c>
      <c r="AC28" s="482">
        <f t="shared" si="5"/>
        <v>1</v>
      </c>
    </row>
    <row r="29" spans="1:29" ht="15">
      <c r="A29" s="303" t="s">
        <v>1061</v>
      </c>
      <c r="B29" s="304" t="s">
        <v>2415</v>
      </c>
      <c r="C29" s="305"/>
      <c r="D29" s="306">
        <v>100</v>
      </c>
      <c r="E29" s="305"/>
      <c r="F29" s="297">
        <f>SUMIF(88:88,E29,89:89)-SUMIF(88:88,C29,89:89)+100</f>
        <v>100</v>
      </c>
      <c r="G29" s="305"/>
      <c r="H29" s="267">
        <f>SUMIF(88:88,G29,89:89)-SUMIF(88:88,C29,89:89)+100</f>
        <v>100</v>
      </c>
      <c r="I29" s="305"/>
      <c r="J29" s="306">
        <f>SUMIF(88:88,I29,89:89)-SUMIF(88:88,C29,89:89)+100</f>
        <v>100</v>
      </c>
      <c r="K29" s="417"/>
      <c r="L29" s="413"/>
      <c r="M29" s="401"/>
      <c r="N29" s="401"/>
      <c r="O29" s="412"/>
      <c r="P29" s="3842" t="s">
        <v>1060</v>
      </c>
      <c r="Q29" s="406" t="str">
        <f t="shared" si="8"/>
        <v>建筑类型</v>
      </c>
      <c r="R29" s="476" t="s">
        <v>1045</v>
      </c>
      <c r="S29" s="477">
        <f t="shared" si="9"/>
        <v>100</v>
      </c>
      <c r="T29" s="476" t="s">
        <v>1045</v>
      </c>
      <c r="U29" s="477">
        <f t="shared" si="10"/>
        <v>100</v>
      </c>
      <c r="V29" s="476" t="s">
        <v>1045</v>
      </c>
      <c r="W29" s="477">
        <f t="shared" si="11"/>
        <v>100</v>
      </c>
      <c r="X29" s="471"/>
      <c r="Y29" s="3843" t="s">
        <v>1060</v>
      </c>
      <c r="Z29" s="470" t="str">
        <f t="shared" si="12"/>
        <v>建筑类型</v>
      </c>
      <c r="AA29" s="482">
        <f t="shared" si="3"/>
        <v>1</v>
      </c>
      <c r="AB29" s="482">
        <f t="shared" si="4"/>
        <v>1</v>
      </c>
      <c r="AC29" s="482">
        <f t="shared" si="5"/>
        <v>1</v>
      </c>
    </row>
    <row r="30" spans="1:29" s="212" customFormat="1" ht="15">
      <c r="A30" s="308"/>
      <c r="B30" s="309" t="s">
        <v>2416</v>
      </c>
      <c r="C30" s="262"/>
      <c r="D30" s="257">
        <v>100</v>
      </c>
      <c r="E30" s="556"/>
      <c r="F30" s="567" t="e">
        <f>LOOKUP(E30,91:91,92:92)-LOOKUP(C30,91:91,92:92)+100</f>
        <v>#N/A</v>
      </c>
      <c r="G30" s="555"/>
      <c r="H30" s="257" t="e">
        <f>LOOKUP(G30,91:91,92:92)-LOOKUP(C30,91:91,92:92)+100</f>
        <v>#N/A</v>
      </c>
      <c r="I30" s="555"/>
      <c r="J30" s="257" t="e">
        <f>LOOKUP(I30,91:91,92:92)-LOOKUP(C30,91:91,92:92)+100</f>
        <v>#N/A</v>
      </c>
      <c r="K30" s="410"/>
      <c r="L30" s="411"/>
      <c r="M30" s="418"/>
      <c r="N30" s="418"/>
      <c r="O30" s="419"/>
      <c r="P30" s="3843"/>
      <c r="Q30" s="478" t="str">
        <f t="shared" si="8"/>
        <v>项目建筑规模</v>
      </c>
      <c r="R30" s="479" t="s">
        <v>1045</v>
      </c>
      <c r="S30" s="480" t="e">
        <f t="shared" si="9"/>
        <v>#N/A</v>
      </c>
      <c r="T30" s="479" t="s">
        <v>1045</v>
      </c>
      <c r="U30" s="480" t="e">
        <f t="shared" si="10"/>
        <v>#N/A</v>
      </c>
      <c r="V30" s="479" t="s">
        <v>1045</v>
      </c>
      <c r="W30" s="480" t="e">
        <f t="shared" si="11"/>
        <v>#N/A</v>
      </c>
      <c r="X30" s="481"/>
      <c r="Y30" s="3843"/>
      <c r="Z30" s="493" t="str">
        <f t="shared" si="12"/>
        <v>项目建筑规模</v>
      </c>
      <c r="AA30" s="482" t="e">
        <f t="shared" si="3"/>
        <v>#N/A</v>
      </c>
      <c r="AB30" s="482" t="e">
        <f t="shared" si="4"/>
        <v>#N/A</v>
      </c>
      <c r="AC30" s="482" t="e">
        <f t="shared" si="5"/>
        <v>#N/A</v>
      </c>
    </row>
    <row r="31" spans="1:29" ht="15">
      <c r="A31" s="313"/>
      <c r="B31" s="309" t="s">
        <v>2417</v>
      </c>
      <c r="C31" s="314"/>
      <c r="D31" s="267">
        <v>100</v>
      </c>
      <c r="E31" s="314"/>
      <c r="F31" s="297">
        <f>SUMIF(93:93,E31,94:94)-SUMIF(93:93,C31,94:94)+100</f>
        <v>100</v>
      </c>
      <c r="G31" s="314"/>
      <c r="H31" s="267">
        <f>SUMIF(93:93,G31,94:94)-SUMIF(93:93,C31,94:94)+100</f>
        <v>100</v>
      </c>
      <c r="I31" s="314"/>
      <c r="J31" s="267">
        <f>SUMIF(93:93,I31,94:94)-SUMIF(93:93,C31,94:94)+100</f>
        <v>100</v>
      </c>
      <c r="K31" s="417"/>
      <c r="L31" s="413"/>
      <c r="M31" s="401"/>
      <c r="N31" s="401"/>
      <c r="O31" s="412"/>
      <c r="P31" s="3843"/>
      <c r="Q31" s="406" t="str">
        <f t="shared" si="8"/>
        <v>建筑结构</v>
      </c>
      <c r="R31" s="476" t="s">
        <v>1045</v>
      </c>
      <c r="S31" s="477">
        <f t="shared" si="9"/>
        <v>100</v>
      </c>
      <c r="T31" s="476" t="s">
        <v>1045</v>
      </c>
      <c r="U31" s="477">
        <f t="shared" si="10"/>
        <v>100</v>
      </c>
      <c r="V31" s="476" t="s">
        <v>1045</v>
      </c>
      <c r="W31" s="477">
        <f t="shared" si="11"/>
        <v>100</v>
      </c>
      <c r="X31" s="471"/>
      <c r="Y31" s="3843"/>
      <c r="Z31" s="470" t="str">
        <f t="shared" si="12"/>
        <v>建筑结构</v>
      </c>
      <c r="AA31" s="482">
        <f t="shared" si="3"/>
        <v>1</v>
      </c>
      <c r="AB31" s="482">
        <f t="shared" si="4"/>
        <v>1</v>
      </c>
      <c r="AC31" s="482">
        <f t="shared" si="5"/>
        <v>1</v>
      </c>
    </row>
    <row r="32" spans="1:29" ht="15">
      <c r="A32" s="313"/>
      <c r="B32" s="309" t="s">
        <v>2419</v>
      </c>
      <c r="C32" s="314"/>
      <c r="D32" s="267">
        <v>100</v>
      </c>
      <c r="E32" s="314"/>
      <c r="F32" s="297">
        <f>SUMIF(95:95,E32,96:96)-SUMIF(95:95,C32,96:96)+100</f>
        <v>100</v>
      </c>
      <c r="G32" s="314"/>
      <c r="H32" s="267">
        <f>SUMIF(95:95,G32,96:96)-SUMIF(95:95,C32,96:96)+100</f>
        <v>100</v>
      </c>
      <c r="I32" s="314"/>
      <c r="J32" s="267">
        <f>SUMIF(95:95,I32,96:96)-SUMIF(95:95,C32,96:96)+100</f>
        <v>100</v>
      </c>
      <c r="K32" s="417"/>
      <c r="L32" s="413"/>
      <c r="M32" s="401"/>
      <c r="N32" s="401"/>
      <c r="O32" s="412"/>
      <c r="P32" s="3843"/>
      <c r="Q32" s="406" t="str">
        <f t="shared" si="8"/>
        <v>公共部分装修</v>
      </c>
      <c r="R32" s="476" t="s">
        <v>1045</v>
      </c>
      <c r="S32" s="477">
        <f t="shared" si="9"/>
        <v>100</v>
      </c>
      <c r="T32" s="476" t="s">
        <v>1045</v>
      </c>
      <c r="U32" s="477">
        <f t="shared" si="10"/>
        <v>100</v>
      </c>
      <c r="V32" s="476" t="s">
        <v>1045</v>
      </c>
      <c r="W32" s="477">
        <f t="shared" si="11"/>
        <v>100</v>
      </c>
      <c r="X32" s="471"/>
      <c r="Y32" s="3843"/>
      <c r="Z32" s="470" t="str">
        <f t="shared" si="12"/>
        <v>公共部分装修</v>
      </c>
      <c r="AA32" s="482">
        <f t="shared" si="3"/>
        <v>1</v>
      </c>
      <c r="AB32" s="482">
        <f t="shared" si="4"/>
        <v>1</v>
      </c>
      <c r="AC32" s="482">
        <f t="shared" si="5"/>
        <v>1</v>
      </c>
    </row>
    <row r="33" spans="1:29" ht="15">
      <c r="A33" s="313"/>
      <c r="B33" s="309" t="s">
        <v>2420</v>
      </c>
      <c r="C33" s="262"/>
      <c r="D33" s="267">
        <v>100</v>
      </c>
      <c r="E33" s="310"/>
      <c r="F33" s="297" t="e">
        <f>LOOKUP(E33,98:98,99:99)-LOOKUP(C33,98:98,99:99)+100</f>
        <v>#N/A</v>
      </c>
      <c r="G33" s="310"/>
      <c r="H33" s="297" t="e">
        <f>LOOKUP(G33,98:98,99:99)-LOOKUP(C33,98:98,99:99)+100</f>
        <v>#N/A</v>
      </c>
      <c r="I33" s="310"/>
      <c r="J33" s="267" t="e">
        <f>LOOKUP(I33,98:98,99:99)-LOOKUP(C33,98:98,99:99)+100</f>
        <v>#N/A</v>
      </c>
      <c r="K33" s="417"/>
      <c r="L33" s="413"/>
      <c r="M33" s="401"/>
      <c r="N33" s="401"/>
      <c r="O33" s="412"/>
      <c r="P33" s="3843"/>
      <c r="Q33" s="406" t="str">
        <f t="shared" si="8"/>
        <v>成新度</v>
      </c>
      <c r="R33" s="476" t="s">
        <v>1045</v>
      </c>
      <c r="S33" s="477" t="e">
        <f t="shared" si="9"/>
        <v>#N/A</v>
      </c>
      <c r="T33" s="476" t="s">
        <v>1045</v>
      </c>
      <c r="U33" s="477" t="e">
        <f t="shared" si="10"/>
        <v>#N/A</v>
      </c>
      <c r="V33" s="476" t="s">
        <v>1045</v>
      </c>
      <c r="W33" s="477" t="e">
        <f t="shared" si="11"/>
        <v>#N/A</v>
      </c>
      <c r="X33" s="471"/>
      <c r="Y33" s="3843"/>
      <c r="Z33" s="470" t="str">
        <f t="shared" si="12"/>
        <v>成新度</v>
      </c>
      <c r="AA33" s="482" t="e">
        <f t="shared" si="3"/>
        <v>#N/A</v>
      </c>
      <c r="AB33" s="482" t="e">
        <f t="shared" si="4"/>
        <v>#N/A</v>
      </c>
      <c r="AC33" s="482" t="e">
        <f t="shared" si="5"/>
        <v>#N/A</v>
      </c>
    </row>
    <row r="34" spans="1:29" s="210" customFormat="1" ht="15">
      <c r="A34" s="316"/>
      <c r="B34" s="309" t="s">
        <v>2421</v>
      </c>
      <c r="C34" s="314"/>
      <c r="D34" s="257">
        <v>100</v>
      </c>
      <c r="E34" s="314"/>
      <c r="F34" s="297">
        <f>SUMIF(100:100,E34,101:101)-SUMIF(100:100,C34,101:101)+100</f>
        <v>100</v>
      </c>
      <c r="G34" s="314"/>
      <c r="H34" s="267">
        <f>SUMIF(100:100,G34,101:101)-SUMIF(100:100,C34,101:101)+100</f>
        <v>100</v>
      </c>
      <c r="I34" s="314"/>
      <c r="J34" s="267">
        <f>SUMIF(100:100,I34,101:101)-SUMIF(100:100,C34,101:101)+100</f>
        <v>100</v>
      </c>
      <c r="K34" s="417"/>
      <c r="L34" s="403"/>
      <c r="M34" s="404"/>
      <c r="N34" s="404"/>
      <c r="O34" s="405"/>
      <c r="P34" s="3843"/>
      <c r="Q34" s="475" t="str">
        <f t="shared" si="8"/>
        <v>物业管理</v>
      </c>
      <c r="R34" s="472" t="s">
        <v>1045</v>
      </c>
      <c r="S34" s="473">
        <f t="shared" si="9"/>
        <v>100</v>
      </c>
      <c r="T34" s="472" t="s">
        <v>1045</v>
      </c>
      <c r="U34" s="473">
        <f t="shared" si="10"/>
        <v>100</v>
      </c>
      <c r="V34" s="472" t="s">
        <v>1045</v>
      </c>
      <c r="W34" s="473">
        <f t="shared" si="11"/>
        <v>100</v>
      </c>
      <c r="X34" s="474"/>
      <c r="Y34" s="3843"/>
      <c r="Z34" s="492" t="str">
        <f t="shared" si="12"/>
        <v>物业管理</v>
      </c>
      <c r="AA34" s="491">
        <f t="shared" si="3"/>
        <v>1</v>
      </c>
      <c r="AB34" s="491">
        <f t="shared" si="4"/>
        <v>1</v>
      </c>
      <c r="AC34" s="491">
        <f t="shared" si="5"/>
        <v>1</v>
      </c>
    </row>
    <row r="35" spans="1:29" ht="15">
      <c r="A35" s="313"/>
      <c r="B35" s="568" t="s">
        <v>2422</v>
      </c>
      <c r="C35" s="314"/>
      <c r="D35" s="267">
        <v>100</v>
      </c>
      <c r="E35" s="314"/>
      <c r="F35" s="297">
        <f>SUMIF(102:102,E35,103:103)-SUMIF(102:102,C35,103:103)+100</f>
        <v>100</v>
      </c>
      <c r="G35" s="314"/>
      <c r="H35" s="267">
        <f>SUMIF(102:102,G35,103:103)-SUMIF(102:102,C35,103:103)+100</f>
        <v>100</v>
      </c>
      <c r="I35" s="314"/>
      <c r="J35" s="267">
        <f>SUMIF(102:102,I35,103:103)-SUMIF(102:102,C35,103:103)+100</f>
        <v>100</v>
      </c>
      <c r="K35" s="417"/>
      <c r="L35" s="413"/>
      <c r="M35" s="401"/>
      <c r="N35" s="401"/>
      <c r="O35" s="412"/>
      <c r="P35" s="3843" t="s">
        <v>1060</v>
      </c>
      <c r="Q35" s="406" t="str">
        <f t="shared" si="8"/>
        <v>市政基础设施</v>
      </c>
      <c r="R35" s="476" t="s">
        <v>1045</v>
      </c>
      <c r="S35" s="477">
        <f t="shared" si="9"/>
        <v>100</v>
      </c>
      <c r="T35" s="476" t="s">
        <v>1045</v>
      </c>
      <c r="U35" s="477">
        <f t="shared" si="10"/>
        <v>100</v>
      </c>
      <c r="V35" s="476" t="s">
        <v>1045</v>
      </c>
      <c r="W35" s="477">
        <f t="shared" si="11"/>
        <v>100</v>
      </c>
      <c r="X35" s="471"/>
      <c r="Y35" s="3843" t="s">
        <v>1060</v>
      </c>
      <c r="Z35" s="470" t="str">
        <f t="shared" si="12"/>
        <v>市政基础设施</v>
      </c>
      <c r="AA35" s="482">
        <f t="shared" si="3"/>
        <v>1</v>
      </c>
      <c r="AB35" s="482">
        <f t="shared" si="4"/>
        <v>1</v>
      </c>
      <c r="AC35" s="482">
        <f t="shared" si="5"/>
        <v>1</v>
      </c>
    </row>
    <row r="36" spans="1:29" ht="15">
      <c r="A36" s="313"/>
      <c r="B36" s="309" t="s">
        <v>2425</v>
      </c>
      <c r="C36" s="314"/>
      <c r="D36" s="267">
        <v>100</v>
      </c>
      <c r="E36" s="314"/>
      <c r="F36" s="297">
        <f>SUMIF(104:104,E36,105:105)-SUMIF(104:104,C36,105:105)+100</f>
        <v>100</v>
      </c>
      <c r="G36" s="314"/>
      <c r="H36" s="267">
        <f>SUMIF(104:104,G36,105:105)-SUMIF(104:104,C36,105:105)+100</f>
        <v>100</v>
      </c>
      <c r="I36" s="314"/>
      <c r="J36" s="267">
        <f>SUMIF(104:104,I36,105:105)-SUMIF(104:104,C36,105:105)+100</f>
        <v>100</v>
      </c>
      <c r="K36" s="417"/>
      <c r="L36" s="413"/>
      <c r="M36" s="401"/>
      <c r="N36" s="401"/>
      <c r="O36" s="412"/>
      <c r="P36" s="3843"/>
      <c r="Q36" s="406" t="str">
        <f t="shared" si="8"/>
        <v>内部装修</v>
      </c>
      <c r="R36" s="476" t="s">
        <v>1045</v>
      </c>
      <c r="S36" s="477">
        <f t="shared" si="9"/>
        <v>100</v>
      </c>
      <c r="T36" s="476" t="s">
        <v>1045</v>
      </c>
      <c r="U36" s="477">
        <f t="shared" si="10"/>
        <v>100</v>
      </c>
      <c r="V36" s="476" t="s">
        <v>1045</v>
      </c>
      <c r="W36" s="477">
        <f t="shared" si="11"/>
        <v>100</v>
      </c>
      <c r="X36" s="471"/>
      <c r="Y36" s="3843"/>
      <c r="Z36" s="470" t="str">
        <f t="shared" si="12"/>
        <v>内部装修</v>
      </c>
      <c r="AA36" s="482">
        <f t="shared" si="3"/>
        <v>1</v>
      </c>
      <c r="AB36" s="482">
        <f t="shared" si="4"/>
        <v>1</v>
      </c>
      <c r="AC36" s="482">
        <f t="shared" si="5"/>
        <v>1</v>
      </c>
    </row>
    <row r="37" spans="1:29" ht="15">
      <c r="A37" s="313"/>
      <c r="B37" s="309" t="s">
        <v>2460</v>
      </c>
      <c r="C37" s="296"/>
      <c r="D37" s="267">
        <v>100</v>
      </c>
      <c r="E37" s="296"/>
      <c r="F37" s="297">
        <f>SUMIF(106:106,E37,107:107)-SUMIF(106:106,C37,107:107)+100</f>
        <v>100</v>
      </c>
      <c r="G37" s="296"/>
      <c r="H37" s="267">
        <f>SUMIF(106:106,G37,107:107)-SUMIF(106:106,C37,107:107)+100</f>
        <v>100</v>
      </c>
      <c r="I37" s="296"/>
      <c r="J37" s="267">
        <f>SUMIF(106:106,I37,107:107)-SUMIF(106:106,C37,107:107)+100</f>
        <v>100</v>
      </c>
      <c r="K37" s="417"/>
      <c r="L37" s="413"/>
      <c r="M37" s="401"/>
      <c r="N37" s="401"/>
      <c r="O37" s="412"/>
      <c r="P37" s="3843"/>
      <c r="Q37" s="406" t="str">
        <f t="shared" si="8"/>
        <v>内部装修状况</v>
      </c>
      <c r="R37" s="476" t="s">
        <v>1045</v>
      </c>
      <c r="S37" s="477">
        <f t="shared" si="9"/>
        <v>100</v>
      </c>
      <c r="T37" s="476" t="s">
        <v>1045</v>
      </c>
      <c r="U37" s="477">
        <f t="shared" si="10"/>
        <v>100</v>
      </c>
      <c r="V37" s="476" t="s">
        <v>1045</v>
      </c>
      <c r="W37" s="477">
        <f t="shared" si="11"/>
        <v>100</v>
      </c>
      <c r="X37" s="471"/>
      <c r="Y37" s="3843"/>
      <c r="Z37" s="470" t="str">
        <f t="shared" si="12"/>
        <v>内部装修状况</v>
      </c>
      <c r="AA37" s="482">
        <f t="shared" si="3"/>
        <v>1</v>
      </c>
      <c r="AB37" s="482">
        <f t="shared" si="4"/>
        <v>1</v>
      </c>
      <c r="AC37" s="482">
        <f t="shared" si="5"/>
        <v>1</v>
      </c>
    </row>
    <row r="38" spans="1:29" s="212" customFormat="1" ht="15">
      <c r="A38" s="308"/>
      <c r="B38" s="563">
        <v>111</v>
      </c>
      <c r="C38" s="262"/>
      <c r="D38" s="267">
        <v>100</v>
      </c>
      <c r="E38" s="266"/>
      <c r="F38" s="297">
        <f>SUMIF(108:108,E38,109:109)-SUMIF(108:108,C38,109:109)+100</f>
        <v>100</v>
      </c>
      <c r="G38" s="262"/>
      <c r="H38" s="267">
        <f>SUMIF(108:108,G38,109:109)-SUMIF(108:108,C38,109:109)+100</f>
        <v>100</v>
      </c>
      <c r="I38" s="262"/>
      <c r="J38" s="267">
        <f>SUMIF(108:108,I38,109:1038)-SUMIF(108:108,C38,109:109)+100</f>
        <v>100</v>
      </c>
      <c r="K38" s="410"/>
      <c r="L38" s="411"/>
      <c r="M38" s="418"/>
      <c r="N38" s="418"/>
      <c r="O38" s="419"/>
      <c r="P38" s="3843"/>
      <c r="Q38" s="478">
        <f t="shared" si="8"/>
        <v>111</v>
      </c>
      <c r="R38" s="479" t="s">
        <v>1045</v>
      </c>
      <c r="S38" s="480">
        <f t="shared" si="9"/>
        <v>100</v>
      </c>
      <c r="T38" s="479" t="s">
        <v>1045</v>
      </c>
      <c r="U38" s="480">
        <f t="shared" si="10"/>
        <v>100</v>
      </c>
      <c r="V38" s="479" t="s">
        <v>1045</v>
      </c>
      <c r="W38" s="480">
        <f t="shared" si="11"/>
        <v>100</v>
      </c>
      <c r="X38" s="481"/>
      <c r="Y38" s="3843"/>
      <c r="Z38" s="493">
        <f t="shared" si="12"/>
        <v>111</v>
      </c>
      <c r="AA38" s="482">
        <f t="shared" si="3"/>
        <v>1</v>
      </c>
      <c r="AB38" s="482">
        <f t="shared" si="4"/>
        <v>1</v>
      </c>
      <c r="AC38" s="482">
        <f t="shared" si="5"/>
        <v>1</v>
      </c>
    </row>
    <row r="39" spans="1:29" ht="15">
      <c r="A39" s="313"/>
      <c r="B39" s="563">
        <v>111</v>
      </c>
      <c r="C39" s="262"/>
      <c r="D39" s="267">
        <v>100</v>
      </c>
      <c r="E39" s="266"/>
      <c r="F39" s="297">
        <f>SUMIF(110:110,E39,111:111)-SUMIF(110:110,C39,111:111)+100</f>
        <v>100</v>
      </c>
      <c r="G39" s="262"/>
      <c r="H39" s="267">
        <f>SUMIF(110:110,G39,111:111)-SUMIF(110:110,C39,111:111)+100</f>
        <v>100</v>
      </c>
      <c r="I39" s="262"/>
      <c r="J39" s="267">
        <f>SUMIF(110:110,I39,111:111)-SUMIF(110:110,C39,111:111)+100</f>
        <v>100</v>
      </c>
      <c r="K39" s="410"/>
      <c r="L39" s="413"/>
      <c r="M39" s="401"/>
      <c r="N39" s="401"/>
      <c r="O39" s="412"/>
      <c r="P39" s="3843"/>
      <c r="Q39" s="406">
        <f t="shared" si="8"/>
        <v>111</v>
      </c>
      <c r="R39" s="476" t="s">
        <v>1045</v>
      </c>
      <c r="S39" s="477">
        <f t="shared" si="9"/>
        <v>100</v>
      </c>
      <c r="T39" s="476" t="s">
        <v>1045</v>
      </c>
      <c r="U39" s="477">
        <f t="shared" si="10"/>
        <v>100</v>
      </c>
      <c r="V39" s="476" t="s">
        <v>1045</v>
      </c>
      <c r="W39" s="477">
        <f t="shared" si="11"/>
        <v>100</v>
      </c>
      <c r="X39" s="471"/>
      <c r="Y39" s="3843"/>
      <c r="Z39" s="470">
        <f t="shared" si="12"/>
        <v>111</v>
      </c>
      <c r="AA39" s="482">
        <f t="shared" si="3"/>
        <v>1</v>
      </c>
      <c r="AB39" s="482">
        <f t="shared" si="4"/>
        <v>1</v>
      </c>
      <c r="AC39" s="482">
        <f t="shared" si="5"/>
        <v>1</v>
      </c>
    </row>
    <row r="40" spans="1:29" ht="15">
      <c r="A40" s="317"/>
      <c r="B40" s="318">
        <v>111</v>
      </c>
      <c r="C40" s="319"/>
      <c r="D40" s="320">
        <v>100</v>
      </c>
      <c r="E40" s="266"/>
      <c r="F40" s="322">
        <f>SUMIF(112:112,E40,113:113)-SUMIF(112:112,C40,113:113)+100</f>
        <v>100</v>
      </c>
      <c r="G40" s="262"/>
      <c r="H40" s="320">
        <f>SUMIF(112:112,G40,113:113)-SUMIF(112:112,C40,113:113)+100</f>
        <v>100</v>
      </c>
      <c r="I40" s="262"/>
      <c r="J40" s="320">
        <f>SUMIF(112:112,I40,113:113)-SUMIF(112:112,C40,113:113)+100</f>
        <v>100</v>
      </c>
      <c r="K40" s="410"/>
      <c r="L40" s="413"/>
      <c r="M40" s="401"/>
      <c r="N40" s="401"/>
      <c r="O40" s="412"/>
      <c r="P40" s="3951"/>
      <c r="Q40" s="406">
        <f t="shared" si="8"/>
        <v>111</v>
      </c>
      <c r="R40" s="476" t="s">
        <v>1045</v>
      </c>
      <c r="S40" s="477">
        <f t="shared" si="9"/>
        <v>100</v>
      </c>
      <c r="T40" s="476" t="s">
        <v>1045</v>
      </c>
      <c r="U40" s="477">
        <f t="shared" si="10"/>
        <v>100</v>
      </c>
      <c r="V40" s="476" t="s">
        <v>1045</v>
      </c>
      <c r="W40" s="477">
        <f t="shared" si="11"/>
        <v>100</v>
      </c>
      <c r="X40" s="471"/>
      <c r="Y40" s="3951"/>
      <c r="Z40" s="470">
        <f t="shared" si="12"/>
        <v>111</v>
      </c>
      <c r="AA40" s="482">
        <f t="shared" si="3"/>
        <v>1</v>
      </c>
      <c r="AB40" s="482">
        <f t="shared" si="4"/>
        <v>1</v>
      </c>
      <c r="AC40" s="482">
        <f t="shared" si="5"/>
        <v>1</v>
      </c>
    </row>
    <row r="41" spans="1:29" ht="15">
      <c r="A41" s="323" t="s">
        <v>2426</v>
      </c>
      <c r="B41" s="324"/>
      <c r="C41" s="325" t="s">
        <v>138</v>
      </c>
      <c r="D41" s="326"/>
      <c r="E41" s="327"/>
      <c r="F41" s="328"/>
      <c r="G41" s="329"/>
      <c r="H41" s="330"/>
      <c r="I41" s="327"/>
      <c r="J41" s="330"/>
      <c r="K41" s="420"/>
      <c r="L41" s="421"/>
      <c r="M41" s="351"/>
      <c r="N41" s="401"/>
      <c r="O41" s="351"/>
      <c r="P41" s="3834" t="str">
        <f>A41</f>
        <v>成交单价（元/平方米）</v>
      </c>
      <c r="Q41" s="3834"/>
      <c r="R41" s="3949">
        <f>E41</f>
        <v>0</v>
      </c>
      <c r="S41" s="3949"/>
      <c r="T41" s="3949">
        <f>G41</f>
        <v>0</v>
      </c>
      <c r="U41" s="3949"/>
      <c r="V41" s="3949">
        <f>I41</f>
        <v>0</v>
      </c>
      <c r="W41" s="3949"/>
      <c r="X41" s="353"/>
      <c r="Y41" s="494"/>
      <c r="Z41" s="353"/>
      <c r="AA41" s="353"/>
      <c r="AB41" s="353"/>
      <c r="AC41" s="353"/>
    </row>
    <row r="42" spans="1:29" ht="15">
      <c r="A42" s="331" t="s">
        <v>1069</v>
      </c>
      <c r="B42" s="332"/>
      <c r="C42" s="333" t="e">
        <f>R43</f>
        <v>#DIV/0!</v>
      </c>
      <c r="D42" s="334" t="s">
        <v>1070</v>
      </c>
      <c r="E42" s="335" t="e">
        <f>R42</f>
        <v>#DIV/0!</v>
      </c>
      <c r="F42" s="336"/>
      <c r="G42" s="333" t="e">
        <f>T42</f>
        <v>#DIV/0!</v>
      </c>
      <c r="H42" s="336"/>
      <c r="I42" s="335" t="e">
        <f>V42</f>
        <v>#DIV/0!</v>
      </c>
      <c r="J42" s="336"/>
      <c r="K42" s="422">
        <f>F42+H42+J42</f>
        <v>0</v>
      </c>
      <c r="L42" s="421"/>
      <c r="M42" s="351"/>
      <c r="N42" s="401"/>
      <c r="O42" s="351"/>
      <c r="P42" s="3834" t="str">
        <f>A42</f>
        <v>比较价格（元/平方米）</v>
      </c>
      <c r="Q42" s="3834"/>
      <c r="R42" s="3949" t="e">
        <f>IF(F1="售价",ROUND(PRODUCT(R41,AA7:AA40),0),ROUND(PRODUCT(R41,AA7:AA40),1))</f>
        <v>#DIV/0!</v>
      </c>
      <c r="S42" s="3949"/>
      <c r="T42" s="3949" t="e">
        <f>IF(F1="售价",ROUND(PRODUCT(T41,AB7:AB40),0),ROUND(PRODUCT(T41,AB7:AB40),1))</f>
        <v>#DIV/0!</v>
      </c>
      <c r="U42" s="3949"/>
      <c r="V42" s="3949" t="e">
        <f>IF(F1="售价",ROUND(PRODUCT(V41,AC7:AC40),0),ROUND(PRODUCT(V41,AC7:AC40),1))</f>
        <v>#DIV/0!</v>
      </c>
      <c r="W42" s="3949"/>
      <c r="X42" s="353"/>
      <c r="Y42" s="353"/>
      <c r="Z42" s="353"/>
      <c r="AA42" s="353"/>
      <c r="AB42" s="353"/>
      <c r="AC42" s="353"/>
    </row>
    <row r="43" spans="1:29" ht="15">
      <c r="A43" s="337" t="s">
        <v>1071</v>
      </c>
      <c r="B43" s="338"/>
      <c r="C43" s="339" t="e">
        <f>R43</f>
        <v>#DIV/0!</v>
      </c>
      <c r="D43" s="339"/>
      <c r="E43" s="339"/>
      <c r="F43" s="339"/>
      <c r="G43" s="339"/>
      <c r="H43" s="339"/>
      <c r="I43" s="339"/>
      <c r="J43" s="339"/>
      <c r="K43" s="423"/>
      <c r="L43" s="421"/>
      <c r="M43" s="351"/>
      <c r="N43" s="351"/>
      <c r="O43" s="351"/>
      <c r="P43" s="3837" t="str">
        <f>A43</f>
        <v>估价对象XX用房的比较价格（楼面单价，元/平方米）</v>
      </c>
      <c r="Q43" s="3838"/>
      <c r="R43" s="3950" t="e">
        <f>IF(F1="售价",ROUND(IF(D42="简单平均",AVERAGE(R42:V42),R42*F42+T42*H42+V42*J42),0),ROUND(IF(D42="简单平均",AVERAGE(R42:V42),R42*F42+T42*H42+V42*J42),1))</f>
        <v>#DIV/0!</v>
      </c>
      <c r="S43" s="3950"/>
      <c r="T43" s="3950"/>
      <c r="U43" s="3950"/>
      <c r="V43" s="3950"/>
      <c r="W43" s="3950"/>
      <c r="X43" s="353"/>
      <c r="Y43" s="353"/>
      <c r="Z43" s="353"/>
      <c r="AA43" s="353"/>
      <c r="AB43" s="353"/>
      <c r="AC43" s="353"/>
    </row>
    <row r="44" spans="1:29">
      <c r="A44" s="340"/>
      <c r="B44" s="340"/>
      <c r="C44" s="340"/>
      <c r="D44" s="340"/>
      <c r="E44" s="340"/>
      <c r="F44" s="340"/>
      <c r="G44" s="341"/>
      <c r="H44" s="340"/>
      <c r="I44" s="340"/>
      <c r="J44" s="340"/>
      <c r="K44" s="425"/>
      <c r="L44" s="426"/>
      <c r="M44" s="351"/>
      <c r="N44" s="351"/>
      <c r="O44" s="351"/>
      <c r="P44" s="351"/>
      <c r="Q44" s="351"/>
      <c r="R44" s="351"/>
      <c r="S44" s="351"/>
      <c r="T44" s="351"/>
      <c r="U44" s="351"/>
      <c r="V44" s="351"/>
      <c r="W44" s="351"/>
      <c r="X44" s="351"/>
      <c r="Y44" s="351"/>
      <c r="Z44" s="351"/>
      <c r="AA44" s="351"/>
      <c r="AB44" s="351"/>
      <c r="AC44" s="351"/>
    </row>
    <row r="45" spans="1:29">
      <c r="A45" s="340"/>
      <c r="B45" s="340"/>
      <c r="C45" s="340"/>
      <c r="D45" s="340"/>
      <c r="E45" s="340"/>
      <c r="F45" s="340"/>
      <c r="G45" s="340"/>
      <c r="H45" s="340"/>
      <c r="I45" s="340"/>
      <c r="J45" s="340"/>
      <c r="K45" s="425"/>
      <c r="L45" s="426"/>
      <c r="M45" s="351"/>
      <c r="N45" s="351"/>
      <c r="O45" s="351"/>
      <c r="P45" s="351"/>
      <c r="Q45" s="351"/>
      <c r="R45" s="351"/>
      <c r="S45" s="351"/>
      <c r="T45" s="351"/>
      <c r="U45" s="351"/>
      <c r="V45" s="351"/>
      <c r="W45" s="351"/>
      <c r="X45" s="351"/>
      <c r="Y45" s="351"/>
      <c r="Z45" s="351"/>
      <c r="AA45" s="351"/>
      <c r="AB45" s="351"/>
      <c r="AC45" s="351"/>
    </row>
    <row r="46" spans="1:29" ht="13.5" customHeight="1">
      <c r="A46" s="340"/>
      <c r="B46" s="340"/>
      <c r="C46" s="342" t="s">
        <v>1072</v>
      </c>
      <c r="D46" s="343"/>
      <c r="E46" s="344" t="e">
        <f>IF(E41&lt;E42,E42/E41-1,E41/E42-1)</f>
        <v>#DIV/0!</v>
      </c>
      <c r="F46" s="345" t="e">
        <f>IF(OR(E46&gt;=0.3,E46&lt;=-0.3),"超过30%","")</f>
        <v>#DIV/0!</v>
      </c>
      <c r="G46" s="344" t="e">
        <f>IF(G41&lt;G42,G42/G41-1,G41/G42-1)</f>
        <v>#DIV/0!</v>
      </c>
      <c r="H46" s="345" t="e">
        <f>IF(OR(G46&gt;=0.3,G46&lt;=-0.3),"超过30%","")</f>
        <v>#DIV/0!</v>
      </c>
      <c r="I46" s="344" t="e">
        <f>IF(I41&lt;I42,I42/I41-1,I41/I42-1)</f>
        <v>#DIV/0!</v>
      </c>
      <c r="J46" s="345" t="e">
        <f>IF(OR(I46&gt;=0.3,I46&lt;=-0.3),"超过30%","")</f>
        <v>#DIV/0!</v>
      </c>
      <c r="K46" s="425"/>
      <c r="L46" s="426"/>
      <c r="M46" s="351"/>
      <c r="N46" s="351"/>
      <c r="O46" s="351"/>
      <c r="P46" s="351"/>
      <c r="Q46" s="351"/>
      <c r="R46" s="351"/>
      <c r="S46" s="351"/>
      <c r="T46" s="351"/>
      <c r="U46" s="351"/>
      <c r="V46" s="351"/>
      <c r="W46" s="351"/>
      <c r="X46" s="351"/>
      <c r="Y46" s="351"/>
      <c r="Z46" s="351"/>
      <c r="AA46" s="351"/>
      <c r="AB46" s="351"/>
      <c r="AC46" s="351"/>
    </row>
    <row r="47" spans="1:29" ht="13.5" customHeight="1">
      <c r="A47" s="340"/>
      <c r="B47" s="340"/>
      <c r="C47" s="342" t="s">
        <v>1073</v>
      </c>
      <c r="D47" s="346"/>
      <c r="E47" s="344" t="e">
        <f>IF(E42&lt;G42,G42/E42-1,E42/G42-1)</f>
        <v>#DIV/0!</v>
      </c>
      <c r="F47" s="345" t="e">
        <f>IF(OR(E47&gt;=0.2,E47&lt;=-0.2),"超过20%","")</f>
        <v>#DIV/0!</v>
      </c>
      <c r="G47" s="344" t="e">
        <f>IF(G42&lt;I42,I42/G42-1,G42/I42-1)</f>
        <v>#DIV/0!</v>
      </c>
      <c r="H47" s="345" t="e">
        <f>IF(OR(G47&gt;=0.2,G47&lt;=-0.2),"超过20%","")</f>
        <v>#DIV/0!</v>
      </c>
      <c r="I47" s="344" t="e">
        <f>IF(I42&lt;E42,E42/I42-1,I42/E42-1)</f>
        <v>#DIV/0!</v>
      </c>
      <c r="J47" s="345" t="e">
        <f>IF(OR(I47&gt;=0.2,I47&lt;=-0.2),"超过20%","")</f>
        <v>#DIV/0!</v>
      </c>
      <c r="K47" s="425"/>
      <c r="L47" s="426"/>
      <c r="M47" s="351"/>
      <c r="N47" s="351"/>
      <c r="O47" s="351"/>
      <c r="P47" s="351"/>
      <c r="Q47" s="351"/>
      <c r="R47" s="351"/>
      <c r="S47" s="351"/>
      <c r="T47" s="351"/>
      <c r="U47" s="351"/>
      <c r="V47" s="351"/>
      <c r="W47" s="351"/>
      <c r="X47" s="351"/>
      <c r="Y47" s="351"/>
      <c r="Z47" s="351"/>
      <c r="AA47" s="351"/>
      <c r="AB47" s="351"/>
      <c r="AC47" s="351"/>
    </row>
    <row r="48" spans="1:29" s="213" customFormat="1" ht="13.5" customHeight="1">
      <c r="A48" s="347"/>
      <c r="B48" s="347"/>
      <c r="C48" s="342" t="s">
        <v>1074</v>
      </c>
      <c r="D48" s="346"/>
      <c r="E48" s="344" t="e">
        <f>IF(E41&lt;G41,G41/E41-1,E41/G41-1)</f>
        <v>#DIV/0!</v>
      </c>
      <c r="F48" s="345" t="e">
        <f>IF(OR(E48&gt;=0.3,E48&lt;=-0.3),"超过30%","")</f>
        <v>#DIV/0!</v>
      </c>
      <c r="G48" s="344" t="e">
        <f>IF(G41&lt;I41,I41/G41-1,G41/I41-1)</f>
        <v>#DIV/0!</v>
      </c>
      <c r="H48" s="345" t="e">
        <f>IF(OR(G48&gt;=0.3,G48&lt;=-0.3),"超过30%","")</f>
        <v>#DIV/0!</v>
      </c>
      <c r="I48" s="344" t="e">
        <f>IF(I41&lt;E41,E41/I41-1,I41/E41-1)</f>
        <v>#DIV/0!</v>
      </c>
      <c r="J48" s="345" t="e">
        <f>IF(OR(I48&gt;=0.3,I48&lt;=-0.3),"超过30%","")</f>
        <v>#DIV/0!</v>
      </c>
      <c r="K48" s="427"/>
      <c r="L48" s="428"/>
      <c r="M48" s="348"/>
      <c r="N48" s="348"/>
      <c r="O48" s="348"/>
      <c r="P48" s="348"/>
      <c r="Q48" s="348"/>
      <c r="R48" s="348"/>
      <c r="S48" s="348"/>
      <c r="T48" s="348"/>
      <c r="U48" s="348"/>
      <c r="V48" s="348"/>
      <c r="W48" s="348"/>
      <c r="X48" s="348"/>
      <c r="Y48" s="348"/>
      <c r="Z48" s="348"/>
      <c r="AA48" s="348"/>
      <c r="AB48" s="348"/>
      <c r="AC48" s="348"/>
    </row>
    <row r="49" spans="1:29" s="213" customFormat="1">
      <c r="A49" s="348"/>
      <c r="B49" s="349"/>
      <c r="C49" s="350"/>
      <c r="D49" s="348"/>
      <c r="E49" s="348"/>
      <c r="F49" s="348"/>
      <c r="G49" s="348"/>
      <c r="H49" s="348"/>
      <c r="I49" s="348"/>
      <c r="J49" s="348"/>
      <c r="K49" s="429"/>
      <c r="L49" s="428"/>
      <c r="M49" s="348"/>
      <c r="N49" s="348"/>
      <c r="O49" s="348"/>
      <c r="P49" s="348"/>
      <c r="Q49" s="348"/>
      <c r="R49" s="348"/>
      <c r="S49" s="348"/>
      <c r="T49" s="348"/>
      <c r="U49" s="348"/>
      <c r="V49" s="348"/>
      <c r="W49" s="348"/>
      <c r="X49" s="348"/>
      <c r="Y49" s="348"/>
      <c r="Z49" s="348"/>
      <c r="AA49" s="348"/>
      <c r="AB49" s="348"/>
      <c r="AC49" s="348"/>
    </row>
    <row r="50" spans="1:29">
      <c r="A50" s="351"/>
      <c r="B50" s="349"/>
      <c r="C50" s="350"/>
      <c r="D50" s="351"/>
      <c r="E50" s="351"/>
      <c r="F50" s="351"/>
      <c r="G50" s="351"/>
      <c r="H50" s="351"/>
      <c r="I50" s="351"/>
      <c r="J50" s="351"/>
      <c r="K50" s="430"/>
      <c r="L50" s="426"/>
      <c r="M50" s="351"/>
      <c r="N50" s="351"/>
      <c r="O50" s="351"/>
      <c r="P50" s="351"/>
      <c r="Q50" s="351"/>
      <c r="R50" s="351"/>
      <c r="S50" s="351"/>
      <c r="T50" s="351"/>
      <c r="U50" s="351"/>
      <c r="V50" s="351"/>
      <c r="W50" s="351"/>
      <c r="X50" s="351"/>
      <c r="Y50" s="351"/>
      <c r="Z50" s="351"/>
      <c r="AA50" s="351"/>
      <c r="AB50" s="351"/>
      <c r="AC50" s="351"/>
    </row>
    <row r="51" spans="1:29" ht="21">
      <c r="A51" s="352" t="s">
        <v>1095</v>
      </c>
      <c r="B51" s="353"/>
      <c r="C51" s="354"/>
      <c r="D51" s="354"/>
      <c r="E51" s="354"/>
      <c r="F51" s="355"/>
      <c r="G51" s="355"/>
      <c r="H51" s="354"/>
      <c r="I51" s="354"/>
      <c r="J51" s="354"/>
      <c r="K51" s="431"/>
      <c r="L51" s="432"/>
      <c r="M51" s="354"/>
      <c r="N51" s="433"/>
      <c r="O51" s="433"/>
      <c r="P51" s="433"/>
      <c r="Q51" s="437"/>
      <c r="R51" s="351"/>
      <c r="S51" s="351"/>
      <c r="T51" s="351"/>
      <c r="U51" s="351"/>
      <c r="V51" s="351"/>
      <c r="W51" s="351"/>
      <c r="X51" s="351"/>
      <c r="Y51" s="351"/>
      <c r="Z51" s="351"/>
      <c r="AA51" s="351"/>
      <c r="AB51" s="351"/>
      <c r="AC51" s="351"/>
    </row>
    <row r="52" spans="1:29" s="214" customFormat="1" ht="15">
      <c r="A52" s="356" t="s">
        <v>1043</v>
      </c>
      <c r="B52" s="357"/>
      <c r="C52" s="358" t="str">
        <f>YEAR(C7)&amp;"-"&amp;MONTH(C7)</f>
        <v>2023-11</v>
      </c>
      <c r="D52" s="359">
        <f>EDATE(C52,-1)</f>
        <v>45200</v>
      </c>
      <c r="E52" s="359">
        <f t="shared" ref="E52:O52" si="13">EDATE(D52,-1)</f>
        <v>45170</v>
      </c>
      <c r="F52" s="359">
        <f t="shared" si="13"/>
        <v>45139</v>
      </c>
      <c r="G52" s="359">
        <f t="shared" si="13"/>
        <v>45108</v>
      </c>
      <c r="H52" s="359">
        <f t="shared" si="13"/>
        <v>45078</v>
      </c>
      <c r="I52" s="359">
        <f t="shared" si="13"/>
        <v>45047</v>
      </c>
      <c r="J52" s="359">
        <f t="shared" si="13"/>
        <v>45017</v>
      </c>
      <c r="K52" s="359">
        <f t="shared" si="13"/>
        <v>44986</v>
      </c>
      <c r="L52" s="359">
        <f t="shared" si="13"/>
        <v>44958</v>
      </c>
      <c r="M52" s="359">
        <f t="shared" si="13"/>
        <v>44927</v>
      </c>
      <c r="N52" s="359">
        <f t="shared" si="13"/>
        <v>44896</v>
      </c>
      <c r="O52" s="359">
        <f t="shared" si="13"/>
        <v>44866</v>
      </c>
      <c r="P52" s="434"/>
      <c r="Q52" s="483"/>
      <c r="R52" s="483"/>
      <c r="S52" s="483"/>
      <c r="T52" s="483"/>
      <c r="U52" s="483"/>
      <c r="V52" s="483"/>
      <c r="W52" s="483"/>
      <c r="X52" s="483"/>
      <c r="Y52" s="483"/>
      <c r="Z52" s="483"/>
      <c r="AA52" s="483"/>
      <c r="AB52" s="483"/>
      <c r="AC52" s="483"/>
    </row>
    <row r="53" spans="1:29" s="210" customFormat="1" ht="15">
      <c r="A53" s="360"/>
      <c r="B53" s="361"/>
      <c r="C53" s="362">
        <v>100</v>
      </c>
      <c r="D53" s="363"/>
      <c r="E53" s="363"/>
      <c r="F53" s="363"/>
      <c r="G53" s="363"/>
      <c r="H53" s="363"/>
      <c r="I53" s="363"/>
      <c r="J53" s="363"/>
      <c r="K53" s="363"/>
      <c r="L53" s="363"/>
      <c r="M53" s="435"/>
      <c r="N53" s="363"/>
      <c r="O53" s="436"/>
      <c r="P53" s="437"/>
      <c r="Q53" s="484"/>
      <c r="R53" s="484"/>
      <c r="S53" s="484"/>
      <c r="T53" s="484"/>
      <c r="U53" s="484"/>
      <c r="V53" s="484"/>
      <c r="W53" s="484"/>
      <c r="X53" s="484"/>
      <c r="Y53" s="484"/>
      <c r="Z53" s="484"/>
      <c r="AA53" s="484"/>
      <c r="AB53" s="484"/>
      <c r="AC53" s="484"/>
    </row>
    <row r="54" spans="1:29" s="210" customFormat="1" ht="15">
      <c r="A54" s="364" t="s">
        <v>1114</v>
      </c>
      <c r="B54" s="365"/>
      <c r="C54" s="366"/>
      <c r="D54" s="367"/>
      <c r="E54" s="367"/>
      <c r="F54" s="367"/>
      <c r="G54" s="367"/>
      <c r="H54" s="367"/>
      <c r="I54" s="367"/>
      <c r="J54" s="367"/>
      <c r="K54" s="367"/>
      <c r="L54" s="367"/>
      <c r="M54" s="438"/>
      <c r="N54" s="367"/>
      <c r="O54" s="439"/>
      <c r="P54" s="437"/>
      <c r="Q54" s="437"/>
      <c r="R54" s="484"/>
      <c r="S54" s="484"/>
      <c r="T54" s="484"/>
      <c r="U54" s="484"/>
      <c r="V54" s="484"/>
      <c r="W54" s="484"/>
      <c r="X54" s="484"/>
      <c r="Y54" s="484"/>
      <c r="Z54" s="484"/>
      <c r="AA54" s="484"/>
      <c r="AB54" s="484"/>
      <c r="AC54" s="484"/>
    </row>
    <row r="55" spans="1:29" s="210" customFormat="1" ht="15">
      <c r="A55" s="368" t="s">
        <v>1046</v>
      </c>
      <c r="B55" s="361"/>
      <c r="C55" s="369" t="s">
        <v>1047</v>
      </c>
      <c r="D55" s="370"/>
      <c r="E55" s="370"/>
      <c r="F55" s="370"/>
      <c r="G55" s="370"/>
      <c r="H55" s="370"/>
      <c r="I55" s="370"/>
      <c r="J55" s="370"/>
      <c r="K55" s="370"/>
      <c r="L55" s="440"/>
      <c r="M55" s="441"/>
      <c r="N55" s="442"/>
      <c r="O55" s="442"/>
      <c r="P55" s="443"/>
      <c r="Q55" s="437"/>
      <c r="R55" s="484"/>
      <c r="S55" s="484"/>
      <c r="T55" s="484"/>
      <c r="U55" s="484"/>
      <c r="V55" s="484"/>
      <c r="W55" s="484"/>
      <c r="X55" s="484"/>
      <c r="Y55" s="484"/>
      <c r="Z55" s="484"/>
      <c r="AA55" s="484"/>
      <c r="AB55" s="484"/>
      <c r="AC55" s="484"/>
    </row>
    <row r="56" spans="1:29" s="210" customFormat="1" ht="15">
      <c r="A56" s="368"/>
      <c r="B56" s="361"/>
      <c r="C56" s="362">
        <v>100</v>
      </c>
      <c r="D56" s="363"/>
      <c r="E56" s="363"/>
      <c r="F56" s="363"/>
      <c r="G56" s="363"/>
      <c r="H56" s="363"/>
      <c r="I56" s="363"/>
      <c r="J56" s="363"/>
      <c r="K56" s="363"/>
      <c r="L56" s="363"/>
      <c r="M56" s="436"/>
      <c r="N56" s="442"/>
      <c r="O56" s="442"/>
      <c r="P56" s="437"/>
      <c r="Q56" s="437"/>
      <c r="R56" s="484"/>
      <c r="S56" s="484"/>
      <c r="T56" s="484"/>
      <c r="U56" s="484"/>
      <c r="V56" s="484"/>
      <c r="W56" s="484"/>
      <c r="X56" s="484"/>
      <c r="Y56" s="484"/>
      <c r="Z56" s="484"/>
      <c r="AA56" s="484"/>
      <c r="AB56" s="484"/>
      <c r="AC56" s="484"/>
    </row>
    <row r="57" spans="1:29">
      <c r="A57" s="371" t="s">
        <v>1099</v>
      </c>
      <c r="B57" s="372" t="s">
        <v>1100</v>
      </c>
      <c r="C57" s="373">
        <f>C9</f>
        <v>0</v>
      </c>
      <c r="D57" s="374"/>
      <c r="E57" s="374"/>
      <c r="F57" s="374"/>
      <c r="G57" s="374"/>
      <c r="H57" s="374"/>
      <c r="I57" s="374"/>
      <c r="J57" s="374"/>
      <c r="K57" s="444"/>
      <c r="L57" s="445"/>
      <c r="M57" s="446"/>
      <c r="N57" s="447"/>
      <c r="O57" s="447"/>
      <c r="P57" s="448"/>
      <c r="Q57" s="437"/>
      <c r="R57" s="351"/>
      <c r="S57" s="351"/>
      <c r="T57" s="351"/>
      <c r="U57" s="351"/>
      <c r="V57" s="351"/>
      <c r="W57" s="351"/>
      <c r="X57" s="351"/>
      <c r="Y57" s="351"/>
      <c r="Z57" s="351"/>
      <c r="AA57" s="351"/>
      <c r="AB57" s="351"/>
      <c r="AC57" s="351"/>
    </row>
    <row r="58" spans="1:29" ht="15">
      <c r="A58" s="375"/>
      <c r="B58" s="376"/>
      <c r="C58" s="377"/>
      <c r="D58" s="377"/>
      <c r="E58" s="377"/>
      <c r="F58" s="377"/>
      <c r="G58" s="377"/>
      <c r="H58" s="377"/>
      <c r="I58" s="377"/>
      <c r="J58" s="377"/>
      <c r="K58" s="377"/>
      <c r="L58" s="377"/>
      <c r="M58" s="449"/>
      <c r="N58" s="450"/>
      <c r="O58" s="450"/>
      <c r="P58" s="448"/>
      <c r="Q58" s="437"/>
      <c r="R58" s="351"/>
      <c r="S58" s="351"/>
      <c r="T58" s="351"/>
      <c r="U58" s="351"/>
      <c r="V58" s="351"/>
      <c r="W58" s="351"/>
      <c r="X58" s="351"/>
      <c r="Y58" s="351"/>
      <c r="Z58" s="351"/>
      <c r="AA58" s="351"/>
      <c r="AB58" s="351"/>
      <c r="AC58" s="351"/>
    </row>
    <row r="59" spans="1:29" ht="27">
      <c r="A59" s="375"/>
      <c r="B59" s="378" t="s">
        <v>1101</v>
      </c>
      <c r="C59" s="379"/>
      <c r="D59" s="379"/>
      <c r="E59" s="379"/>
      <c r="F59" s="379"/>
      <c r="G59" s="379"/>
      <c r="H59" s="379"/>
      <c r="I59" s="379"/>
      <c r="J59" s="379"/>
      <c r="K59" s="451"/>
      <c r="L59" s="452"/>
      <c r="M59" s="453"/>
      <c r="N59" s="447"/>
      <c r="O59" s="447"/>
      <c r="P59" s="448"/>
      <c r="Q59" s="437"/>
      <c r="R59" s="351"/>
      <c r="S59" s="351"/>
      <c r="T59" s="351"/>
      <c r="U59" s="351"/>
      <c r="V59" s="351"/>
      <c r="W59" s="351"/>
      <c r="X59" s="351"/>
      <c r="Y59" s="351"/>
      <c r="Z59" s="351"/>
      <c r="AA59" s="351"/>
      <c r="AB59" s="351"/>
      <c r="AC59" s="351"/>
    </row>
    <row r="60" spans="1:29" ht="15">
      <c r="A60" s="375"/>
      <c r="B60" s="380"/>
      <c r="C60" s="377"/>
      <c r="D60" s="377"/>
      <c r="E60" s="377"/>
      <c r="F60" s="377"/>
      <c r="G60" s="377"/>
      <c r="H60" s="377"/>
      <c r="I60" s="377"/>
      <c r="J60" s="377"/>
      <c r="K60" s="377"/>
      <c r="L60" s="377"/>
      <c r="M60" s="449"/>
      <c r="N60" s="450"/>
      <c r="O60" s="450"/>
      <c r="P60" s="448"/>
      <c r="Q60" s="437"/>
      <c r="R60" s="351"/>
      <c r="S60" s="351"/>
      <c r="T60" s="351"/>
      <c r="U60" s="351"/>
      <c r="V60" s="351"/>
      <c r="W60" s="351"/>
      <c r="X60" s="351"/>
      <c r="Y60" s="351"/>
      <c r="Z60" s="351"/>
      <c r="AA60" s="351"/>
      <c r="AB60" s="351"/>
      <c r="AC60" s="351"/>
    </row>
    <row r="61" spans="1:29" ht="15">
      <c r="A61" s="375"/>
      <c r="B61" s="497" t="s">
        <v>1102</v>
      </c>
      <c r="C61" s="569" t="str">
        <f>C62&amp;"（含）"&amp;"-"&amp;D62</f>
        <v>（含）-</v>
      </c>
      <c r="D61" s="569" t="str">
        <f t="shared" ref="D61:L61" si="14">D62&amp;"（含）"&amp;"-"&amp;E62</f>
        <v>（含）-</v>
      </c>
      <c r="E61" s="569" t="str">
        <f t="shared" si="14"/>
        <v>（含）-</v>
      </c>
      <c r="F61" s="569" t="str">
        <f t="shared" si="14"/>
        <v>（含）-</v>
      </c>
      <c r="G61" s="569" t="str">
        <f t="shared" si="14"/>
        <v>（含）-</v>
      </c>
      <c r="H61" s="569" t="str">
        <f t="shared" si="14"/>
        <v>（含）-</v>
      </c>
      <c r="I61" s="569" t="str">
        <f t="shared" si="14"/>
        <v>（含）-</v>
      </c>
      <c r="J61" s="569" t="str">
        <f t="shared" si="14"/>
        <v>（含）-</v>
      </c>
      <c r="K61" s="569" t="str">
        <f t="shared" si="14"/>
        <v>（含）-</v>
      </c>
      <c r="L61" s="569" t="str">
        <f t="shared" si="14"/>
        <v>（含）-</v>
      </c>
      <c r="M61" s="278" t="str">
        <f>M62&amp;"（含）"&amp;"-"&amp;P62</f>
        <v>（含）-</v>
      </c>
      <c r="N61" s="450"/>
      <c r="O61" s="450"/>
      <c r="P61" s="448"/>
      <c r="Q61" s="437"/>
      <c r="R61" s="351"/>
      <c r="S61" s="351"/>
      <c r="T61" s="351"/>
      <c r="U61" s="351"/>
      <c r="V61" s="351"/>
      <c r="W61" s="351"/>
      <c r="X61" s="351"/>
      <c r="Y61" s="351"/>
      <c r="Z61" s="351"/>
      <c r="AA61" s="351"/>
      <c r="AB61" s="351"/>
      <c r="AC61" s="351"/>
    </row>
    <row r="62" spans="1:29" ht="15">
      <c r="A62" s="375"/>
      <c r="B62" s="570"/>
      <c r="C62" s="382"/>
      <c r="D62" s="382"/>
      <c r="E62" s="382"/>
      <c r="F62" s="382"/>
      <c r="G62" s="382"/>
      <c r="H62" s="382"/>
      <c r="I62" s="382"/>
      <c r="J62" s="382"/>
      <c r="K62" s="454"/>
      <c r="L62" s="455"/>
      <c r="M62" s="456"/>
      <c r="N62" s="447"/>
      <c r="O62" s="447"/>
      <c r="P62" s="448"/>
      <c r="Q62" s="437"/>
      <c r="R62" s="351"/>
      <c r="S62" s="351"/>
      <c r="T62" s="351"/>
      <c r="U62" s="351"/>
      <c r="V62" s="351"/>
      <c r="W62" s="351"/>
      <c r="X62" s="351"/>
      <c r="Y62" s="351"/>
      <c r="Z62" s="351"/>
      <c r="AA62" s="351"/>
      <c r="AB62" s="351"/>
      <c r="AC62" s="351"/>
    </row>
    <row r="63" spans="1:29" ht="15">
      <c r="A63" s="375"/>
      <c r="B63" s="376"/>
      <c r="C63" s="389">
        <v>100</v>
      </c>
      <c r="D63" s="389">
        <f t="shared" ref="D63:M63" si="15">C63-$K11</f>
        <v>100</v>
      </c>
      <c r="E63" s="389">
        <f t="shared" si="15"/>
        <v>100</v>
      </c>
      <c r="F63" s="389">
        <f t="shared" si="15"/>
        <v>100</v>
      </c>
      <c r="G63" s="389">
        <f t="shared" si="15"/>
        <v>100</v>
      </c>
      <c r="H63" s="389">
        <f t="shared" si="15"/>
        <v>100</v>
      </c>
      <c r="I63" s="389">
        <f t="shared" si="15"/>
        <v>100</v>
      </c>
      <c r="J63" s="389">
        <f t="shared" si="15"/>
        <v>100</v>
      </c>
      <c r="K63" s="389">
        <f t="shared" si="15"/>
        <v>100</v>
      </c>
      <c r="L63" s="389">
        <f t="shared" si="15"/>
        <v>100</v>
      </c>
      <c r="M63" s="466">
        <f t="shared" si="15"/>
        <v>100</v>
      </c>
      <c r="N63" s="450"/>
      <c r="O63" s="450"/>
      <c r="P63" s="448"/>
      <c r="Q63" s="437"/>
      <c r="R63" s="351"/>
      <c r="S63" s="351"/>
      <c r="T63" s="351"/>
      <c r="U63" s="351"/>
      <c r="V63" s="351"/>
      <c r="W63" s="351"/>
      <c r="X63" s="351"/>
      <c r="Y63" s="351"/>
      <c r="Z63" s="351"/>
      <c r="AA63" s="351"/>
      <c r="AB63" s="351"/>
      <c r="AC63" s="351"/>
    </row>
    <row r="64" spans="1:29" s="212" customFormat="1" ht="15">
      <c r="A64" s="384"/>
      <c r="B64" s="378">
        <f>B12</f>
        <v>111</v>
      </c>
      <c r="C64" s="385"/>
      <c r="D64" s="385"/>
      <c r="E64" s="385"/>
      <c r="F64" s="385"/>
      <c r="G64" s="385"/>
      <c r="H64" s="386"/>
      <c r="I64" s="386"/>
      <c r="J64" s="386"/>
      <c r="K64" s="386"/>
      <c r="L64" s="457"/>
      <c r="M64" s="458"/>
      <c r="N64" s="459"/>
      <c r="O64" s="459"/>
      <c r="P64" s="460"/>
      <c r="Q64" s="485"/>
      <c r="R64" s="486"/>
      <c r="S64" s="486"/>
      <c r="T64" s="486"/>
      <c r="U64" s="486"/>
      <c r="V64" s="486"/>
      <c r="W64" s="486"/>
      <c r="X64" s="486"/>
      <c r="Y64" s="486"/>
      <c r="Z64" s="486"/>
      <c r="AA64" s="486"/>
      <c r="AB64" s="486"/>
      <c r="AC64" s="486"/>
    </row>
    <row r="65" spans="1:29" s="212" customFormat="1" ht="15">
      <c r="A65" s="384"/>
      <c r="B65" s="380"/>
      <c r="C65" s="383"/>
      <c r="D65" s="377"/>
      <c r="E65" s="377"/>
      <c r="F65" s="377"/>
      <c r="G65" s="377"/>
      <c r="H65" s="377"/>
      <c r="I65" s="377"/>
      <c r="J65" s="377"/>
      <c r="K65" s="377"/>
      <c r="L65" s="377"/>
      <c r="M65" s="449"/>
      <c r="N65" s="450"/>
      <c r="O65" s="450"/>
      <c r="P65" s="460"/>
      <c r="Q65" s="485"/>
      <c r="R65" s="486"/>
      <c r="S65" s="486"/>
      <c r="T65" s="486"/>
      <c r="U65" s="486"/>
      <c r="V65" s="486"/>
      <c r="W65" s="486"/>
      <c r="X65" s="486"/>
      <c r="Y65" s="486"/>
      <c r="Z65" s="486"/>
      <c r="AA65" s="486"/>
      <c r="AB65" s="486"/>
      <c r="AC65" s="486"/>
    </row>
    <row r="66" spans="1:29" s="212" customFormat="1" ht="15">
      <c r="A66" s="384"/>
      <c r="B66" s="378">
        <f>B13</f>
        <v>111</v>
      </c>
      <c r="C66" s="385"/>
      <c r="D66" s="385"/>
      <c r="E66" s="385"/>
      <c r="F66" s="385"/>
      <c r="G66" s="385"/>
      <c r="H66" s="386"/>
      <c r="I66" s="386"/>
      <c r="J66" s="386"/>
      <c r="K66" s="386"/>
      <c r="L66" s="457"/>
      <c r="M66" s="458"/>
      <c r="N66" s="459"/>
      <c r="O66" s="459"/>
      <c r="P66" s="418"/>
      <c r="Q66" s="487"/>
      <c r="R66" s="486"/>
      <c r="S66" s="486"/>
      <c r="T66" s="486"/>
      <c r="U66" s="486"/>
      <c r="V66" s="486"/>
      <c r="W66" s="486"/>
      <c r="X66" s="486"/>
      <c r="Y66" s="486"/>
      <c r="Z66" s="486"/>
      <c r="AA66" s="486"/>
      <c r="AB66" s="486"/>
      <c r="AC66" s="486"/>
    </row>
    <row r="67" spans="1:29" s="212" customFormat="1" ht="15">
      <c r="A67" s="384"/>
      <c r="B67" s="380"/>
      <c r="C67" s="383"/>
      <c r="D67" s="377"/>
      <c r="E67" s="377"/>
      <c r="F67" s="377"/>
      <c r="G67" s="383"/>
      <c r="H67" s="387"/>
      <c r="I67" s="387"/>
      <c r="J67" s="387"/>
      <c r="K67" s="387"/>
      <c r="L67" s="387"/>
      <c r="M67" s="461"/>
      <c r="N67" s="459"/>
      <c r="O67" s="459"/>
      <c r="P67" s="460"/>
      <c r="Q67" s="485"/>
      <c r="R67" s="486"/>
      <c r="S67" s="486"/>
      <c r="T67" s="486"/>
      <c r="U67" s="486"/>
      <c r="V67" s="486"/>
      <c r="W67" s="486"/>
      <c r="X67" s="486"/>
      <c r="Y67" s="486"/>
      <c r="Z67" s="486"/>
      <c r="AA67" s="486"/>
      <c r="AB67" s="486"/>
      <c r="AC67" s="486"/>
    </row>
    <row r="68" spans="1:29" s="212" customFormat="1" ht="15">
      <c r="A68" s="384"/>
      <c r="B68" s="497">
        <f>B14</f>
        <v>111</v>
      </c>
      <c r="C68" s="370"/>
      <c r="D68" s="370"/>
      <c r="E68" s="370"/>
      <c r="F68" s="370"/>
      <c r="G68" s="370"/>
      <c r="H68" s="571"/>
      <c r="I68" s="571"/>
      <c r="J68" s="571"/>
      <c r="K68" s="571"/>
      <c r="L68" s="580"/>
      <c r="M68" s="581"/>
      <c r="N68" s="459"/>
      <c r="O68" s="459"/>
      <c r="P68" s="582"/>
      <c r="Q68" s="485"/>
      <c r="R68" s="486"/>
      <c r="S68" s="486"/>
      <c r="T68" s="486"/>
      <c r="U68" s="486"/>
      <c r="V68" s="486"/>
      <c r="W68" s="486"/>
      <c r="X68" s="486"/>
      <c r="Y68" s="486"/>
      <c r="Z68" s="486"/>
      <c r="AA68" s="486"/>
      <c r="AB68" s="486"/>
      <c r="AC68" s="486"/>
    </row>
    <row r="69" spans="1:29" s="212" customFormat="1" ht="15">
      <c r="A69" s="572"/>
      <c r="B69" s="573"/>
      <c r="C69" s="574"/>
      <c r="D69" s="574"/>
      <c r="E69" s="574"/>
      <c r="F69" s="574"/>
      <c r="G69" s="574"/>
      <c r="H69" s="575"/>
      <c r="I69" s="575"/>
      <c r="J69" s="575"/>
      <c r="K69" s="575"/>
      <c r="L69" s="575"/>
      <c r="M69" s="583"/>
      <c r="N69" s="459"/>
      <c r="O69" s="459"/>
      <c r="P69" s="460"/>
      <c r="Q69" s="485"/>
      <c r="R69" s="486"/>
      <c r="S69" s="486"/>
      <c r="T69" s="486"/>
      <c r="U69" s="486"/>
      <c r="V69" s="486"/>
      <c r="W69" s="486"/>
      <c r="X69" s="486"/>
      <c r="Y69" s="486"/>
      <c r="Z69" s="486"/>
      <c r="AA69" s="486"/>
      <c r="AB69" s="486"/>
      <c r="AC69" s="486"/>
    </row>
    <row r="70" spans="1:29">
      <c r="A70" s="371" t="s">
        <v>1103</v>
      </c>
      <c r="B70" s="372" t="s">
        <v>225</v>
      </c>
      <c r="C70" s="388" t="s">
        <v>244</v>
      </c>
      <c r="D70" s="388" t="s">
        <v>256</v>
      </c>
      <c r="E70" s="388" t="s">
        <v>267</v>
      </c>
      <c r="F70" s="388" t="s">
        <v>277</v>
      </c>
      <c r="G70" s="388" t="s">
        <v>285</v>
      </c>
      <c r="H70" s="373"/>
      <c r="I70" s="373"/>
      <c r="J70" s="373"/>
      <c r="K70" s="462"/>
      <c r="L70" s="463"/>
      <c r="M70" s="464"/>
      <c r="N70" s="447"/>
      <c r="O70" s="447"/>
      <c r="P70" s="465"/>
      <c r="Q70" s="437"/>
      <c r="R70" s="351"/>
      <c r="S70" s="351"/>
      <c r="T70" s="351"/>
      <c r="U70" s="351"/>
      <c r="V70" s="351"/>
      <c r="W70" s="351"/>
      <c r="X70" s="351"/>
      <c r="Y70" s="351"/>
      <c r="Z70" s="351"/>
      <c r="AA70" s="351"/>
      <c r="AB70" s="351"/>
      <c r="AC70" s="351"/>
    </row>
    <row r="71" spans="1:29" ht="15">
      <c r="A71" s="375"/>
      <c r="B71" s="380"/>
      <c r="C71" s="389">
        <v>100</v>
      </c>
      <c r="D71" s="389">
        <f>C71-$K15</f>
        <v>100</v>
      </c>
      <c r="E71" s="389">
        <f>D71-$K15</f>
        <v>100</v>
      </c>
      <c r="F71" s="389">
        <f>E71-$K15</f>
        <v>100</v>
      </c>
      <c r="G71" s="389">
        <f>F71-$K15</f>
        <v>100</v>
      </c>
      <c r="H71" s="389"/>
      <c r="I71" s="389"/>
      <c r="J71" s="389"/>
      <c r="K71" s="389"/>
      <c r="L71" s="389"/>
      <c r="M71" s="466"/>
      <c r="N71" s="450"/>
      <c r="O71" s="450"/>
      <c r="P71" s="448"/>
      <c r="Q71" s="437"/>
      <c r="R71" s="351"/>
      <c r="S71" s="351"/>
      <c r="T71" s="351"/>
      <c r="U71" s="351"/>
      <c r="V71" s="351"/>
      <c r="W71" s="351"/>
      <c r="X71" s="351"/>
      <c r="Y71" s="351"/>
      <c r="Z71" s="351"/>
      <c r="AA71" s="351"/>
      <c r="AB71" s="351"/>
      <c r="AC71" s="351"/>
    </row>
    <row r="72" spans="1:29" ht="15">
      <c r="A72" s="375"/>
      <c r="B72" s="378" t="s">
        <v>227</v>
      </c>
      <c r="C72" s="391" t="s">
        <v>244</v>
      </c>
      <c r="D72" s="391" t="s">
        <v>256</v>
      </c>
      <c r="E72" s="391" t="s">
        <v>267</v>
      </c>
      <c r="F72" s="391" t="s">
        <v>277</v>
      </c>
      <c r="G72" s="391" t="s">
        <v>285</v>
      </c>
      <c r="H72" s="392"/>
      <c r="I72" s="392"/>
      <c r="J72" s="392"/>
      <c r="K72" s="467"/>
      <c r="L72" s="468"/>
      <c r="M72" s="469"/>
      <c r="N72" s="447"/>
      <c r="O72" s="447"/>
      <c r="P72" s="448"/>
      <c r="Q72" s="437"/>
      <c r="R72" s="351"/>
      <c r="S72" s="351"/>
      <c r="T72" s="351"/>
      <c r="U72" s="351"/>
      <c r="V72" s="351"/>
      <c r="W72" s="351"/>
      <c r="X72" s="351"/>
      <c r="Y72" s="351"/>
      <c r="Z72" s="351"/>
      <c r="AA72" s="351"/>
      <c r="AB72" s="351"/>
      <c r="AC72" s="351"/>
    </row>
    <row r="73" spans="1:29" ht="15">
      <c r="A73" s="375"/>
      <c r="B73" s="380"/>
      <c r="C73" s="389">
        <v>100</v>
      </c>
      <c r="D73" s="389">
        <f>C73-$K17</f>
        <v>100</v>
      </c>
      <c r="E73" s="389">
        <f>D73-$K17</f>
        <v>100</v>
      </c>
      <c r="F73" s="389">
        <f>E73-$K17</f>
        <v>100</v>
      </c>
      <c r="G73" s="389">
        <f>F73-$K17</f>
        <v>100</v>
      </c>
      <c r="H73" s="389"/>
      <c r="I73" s="389"/>
      <c r="J73" s="389"/>
      <c r="K73" s="389"/>
      <c r="L73" s="389"/>
      <c r="M73" s="466"/>
      <c r="N73" s="450"/>
      <c r="O73" s="450"/>
      <c r="P73" s="448"/>
      <c r="Q73" s="437"/>
      <c r="R73" s="351"/>
      <c r="S73" s="351"/>
      <c r="T73" s="351"/>
      <c r="U73" s="351"/>
      <c r="V73" s="351"/>
      <c r="W73" s="351"/>
      <c r="X73" s="351"/>
      <c r="Y73" s="351"/>
      <c r="Z73" s="351"/>
      <c r="AA73" s="351"/>
      <c r="AB73" s="351"/>
      <c r="AC73" s="351"/>
    </row>
    <row r="74" spans="1:29" ht="15">
      <c r="A74" s="375"/>
      <c r="B74" s="390" t="s">
        <v>229</v>
      </c>
      <c r="C74" s="391" t="s">
        <v>244</v>
      </c>
      <c r="D74" s="391" t="s">
        <v>256</v>
      </c>
      <c r="E74" s="391" t="s">
        <v>267</v>
      </c>
      <c r="F74" s="391" t="s">
        <v>277</v>
      </c>
      <c r="G74" s="391" t="s">
        <v>285</v>
      </c>
      <c r="H74" s="392"/>
      <c r="I74" s="392"/>
      <c r="J74" s="392"/>
      <c r="K74" s="467"/>
      <c r="L74" s="468"/>
      <c r="M74" s="469"/>
      <c r="N74" s="447"/>
      <c r="O74" s="447"/>
      <c r="P74" s="448"/>
      <c r="Q74" s="437"/>
      <c r="R74" s="351"/>
      <c r="S74" s="351"/>
      <c r="T74" s="351"/>
      <c r="U74" s="351"/>
      <c r="V74" s="351"/>
      <c r="W74" s="351"/>
      <c r="X74" s="351"/>
      <c r="Y74" s="351"/>
      <c r="Z74" s="351"/>
      <c r="AA74" s="351"/>
      <c r="AB74" s="351"/>
      <c r="AC74" s="351"/>
    </row>
    <row r="75" spans="1:29" ht="15">
      <c r="A75" s="375"/>
      <c r="B75" s="380"/>
      <c r="C75" s="389">
        <v>100</v>
      </c>
      <c r="D75" s="389">
        <f>C75-$K19</f>
        <v>100</v>
      </c>
      <c r="E75" s="389">
        <f>D75-$K19</f>
        <v>100</v>
      </c>
      <c r="F75" s="389">
        <f>E75-$K19</f>
        <v>100</v>
      </c>
      <c r="G75" s="389">
        <f>F75-$K19</f>
        <v>100</v>
      </c>
      <c r="H75" s="389"/>
      <c r="I75" s="389"/>
      <c r="J75" s="389"/>
      <c r="K75" s="389"/>
      <c r="L75" s="389"/>
      <c r="M75" s="466"/>
      <c r="N75" s="450"/>
      <c r="O75" s="450"/>
      <c r="P75" s="448"/>
      <c r="Q75" s="437"/>
      <c r="R75" s="351"/>
      <c r="S75" s="351"/>
      <c r="T75" s="351"/>
      <c r="U75" s="351"/>
      <c r="V75" s="351"/>
      <c r="W75" s="351"/>
      <c r="X75" s="351"/>
      <c r="Y75" s="351"/>
      <c r="Z75" s="351"/>
      <c r="AA75" s="351"/>
      <c r="AB75" s="351"/>
      <c r="AC75" s="351"/>
    </row>
    <row r="76" spans="1:29" ht="15">
      <c r="A76" s="375"/>
      <c r="B76" s="495" t="s">
        <v>230</v>
      </c>
      <c r="C76" s="496" t="s">
        <v>245</v>
      </c>
      <c r="D76" s="496" t="s">
        <v>257</v>
      </c>
      <c r="E76" s="496" t="s">
        <v>268</v>
      </c>
      <c r="F76" s="496" t="s">
        <v>278</v>
      </c>
      <c r="G76" s="496" t="s">
        <v>286</v>
      </c>
      <c r="H76" s="381"/>
      <c r="I76" s="381"/>
      <c r="J76" s="381"/>
      <c r="K76" s="381"/>
      <c r="L76" s="381"/>
      <c r="M76" s="280"/>
      <c r="N76" s="450"/>
      <c r="O76" s="450"/>
      <c r="P76" s="448"/>
      <c r="Q76" s="437"/>
      <c r="R76" s="351"/>
      <c r="S76" s="351"/>
      <c r="T76" s="351"/>
      <c r="U76" s="351"/>
      <c r="V76" s="351"/>
      <c r="W76" s="351"/>
      <c r="X76" s="351"/>
      <c r="Y76" s="351"/>
      <c r="Z76" s="351"/>
      <c r="AA76" s="351"/>
      <c r="AB76" s="351"/>
      <c r="AC76" s="351"/>
    </row>
    <row r="77" spans="1:29" ht="15">
      <c r="A77" s="375"/>
      <c r="B77" s="497"/>
      <c r="C77" s="389">
        <v>100</v>
      </c>
      <c r="D77" s="389">
        <f>C77-$K21</f>
        <v>100</v>
      </c>
      <c r="E77" s="389">
        <f>D77-$K21</f>
        <v>100</v>
      </c>
      <c r="F77" s="389">
        <f>E77-$K21</f>
        <v>100</v>
      </c>
      <c r="G77" s="389">
        <f>F77-$K21</f>
        <v>100</v>
      </c>
      <c r="H77" s="389"/>
      <c r="I77" s="389"/>
      <c r="J77" s="389"/>
      <c r="K77" s="389"/>
      <c r="L77" s="389"/>
      <c r="M77" s="466"/>
      <c r="N77" s="450"/>
      <c r="O77" s="450"/>
      <c r="P77" s="448"/>
      <c r="Q77" s="437"/>
      <c r="R77" s="351"/>
      <c r="S77" s="351"/>
      <c r="T77" s="351"/>
      <c r="U77" s="351"/>
      <c r="V77" s="351"/>
      <c r="W77" s="351"/>
      <c r="X77" s="351"/>
      <c r="Y77" s="351"/>
      <c r="Z77" s="351"/>
      <c r="AA77" s="351"/>
      <c r="AB77" s="351"/>
      <c r="AC77" s="351"/>
    </row>
    <row r="78" spans="1:29" ht="15">
      <c r="A78" s="375"/>
      <c r="B78" s="378" t="s">
        <v>231</v>
      </c>
      <c r="C78" s="391" t="s">
        <v>244</v>
      </c>
      <c r="D78" s="391" t="s">
        <v>256</v>
      </c>
      <c r="E78" s="391" t="s">
        <v>267</v>
      </c>
      <c r="F78" s="391" t="s">
        <v>277</v>
      </c>
      <c r="G78" s="391" t="s">
        <v>285</v>
      </c>
      <c r="H78" s="392"/>
      <c r="I78" s="392"/>
      <c r="J78" s="392"/>
      <c r="K78" s="467"/>
      <c r="L78" s="468"/>
      <c r="M78" s="469"/>
      <c r="N78" s="447"/>
      <c r="O78" s="447"/>
      <c r="P78" s="448"/>
      <c r="Q78" s="437"/>
      <c r="R78" s="351"/>
      <c r="S78" s="351"/>
      <c r="T78" s="351"/>
      <c r="U78" s="351"/>
      <c r="V78" s="351"/>
      <c r="W78" s="351"/>
      <c r="X78" s="351"/>
      <c r="Y78" s="351"/>
      <c r="Z78" s="351"/>
      <c r="AA78" s="351"/>
      <c r="AB78" s="351"/>
      <c r="AC78" s="351"/>
    </row>
    <row r="79" spans="1:29" ht="15">
      <c r="A79" s="375"/>
      <c r="B79" s="380"/>
      <c r="C79" s="389">
        <v>100</v>
      </c>
      <c r="D79" s="389">
        <f>C79-$K23</f>
        <v>100</v>
      </c>
      <c r="E79" s="389">
        <f>D79-$K23</f>
        <v>100</v>
      </c>
      <c r="F79" s="389">
        <f>E79-$K23</f>
        <v>100</v>
      </c>
      <c r="G79" s="389">
        <f>F79-$K23</f>
        <v>100</v>
      </c>
      <c r="H79" s="389"/>
      <c r="I79" s="389"/>
      <c r="J79" s="389"/>
      <c r="K79" s="389"/>
      <c r="L79" s="389"/>
      <c r="M79" s="466"/>
      <c r="N79" s="450"/>
      <c r="O79" s="450"/>
      <c r="P79" s="448"/>
      <c r="Q79" s="437"/>
      <c r="R79" s="351"/>
      <c r="S79" s="351"/>
      <c r="T79" s="351"/>
      <c r="U79" s="351"/>
      <c r="V79" s="351"/>
      <c r="W79" s="351"/>
      <c r="X79" s="351"/>
      <c r="Y79" s="351"/>
      <c r="Z79" s="351"/>
      <c r="AA79" s="351"/>
      <c r="AB79" s="351"/>
      <c r="AC79" s="351"/>
    </row>
    <row r="80" spans="1:29" s="210" customFormat="1" ht="15">
      <c r="A80" s="498"/>
      <c r="B80" s="378">
        <f>B25</f>
        <v>111</v>
      </c>
      <c r="C80" s="385"/>
      <c r="D80" s="385"/>
      <c r="E80" s="385"/>
      <c r="F80" s="385"/>
      <c r="G80" s="385"/>
      <c r="H80" s="385"/>
      <c r="I80" s="385"/>
      <c r="J80" s="385"/>
      <c r="K80" s="385"/>
      <c r="L80" s="507"/>
      <c r="M80" s="508"/>
      <c r="N80" s="442"/>
      <c r="O80" s="442"/>
      <c r="P80" s="448"/>
      <c r="Q80" s="437"/>
      <c r="R80" s="484"/>
      <c r="S80" s="484"/>
      <c r="T80" s="484"/>
      <c r="U80" s="484"/>
      <c r="V80" s="484"/>
      <c r="W80" s="484"/>
      <c r="X80" s="484"/>
      <c r="Y80" s="484"/>
      <c r="Z80" s="484"/>
      <c r="AA80" s="484"/>
      <c r="AB80" s="484"/>
      <c r="AC80" s="484"/>
    </row>
    <row r="81" spans="1:29" s="210" customFormat="1" ht="15">
      <c r="A81" s="498"/>
      <c r="B81" s="380"/>
      <c r="C81" s="383"/>
      <c r="D81" s="377"/>
      <c r="E81" s="377"/>
      <c r="F81" s="377"/>
      <c r="G81" s="377"/>
      <c r="H81" s="377"/>
      <c r="I81" s="377"/>
      <c r="J81" s="377"/>
      <c r="K81" s="377"/>
      <c r="L81" s="377"/>
      <c r="M81" s="449"/>
      <c r="N81" s="450"/>
      <c r="O81" s="450"/>
      <c r="P81" s="448"/>
      <c r="Q81" s="437"/>
      <c r="R81" s="484"/>
      <c r="S81" s="484"/>
      <c r="T81" s="484"/>
      <c r="U81" s="484"/>
      <c r="V81" s="484"/>
      <c r="W81" s="484"/>
      <c r="X81" s="484"/>
      <c r="Y81" s="484"/>
      <c r="Z81" s="484"/>
      <c r="AA81" s="484"/>
      <c r="AB81" s="484"/>
      <c r="AC81" s="484"/>
    </row>
    <row r="82" spans="1:29" s="210" customFormat="1" ht="15">
      <c r="A82" s="498"/>
      <c r="B82" s="378">
        <f>B26</f>
        <v>111</v>
      </c>
      <c r="C82" s="385"/>
      <c r="D82" s="385"/>
      <c r="E82" s="385"/>
      <c r="F82" s="385"/>
      <c r="G82" s="385"/>
      <c r="H82" s="385"/>
      <c r="I82" s="385"/>
      <c r="J82" s="385"/>
      <c r="K82" s="385"/>
      <c r="L82" s="507"/>
      <c r="M82" s="508"/>
      <c r="N82" s="442"/>
      <c r="O82" s="442"/>
      <c r="P82" s="448"/>
      <c r="Q82" s="437"/>
      <c r="R82" s="484"/>
      <c r="S82" s="484"/>
      <c r="T82" s="484"/>
      <c r="U82" s="484"/>
      <c r="V82" s="484"/>
      <c r="W82" s="484"/>
      <c r="X82" s="484"/>
      <c r="Y82" s="484"/>
      <c r="Z82" s="484"/>
      <c r="AA82" s="484"/>
      <c r="AB82" s="484"/>
      <c r="AC82" s="484"/>
    </row>
    <row r="83" spans="1:29" s="210" customFormat="1" ht="15">
      <c r="A83" s="498"/>
      <c r="B83" s="380"/>
      <c r="C83" s="383"/>
      <c r="D83" s="377"/>
      <c r="E83" s="377"/>
      <c r="F83" s="377"/>
      <c r="G83" s="377"/>
      <c r="H83" s="377"/>
      <c r="I83" s="377"/>
      <c r="J83" s="377"/>
      <c r="K83" s="377"/>
      <c r="L83" s="377"/>
      <c r="M83" s="449"/>
      <c r="N83" s="450"/>
      <c r="O83" s="450"/>
      <c r="P83" s="448"/>
      <c r="Q83" s="437"/>
      <c r="R83" s="484"/>
      <c r="S83" s="484"/>
      <c r="T83" s="484"/>
      <c r="U83" s="484"/>
      <c r="V83" s="484"/>
      <c r="W83" s="484"/>
      <c r="X83" s="484"/>
      <c r="Y83" s="484"/>
      <c r="Z83" s="484"/>
      <c r="AA83" s="484"/>
      <c r="AB83" s="484"/>
      <c r="AC83" s="484"/>
    </row>
    <row r="84" spans="1:29" s="212" customFormat="1" ht="15">
      <c r="A84" s="384"/>
      <c r="B84" s="378">
        <f>B27</f>
        <v>111</v>
      </c>
      <c r="C84" s="385"/>
      <c r="D84" s="385"/>
      <c r="E84" s="385"/>
      <c r="F84" s="385"/>
      <c r="G84" s="385"/>
      <c r="H84" s="385"/>
      <c r="I84" s="385"/>
      <c r="J84" s="385"/>
      <c r="K84" s="385"/>
      <c r="L84" s="507"/>
      <c r="M84" s="508"/>
      <c r="N84" s="459"/>
      <c r="O84" s="459"/>
      <c r="P84" s="460"/>
      <c r="Q84" s="485"/>
      <c r="R84" s="486"/>
      <c r="S84" s="486"/>
      <c r="T84" s="486"/>
      <c r="U84" s="486"/>
      <c r="V84" s="486"/>
      <c r="W84" s="486"/>
      <c r="X84" s="486"/>
      <c r="Y84" s="486"/>
      <c r="Z84" s="486"/>
      <c r="AA84" s="486"/>
      <c r="AB84" s="486"/>
      <c r="AC84" s="486"/>
    </row>
    <row r="85" spans="1:29" s="212" customFormat="1" ht="15">
      <c r="A85" s="384"/>
      <c r="B85" s="380"/>
      <c r="C85" s="383"/>
      <c r="D85" s="377"/>
      <c r="E85" s="377"/>
      <c r="F85" s="377"/>
      <c r="G85" s="377"/>
      <c r="H85" s="377"/>
      <c r="I85" s="377"/>
      <c r="J85" s="377"/>
      <c r="K85" s="377"/>
      <c r="L85" s="377"/>
      <c r="M85" s="449"/>
      <c r="N85" s="459"/>
      <c r="O85" s="459"/>
      <c r="P85" s="460"/>
      <c r="Q85" s="485"/>
      <c r="R85" s="486"/>
      <c r="S85" s="486"/>
      <c r="T85" s="486"/>
      <c r="U85" s="486"/>
      <c r="V85" s="486"/>
      <c r="W85" s="486"/>
      <c r="X85" s="486"/>
      <c r="Y85" s="486"/>
      <c r="Z85" s="486"/>
      <c r="AA85" s="486"/>
      <c r="AB85" s="486"/>
      <c r="AC85" s="486"/>
    </row>
    <row r="86" spans="1:29" ht="15">
      <c r="A86" s="375"/>
      <c r="B86" s="497">
        <f>B28</f>
        <v>111</v>
      </c>
      <c r="C86" s="370"/>
      <c r="D86" s="370"/>
      <c r="E86" s="370"/>
      <c r="F86" s="370"/>
      <c r="G86" s="576"/>
      <c r="H86" s="576"/>
      <c r="I86" s="576"/>
      <c r="J86" s="576"/>
      <c r="K86" s="584"/>
      <c r="L86" s="585"/>
      <c r="M86" s="586"/>
      <c r="N86" s="447"/>
      <c r="O86" s="447"/>
      <c r="P86" s="448"/>
      <c r="Q86" s="437"/>
      <c r="R86" s="351"/>
      <c r="S86" s="351"/>
      <c r="T86" s="351"/>
      <c r="U86" s="351"/>
      <c r="V86" s="351"/>
      <c r="W86" s="351"/>
      <c r="X86" s="351"/>
      <c r="Y86" s="351"/>
      <c r="Z86" s="351"/>
      <c r="AA86" s="351"/>
      <c r="AB86" s="351"/>
      <c r="AC86" s="351"/>
    </row>
    <row r="87" spans="1:29" ht="15">
      <c r="A87" s="577"/>
      <c r="B87" s="573"/>
      <c r="C87" s="574"/>
      <c r="D87" s="574"/>
      <c r="E87" s="574"/>
      <c r="F87" s="574"/>
      <c r="G87" s="578"/>
      <c r="H87" s="578"/>
      <c r="I87" s="578"/>
      <c r="J87" s="578"/>
      <c r="K87" s="578"/>
      <c r="L87" s="578"/>
      <c r="M87" s="587"/>
      <c r="N87" s="450"/>
      <c r="O87" s="450"/>
      <c r="P87" s="448"/>
      <c r="Q87" s="437"/>
      <c r="R87" s="351"/>
      <c r="S87" s="351"/>
      <c r="T87" s="351"/>
      <c r="U87" s="351"/>
      <c r="V87" s="351"/>
      <c r="W87" s="351"/>
      <c r="X87" s="351"/>
      <c r="Y87" s="351"/>
      <c r="Z87" s="351"/>
      <c r="AA87" s="351"/>
      <c r="AB87" s="351"/>
      <c r="AC87" s="351"/>
    </row>
    <row r="88" spans="1:29">
      <c r="A88" s="371" t="s">
        <v>1108</v>
      </c>
      <c r="B88" s="372" t="s">
        <v>2415</v>
      </c>
      <c r="C88" s="374"/>
      <c r="D88" s="374"/>
      <c r="E88" s="374"/>
      <c r="F88" s="374"/>
      <c r="G88" s="374"/>
      <c r="H88" s="374"/>
      <c r="I88" s="374"/>
      <c r="J88" s="374"/>
      <c r="K88" s="444"/>
      <c r="L88" s="445"/>
      <c r="M88" s="446"/>
      <c r="N88" s="447"/>
      <c r="O88" s="447"/>
      <c r="P88" s="448"/>
      <c r="Q88" s="437"/>
      <c r="R88" s="351"/>
      <c r="S88" s="351"/>
      <c r="T88" s="351"/>
      <c r="U88" s="351"/>
      <c r="V88" s="351"/>
      <c r="W88" s="351"/>
      <c r="X88" s="351"/>
      <c r="Y88" s="351"/>
      <c r="Z88" s="351"/>
      <c r="AA88" s="351"/>
      <c r="AB88" s="351"/>
      <c r="AC88" s="351"/>
    </row>
    <row r="89" spans="1:29" ht="15">
      <c r="A89" s="375"/>
      <c r="B89" s="380"/>
      <c r="C89" s="389">
        <v>100</v>
      </c>
      <c r="D89" s="389">
        <f t="shared" ref="D89:M89" si="16">C89-$K29</f>
        <v>100</v>
      </c>
      <c r="E89" s="389">
        <f t="shared" si="16"/>
        <v>100</v>
      </c>
      <c r="F89" s="389">
        <f t="shared" si="16"/>
        <v>100</v>
      </c>
      <c r="G89" s="389">
        <f t="shared" si="16"/>
        <v>100</v>
      </c>
      <c r="H89" s="389">
        <f t="shared" si="16"/>
        <v>100</v>
      </c>
      <c r="I89" s="389">
        <f t="shared" si="16"/>
        <v>100</v>
      </c>
      <c r="J89" s="389">
        <f t="shared" si="16"/>
        <v>100</v>
      </c>
      <c r="K89" s="389">
        <f t="shared" si="16"/>
        <v>100</v>
      </c>
      <c r="L89" s="389">
        <f t="shared" si="16"/>
        <v>100</v>
      </c>
      <c r="M89" s="466">
        <f t="shared" si="16"/>
        <v>100</v>
      </c>
      <c r="N89" s="450"/>
      <c r="O89" s="450"/>
      <c r="P89" s="448"/>
      <c r="Q89" s="437"/>
      <c r="R89" s="351"/>
      <c r="S89" s="351"/>
      <c r="T89" s="351"/>
      <c r="U89" s="351"/>
      <c r="V89" s="351"/>
      <c r="W89" s="351"/>
      <c r="X89" s="351"/>
      <c r="Y89" s="351"/>
      <c r="Z89" s="351"/>
      <c r="AA89" s="351"/>
      <c r="AB89" s="351"/>
      <c r="AC89" s="351"/>
    </row>
    <row r="90" spans="1:29" ht="15">
      <c r="A90" s="375"/>
      <c r="B90" s="378" t="s">
        <v>2416</v>
      </c>
      <c r="C90" s="391" t="str">
        <f>C91&amp;"(含)"&amp;"-"&amp;D91</f>
        <v>(含)-</v>
      </c>
      <c r="D90" s="391" t="str">
        <f t="shared" ref="D90:L90" si="17">D91&amp;"(含)"&amp;"-"&amp;E91</f>
        <v>(含)-</v>
      </c>
      <c r="E90" s="391" t="str">
        <f t="shared" si="17"/>
        <v>(含)-</v>
      </c>
      <c r="F90" s="391" t="str">
        <f t="shared" si="17"/>
        <v>(含)-</v>
      </c>
      <c r="G90" s="391" t="str">
        <f t="shared" si="17"/>
        <v>(含)-</v>
      </c>
      <c r="H90" s="391" t="str">
        <f t="shared" si="17"/>
        <v>(含)-</v>
      </c>
      <c r="I90" s="391" t="str">
        <f t="shared" si="17"/>
        <v>(含)-</v>
      </c>
      <c r="J90" s="391" t="str">
        <f t="shared" si="17"/>
        <v>(含)-</v>
      </c>
      <c r="K90" s="391" t="str">
        <f t="shared" si="17"/>
        <v>(含)-</v>
      </c>
      <c r="L90" s="391" t="str">
        <f t="shared" si="17"/>
        <v>(含)-</v>
      </c>
      <c r="M90" s="512" t="str">
        <f>M91&amp;"(含)"&amp;"-"&amp;P91</f>
        <v>(含)-</v>
      </c>
      <c r="N90" s="442"/>
      <c r="O90" s="442"/>
      <c r="P90" s="448"/>
      <c r="Q90" s="437"/>
      <c r="R90" s="351"/>
      <c r="S90" s="351"/>
      <c r="T90" s="351"/>
      <c r="U90" s="351"/>
      <c r="V90" s="351"/>
      <c r="W90" s="351"/>
      <c r="X90" s="351"/>
      <c r="Y90" s="351"/>
      <c r="Z90" s="351"/>
      <c r="AA90" s="351"/>
      <c r="AB90" s="351"/>
      <c r="AC90" s="351"/>
    </row>
    <row r="91" spans="1:29" s="212" customFormat="1">
      <c r="A91" s="503"/>
      <c r="B91" s="579"/>
      <c r="C91" s="502"/>
      <c r="D91" s="502"/>
      <c r="E91" s="502"/>
      <c r="F91" s="502"/>
      <c r="G91" s="502"/>
      <c r="H91" s="502"/>
      <c r="I91" s="502"/>
      <c r="J91" s="513"/>
      <c r="K91" s="513"/>
      <c r="L91" s="514"/>
      <c r="M91" s="515"/>
      <c r="N91" s="459"/>
      <c r="O91" s="459"/>
      <c r="P91" s="460"/>
      <c r="Q91" s="485"/>
      <c r="R91" s="486"/>
      <c r="S91" s="486"/>
      <c r="T91" s="486"/>
      <c r="U91" s="486"/>
      <c r="V91" s="486"/>
      <c r="W91" s="486"/>
      <c r="X91" s="486"/>
      <c r="Y91" s="486"/>
      <c r="Z91" s="486"/>
      <c r="AA91" s="486"/>
      <c r="AB91" s="486"/>
      <c r="AC91" s="486"/>
    </row>
    <row r="92" spans="1:29" s="212" customFormat="1" ht="15">
      <c r="A92" s="384"/>
      <c r="B92" s="380"/>
      <c r="C92" s="383"/>
      <c r="D92" s="377"/>
      <c r="E92" s="377"/>
      <c r="F92" s="377"/>
      <c r="G92" s="377"/>
      <c r="H92" s="377"/>
      <c r="I92" s="377"/>
      <c r="J92" s="377"/>
      <c r="K92" s="377"/>
      <c r="L92" s="377"/>
      <c r="M92" s="449"/>
      <c r="N92" s="450"/>
      <c r="O92" s="450"/>
      <c r="P92" s="460"/>
      <c r="Q92" s="485"/>
      <c r="R92" s="486"/>
      <c r="S92" s="486"/>
      <c r="T92" s="486"/>
      <c r="U92" s="486"/>
      <c r="V92" s="486"/>
      <c r="W92" s="486"/>
      <c r="X92" s="486"/>
      <c r="Y92" s="486"/>
      <c r="Z92" s="486"/>
      <c r="AA92" s="486"/>
      <c r="AB92" s="486"/>
      <c r="AC92" s="486"/>
    </row>
    <row r="93" spans="1:29">
      <c r="A93" s="501"/>
      <c r="B93" s="378" t="s">
        <v>2417</v>
      </c>
      <c r="C93" s="385"/>
      <c r="D93" s="385"/>
      <c r="E93" s="379"/>
      <c r="F93" s="379"/>
      <c r="G93" s="379"/>
      <c r="H93" s="379"/>
      <c r="I93" s="379"/>
      <c r="J93" s="379"/>
      <c r="K93" s="451"/>
      <c r="L93" s="452"/>
      <c r="M93" s="453"/>
      <c r="N93" s="447"/>
      <c r="O93" s="447"/>
      <c r="P93" s="448"/>
      <c r="Q93" s="437"/>
      <c r="R93" s="351"/>
      <c r="S93" s="351"/>
      <c r="T93" s="351"/>
      <c r="U93" s="351"/>
      <c r="V93" s="351"/>
      <c r="W93" s="351"/>
      <c r="X93" s="351"/>
      <c r="Y93" s="351"/>
      <c r="Z93" s="351"/>
      <c r="AA93" s="351"/>
      <c r="AB93" s="351"/>
      <c r="AC93" s="351"/>
    </row>
    <row r="94" spans="1:29" ht="15">
      <c r="A94" s="375"/>
      <c r="B94" s="380"/>
      <c r="C94" s="389">
        <v>100</v>
      </c>
      <c r="D94" s="389">
        <f t="shared" ref="D94:M94" si="18">C94-$K31</f>
        <v>100</v>
      </c>
      <c r="E94" s="389">
        <f t="shared" si="18"/>
        <v>100</v>
      </c>
      <c r="F94" s="389">
        <f t="shared" si="18"/>
        <v>100</v>
      </c>
      <c r="G94" s="389">
        <f t="shared" si="18"/>
        <v>100</v>
      </c>
      <c r="H94" s="389">
        <f t="shared" si="18"/>
        <v>100</v>
      </c>
      <c r="I94" s="389">
        <f t="shared" si="18"/>
        <v>100</v>
      </c>
      <c r="J94" s="389">
        <f t="shared" si="18"/>
        <v>100</v>
      </c>
      <c r="K94" s="389">
        <f t="shared" si="18"/>
        <v>100</v>
      </c>
      <c r="L94" s="389">
        <f t="shared" si="18"/>
        <v>100</v>
      </c>
      <c r="M94" s="466">
        <f t="shared" si="18"/>
        <v>100</v>
      </c>
      <c r="N94" s="450"/>
      <c r="O94" s="450"/>
      <c r="P94" s="448"/>
      <c r="Q94" s="437"/>
      <c r="R94" s="351"/>
      <c r="S94" s="351"/>
      <c r="T94" s="351"/>
      <c r="U94" s="351"/>
      <c r="V94" s="351"/>
      <c r="W94" s="351"/>
      <c r="X94" s="351"/>
      <c r="Y94" s="351"/>
      <c r="Z94" s="351"/>
      <c r="AA94" s="351"/>
      <c r="AB94" s="351"/>
      <c r="AC94" s="351"/>
    </row>
    <row r="95" spans="1:29">
      <c r="A95" s="501"/>
      <c r="B95" s="378" t="s">
        <v>2419</v>
      </c>
      <c r="C95" s="385"/>
      <c r="D95" s="385"/>
      <c r="E95" s="385"/>
      <c r="F95" s="379"/>
      <c r="G95" s="379"/>
      <c r="H95" s="379"/>
      <c r="I95" s="379"/>
      <c r="J95" s="379"/>
      <c r="K95" s="451"/>
      <c r="L95" s="452"/>
      <c r="M95" s="453"/>
      <c r="N95" s="447"/>
      <c r="O95" s="447"/>
      <c r="P95" s="448"/>
      <c r="Q95" s="437"/>
      <c r="R95" s="351"/>
      <c r="S95" s="351"/>
      <c r="T95" s="351"/>
      <c r="U95" s="351"/>
      <c r="V95" s="351"/>
      <c r="W95" s="351"/>
      <c r="X95" s="351"/>
      <c r="Y95" s="351"/>
      <c r="Z95" s="351"/>
      <c r="AA95" s="351"/>
      <c r="AB95" s="351"/>
      <c r="AC95" s="351"/>
    </row>
    <row r="96" spans="1:29" ht="15">
      <c r="A96" s="375"/>
      <c r="B96" s="380"/>
      <c r="C96" s="389">
        <v>100</v>
      </c>
      <c r="D96" s="389">
        <f t="shared" ref="D96:M96" si="19">C96-$K32</f>
        <v>100</v>
      </c>
      <c r="E96" s="389">
        <f t="shared" si="19"/>
        <v>100</v>
      </c>
      <c r="F96" s="389">
        <f t="shared" si="19"/>
        <v>100</v>
      </c>
      <c r="G96" s="389">
        <f t="shared" si="19"/>
        <v>100</v>
      </c>
      <c r="H96" s="389">
        <f t="shared" si="19"/>
        <v>100</v>
      </c>
      <c r="I96" s="389">
        <f t="shared" si="19"/>
        <v>100</v>
      </c>
      <c r="J96" s="389">
        <f t="shared" si="19"/>
        <v>100</v>
      </c>
      <c r="K96" s="389">
        <f t="shared" si="19"/>
        <v>100</v>
      </c>
      <c r="L96" s="389">
        <f t="shared" si="19"/>
        <v>100</v>
      </c>
      <c r="M96" s="466">
        <f t="shared" si="19"/>
        <v>100</v>
      </c>
      <c r="N96" s="450"/>
      <c r="O96" s="450"/>
      <c r="P96" s="448"/>
      <c r="Q96" s="437"/>
      <c r="R96" s="351"/>
      <c r="S96" s="351"/>
      <c r="T96" s="351"/>
      <c r="U96" s="351"/>
      <c r="V96" s="351"/>
      <c r="W96" s="351"/>
      <c r="X96" s="351"/>
      <c r="Y96" s="351"/>
      <c r="Z96" s="351"/>
      <c r="AA96" s="351"/>
      <c r="AB96" s="351"/>
      <c r="AC96" s="351"/>
    </row>
    <row r="97" spans="1:29">
      <c r="A97" s="501"/>
      <c r="B97" s="378" t="s">
        <v>2420</v>
      </c>
      <c r="C97" s="391" t="str">
        <f>C98&amp;"(含)"&amp;"-"&amp;D98</f>
        <v>0.5(含)-0.6</v>
      </c>
      <c r="D97" s="391" t="str">
        <f>D98&amp;"(含)"&amp;"-"&amp;E98</f>
        <v>0.6(含)-0.7</v>
      </c>
      <c r="E97" s="391" t="str">
        <f>E98&amp;"(含)"&amp;"-"&amp;F98</f>
        <v>0.7(含)-0.8</v>
      </c>
      <c r="F97" s="391" t="str">
        <f>F98&amp;"(含)"&amp;"-"&amp;G98</f>
        <v>0.8(含)-0.9</v>
      </c>
      <c r="G97" s="391" t="str">
        <f>G98&amp;"(含)"&amp;"-"&amp;ROUND(H98,0)</f>
        <v>0.9(含)-1</v>
      </c>
      <c r="H97" s="391"/>
      <c r="I97" s="379"/>
      <c r="J97" s="379"/>
      <c r="K97" s="451"/>
      <c r="L97" s="452"/>
      <c r="M97" s="453"/>
      <c r="N97" s="447"/>
      <c r="O97" s="447"/>
      <c r="P97" s="448"/>
      <c r="Q97" s="437"/>
      <c r="R97" s="351"/>
      <c r="S97" s="351"/>
      <c r="T97" s="351"/>
      <c r="U97" s="351"/>
      <c r="V97" s="351"/>
      <c r="W97" s="351"/>
      <c r="X97" s="351"/>
      <c r="Y97" s="351"/>
      <c r="Z97" s="351"/>
      <c r="AA97" s="351"/>
      <c r="AB97" s="351"/>
      <c r="AC97" s="351"/>
    </row>
    <row r="98" spans="1:29">
      <c r="A98" s="501"/>
      <c r="B98" s="497"/>
      <c r="C98" s="499">
        <v>0.5</v>
      </c>
      <c r="D98" s="499">
        <v>0.6</v>
      </c>
      <c r="E98" s="499">
        <v>0.7</v>
      </c>
      <c r="F98" s="499">
        <v>0.8</v>
      </c>
      <c r="G98" s="499">
        <v>0.9</v>
      </c>
      <c r="H98" s="499">
        <v>1.0001</v>
      </c>
      <c r="I98" s="549"/>
      <c r="J98" s="549"/>
      <c r="K98" s="550"/>
      <c r="L98" s="551"/>
      <c r="M98" s="552"/>
      <c r="N98" s="447"/>
      <c r="O98" s="447"/>
      <c r="P98" s="448"/>
      <c r="Q98" s="437"/>
      <c r="R98" s="351"/>
      <c r="S98" s="351"/>
      <c r="T98" s="351"/>
      <c r="U98" s="351"/>
      <c r="V98" s="351"/>
      <c r="W98" s="351"/>
      <c r="X98" s="351"/>
      <c r="Y98" s="351"/>
      <c r="Z98" s="351"/>
      <c r="AA98" s="351"/>
      <c r="AB98" s="351"/>
      <c r="AC98" s="351"/>
    </row>
    <row r="99" spans="1:29" ht="15">
      <c r="A99" s="375"/>
      <c r="B99" s="380"/>
      <c r="C99" s="500">
        <v>100</v>
      </c>
      <c r="D99" s="389">
        <f>C99+$K33</f>
        <v>100</v>
      </c>
      <c r="E99" s="389">
        <f t="shared" ref="E99:M99" si="20">D99+$K33</f>
        <v>100</v>
      </c>
      <c r="F99" s="389">
        <f t="shared" si="20"/>
        <v>100</v>
      </c>
      <c r="G99" s="389">
        <f t="shared" si="20"/>
        <v>100</v>
      </c>
      <c r="H99" s="389">
        <f t="shared" si="20"/>
        <v>100</v>
      </c>
      <c r="I99" s="389">
        <f t="shared" si="20"/>
        <v>100</v>
      </c>
      <c r="J99" s="389">
        <f t="shared" si="20"/>
        <v>100</v>
      </c>
      <c r="K99" s="389">
        <f t="shared" si="20"/>
        <v>100</v>
      </c>
      <c r="L99" s="389">
        <f t="shared" si="20"/>
        <v>100</v>
      </c>
      <c r="M99" s="389">
        <f t="shared" si="20"/>
        <v>100</v>
      </c>
      <c r="N99" s="450"/>
      <c r="O99" s="450"/>
      <c r="P99" s="448"/>
      <c r="Q99" s="437"/>
      <c r="R99" s="351"/>
      <c r="S99" s="351"/>
      <c r="T99" s="351"/>
      <c r="U99" s="351"/>
      <c r="V99" s="351"/>
      <c r="W99" s="351"/>
      <c r="X99" s="351"/>
      <c r="Y99" s="351"/>
      <c r="Z99" s="351"/>
      <c r="AA99" s="351"/>
      <c r="AB99" s="351"/>
      <c r="AC99" s="351"/>
    </row>
    <row r="100" spans="1:29" s="212" customFormat="1">
      <c r="A100" s="503"/>
      <c r="B100" s="378" t="s">
        <v>2421</v>
      </c>
      <c r="C100" s="385"/>
      <c r="D100" s="385"/>
      <c r="E100" s="385"/>
      <c r="F100" s="385"/>
      <c r="G100" s="385"/>
      <c r="H100" s="379"/>
      <c r="I100" s="379"/>
      <c r="J100" s="379"/>
      <c r="K100" s="451"/>
      <c r="L100" s="452"/>
      <c r="M100" s="453"/>
      <c r="N100" s="459"/>
      <c r="O100" s="459"/>
      <c r="P100" s="460"/>
      <c r="Q100" s="485"/>
      <c r="R100" s="486"/>
      <c r="S100" s="486"/>
      <c r="T100" s="486"/>
      <c r="U100" s="486"/>
      <c r="V100" s="486"/>
      <c r="W100" s="486"/>
      <c r="X100" s="486"/>
      <c r="Y100" s="486"/>
      <c r="Z100" s="486"/>
      <c r="AA100" s="486"/>
      <c r="AB100" s="486"/>
      <c r="AC100" s="486"/>
    </row>
    <row r="101" spans="1:29" s="212" customFormat="1" ht="15">
      <c r="A101" s="384"/>
      <c r="B101" s="380"/>
      <c r="C101" s="389">
        <v>100</v>
      </c>
      <c r="D101" s="389">
        <f>C101-$K34</f>
        <v>100</v>
      </c>
      <c r="E101" s="389">
        <f t="shared" ref="E101:M101" si="21">D101-$K34</f>
        <v>100</v>
      </c>
      <c r="F101" s="389">
        <f t="shared" si="21"/>
        <v>100</v>
      </c>
      <c r="G101" s="389">
        <f t="shared" si="21"/>
        <v>100</v>
      </c>
      <c r="H101" s="389">
        <f t="shared" si="21"/>
        <v>100</v>
      </c>
      <c r="I101" s="389">
        <f t="shared" si="21"/>
        <v>100</v>
      </c>
      <c r="J101" s="389">
        <f t="shared" si="21"/>
        <v>100</v>
      </c>
      <c r="K101" s="389">
        <f t="shared" si="21"/>
        <v>100</v>
      </c>
      <c r="L101" s="389">
        <f t="shared" si="21"/>
        <v>100</v>
      </c>
      <c r="M101" s="389">
        <f t="shared" si="21"/>
        <v>100</v>
      </c>
      <c r="N101" s="459"/>
      <c r="O101" s="459"/>
      <c r="P101" s="460"/>
      <c r="Q101" s="485"/>
      <c r="R101" s="486"/>
      <c r="S101" s="486"/>
      <c r="T101" s="486"/>
      <c r="U101" s="486"/>
      <c r="V101" s="486"/>
      <c r="W101" s="486"/>
      <c r="X101" s="486"/>
      <c r="Y101" s="486"/>
      <c r="Z101" s="486"/>
      <c r="AA101" s="486"/>
      <c r="AB101" s="486"/>
      <c r="AC101" s="486"/>
    </row>
    <row r="102" spans="1:29">
      <c r="A102" s="501"/>
      <c r="B102" s="390" t="s">
        <v>2422</v>
      </c>
      <c r="C102" s="385"/>
      <c r="D102" s="385"/>
      <c r="E102" s="385"/>
      <c r="F102" s="385"/>
      <c r="G102" s="385"/>
      <c r="H102" s="379"/>
      <c r="I102" s="379"/>
      <c r="J102" s="379"/>
      <c r="K102" s="451"/>
      <c r="L102" s="452"/>
      <c r="M102" s="453"/>
      <c r="N102" s="447"/>
      <c r="O102" s="447"/>
      <c r="P102" s="448"/>
      <c r="Q102" s="437"/>
      <c r="R102" s="351"/>
      <c r="S102" s="351"/>
      <c r="T102" s="351"/>
      <c r="U102" s="351"/>
      <c r="V102" s="351"/>
      <c r="W102" s="351"/>
      <c r="X102" s="351"/>
      <c r="Y102" s="351"/>
      <c r="Z102" s="351"/>
      <c r="AA102" s="351"/>
      <c r="AB102" s="351"/>
      <c r="AC102" s="351"/>
    </row>
    <row r="103" spans="1:29" ht="15">
      <c r="A103" s="375"/>
      <c r="B103" s="380"/>
      <c r="C103" s="389">
        <v>100</v>
      </c>
      <c r="D103" s="389">
        <f t="shared" ref="D103:M103" si="22">C103-$K35</f>
        <v>100</v>
      </c>
      <c r="E103" s="389">
        <f t="shared" si="22"/>
        <v>100</v>
      </c>
      <c r="F103" s="389">
        <f t="shared" si="22"/>
        <v>100</v>
      </c>
      <c r="G103" s="389">
        <f t="shared" si="22"/>
        <v>100</v>
      </c>
      <c r="H103" s="389">
        <f t="shared" si="22"/>
        <v>100</v>
      </c>
      <c r="I103" s="389">
        <f t="shared" si="22"/>
        <v>100</v>
      </c>
      <c r="J103" s="389">
        <f t="shared" si="22"/>
        <v>100</v>
      </c>
      <c r="K103" s="389">
        <f t="shared" si="22"/>
        <v>100</v>
      </c>
      <c r="L103" s="389">
        <f t="shared" si="22"/>
        <v>100</v>
      </c>
      <c r="M103" s="466">
        <f t="shared" si="22"/>
        <v>100</v>
      </c>
      <c r="N103" s="450"/>
      <c r="O103" s="450"/>
      <c r="P103" s="448"/>
      <c r="Q103" s="437"/>
      <c r="R103" s="351"/>
      <c r="S103" s="351"/>
      <c r="T103" s="351"/>
      <c r="U103" s="351"/>
      <c r="V103" s="351"/>
      <c r="W103" s="351"/>
      <c r="X103" s="351"/>
      <c r="Y103" s="351"/>
      <c r="Z103" s="351"/>
      <c r="AA103" s="351"/>
      <c r="AB103" s="351"/>
      <c r="AC103" s="351"/>
    </row>
    <row r="104" spans="1:29">
      <c r="A104" s="501"/>
      <c r="B104" s="378" t="s">
        <v>2425</v>
      </c>
      <c r="C104" s="385"/>
      <c r="D104" s="385"/>
      <c r="E104" s="385"/>
      <c r="F104" s="385"/>
      <c r="G104" s="385"/>
      <c r="H104" s="379"/>
      <c r="I104" s="379"/>
      <c r="J104" s="379"/>
      <c r="K104" s="451"/>
      <c r="L104" s="452"/>
      <c r="M104" s="453"/>
      <c r="N104" s="447"/>
      <c r="O104" s="447"/>
      <c r="P104" s="448"/>
      <c r="Q104" s="437"/>
      <c r="R104" s="351"/>
      <c r="S104" s="351"/>
      <c r="T104" s="351"/>
      <c r="U104" s="351"/>
      <c r="V104" s="351"/>
      <c r="W104" s="351"/>
      <c r="X104" s="351"/>
      <c r="Y104" s="351"/>
      <c r="Z104" s="351"/>
      <c r="AA104" s="351"/>
      <c r="AB104" s="351"/>
      <c r="AC104" s="351"/>
    </row>
    <row r="105" spans="1:29" ht="15">
      <c r="A105" s="375"/>
      <c r="B105" s="380"/>
      <c r="C105" s="389">
        <v>100</v>
      </c>
      <c r="D105" s="389">
        <f>C105-$K36</f>
        <v>100</v>
      </c>
      <c r="E105" s="389">
        <f>D105-$K36</f>
        <v>100</v>
      </c>
      <c r="F105" s="389">
        <f>E105-$K36</f>
        <v>100</v>
      </c>
      <c r="G105" s="389">
        <f>F105-$K36</f>
        <v>100</v>
      </c>
      <c r="H105" s="389"/>
      <c r="I105" s="389"/>
      <c r="J105" s="389"/>
      <c r="K105" s="389"/>
      <c r="L105" s="389"/>
      <c r="M105" s="466"/>
      <c r="N105" s="450"/>
      <c r="O105" s="450"/>
      <c r="P105" s="448"/>
      <c r="Q105" s="437"/>
      <c r="R105" s="351"/>
      <c r="S105" s="351"/>
      <c r="T105" s="351"/>
      <c r="U105" s="351"/>
      <c r="V105" s="351"/>
      <c r="W105" s="351"/>
      <c r="X105" s="351"/>
      <c r="Y105" s="351"/>
      <c r="Z105" s="351"/>
      <c r="AA105" s="351"/>
      <c r="AB105" s="351"/>
      <c r="AC105" s="351"/>
    </row>
    <row r="106" spans="1:29">
      <c r="A106" s="501"/>
      <c r="B106" s="504" t="s">
        <v>2461</v>
      </c>
      <c r="C106" s="391" t="s">
        <v>244</v>
      </c>
      <c r="D106" s="391" t="s">
        <v>256</v>
      </c>
      <c r="E106" s="391" t="s">
        <v>267</v>
      </c>
      <c r="F106" s="391" t="s">
        <v>277</v>
      </c>
      <c r="G106" s="391" t="s">
        <v>285</v>
      </c>
      <c r="H106" s="392"/>
      <c r="I106" s="392"/>
      <c r="J106" s="392"/>
      <c r="K106" s="467"/>
      <c r="L106" s="468"/>
      <c r="M106" s="469"/>
      <c r="N106" s="450"/>
      <c r="O106" s="450"/>
      <c r="P106" s="516"/>
      <c r="Q106" s="519"/>
      <c r="R106" s="351"/>
      <c r="S106" s="351"/>
      <c r="T106" s="351"/>
      <c r="U106" s="351"/>
      <c r="V106" s="351"/>
      <c r="W106" s="351"/>
      <c r="X106" s="351"/>
      <c r="Y106" s="351"/>
      <c r="Z106" s="351"/>
      <c r="AA106" s="351"/>
      <c r="AB106" s="351"/>
      <c r="AC106" s="351"/>
    </row>
    <row r="107" spans="1:29" ht="15">
      <c r="A107" s="375"/>
      <c r="B107" s="380"/>
      <c r="C107" s="500">
        <v>100</v>
      </c>
      <c r="D107" s="389">
        <f t="shared" ref="D107:M107" si="23">C107-$K37</f>
        <v>100</v>
      </c>
      <c r="E107" s="389">
        <f t="shared" si="23"/>
        <v>100</v>
      </c>
      <c r="F107" s="389">
        <f t="shared" si="23"/>
        <v>100</v>
      </c>
      <c r="G107" s="389">
        <f t="shared" si="23"/>
        <v>100</v>
      </c>
      <c r="H107" s="389">
        <f t="shared" si="23"/>
        <v>100</v>
      </c>
      <c r="I107" s="389">
        <f t="shared" si="23"/>
        <v>100</v>
      </c>
      <c r="J107" s="389">
        <f t="shared" si="23"/>
        <v>100</v>
      </c>
      <c r="K107" s="389">
        <f t="shared" si="23"/>
        <v>100</v>
      </c>
      <c r="L107" s="389">
        <f t="shared" si="23"/>
        <v>100</v>
      </c>
      <c r="M107" s="389">
        <f t="shared" si="23"/>
        <v>100</v>
      </c>
      <c r="N107" s="450"/>
      <c r="O107" s="450"/>
      <c r="P107" s="448"/>
      <c r="Q107" s="437"/>
      <c r="R107" s="351"/>
      <c r="S107" s="351"/>
      <c r="T107" s="351"/>
      <c r="U107" s="351"/>
      <c r="V107" s="351"/>
      <c r="W107" s="351"/>
      <c r="X107" s="351"/>
      <c r="Y107" s="351"/>
      <c r="Z107" s="351"/>
      <c r="AA107" s="351"/>
      <c r="AB107" s="351"/>
      <c r="AC107" s="351"/>
    </row>
    <row r="108" spans="1:29" s="212" customFormat="1">
      <c r="A108" s="503"/>
      <c r="B108" s="378">
        <f>B38</f>
        <v>111</v>
      </c>
      <c r="C108" s="385"/>
      <c r="D108" s="385"/>
      <c r="E108" s="385"/>
      <c r="F108" s="385"/>
      <c r="G108" s="385"/>
      <c r="H108" s="386"/>
      <c r="I108" s="386"/>
      <c r="J108" s="386"/>
      <c r="K108" s="386"/>
      <c r="L108" s="457"/>
      <c r="M108" s="458"/>
      <c r="N108" s="459"/>
      <c r="O108" s="459"/>
      <c r="P108" s="460"/>
      <c r="Q108" s="485"/>
      <c r="R108" s="486"/>
      <c r="S108" s="486"/>
      <c r="T108" s="486"/>
      <c r="U108" s="486"/>
      <c r="V108" s="486"/>
      <c r="W108" s="486"/>
      <c r="X108" s="486"/>
      <c r="Y108" s="486"/>
      <c r="Z108" s="486"/>
      <c r="AA108" s="486"/>
      <c r="AB108" s="486"/>
      <c r="AC108" s="486"/>
    </row>
    <row r="109" spans="1:29" s="212" customFormat="1" ht="15">
      <c r="A109" s="384"/>
      <c r="B109" s="376"/>
      <c r="C109" s="383"/>
      <c r="D109" s="377"/>
      <c r="E109" s="377"/>
      <c r="F109" s="377"/>
      <c r="G109" s="383"/>
      <c r="H109" s="387"/>
      <c r="I109" s="387"/>
      <c r="J109" s="387"/>
      <c r="K109" s="387"/>
      <c r="L109" s="387"/>
      <c r="M109" s="461"/>
      <c r="N109" s="459"/>
      <c r="O109" s="459"/>
      <c r="P109" s="460"/>
      <c r="Q109" s="485"/>
      <c r="R109" s="486"/>
      <c r="S109" s="486"/>
      <c r="T109" s="486"/>
      <c r="U109" s="486"/>
      <c r="V109" s="486"/>
      <c r="W109" s="486"/>
      <c r="X109" s="486"/>
      <c r="Y109" s="486"/>
      <c r="Z109" s="486"/>
      <c r="AA109" s="486"/>
      <c r="AB109" s="486"/>
      <c r="AC109" s="486"/>
    </row>
    <row r="110" spans="1:29">
      <c r="A110" s="501"/>
      <c r="B110" s="378">
        <f>B39</f>
        <v>111</v>
      </c>
      <c r="C110" s="385"/>
      <c r="D110" s="385"/>
      <c r="E110" s="385"/>
      <c r="F110" s="385"/>
      <c r="G110" s="385"/>
      <c r="H110" s="386"/>
      <c r="I110" s="386"/>
      <c r="J110" s="386"/>
      <c r="K110" s="386"/>
      <c r="L110" s="457"/>
      <c r="M110" s="458"/>
      <c r="N110" s="447"/>
      <c r="O110" s="447"/>
      <c r="P110" s="448"/>
      <c r="Q110" s="437"/>
      <c r="R110" s="351"/>
      <c r="S110" s="351"/>
      <c r="T110" s="351"/>
      <c r="U110" s="351"/>
      <c r="V110" s="351"/>
      <c r="W110" s="351"/>
      <c r="X110" s="351"/>
      <c r="Y110" s="351"/>
      <c r="Z110" s="351"/>
      <c r="AA110" s="351"/>
      <c r="AB110" s="351"/>
      <c r="AC110" s="351"/>
    </row>
    <row r="111" spans="1:29" ht="15">
      <c r="A111" s="375"/>
      <c r="B111" s="380"/>
      <c r="C111" s="383"/>
      <c r="D111" s="377"/>
      <c r="E111" s="377"/>
      <c r="F111" s="377"/>
      <c r="G111" s="383"/>
      <c r="H111" s="387"/>
      <c r="I111" s="387"/>
      <c r="J111" s="387"/>
      <c r="K111" s="387"/>
      <c r="L111" s="387"/>
      <c r="M111" s="461"/>
      <c r="N111" s="450"/>
      <c r="O111" s="450"/>
      <c r="P111" s="448"/>
      <c r="Q111" s="437"/>
      <c r="R111" s="351"/>
      <c r="S111" s="351"/>
      <c r="T111" s="351"/>
      <c r="U111" s="351"/>
      <c r="V111" s="351"/>
      <c r="W111" s="351"/>
      <c r="X111" s="351"/>
      <c r="Y111" s="351"/>
      <c r="Z111" s="351"/>
      <c r="AA111" s="351"/>
      <c r="AB111" s="351"/>
      <c r="AC111" s="351"/>
    </row>
    <row r="112" spans="1:29">
      <c r="A112" s="501"/>
      <c r="B112" s="497">
        <f>B40</f>
        <v>111</v>
      </c>
      <c r="C112" s="370"/>
      <c r="D112" s="370"/>
      <c r="E112" s="370"/>
      <c r="F112" s="370"/>
      <c r="G112" s="576"/>
      <c r="H112" s="576"/>
      <c r="I112" s="576"/>
      <c r="J112" s="576"/>
      <c r="K112" s="370"/>
      <c r="L112" s="440"/>
      <c r="M112" s="586"/>
      <c r="N112" s="447"/>
      <c r="O112" s="447"/>
      <c r="P112" s="448"/>
      <c r="Q112" s="437"/>
      <c r="R112" s="351"/>
      <c r="S112" s="351"/>
      <c r="T112" s="351"/>
      <c r="U112" s="351"/>
      <c r="V112" s="351"/>
      <c r="W112" s="351"/>
      <c r="X112" s="351"/>
      <c r="Y112" s="351"/>
      <c r="Z112" s="351"/>
      <c r="AA112" s="351"/>
      <c r="AB112" s="351"/>
      <c r="AC112" s="351"/>
    </row>
    <row r="113" spans="1:29" ht="15">
      <c r="A113" s="577"/>
      <c r="B113" s="573"/>
      <c r="C113" s="574"/>
      <c r="D113" s="574"/>
      <c r="E113" s="574"/>
      <c r="F113" s="574"/>
      <c r="G113" s="578"/>
      <c r="H113" s="578"/>
      <c r="I113" s="578"/>
      <c r="J113" s="578"/>
      <c r="K113" s="578"/>
      <c r="L113" s="578"/>
      <c r="M113" s="587"/>
      <c r="N113" s="450"/>
      <c r="O113" s="450"/>
      <c r="P113" s="448"/>
      <c r="Q113" s="437"/>
      <c r="R113" s="351"/>
      <c r="S113" s="351"/>
      <c r="T113" s="351"/>
      <c r="U113" s="351"/>
      <c r="V113" s="351"/>
      <c r="W113" s="351"/>
      <c r="X113" s="351"/>
      <c r="Y113" s="351"/>
      <c r="Z113" s="351"/>
      <c r="AA113" s="351"/>
      <c r="AB113" s="351"/>
      <c r="AC113" s="351"/>
    </row>
    <row r="114" spans="1:29">
      <c r="A114" s="505"/>
      <c r="B114" s="505"/>
      <c r="C114" s="505"/>
      <c r="D114" s="505"/>
      <c r="E114" s="505"/>
      <c r="F114" s="505"/>
      <c r="G114" s="505"/>
      <c r="H114" s="505"/>
      <c r="I114" s="505"/>
      <c r="J114" s="505"/>
      <c r="K114" s="517"/>
      <c r="L114" s="518"/>
      <c r="M114" s="505"/>
      <c r="N114" s="505"/>
      <c r="O114" s="505"/>
      <c r="P114" s="505"/>
      <c r="Q114" s="505"/>
      <c r="R114" s="505"/>
      <c r="S114" s="505"/>
      <c r="T114" s="505"/>
      <c r="U114" s="505"/>
      <c r="V114" s="505"/>
      <c r="W114" s="505"/>
      <c r="X114" s="505"/>
      <c r="Y114" s="505"/>
      <c r="Z114" s="505"/>
      <c r="AA114" s="505"/>
      <c r="AB114" s="505"/>
      <c r="AC114" s="505"/>
    </row>
    <row r="115" spans="1:29">
      <c r="A115" s="505"/>
      <c r="B115" s="505"/>
      <c r="C115" s="505"/>
      <c r="D115" s="505"/>
      <c r="E115" s="505"/>
      <c r="F115" s="505"/>
      <c r="G115" s="505"/>
      <c r="H115" s="505"/>
      <c r="I115" s="505"/>
      <c r="J115" s="505"/>
      <c r="K115" s="517"/>
      <c r="L115" s="518"/>
      <c r="M115" s="505"/>
      <c r="N115" s="505"/>
      <c r="O115" s="505"/>
      <c r="P115" s="505"/>
      <c r="Q115" s="505"/>
      <c r="R115" s="505"/>
      <c r="S115" s="505"/>
      <c r="T115" s="505"/>
      <c r="U115" s="505"/>
      <c r="V115" s="505"/>
      <c r="W115" s="505"/>
      <c r="X115" s="505"/>
      <c r="Y115" s="505"/>
      <c r="Z115" s="505"/>
      <c r="AA115" s="505"/>
      <c r="AB115" s="505"/>
      <c r="AC115" s="505"/>
    </row>
    <row r="116" spans="1:29">
      <c r="A116" s="505"/>
      <c r="B116" s="505"/>
      <c r="C116" s="505"/>
      <c r="D116" s="505"/>
      <c r="E116" s="505"/>
      <c r="F116" s="505"/>
      <c r="G116" s="505"/>
      <c r="H116" s="505"/>
      <c r="I116" s="505"/>
      <c r="J116" s="505"/>
      <c r="K116" s="517"/>
      <c r="L116" s="518"/>
      <c r="M116" s="505"/>
      <c r="N116" s="505"/>
      <c r="O116" s="505"/>
      <c r="P116" s="505"/>
      <c r="Q116" s="505"/>
      <c r="R116" s="505"/>
      <c r="S116" s="505"/>
      <c r="T116" s="505"/>
      <c r="U116" s="505"/>
      <c r="V116" s="505"/>
      <c r="W116" s="505"/>
      <c r="X116" s="505"/>
      <c r="Y116" s="505"/>
      <c r="Z116" s="505"/>
      <c r="AA116" s="505"/>
      <c r="AB116" s="505"/>
      <c r="AC116" s="505"/>
    </row>
    <row r="117" spans="1:29">
      <c r="A117" s="505"/>
      <c r="B117" s="505"/>
      <c r="C117" s="505"/>
      <c r="D117" s="505"/>
      <c r="E117" s="505"/>
      <c r="F117" s="505"/>
      <c r="G117" s="505"/>
      <c r="H117" s="505"/>
      <c r="I117" s="505"/>
      <c r="J117" s="505"/>
      <c r="K117" s="517"/>
      <c r="L117" s="518"/>
      <c r="M117" s="505"/>
      <c r="N117" s="505"/>
      <c r="O117" s="505"/>
      <c r="P117" s="505"/>
      <c r="Q117" s="505"/>
      <c r="R117" s="505"/>
      <c r="S117" s="505"/>
      <c r="T117" s="505"/>
      <c r="U117" s="505"/>
      <c r="V117" s="505"/>
      <c r="W117" s="505"/>
      <c r="X117" s="505"/>
      <c r="Y117" s="505"/>
      <c r="Z117" s="505"/>
      <c r="AA117" s="505"/>
      <c r="AB117" s="505"/>
      <c r="AC117" s="505"/>
    </row>
    <row r="118" spans="1:29">
      <c r="A118" s="505"/>
      <c r="B118" s="505"/>
      <c r="C118" s="505"/>
      <c r="D118" s="505"/>
      <c r="E118" s="505"/>
      <c r="F118" s="505"/>
      <c r="G118" s="505"/>
      <c r="H118" s="505"/>
      <c r="I118" s="505"/>
      <c r="J118" s="505"/>
      <c r="K118" s="517"/>
      <c r="L118" s="518"/>
      <c r="M118" s="505"/>
      <c r="N118" s="505"/>
      <c r="O118" s="505"/>
      <c r="P118" s="505"/>
      <c r="Q118" s="505"/>
      <c r="R118" s="505"/>
      <c r="S118" s="505"/>
      <c r="T118" s="505"/>
      <c r="U118" s="505"/>
      <c r="V118" s="505"/>
      <c r="W118" s="505"/>
      <c r="X118" s="505"/>
      <c r="Y118" s="505"/>
      <c r="Z118" s="505"/>
      <c r="AA118" s="505"/>
      <c r="AB118" s="505"/>
      <c r="AC118" s="505"/>
    </row>
    <row r="119" spans="1:29">
      <c r="A119" s="505"/>
      <c r="B119" s="505"/>
      <c r="C119" s="505"/>
      <c r="D119" s="505"/>
      <c r="E119" s="505"/>
      <c r="F119" s="505"/>
      <c r="G119" s="505"/>
      <c r="H119" s="505"/>
      <c r="I119" s="505"/>
      <c r="J119" s="505"/>
      <c r="K119" s="517"/>
      <c r="L119" s="518"/>
      <c r="M119" s="505"/>
      <c r="N119" s="505"/>
      <c r="O119" s="505"/>
      <c r="P119" s="505"/>
      <c r="Q119" s="505"/>
      <c r="R119" s="505"/>
      <c r="S119" s="505"/>
      <c r="T119" s="505"/>
      <c r="U119" s="505"/>
      <c r="V119" s="505"/>
      <c r="W119" s="505"/>
      <c r="X119" s="505"/>
      <c r="Y119" s="505"/>
      <c r="Z119" s="505"/>
      <c r="AA119" s="505"/>
      <c r="AB119" s="505"/>
      <c r="AC119" s="505"/>
    </row>
    <row r="120" spans="1:29">
      <c r="A120" s="505"/>
      <c r="B120" s="505"/>
      <c r="C120" s="505"/>
      <c r="D120" s="505"/>
      <c r="E120" s="505"/>
      <c r="F120" s="505"/>
      <c r="G120" s="505"/>
      <c r="H120" s="505"/>
      <c r="I120" s="505"/>
      <c r="J120" s="505"/>
      <c r="K120" s="517"/>
      <c r="L120" s="518"/>
      <c r="M120" s="505"/>
      <c r="N120" s="505"/>
      <c r="O120" s="505"/>
      <c r="P120" s="505"/>
      <c r="Q120" s="505"/>
      <c r="R120" s="505"/>
      <c r="S120" s="505"/>
      <c r="T120" s="505"/>
      <c r="U120" s="505"/>
      <c r="V120" s="505"/>
      <c r="W120" s="505"/>
      <c r="X120" s="505"/>
      <c r="Y120" s="505"/>
      <c r="Z120" s="505"/>
      <c r="AA120" s="505"/>
      <c r="AB120" s="505"/>
      <c r="AC120" s="505"/>
    </row>
    <row r="121" spans="1:29">
      <c r="A121" s="505"/>
      <c r="B121" s="505"/>
      <c r="C121" s="505"/>
      <c r="D121" s="505"/>
      <c r="E121" s="505"/>
      <c r="F121" s="505"/>
      <c r="G121" s="505"/>
      <c r="H121" s="505"/>
      <c r="I121" s="505"/>
      <c r="J121" s="505"/>
      <c r="K121" s="517"/>
      <c r="L121" s="518"/>
      <c r="M121" s="505"/>
      <c r="N121" s="505"/>
      <c r="O121" s="505"/>
      <c r="P121" s="505"/>
      <c r="Q121" s="505"/>
      <c r="R121" s="505"/>
      <c r="S121" s="505"/>
      <c r="T121" s="505"/>
      <c r="U121" s="505"/>
      <c r="V121" s="505"/>
      <c r="W121" s="505"/>
      <c r="X121" s="505"/>
      <c r="Y121" s="505"/>
      <c r="Z121" s="505"/>
      <c r="AA121" s="505"/>
      <c r="AB121" s="505"/>
      <c r="AC121" s="505"/>
    </row>
    <row r="122" spans="1:29">
      <c r="A122" s="505"/>
      <c r="B122" s="505"/>
      <c r="C122" s="505"/>
      <c r="D122" s="505"/>
      <c r="E122" s="505"/>
      <c r="F122" s="505"/>
      <c r="G122" s="505"/>
      <c r="H122" s="505"/>
      <c r="I122" s="505"/>
      <c r="J122" s="505"/>
      <c r="K122" s="517"/>
      <c r="L122" s="518"/>
      <c r="M122" s="505"/>
      <c r="N122" s="505"/>
      <c r="O122" s="505"/>
      <c r="P122" s="505"/>
      <c r="Q122" s="505"/>
      <c r="R122" s="505"/>
      <c r="S122" s="505"/>
      <c r="T122" s="505"/>
      <c r="U122" s="505"/>
      <c r="V122" s="505"/>
      <c r="W122" s="505"/>
      <c r="X122" s="505"/>
      <c r="Y122" s="505"/>
      <c r="Z122" s="505"/>
      <c r="AA122" s="505"/>
      <c r="AB122" s="505"/>
      <c r="AC122" s="505"/>
    </row>
    <row r="123" spans="1:29">
      <c r="A123" s="505"/>
      <c r="B123" s="505"/>
      <c r="C123" s="505"/>
      <c r="D123" s="505"/>
      <c r="E123" s="505"/>
      <c r="F123" s="505"/>
      <c r="G123" s="505"/>
      <c r="H123" s="505"/>
      <c r="I123" s="505"/>
      <c r="J123" s="505"/>
      <c r="K123" s="517"/>
      <c r="L123" s="518"/>
      <c r="M123" s="505"/>
      <c r="N123" s="505"/>
      <c r="O123" s="505"/>
      <c r="P123" s="505"/>
      <c r="Q123" s="505"/>
      <c r="R123" s="505"/>
      <c r="S123" s="505"/>
      <c r="T123" s="505"/>
      <c r="U123" s="505"/>
      <c r="V123" s="505"/>
      <c r="W123" s="505"/>
      <c r="X123" s="505"/>
      <c r="Y123" s="505"/>
      <c r="Z123" s="505"/>
      <c r="AA123" s="505"/>
      <c r="AB123" s="505"/>
      <c r="AC123" s="505"/>
    </row>
    <row r="124" spans="1:29">
      <c r="A124" s="505"/>
      <c r="B124" s="505"/>
      <c r="C124" s="505"/>
      <c r="D124" s="505"/>
      <c r="E124" s="505"/>
      <c r="F124" s="505"/>
      <c r="G124" s="505"/>
      <c r="H124" s="505"/>
      <c r="I124" s="505"/>
      <c r="J124" s="505"/>
      <c r="K124" s="517"/>
      <c r="L124" s="518"/>
      <c r="M124" s="505"/>
      <c r="N124" s="505"/>
      <c r="O124" s="505"/>
      <c r="P124" s="505"/>
      <c r="Q124" s="505"/>
      <c r="R124" s="505"/>
      <c r="S124" s="505"/>
      <c r="T124" s="505"/>
      <c r="U124" s="505"/>
      <c r="V124" s="505"/>
      <c r="W124" s="505"/>
      <c r="X124" s="505"/>
      <c r="Y124" s="505"/>
      <c r="Z124" s="505"/>
      <c r="AA124" s="505"/>
      <c r="AB124" s="505"/>
      <c r="AC124" s="505"/>
    </row>
    <row r="125" spans="1:29">
      <c r="A125" s="505"/>
      <c r="B125" s="505"/>
      <c r="C125" s="505"/>
      <c r="D125" s="505"/>
      <c r="E125" s="505"/>
      <c r="F125" s="505"/>
      <c r="G125" s="505"/>
      <c r="H125" s="505"/>
      <c r="I125" s="505"/>
      <c r="J125" s="505"/>
      <c r="K125" s="517"/>
      <c r="L125" s="518"/>
      <c r="M125" s="505"/>
      <c r="N125" s="505"/>
      <c r="O125" s="505"/>
      <c r="P125" s="505"/>
      <c r="Q125" s="505"/>
      <c r="R125" s="505"/>
      <c r="S125" s="505"/>
      <c r="T125" s="505"/>
      <c r="U125" s="505"/>
      <c r="V125" s="505"/>
      <c r="W125" s="505"/>
      <c r="X125" s="505"/>
      <c r="Y125" s="505"/>
      <c r="Z125" s="505"/>
      <c r="AA125" s="505"/>
      <c r="AB125" s="505"/>
      <c r="AC125" s="505"/>
    </row>
    <row r="126" spans="1:29">
      <c r="A126" s="505"/>
      <c r="B126" s="505"/>
      <c r="C126" s="505"/>
      <c r="D126" s="505"/>
      <c r="E126" s="505"/>
      <c r="F126" s="505"/>
      <c r="G126" s="505"/>
      <c r="H126" s="505"/>
      <c r="I126" s="505"/>
      <c r="J126" s="505"/>
      <c r="K126" s="517"/>
      <c r="L126" s="518"/>
      <c r="M126" s="505"/>
      <c r="N126" s="505"/>
      <c r="O126" s="505"/>
      <c r="P126" s="505"/>
      <c r="Q126" s="505"/>
      <c r="R126" s="505"/>
      <c r="S126" s="505"/>
      <c r="T126" s="505"/>
      <c r="U126" s="505"/>
      <c r="V126" s="505"/>
      <c r="W126" s="505"/>
      <c r="X126" s="505"/>
      <c r="Y126" s="505"/>
      <c r="Z126" s="505"/>
      <c r="AA126" s="505"/>
      <c r="AB126" s="505"/>
      <c r="AC126" s="505"/>
    </row>
    <row r="127" spans="1:29">
      <c r="A127" s="505"/>
      <c r="B127" s="505"/>
      <c r="C127" s="505"/>
      <c r="D127" s="505"/>
      <c r="E127" s="505"/>
      <c r="F127" s="505"/>
      <c r="G127" s="505"/>
      <c r="H127" s="505"/>
      <c r="I127" s="505"/>
      <c r="J127" s="505"/>
      <c r="K127" s="517"/>
      <c r="L127" s="518"/>
      <c r="M127" s="505"/>
      <c r="N127" s="505"/>
      <c r="O127" s="505"/>
      <c r="P127" s="505"/>
      <c r="Q127" s="505"/>
      <c r="R127" s="505"/>
      <c r="S127" s="505"/>
      <c r="T127" s="505"/>
      <c r="U127" s="505"/>
      <c r="V127" s="505"/>
      <c r="W127" s="505"/>
      <c r="X127" s="505"/>
      <c r="Y127" s="505"/>
      <c r="Z127" s="505"/>
      <c r="AA127" s="505"/>
      <c r="AB127" s="505"/>
      <c r="AC127" s="505"/>
    </row>
    <row r="128" spans="1:29">
      <c r="A128" s="505"/>
      <c r="B128" s="505"/>
      <c r="C128" s="505"/>
      <c r="D128" s="505"/>
      <c r="E128" s="505"/>
      <c r="F128" s="505"/>
      <c r="G128" s="505"/>
      <c r="H128" s="505"/>
      <c r="I128" s="505"/>
      <c r="J128" s="505"/>
      <c r="K128" s="517"/>
      <c r="L128" s="518"/>
      <c r="M128" s="505"/>
      <c r="N128" s="505"/>
      <c r="O128" s="505"/>
      <c r="P128" s="505"/>
      <c r="Q128" s="505"/>
      <c r="R128" s="505"/>
      <c r="S128" s="505"/>
      <c r="T128" s="505"/>
      <c r="U128" s="505"/>
      <c r="V128" s="505"/>
      <c r="W128" s="505"/>
      <c r="X128" s="505"/>
      <c r="Y128" s="505"/>
      <c r="Z128" s="505"/>
      <c r="AA128" s="505"/>
      <c r="AB128" s="505"/>
      <c r="AC128" s="505"/>
    </row>
    <row r="129" spans="1:29">
      <c r="A129" s="505"/>
      <c r="B129" s="505"/>
      <c r="C129" s="505"/>
      <c r="D129" s="505"/>
      <c r="E129" s="505"/>
      <c r="F129" s="505"/>
      <c r="G129" s="505"/>
      <c r="H129" s="505"/>
      <c r="I129" s="505"/>
      <c r="J129" s="505"/>
      <c r="K129" s="517"/>
      <c r="L129" s="518"/>
      <c r="M129" s="505"/>
      <c r="N129" s="505"/>
      <c r="O129" s="505"/>
      <c r="P129" s="505"/>
      <c r="Q129" s="505"/>
      <c r="R129" s="505"/>
      <c r="S129" s="505"/>
      <c r="T129" s="505"/>
      <c r="U129" s="505"/>
      <c r="V129" s="505"/>
      <c r="W129" s="505"/>
      <c r="X129" s="505"/>
      <c r="Y129" s="505"/>
      <c r="Z129" s="505"/>
      <c r="AA129" s="505"/>
      <c r="AB129" s="505"/>
      <c r="AC129" s="505"/>
    </row>
    <row r="130" spans="1:29">
      <c r="A130" s="505"/>
      <c r="B130" s="505"/>
      <c r="C130" s="505"/>
      <c r="D130" s="505"/>
      <c r="E130" s="505"/>
      <c r="F130" s="505"/>
      <c r="G130" s="505"/>
      <c r="H130" s="505"/>
      <c r="I130" s="505"/>
      <c r="J130" s="505"/>
      <c r="K130" s="517"/>
      <c r="L130" s="518"/>
      <c r="M130" s="505"/>
      <c r="N130" s="505"/>
      <c r="O130" s="505"/>
      <c r="P130" s="505"/>
      <c r="Q130" s="505"/>
      <c r="R130" s="505"/>
      <c r="S130" s="505"/>
      <c r="T130" s="505"/>
      <c r="U130" s="505"/>
      <c r="V130" s="505"/>
      <c r="W130" s="505"/>
      <c r="X130" s="505"/>
      <c r="Y130" s="505"/>
      <c r="Z130" s="505"/>
      <c r="AA130" s="505"/>
      <c r="AB130" s="505"/>
      <c r="AC130" s="505"/>
    </row>
    <row r="131" spans="1:29">
      <c r="A131" s="505"/>
      <c r="B131" s="505"/>
      <c r="C131" s="505"/>
      <c r="D131" s="505"/>
      <c r="E131" s="505"/>
      <c r="F131" s="505"/>
      <c r="G131" s="505"/>
      <c r="H131" s="505"/>
      <c r="I131" s="505"/>
      <c r="J131" s="505"/>
      <c r="K131" s="517"/>
      <c r="L131" s="518"/>
      <c r="M131" s="505"/>
      <c r="N131" s="505"/>
      <c r="O131" s="505"/>
      <c r="P131" s="505"/>
      <c r="Q131" s="505"/>
      <c r="R131" s="505"/>
      <c r="S131" s="505"/>
      <c r="T131" s="505"/>
      <c r="U131" s="505"/>
      <c r="V131" s="505"/>
      <c r="W131" s="505"/>
      <c r="X131" s="505"/>
      <c r="Y131" s="505"/>
      <c r="Z131" s="505"/>
      <c r="AA131" s="505"/>
      <c r="AB131" s="505"/>
      <c r="AC131" s="505"/>
    </row>
    <row r="132" spans="1:29">
      <c r="A132" s="505"/>
      <c r="B132" s="505"/>
      <c r="C132" s="505"/>
      <c r="D132" s="505"/>
      <c r="E132" s="505"/>
      <c r="F132" s="505"/>
      <c r="G132" s="505"/>
      <c r="H132" s="505"/>
      <c r="I132" s="505"/>
      <c r="J132" s="505"/>
      <c r="K132" s="517"/>
      <c r="L132" s="518"/>
      <c r="M132" s="505"/>
      <c r="N132" s="505"/>
      <c r="O132" s="505"/>
      <c r="P132" s="505"/>
      <c r="Q132" s="505"/>
      <c r="R132" s="505"/>
      <c r="S132" s="505"/>
      <c r="T132" s="505"/>
      <c r="U132" s="505"/>
      <c r="V132" s="505"/>
      <c r="W132" s="505"/>
      <c r="X132" s="505"/>
      <c r="Y132" s="505"/>
      <c r="Z132" s="505"/>
      <c r="AA132" s="505"/>
      <c r="AB132" s="505"/>
      <c r="AC132" s="505"/>
    </row>
    <row r="133" spans="1:29">
      <c r="A133" s="505"/>
      <c r="B133" s="505"/>
      <c r="C133" s="505"/>
      <c r="D133" s="505"/>
      <c r="E133" s="505"/>
      <c r="F133" s="505"/>
      <c r="G133" s="505"/>
      <c r="H133" s="505"/>
      <c r="I133" s="505"/>
      <c r="J133" s="505"/>
      <c r="K133" s="517"/>
      <c r="L133" s="518"/>
      <c r="M133" s="505"/>
      <c r="N133" s="505"/>
      <c r="O133" s="505"/>
      <c r="P133" s="505"/>
      <c r="Q133" s="505"/>
      <c r="R133" s="505"/>
      <c r="S133" s="505"/>
      <c r="T133" s="505"/>
      <c r="U133" s="505"/>
      <c r="V133" s="505"/>
      <c r="W133" s="505"/>
      <c r="X133" s="505"/>
      <c r="Y133" s="505"/>
      <c r="Z133" s="505"/>
      <c r="AA133" s="505"/>
      <c r="AB133" s="505"/>
      <c r="AC133" s="505"/>
    </row>
    <row r="134" spans="1:29">
      <c r="A134" s="505"/>
      <c r="B134" s="505"/>
      <c r="C134" s="505"/>
      <c r="D134" s="505"/>
      <c r="E134" s="505"/>
      <c r="F134" s="505"/>
      <c r="G134" s="505"/>
      <c r="H134" s="505"/>
      <c r="I134" s="505"/>
      <c r="J134" s="505"/>
      <c r="K134" s="517"/>
      <c r="L134" s="518"/>
      <c r="M134" s="505"/>
      <c r="N134" s="505"/>
      <c r="O134" s="505"/>
      <c r="P134" s="505"/>
      <c r="Q134" s="505"/>
      <c r="R134" s="505"/>
      <c r="S134" s="505"/>
      <c r="T134" s="505"/>
      <c r="U134" s="505"/>
      <c r="V134" s="505"/>
      <c r="W134" s="505"/>
      <c r="X134" s="505"/>
      <c r="Y134" s="505"/>
      <c r="Z134" s="505"/>
      <c r="AA134" s="505"/>
      <c r="AB134" s="505"/>
      <c r="AC134" s="505"/>
    </row>
    <row r="135" spans="1:29">
      <c r="A135" s="505"/>
      <c r="B135" s="505"/>
      <c r="C135" s="505"/>
      <c r="D135" s="505"/>
      <c r="E135" s="505"/>
      <c r="F135" s="505"/>
      <c r="G135" s="505"/>
      <c r="H135" s="505"/>
      <c r="I135" s="505"/>
      <c r="J135" s="505"/>
      <c r="K135" s="517"/>
      <c r="L135" s="518"/>
      <c r="M135" s="505"/>
      <c r="N135" s="505"/>
      <c r="O135" s="505"/>
      <c r="P135" s="505"/>
      <c r="Q135" s="505"/>
      <c r="R135" s="505"/>
      <c r="S135" s="505"/>
      <c r="T135" s="505"/>
      <c r="U135" s="505"/>
      <c r="V135" s="505"/>
      <c r="W135" s="505"/>
      <c r="X135" s="505"/>
      <c r="Y135" s="505"/>
      <c r="Z135" s="505"/>
      <c r="AA135" s="505"/>
      <c r="AB135" s="505"/>
      <c r="AC135" s="505"/>
    </row>
    <row r="136" spans="1:29">
      <c r="A136" s="505"/>
      <c r="B136" s="505"/>
      <c r="C136" s="505"/>
      <c r="D136" s="505"/>
      <c r="E136" s="505"/>
      <c r="F136" s="505"/>
      <c r="G136" s="505"/>
      <c r="H136" s="505"/>
      <c r="I136" s="505"/>
      <c r="J136" s="505"/>
      <c r="K136" s="517"/>
      <c r="L136" s="518"/>
      <c r="M136" s="505"/>
      <c r="N136" s="505"/>
      <c r="O136" s="505"/>
      <c r="P136" s="505"/>
      <c r="Q136" s="505"/>
      <c r="R136" s="505"/>
      <c r="S136" s="505"/>
      <c r="T136" s="505"/>
      <c r="U136" s="505"/>
      <c r="V136" s="505"/>
      <c r="W136" s="505"/>
      <c r="X136" s="505"/>
      <c r="Y136" s="505"/>
      <c r="Z136" s="505"/>
      <c r="AA136" s="505"/>
      <c r="AB136" s="505"/>
      <c r="AC136" s="505"/>
    </row>
    <row r="137" spans="1:29">
      <c r="A137" s="505"/>
      <c r="B137" s="505"/>
      <c r="C137" s="505"/>
      <c r="D137" s="505"/>
      <c r="E137" s="505"/>
      <c r="F137" s="505"/>
      <c r="G137" s="505"/>
      <c r="H137" s="505"/>
      <c r="I137" s="505"/>
      <c r="J137" s="505"/>
      <c r="K137" s="517"/>
      <c r="L137" s="518"/>
      <c r="M137" s="505"/>
      <c r="N137" s="505"/>
      <c r="O137" s="505"/>
      <c r="P137" s="505"/>
      <c r="Q137" s="505"/>
      <c r="R137" s="505"/>
      <c r="S137" s="505"/>
      <c r="T137" s="505"/>
      <c r="U137" s="505"/>
      <c r="V137" s="505"/>
      <c r="W137" s="505"/>
      <c r="X137" s="505"/>
      <c r="Y137" s="505"/>
      <c r="Z137" s="505"/>
      <c r="AA137" s="505"/>
      <c r="AB137" s="505"/>
      <c r="AC137" s="505"/>
    </row>
    <row r="138" spans="1:29">
      <c r="A138" s="505"/>
      <c r="B138" s="505"/>
      <c r="C138" s="505"/>
      <c r="D138" s="505"/>
      <c r="E138" s="505"/>
      <c r="F138" s="505"/>
      <c r="G138" s="505"/>
      <c r="H138" s="505"/>
      <c r="I138" s="505"/>
      <c r="J138" s="505"/>
      <c r="K138" s="517"/>
      <c r="L138" s="518"/>
      <c r="M138" s="505"/>
      <c r="N138" s="505"/>
      <c r="O138" s="505"/>
      <c r="P138" s="505"/>
      <c r="Q138" s="505"/>
      <c r="R138" s="505"/>
      <c r="S138" s="505"/>
      <c r="T138" s="505"/>
      <c r="U138" s="505"/>
      <c r="V138" s="505"/>
      <c r="W138" s="505"/>
      <c r="X138" s="505"/>
      <c r="Y138" s="505"/>
      <c r="Z138" s="505"/>
      <c r="AA138" s="505"/>
      <c r="AB138" s="505"/>
      <c r="AC138" s="505"/>
    </row>
    <row r="139" spans="1:29">
      <c r="A139" s="505"/>
      <c r="B139" s="505"/>
      <c r="C139" s="505"/>
      <c r="D139" s="505"/>
      <c r="E139" s="505"/>
      <c r="F139" s="505"/>
      <c r="G139" s="505"/>
      <c r="H139" s="505"/>
      <c r="I139" s="505"/>
      <c r="J139" s="505"/>
      <c r="K139" s="517"/>
      <c r="L139" s="518"/>
      <c r="M139" s="505"/>
      <c r="N139" s="505"/>
      <c r="O139" s="505"/>
      <c r="P139" s="505"/>
      <c r="Q139" s="505"/>
      <c r="R139" s="505"/>
      <c r="S139" s="505"/>
      <c r="T139" s="505"/>
      <c r="U139" s="505"/>
      <c r="V139" s="505"/>
      <c r="W139" s="505"/>
      <c r="X139" s="505"/>
      <c r="Y139" s="505"/>
      <c r="Z139" s="505"/>
      <c r="AA139" s="505"/>
      <c r="AB139" s="505"/>
      <c r="AC139" s="505"/>
    </row>
    <row r="140" spans="1:29">
      <c r="A140" s="505"/>
      <c r="B140" s="505"/>
      <c r="C140" s="505"/>
      <c r="D140" s="505"/>
      <c r="E140" s="505"/>
      <c r="F140" s="505"/>
      <c r="G140" s="505"/>
      <c r="H140" s="505"/>
      <c r="I140" s="505"/>
      <c r="J140" s="505"/>
      <c r="K140" s="517"/>
      <c r="L140" s="518"/>
      <c r="M140" s="505"/>
      <c r="N140" s="505"/>
      <c r="O140" s="505"/>
      <c r="P140" s="505"/>
      <c r="Q140" s="505"/>
      <c r="R140" s="505"/>
      <c r="S140" s="505"/>
      <c r="T140" s="505"/>
      <c r="U140" s="505"/>
      <c r="V140" s="505"/>
      <c r="W140" s="505"/>
      <c r="X140" s="505"/>
      <c r="Y140" s="505"/>
      <c r="Z140" s="505"/>
      <c r="AA140" s="505"/>
      <c r="AB140" s="505"/>
      <c r="AC140" s="505"/>
    </row>
    <row r="141" spans="1:29">
      <c r="A141" s="505"/>
      <c r="B141" s="505"/>
      <c r="C141" s="505"/>
      <c r="D141" s="505"/>
      <c r="E141" s="505"/>
      <c r="F141" s="505"/>
      <c r="G141" s="505"/>
      <c r="H141" s="505"/>
      <c r="I141" s="505"/>
      <c r="J141" s="505"/>
      <c r="K141" s="517"/>
      <c r="L141" s="518"/>
      <c r="M141" s="505"/>
      <c r="N141" s="505"/>
      <c r="O141" s="505"/>
      <c r="P141" s="505"/>
      <c r="Q141" s="505"/>
      <c r="R141" s="505"/>
      <c r="S141" s="505"/>
      <c r="T141" s="505"/>
      <c r="U141" s="505"/>
      <c r="V141" s="505"/>
      <c r="W141" s="505"/>
      <c r="X141" s="505"/>
      <c r="Y141" s="505"/>
      <c r="Z141" s="505"/>
      <c r="AA141" s="505"/>
      <c r="AB141" s="505"/>
      <c r="AC141" s="505"/>
    </row>
    <row r="142" spans="1:29">
      <c r="A142" s="505"/>
      <c r="B142" s="505"/>
      <c r="C142" s="505"/>
      <c r="D142" s="505"/>
      <c r="E142" s="505"/>
      <c r="F142" s="505"/>
      <c r="G142" s="505"/>
      <c r="H142" s="505"/>
      <c r="I142" s="505"/>
      <c r="J142" s="505"/>
      <c r="K142" s="517"/>
      <c r="L142" s="518"/>
      <c r="M142" s="505"/>
      <c r="N142" s="505"/>
      <c r="O142" s="505"/>
      <c r="P142" s="505"/>
      <c r="Q142" s="505"/>
      <c r="R142" s="505"/>
      <c r="S142" s="505"/>
      <c r="T142" s="505"/>
      <c r="U142" s="505"/>
      <c r="V142" s="505"/>
      <c r="W142" s="505"/>
      <c r="X142" s="505"/>
      <c r="Y142" s="505"/>
      <c r="Z142" s="505"/>
      <c r="AA142" s="505"/>
      <c r="AB142" s="505"/>
      <c r="AC142" s="505"/>
    </row>
    <row r="143" spans="1:29">
      <c r="A143" s="505"/>
      <c r="B143" s="505"/>
      <c r="C143" s="505"/>
      <c r="D143" s="505"/>
      <c r="E143" s="505"/>
      <c r="F143" s="505"/>
      <c r="G143" s="505"/>
      <c r="H143" s="505"/>
      <c r="I143" s="505"/>
      <c r="J143" s="505"/>
      <c r="K143" s="517"/>
      <c r="L143" s="518"/>
      <c r="M143" s="505"/>
      <c r="N143" s="505"/>
      <c r="O143" s="505"/>
      <c r="P143" s="505"/>
      <c r="Q143" s="505"/>
      <c r="R143" s="505"/>
      <c r="S143" s="505"/>
      <c r="T143" s="505"/>
      <c r="U143" s="505"/>
      <c r="V143" s="505"/>
      <c r="W143" s="505"/>
      <c r="X143" s="505"/>
      <c r="Y143" s="505"/>
      <c r="Z143" s="505"/>
      <c r="AA143" s="505"/>
      <c r="AB143" s="505"/>
      <c r="AC143" s="505"/>
    </row>
    <row r="144" spans="1:29">
      <c r="A144" s="505"/>
      <c r="B144" s="505"/>
      <c r="C144" s="505"/>
      <c r="D144" s="505"/>
      <c r="E144" s="505"/>
      <c r="F144" s="505"/>
      <c r="G144" s="505"/>
      <c r="H144" s="505"/>
      <c r="I144" s="505"/>
      <c r="J144" s="505"/>
      <c r="K144" s="517"/>
      <c r="L144" s="518"/>
      <c r="M144" s="505"/>
      <c r="N144" s="505"/>
      <c r="O144" s="505"/>
      <c r="P144" s="505"/>
      <c r="Q144" s="505"/>
      <c r="R144" s="505"/>
      <c r="S144" s="505"/>
      <c r="T144" s="505"/>
      <c r="U144" s="505"/>
      <c r="V144" s="505"/>
      <c r="W144" s="505"/>
      <c r="X144" s="505"/>
      <c r="Y144" s="505"/>
      <c r="Z144" s="505"/>
      <c r="AA144" s="505"/>
      <c r="AB144" s="505"/>
      <c r="AC144" s="505"/>
    </row>
    <row r="145" spans="1:29">
      <c r="A145" s="505"/>
      <c r="B145" s="505"/>
      <c r="C145" s="505"/>
      <c r="D145" s="505"/>
      <c r="E145" s="505"/>
      <c r="F145" s="505"/>
      <c r="G145" s="505"/>
      <c r="H145" s="505"/>
      <c r="I145" s="505"/>
      <c r="J145" s="505"/>
      <c r="K145" s="517"/>
      <c r="L145" s="518"/>
      <c r="M145" s="505"/>
      <c r="N145" s="505"/>
      <c r="O145" s="505"/>
      <c r="P145" s="505"/>
      <c r="Q145" s="505"/>
      <c r="R145" s="505"/>
      <c r="S145" s="505"/>
      <c r="T145" s="505"/>
      <c r="U145" s="505"/>
      <c r="V145" s="505"/>
      <c r="W145" s="505"/>
      <c r="X145" s="505"/>
      <c r="Y145" s="505"/>
      <c r="Z145" s="505"/>
      <c r="AA145" s="505"/>
      <c r="AB145" s="505"/>
      <c r="AC145" s="505"/>
    </row>
    <row r="146" spans="1:29">
      <c r="A146" s="505"/>
      <c r="B146" s="505"/>
      <c r="C146" s="505"/>
      <c r="D146" s="505"/>
      <c r="E146" s="505"/>
      <c r="F146" s="505"/>
      <c r="G146" s="505"/>
      <c r="H146" s="505"/>
      <c r="I146" s="505"/>
      <c r="J146" s="505"/>
      <c r="K146" s="517"/>
      <c r="L146" s="518"/>
      <c r="M146" s="505"/>
      <c r="N146" s="505"/>
      <c r="O146" s="505"/>
      <c r="P146" s="505"/>
      <c r="Q146" s="505"/>
      <c r="R146" s="505"/>
      <c r="S146" s="505"/>
      <c r="T146" s="505"/>
      <c r="U146" s="505"/>
      <c r="V146" s="505"/>
      <c r="W146" s="505"/>
      <c r="X146" s="505"/>
      <c r="Y146" s="505"/>
      <c r="Z146" s="505"/>
      <c r="AA146" s="505"/>
      <c r="AB146" s="505"/>
      <c r="AC146" s="505"/>
    </row>
    <row r="147" spans="1:29">
      <c r="A147" s="505"/>
      <c r="B147" s="505"/>
      <c r="C147" s="505"/>
      <c r="D147" s="505"/>
      <c r="E147" s="505"/>
      <c r="F147" s="505"/>
      <c r="G147" s="505"/>
      <c r="H147" s="505"/>
      <c r="I147" s="505"/>
      <c r="J147" s="505"/>
      <c r="K147" s="517"/>
      <c r="L147" s="518"/>
      <c r="M147" s="505"/>
      <c r="N147" s="505"/>
      <c r="O147" s="505"/>
      <c r="P147" s="505"/>
      <c r="Q147" s="505"/>
      <c r="R147" s="505"/>
      <c r="S147" s="505"/>
      <c r="T147" s="505"/>
      <c r="U147" s="505"/>
      <c r="V147" s="505"/>
      <c r="W147" s="505"/>
      <c r="X147" s="505"/>
      <c r="Y147" s="505"/>
      <c r="Z147" s="505"/>
      <c r="AA147" s="505"/>
      <c r="AB147" s="505"/>
      <c r="AC147" s="505"/>
    </row>
    <row r="148" spans="1:29">
      <c r="A148" s="505"/>
      <c r="B148" s="505"/>
      <c r="C148" s="505"/>
      <c r="D148" s="505"/>
      <c r="E148" s="505"/>
      <c r="F148" s="505"/>
      <c r="G148" s="505"/>
      <c r="H148" s="505"/>
      <c r="I148" s="505"/>
      <c r="J148" s="505"/>
      <c r="K148" s="517"/>
      <c r="L148" s="518"/>
      <c r="M148" s="505"/>
      <c r="N148" s="505"/>
      <c r="O148" s="505"/>
      <c r="P148" s="505"/>
      <c r="Q148" s="505"/>
      <c r="R148" s="505"/>
      <c r="S148" s="505"/>
      <c r="T148" s="505"/>
      <c r="U148" s="505"/>
      <c r="V148" s="505"/>
      <c r="W148" s="505"/>
      <c r="X148" s="505"/>
      <c r="Y148" s="505"/>
      <c r="Z148" s="505"/>
      <c r="AA148" s="505"/>
      <c r="AB148" s="505"/>
      <c r="AC148" s="505"/>
    </row>
    <row r="149" spans="1:29">
      <c r="A149" s="505"/>
      <c r="B149" s="505"/>
      <c r="C149" s="505"/>
      <c r="D149" s="505"/>
      <c r="E149" s="505"/>
      <c r="F149" s="505"/>
      <c r="G149" s="505"/>
      <c r="H149" s="505"/>
      <c r="I149" s="505"/>
      <c r="J149" s="505"/>
      <c r="K149" s="517"/>
      <c r="L149" s="518"/>
      <c r="M149" s="505"/>
      <c r="N149" s="505"/>
      <c r="O149" s="505"/>
      <c r="P149" s="505"/>
      <c r="Q149" s="505"/>
      <c r="R149" s="505"/>
      <c r="S149" s="505"/>
      <c r="T149" s="505"/>
      <c r="U149" s="505"/>
      <c r="V149" s="505"/>
      <c r="W149" s="505"/>
      <c r="X149" s="505"/>
      <c r="Y149" s="505"/>
      <c r="Z149" s="505"/>
      <c r="AA149" s="505"/>
      <c r="AB149" s="505"/>
      <c r="AC149" s="505"/>
    </row>
    <row r="150" spans="1:29">
      <c r="A150" s="505"/>
      <c r="B150" s="505"/>
      <c r="C150" s="505"/>
      <c r="D150" s="505"/>
      <c r="E150" s="505"/>
      <c r="F150" s="505"/>
      <c r="G150" s="505"/>
      <c r="H150" s="505"/>
      <c r="I150" s="505"/>
      <c r="J150" s="505"/>
      <c r="K150" s="517"/>
      <c r="L150" s="518"/>
      <c r="M150" s="505"/>
      <c r="N150" s="505"/>
      <c r="O150" s="505"/>
      <c r="P150" s="505"/>
      <c r="Q150" s="505"/>
      <c r="R150" s="505"/>
      <c r="S150" s="505"/>
      <c r="T150" s="505"/>
      <c r="U150" s="505"/>
      <c r="V150" s="505"/>
      <c r="W150" s="505"/>
      <c r="X150" s="505"/>
      <c r="Y150" s="505"/>
      <c r="Z150" s="505"/>
      <c r="AA150" s="505"/>
      <c r="AB150" s="505"/>
      <c r="AC150" s="505"/>
    </row>
    <row r="151" spans="1:29">
      <c r="A151" s="505"/>
      <c r="B151" s="505"/>
      <c r="C151" s="505"/>
      <c r="D151" s="505"/>
      <c r="E151" s="505"/>
      <c r="F151" s="505"/>
      <c r="G151" s="505"/>
      <c r="H151" s="505"/>
      <c r="I151" s="505"/>
      <c r="J151" s="505"/>
      <c r="K151" s="517"/>
      <c r="L151" s="518"/>
      <c r="M151" s="505"/>
      <c r="N151" s="505"/>
      <c r="O151" s="505"/>
      <c r="P151" s="505"/>
      <c r="Q151" s="505"/>
      <c r="R151" s="505"/>
      <c r="S151" s="505"/>
      <c r="T151" s="505"/>
      <c r="U151" s="505"/>
      <c r="V151" s="505"/>
      <c r="W151" s="505"/>
      <c r="X151" s="505"/>
      <c r="Y151" s="505"/>
      <c r="Z151" s="505"/>
      <c r="AA151" s="505"/>
      <c r="AB151" s="505"/>
      <c r="AC151" s="505"/>
    </row>
    <row r="152" spans="1:29">
      <c r="A152" s="505"/>
      <c r="B152" s="505"/>
      <c r="C152" s="505"/>
      <c r="D152" s="505"/>
      <c r="E152" s="505"/>
      <c r="F152" s="505"/>
      <c r="G152" s="505"/>
      <c r="H152" s="505"/>
      <c r="I152" s="505"/>
      <c r="J152" s="505"/>
      <c r="K152" s="517"/>
      <c r="L152" s="518"/>
      <c r="M152" s="505"/>
      <c r="N152" s="505"/>
      <c r="O152" s="505"/>
      <c r="P152" s="505"/>
      <c r="Q152" s="505"/>
      <c r="R152" s="505"/>
      <c r="S152" s="505"/>
      <c r="T152" s="505"/>
      <c r="U152" s="505"/>
      <c r="V152" s="505"/>
      <c r="W152" s="505"/>
      <c r="X152" s="505"/>
      <c r="Y152" s="505"/>
      <c r="Z152" s="505"/>
      <c r="AA152" s="505"/>
      <c r="AB152" s="505"/>
      <c r="AC152" s="505"/>
    </row>
    <row r="153" spans="1:29">
      <c r="A153" s="505"/>
      <c r="B153" s="505"/>
      <c r="C153" s="505"/>
      <c r="D153" s="505"/>
      <c r="E153" s="505"/>
      <c r="F153" s="505"/>
      <c r="G153" s="505"/>
      <c r="H153" s="505"/>
      <c r="I153" s="505"/>
      <c r="J153" s="505"/>
      <c r="K153" s="517"/>
      <c r="L153" s="518"/>
      <c r="M153" s="505"/>
      <c r="N153" s="505"/>
      <c r="O153" s="505"/>
      <c r="P153" s="505"/>
      <c r="Q153" s="505"/>
      <c r="R153" s="505"/>
      <c r="S153" s="505"/>
      <c r="T153" s="505"/>
      <c r="U153" s="505"/>
      <c r="V153" s="505"/>
      <c r="W153" s="505"/>
      <c r="X153" s="505"/>
      <c r="Y153" s="505"/>
      <c r="Z153" s="505"/>
      <c r="AA153" s="505"/>
      <c r="AB153" s="505"/>
      <c r="AC153" s="505"/>
    </row>
    <row r="154" spans="1:29">
      <c r="A154" s="505"/>
      <c r="B154" s="505"/>
      <c r="C154" s="505"/>
      <c r="D154" s="505"/>
      <c r="E154" s="505"/>
      <c r="F154" s="505"/>
      <c r="G154" s="505"/>
      <c r="H154" s="505"/>
      <c r="I154" s="505"/>
      <c r="J154" s="505"/>
      <c r="K154" s="517"/>
      <c r="L154" s="518"/>
      <c r="M154" s="505"/>
      <c r="N154" s="505"/>
      <c r="O154" s="505"/>
      <c r="P154" s="505"/>
      <c r="Q154" s="505"/>
      <c r="R154" s="505"/>
      <c r="S154" s="505"/>
      <c r="T154" s="505"/>
      <c r="U154" s="505"/>
      <c r="V154" s="505"/>
      <c r="W154" s="505"/>
      <c r="X154" s="505"/>
      <c r="Y154" s="505"/>
      <c r="Z154" s="505"/>
      <c r="AA154" s="505"/>
      <c r="AB154" s="505"/>
      <c r="AC154" s="505"/>
    </row>
    <row r="155" spans="1:29">
      <c r="A155" s="505"/>
      <c r="B155" s="505"/>
      <c r="C155" s="505"/>
      <c r="D155" s="505"/>
      <c r="E155" s="505"/>
      <c r="F155" s="505"/>
      <c r="G155" s="505"/>
      <c r="H155" s="505"/>
      <c r="I155" s="505"/>
      <c r="J155" s="505"/>
      <c r="K155" s="517"/>
      <c r="L155" s="518"/>
      <c r="M155" s="505"/>
      <c r="N155" s="505"/>
      <c r="O155" s="505"/>
      <c r="P155" s="505"/>
      <c r="Q155" s="505"/>
      <c r="R155" s="505"/>
      <c r="S155" s="505"/>
      <c r="T155" s="505"/>
      <c r="U155" s="505"/>
      <c r="V155" s="505"/>
      <c r="W155" s="505"/>
      <c r="X155" s="505"/>
      <c r="Y155" s="505"/>
      <c r="Z155" s="505"/>
      <c r="AA155" s="505"/>
      <c r="AB155" s="505"/>
      <c r="AC155" s="505"/>
    </row>
    <row r="156" spans="1:29">
      <c r="A156" s="505"/>
      <c r="B156" s="505"/>
      <c r="C156" s="505"/>
      <c r="D156" s="505"/>
      <c r="E156" s="505"/>
      <c r="F156" s="505"/>
      <c r="G156" s="505"/>
      <c r="H156" s="505"/>
      <c r="I156" s="505"/>
      <c r="J156" s="505"/>
      <c r="K156" s="517"/>
      <c r="L156" s="518"/>
      <c r="M156" s="505"/>
      <c r="N156" s="505"/>
      <c r="O156" s="505"/>
      <c r="P156" s="505"/>
      <c r="Q156" s="505"/>
      <c r="R156" s="505"/>
      <c r="S156" s="505"/>
      <c r="T156" s="505"/>
      <c r="U156" s="505"/>
      <c r="V156" s="505"/>
      <c r="W156" s="505"/>
      <c r="X156" s="505"/>
      <c r="Y156" s="505"/>
      <c r="Z156" s="505"/>
      <c r="AA156" s="505"/>
      <c r="AB156" s="505"/>
      <c r="AC156" s="505"/>
    </row>
    <row r="157" spans="1:29">
      <c r="A157" s="505"/>
      <c r="B157" s="505"/>
      <c r="C157" s="505"/>
      <c r="D157" s="505"/>
      <c r="E157" s="505"/>
      <c r="F157" s="505"/>
      <c r="G157" s="505"/>
      <c r="H157" s="505"/>
      <c r="I157" s="505"/>
      <c r="J157" s="505"/>
      <c r="K157" s="517"/>
      <c r="L157" s="518"/>
      <c r="M157" s="505"/>
      <c r="N157" s="505"/>
      <c r="O157" s="505"/>
      <c r="P157" s="505"/>
      <c r="Q157" s="505"/>
      <c r="R157" s="505"/>
      <c r="S157" s="505"/>
      <c r="T157" s="505"/>
      <c r="U157" s="505"/>
      <c r="V157" s="505"/>
      <c r="W157" s="505"/>
      <c r="X157" s="505"/>
      <c r="Y157" s="505"/>
      <c r="Z157" s="505"/>
      <c r="AA157" s="505"/>
      <c r="AB157" s="505"/>
      <c r="AC157" s="505"/>
    </row>
    <row r="158" spans="1:29">
      <c r="A158" s="505"/>
      <c r="B158" s="505"/>
      <c r="C158" s="505"/>
      <c r="D158" s="505"/>
      <c r="E158" s="505"/>
      <c r="F158" s="505"/>
      <c r="G158" s="505"/>
      <c r="H158" s="505"/>
      <c r="I158" s="505"/>
      <c r="J158" s="505"/>
      <c r="K158" s="517"/>
      <c r="L158" s="518"/>
      <c r="M158" s="505"/>
      <c r="N158" s="505"/>
      <c r="O158" s="505"/>
      <c r="P158" s="505"/>
      <c r="Q158" s="505"/>
      <c r="R158" s="505"/>
      <c r="S158" s="505"/>
      <c r="T158" s="505"/>
      <c r="U158" s="505"/>
      <c r="V158" s="505"/>
      <c r="W158" s="505"/>
      <c r="X158" s="505"/>
      <c r="Y158" s="505"/>
      <c r="Z158" s="505"/>
      <c r="AA158" s="505"/>
      <c r="AB158" s="505"/>
      <c r="AC158" s="505"/>
    </row>
    <row r="159" spans="1:29">
      <c r="A159" s="505"/>
      <c r="B159" s="505"/>
      <c r="C159" s="505"/>
      <c r="D159" s="505"/>
      <c r="E159" s="505"/>
      <c r="F159" s="505"/>
      <c r="G159" s="505"/>
      <c r="H159" s="505"/>
      <c r="I159" s="505"/>
      <c r="J159" s="505"/>
      <c r="K159" s="517"/>
      <c r="L159" s="518"/>
      <c r="M159" s="505"/>
      <c r="N159" s="505"/>
      <c r="O159" s="505"/>
      <c r="P159" s="505"/>
      <c r="Q159" s="505"/>
      <c r="R159" s="505"/>
      <c r="S159" s="505"/>
      <c r="T159" s="505"/>
      <c r="U159" s="505"/>
      <c r="V159" s="505"/>
      <c r="W159" s="505"/>
      <c r="X159" s="505"/>
      <c r="Y159" s="505"/>
      <c r="Z159" s="505"/>
      <c r="AA159" s="505"/>
      <c r="AB159" s="505"/>
      <c r="AC159" s="505"/>
    </row>
    <row r="160" spans="1:29">
      <c r="A160" s="505"/>
      <c r="B160" s="505"/>
      <c r="C160" s="505"/>
      <c r="D160" s="505"/>
      <c r="E160" s="505"/>
      <c r="F160" s="505"/>
      <c r="G160" s="505"/>
      <c r="H160" s="505"/>
      <c r="I160" s="505"/>
      <c r="J160" s="505"/>
      <c r="K160" s="517"/>
      <c r="L160" s="518"/>
      <c r="M160" s="505"/>
      <c r="N160" s="505"/>
      <c r="O160" s="505"/>
      <c r="P160" s="505"/>
      <c r="Q160" s="505"/>
      <c r="R160" s="505"/>
      <c r="S160" s="505"/>
      <c r="T160" s="505"/>
      <c r="U160" s="505"/>
      <c r="V160" s="505"/>
      <c r="W160" s="505"/>
      <c r="X160" s="505"/>
      <c r="Y160" s="505"/>
      <c r="Z160" s="505"/>
      <c r="AA160" s="505"/>
      <c r="AB160" s="505"/>
      <c r="AC160" s="505"/>
    </row>
    <row r="161" spans="1:29">
      <c r="A161" s="505"/>
      <c r="B161" s="505"/>
      <c r="C161" s="505"/>
      <c r="D161" s="505"/>
      <c r="E161" s="505"/>
      <c r="F161" s="505"/>
      <c r="G161" s="505"/>
      <c r="H161" s="505"/>
      <c r="I161" s="505"/>
      <c r="J161" s="505"/>
      <c r="K161" s="517"/>
      <c r="L161" s="518"/>
      <c r="M161" s="505"/>
      <c r="N161" s="505"/>
      <c r="O161" s="505"/>
      <c r="P161" s="505"/>
      <c r="Q161" s="505"/>
      <c r="R161" s="505"/>
      <c r="S161" s="505"/>
      <c r="T161" s="505"/>
      <c r="U161" s="505"/>
      <c r="V161" s="505"/>
      <c r="W161" s="505"/>
      <c r="X161" s="505"/>
      <c r="Y161" s="505"/>
      <c r="Z161" s="505"/>
      <c r="AA161" s="505"/>
      <c r="AB161" s="505"/>
      <c r="AC161" s="505"/>
    </row>
    <row r="162" spans="1:29">
      <c r="A162" s="505"/>
      <c r="B162" s="505"/>
      <c r="C162" s="505"/>
      <c r="D162" s="505"/>
      <c r="E162" s="505"/>
      <c r="F162" s="505"/>
      <c r="G162" s="505"/>
      <c r="H162" s="505"/>
      <c r="I162" s="505"/>
      <c r="J162" s="505"/>
      <c r="K162" s="517"/>
      <c r="L162" s="518"/>
      <c r="M162" s="505"/>
      <c r="N162" s="505"/>
      <c r="O162" s="505"/>
      <c r="P162" s="505"/>
      <c r="Q162" s="505"/>
      <c r="R162" s="505"/>
      <c r="S162" s="505"/>
      <c r="T162" s="505"/>
      <c r="U162" s="505"/>
      <c r="V162" s="505"/>
      <c r="W162" s="505"/>
      <c r="X162" s="505"/>
      <c r="Y162" s="505"/>
      <c r="Z162" s="505"/>
      <c r="AA162" s="505"/>
      <c r="AB162" s="505"/>
      <c r="AC162" s="505"/>
    </row>
    <row r="163" spans="1:29">
      <c r="A163" s="505"/>
      <c r="B163" s="505"/>
      <c r="C163" s="505"/>
      <c r="D163" s="505"/>
      <c r="E163" s="505"/>
      <c r="F163" s="505"/>
      <c r="G163" s="505"/>
      <c r="H163" s="505"/>
      <c r="I163" s="505"/>
      <c r="J163" s="505"/>
      <c r="K163" s="517"/>
      <c r="L163" s="518"/>
      <c r="M163" s="505"/>
      <c r="N163" s="505"/>
      <c r="O163" s="505"/>
      <c r="P163" s="505"/>
      <c r="Q163" s="505"/>
      <c r="R163" s="505"/>
      <c r="S163" s="505"/>
      <c r="T163" s="505"/>
      <c r="U163" s="505"/>
      <c r="V163" s="505"/>
      <c r="W163" s="505"/>
      <c r="X163" s="505"/>
      <c r="Y163" s="505"/>
      <c r="Z163" s="505"/>
      <c r="AA163" s="505"/>
      <c r="AB163" s="505"/>
      <c r="AC163" s="505"/>
    </row>
    <row r="164" spans="1:29">
      <c r="A164" s="505"/>
      <c r="B164" s="505"/>
      <c r="C164" s="505"/>
      <c r="D164" s="505"/>
      <c r="E164" s="505"/>
      <c r="F164" s="505"/>
      <c r="G164" s="505"/>
      <c r="H164" s="505"/>
      <c r="I164" s="505"/>
      <c r="J164" s="505"/>
      <c r="K164" s="517"/>
      <c r="L164" s="518"/>
      <c r="M164" s="505"/>
      <c r="N164" s="505"/>
      <c r="O164" s="505"/>
      <c r="P164" s="505"/>
      <c r="Q164" s="505"/>
      <c r="R164" s="505"/>
      <c r="S164" s="505"/>
      <c r="T164" s="505"/>
      <c r="U164" s="505"/>
      <c r="V164" s="505"/>
      <c r="W164" s="505"/>
      <c r="X164" s="505"/>
      <c r="Y164" s="505"/>
      <c r="Z164" s="505"/>
      <c r="AA164" s="505"/>
      <c r="AB164" s="505"/>
      <c r="AC164" s="505"/>
    </row>
    <row r="165" spans="1:29">
      <c r="A165" s="505"/>
      <c r="B165" s="505"/>
      <c r="C165" s="505"/>
      <c r="D165" s="505"/>
      <c r="E165" s="505"/>
      <c r="F165" s="505"/>
      <c r="G165" s="505"/>
      <c r="H165" s="505"/>
      <c r="I165" s="505"/>
      <c r="J165" s="505"/>
      <c r="K165" s="517"/>
      <c r="L165" s="518"/>
      <c r="M165" s="505"/>
      <c r="N165" s="505"/>
      <c r="O165" s="505"/>
      <c r="P165" s="505"/>
      <c r="Q165" s="505"/>
      <c r="R165" s="505"/>
      <c r="S165" s="505"/>
      <c r="T165" s="505"/>
      <c r="U165" s="505"/>
      <c r="V165" s="505"/>
      <c r="W165" s="505"/>
      <c r="X165" s="505"/>
      <c r="Y165" s="505"/>
      <c r="Z165" s="505"/>
      <c r="AA165" s="505"/>
      <c r="AB165" s="505"/>
      <c r="AC165" s="505"/>
    </row>
    <row r="166" spans="1:29">
      <c r="A166" s="505"/>
      <c r="B166" s="505"/>
      <c r="C166" s="505"/>
      <c r="D166" s="505"/>
      <c r="E166" s="505"/>
      <c r="F166" s="505"/>
      <c r="G166" s="505"/>
      <c r="H166" s="505"/>
      <c r="I166" s="505"/>
      <c r="J166" s="505"/>
      <c r="K166" s="517"/>
      <c r="L166" s="518"/>
      <c r="M166" s="505"/>
      <c r="N166" s="505"/>
      <c r="O166" s="505"/>
      <c r="P166" s="505"/>
      <c r="Q166" s="505"/>
      <c r="R166" s="505"/>
      <c r="S166" s="505"/>
      <c r="T166" s="505"/>
      <c r="U166" s="505"/>
      <c r="V166" s="505"/>
      <c r="W166" s="505"/>
      <c r="X166" s="505"/>
      <c r="Y166" s="505"/>
      <c r="Z166" s="505"/>
      <c r="AA166" s="505"/>
      <c r="AB166" s="505"/>
      <c r="AC166" s="505"/>
    </row>
    <row r="167" spans="1:29">
      <c r="A167" s="505"/>
      <c r="B167" s="505"/>
      <c r="C167" s="505"/>
      <c r="D167" s="505"/>
      <c r="E167" s="505"/>
      <c r="F167" s="505"/>
      <c r="G167" s="505"/>
      <c r="H167" s="505"/>
      <c r="I167" s="505"/>
      <c r="J167" s="505"/>
      <c r="K167" s="517"/>
      <c r="L167" s="518"/>
      <c r="M167" s="505"/>
      <c r="N167" s="505"/>
      <c r="O167" s="505"/>
      <c r="P167" s="505"/>
      <c r="Q167" s="505"/>
      <c r="R167" s="505"/>
      <c r="S167" s="505"/>
      <c r="T167" s="505"/>
      <c r="U167" s="505"/>
      <c r="V167" s="505"/>
      <c r="W167" s="505"/>
      <c r="X167" s="505"/>
      <c r="Y167" s="505"/>
      <c r="Z167" s="505"/>
      <c r="AA167" s="505"/>
      <c r="AB167" s="505"/>
      <c r="AC167" s="505"/>
    </row>
    <row r="168" spans="1:29">
      <c r="A168" s="505"/>
      <c r="B168" s="505"/>
      <c r="C168" s="505"/>
      <c r="D168" s="505"/>
      <c r="E168" s="505"/>
      <c r="F168" s="505"/>
      <c r="G168" s="505"/>
      <c r="H168" s="505"/>
      <c r="I168" s="505"/>
      <c r="J168" s="505"/>
      <c r="K168" s="517"/>
      <c r="L168" s="518"/>
      <c r="M168" s="505"/>
      <c r="N168" s="505"/>
      <c r="O168" s="505"/>
      <c r="P168" s="505"/>
      <c r="Q168" s="505"/>
      <c r="R168" s="505"/>
      <c r="S168" s="505"/>
      <c r="T168" s="505"/>
      <c r="U168" s="505"/>
      <c r="V168" s="505"/>
      <c r="W168" s="505"/>
      <c r="X168" s="505"/>
      <c r="Y168" s="505"/>
      <c r="Z168" s="505"/>
      <c r="AA168" s="505"/>
      <c r="AB168" s="505"/>
      <c r="AC168" s="505"/>
    </row>
    <row r="169" spans="1:29">
      <c r="A169" s="505"/>
      <c r="B169" s="505"/>
      <c r="C169" s="505"/>
      <c r="D169" s="505"/>
      <c r="E169" s="505"/>
      <c r="F169" s="505"/>
      <c r="G169" s="505"/>
      <c r="H169" s="505"/>
      <c r="I169" s="505"/>
      <c r="J169" s="505"/>
      <c r="K169" s="517"/>
      <c r="L169" s="518"/>
      <c r="M169" s="505"/>
      <c r="N169" s="505"/>
      <c r="O169" s="505"/>
      <c r="P169" s="505"/>
      <c r="Q169" s="505"/>
      <c r="R169" s="505"/>
      <c r="S169" s="505"/>
      <c r="T169" s="505"/>
      <c r="U169" s="505"/>
      <c r="V169" s="505"/>
      <c r="W169" s="505"/>
      <c r="X169" s="505"/>
      <c r="Y169" s="505"/>
      <c r="Z169" s="505"/>
      <c r="AA169" s="505"/>
      <c r="AB169" s="505"/>
      <c r="AC169" s="505"/>
    </row>
    <row r="170" spans="1:29">
      <c r="A170" s="505"/>
      <c r="B170" s="505"/>
      <c r="C170" s="505"/>
      <c r="D170" s="505"/>
      <c r="E170" s="505"/>
      <c r="F170" s="505"/>
      <c r="G170" s="505"/>
      <c r="H170" s="505"/>
      <c r="I170" s="505"/>
      <c r="J170" s="505"/>
      <c r="K170" s="517"/>
      <c r="L170" s="518"/>
      <c r="M170" s="505"/>
      <c r="N170" s="505"/>
      <c r="O170" s="505"/>
      <c r="P170" s="505"/>
      <c r="Q170" s="505"/>
      <c r="R170" s="505"/>
      <c r="S170" s="505"/>
      <c r="T170" s="505"/>
      <c r="U170" s="505"/>
      <c r="V170" s="505"/>
      <c r="W170" s="505"/>
      <c r="X170" s="505"/>
      <c r="Y170" s="505"/>
      <c r="Z170" s="505"/>
      <c r="AA170" s="505"/>
      <c r="AB170" s="505"/>
      <c r="AC170" s="505"/>
    </row>
    <row r="171" spans="1:29">
      <c r="A171" s="505"/>
      <c r="B171" s="505"/>
      <c r="C171" s="505"/>
      <c r="D171" s="505"/>
      <c r="E171" s="505"/>
      <c r="F171" s="505"/>
      <c r="G171" s="505"/>
      <c r="H171" s="505"/>
      <c r="I171" s="505"/>
      <c r="J171" s="505"/>
      <c r="K171" s="517"/>
      <c r="L171" s="518"/>
      <c r="M171" s="505"/>
      <c r="N171" s="505"/>
      <c r="O171" s="505"/>
      <c r="P171" s="505"/>
      <c r="Q171" s="505"/>
      <c r="R171" s="505"/>
      <c r="S171" s="505"/>
      <c r="T171" s="505"/>
      <c r="U171" s="505"/>
      <c r="V171" s="505"/>
      <c r="W171" s="505"/>
      <c r="X171" s="505"/>
      <c r="Y171" s="505"/>
      <c r="Z171" s="505"/>
      <c r="AA171" s="505"/>
      <c r="AB171" s="505"/>
      <c r="AC171" s="505"/>
    </row>
    <row r="172" spans="1:29">
      <c r="A172" s="505"/>
      <c r="B172" s="505"/>
      <c r="C172" s="505"/>
      <c r="D172" s="505"/>
      <c r="E172" s="505"/>
      <c r="F172" s="505"/>
      <c r="G172" s="505"/>
      <c r="H172" s="505"/>
      <c r="I172" s="505"/>
      <c r="J172" s="505"/>
      <c r="K172" s="517"/>
      <c r="L172" s="518"/>
      <c r="M172" s="505"/>
      <c r="N172" s="505"/>
      <c r="O172" s="505"/>
      <c r="P172" s="505"/>
      <c r="Q172" s="505"/>
      <c r="R172" s="505"/>
      <c r="S172" s="505"/>
      <c r="T172" s="505"/>
      <c r="U172" s="505"/>
      <c r="V172" s="505"/>
      <c r="W172" s="505"/>
      <c r="X172" s="505"/>
      <c r="Y172" s="505"/>
      <c r="Z172" s="505"/>
      <c r="AA172" s="505"/>
      <c r="AB172" s="505"/>
      <c r="AC172" s="505"/>
    </row>
    <row r="173" spans="1:29">
      <c r="A173" s="505"/>
      <c r="B173" s="505"/>
      <c r="C173" s="505"/>
      <c r="D173" s="505"/>
      <c r="E173" s="505"/>
      <c r="F173" s="505"/>
      <c r="G173" s="505"/>
      <c r="H173" s="505"/>
      <c r="I173" s="505"/>
      <c r="J173" s="505"/>
      <c r="K173" s="517"/>
      <c r="L173" s="518"/>
      <c r="M173" s="505"/>
      <c r="N173" s="505"/>
      <c r="O173" s="505"/>
      <c r="P173" s="505"/>
      <c r="Q173" s="505"/>
      <c r="R173" s="505"/>
      <c r="S173" s="505"/>
      <c r="T173" s="505"/>
      <c r="U173" s="505"/>
      <c r="V173" s="505"/>
      <c r="W173" s="505"/>
      <c r="X173" s="505"/>
      <c r="Y173" s="505"/>
      <c r="Z173" s="505"/>
      <c r="AA173" s="505"/>
      <c r="AB173" s="505"/>
      <c r="AC173" s="505"/>
    </row>
    <row r="174" spans="1:29">
      <c r="A174" s="505"/>
      <c r="B174" s="505"/>
      <c r="C174" s="505"/>
      <c r="D174" s="505"/>
      <c r="E174" s="505"/>
      <c r="F174" s="505"/>
      <c r="G174" s="505"/>
      <c r="H174" s="505"/>
      <c r="I174" s="505"/>
      <c r="J174" s="505"/>
      <c r="K174" s="517"/>
      <c r="L174" s="518"/>
      <c r="M174" s="505"/>
      <c r="N174" s="505"/>
      <c r="O174" s="505"/>
      <c r="P174" s="505"/>
      <c r="Q174" s="505"/>
      <c r="R174" s="505"/>
      <c r="S174" s="505"/>
      <c r="T174" s="505"/>
      <c r="U174" s="505"/>
      <c r="V174" s="505"/>
      <c r="W174" s="505"/>
      <c r="X174" s="505"/>
      <c r="Y174" s="505"/>
      <c r="Z174" s="505"/>
      <c r="AA174" s="505"/>
      <c r="AB174" s="505"/>
      <c r="AC174" s="505"/>
    </row>
    <row r="175" spans="1:29">
      <c r="A175" s="505"/>
      <c r="B175" s="505"/>
      <c r="C175" s="505"/>
      <c r="D175" s="505"/>
      <c r="E175" s="505"/>
      <c r="F175" s="505"/>
      <c r="G175" s="505"/>
      <c r="H175" s="505"/>
      <c r="I175" s="505"/>
      <c r="J175" s="505"/>
      <c r="K175" s="517"/>
      <c r="L175" s="518"/>
      <c r="M175" s="505"/>
      <c r="N175" s="505"/>
      <c r="O175" s="505"/>
      <c r="P175" s="505"/>
      <c r="Q175" s="505"/>
      <c r="R175" s="505"/>
      <c r="S175" s="505"/>
      <c r="T175" s="505"/>
      <c r="U175" s="505"/>
      <c r="V175" s="505"/>
      <c r="W175" s="505"/>
      <c r="X175" s="505"/>
      <c r="Y175" s="505"/>
      <c r="Z175" s="505"/>
      <c r="AA175" s="505"/>
      <c r="AB175" s="505"/>
      <c r="AC175" s="505"/>
    </row>
    <row r="176" spans="1:29">
      <c r="A176" s="505"/>
      <c r="B176" s="505"/>
      <c r="C176" s="505"/>
      <c r="D176" s="505"/>
      <c r="E176" s="505"/>
      <c r="F176" s="505"/>
      <c r="G176" s="505"/>
      <c r="H176" s="505"/>
      <c r="I176" s="505"/>
      <c r="J176" s="505"/>
      <c r="K176" s="517"/>
      <c r="L176" s="518"/>
      <c r="M176" s="505"/>
      <c r="N176" s="505"/>
      <c r="O176" s="505"/>
      <c r="P176" s="505"/>
      <c r="Q176" s="505"/>
      <c r="R176" s="505"/>
      <c r="S176" s="505"/>
      <c r="T176" s="505"/>
      <c r="U176" s="505"/>
      <c r="V176" s="505"/>
      <c r="W176" s="505"/>
      <c r="X176" s="505"/>
      <c r="Y176" s="505"/>
      <c r="Z176" s="505"/>
      <c r="AA176" s="505"/>
      <c r="AB176" s="505"/>
      <c r="AC176" s="505"/>
    </row>
    <row r="177" spans="1:29">
      <c r="A177" s="505"/>
      <c r="B177" s="505"/>
      <c r="C177" s="505"/>
      <c r="D177" s="505"/>
      <c r="E177" s="505"/>
      <c r="F177" s="505"/>
      <c r="G177" s="505"/>
      <c r="H177" s="505"/>
      <c r="I177" s="505"/>
      <c r="J177" s="505"/>
      <c r="K177" s="517"/>
      <c r="L177" s="518"/>
      <c r="M177" s="505"/>
      <c r="N177" s="505"/>
      <c r="O177" s="505"/>
      <c r="P177" s="505"/>
      <c r="Q177" s="505"/>
      <c r="R177" s="505"/>
      <c r="S177" s="505"/>
      <c r="T177" s="505"/>
      <c r="U177" s="505"/>
      <c r="V177" s="505"/>
      <c r="W177" s="505"/>
      <c r="X177" s="505"/>
      <c r="Y177" s="505"/>
      <c r="Z177" s="505"/>
      <c r="AA177" s="505"/>
      <c r="AB177" s="505"/>
      <c r="AC177" s="505"/>
    </row>
    <row r="178" spans="1:29">
      <c r="A178" s="505"/>
      <c r="B178" s="505"/>
      <c r="C178" s="505"/>
      <c r="D178" s="505"/>
      <c r="E178" s="505"/>
      <c r="F178" s="505"/>
      <c r="G178" s="505"/>
      <c r="H178" s="505"/>
      <c r="I178" s="505"/>
      <c r="J178" s="505"/>
      <c r="K178" s="517"/>
      <c r="L178" s="518"/>
      <c r="M178" s="505"/>
      <c r="N178" s="505"/>
      <c r="O178" s="505"/>
      <c r="P178" s="505"/>
      <c r="Q178" s="505"/>
      <c r="R178" s="505"/>
      <c r="S178" s="505"/>
      <c r="T178" s="505"/>
      <c r="U178" s="505"/>
      <c r="V178" s="505"/>
      <c r="W178" s="505"/>
      <c r="X178" s="505"/>
      <c r="Y178" s="505"/>
      <c r="Z178" s="505"/>
      <c r="AA178" s="505"/>
      <c r="AB178" s="505"/>
      <c r="AC178" s="505"/>
    </row>
    <row r="179" spans="1:29">
      <c r="A179" s="505"/>
      <c r="B179" s="505"/>
      <c r="C179" s="505"/>
      <c r="D179" s="505"/>
      <c r="E179" s="505"/>
      <c r="F179" s="505"/>
      <c r="G179" s="505"/>
      <c r="H179" s="505"/>
      <c r="I179" s="505"/>
      <c r="J179" s="505"/>
      <c r="K179" s="517"/>
      <c r="L179" s="518"/>
      <c r="M179" s="505"/>
      <c r="N179" s="505"/>
      <c r="O179" s="505"/>
      <c r="P179" s="505"/>
      <c r="Q179" s="505"/>
      <c r="R179" s="505"/>
      <c r="S179" s="505"/>
      <c r="T179" s="505"/>
      <c r="U179" s="505"/>
      <c r="V179" s="505"/>
      <c r="W179" s="505"/>
      <c r="X179" s="505"/>
      <c r="Y179" s="505"/>
      <c r="Z179" s="505"/>
      <c r="AA179" s="505"/>
      <c r="AB179" s="505"/>
      <c r="AC179" s="505"/>
    </row>
    <row r="180" spans="1:29">
      <c r="A180" s="505"/>
      <c r="B180" s="505"/>
      <c r="C180" s="505"/>
      <c r="D180" s="505"/>
      <c r="E180" s="505"/>
      <c r="F180" s="505"/>
      <c r="G180" s="505"/>
      <c r="H180" s="505"/>
      <c r="I180" s="505"/>
      <c r="J180" s="505"/>
      <c r="K180" s="517"/>
      <c r="L180" s="518"/>
      <c r="M180" s="505"/>
      <c r="N180" s="505"/>
      <c r="O180" s="505"/>
      <c r="P180" s="505"/>
      <c r="Q180" s="505"/>
      <c r="R180" s="505"/>
      <c r="S180" s="505"/>
      <c r="T180" s="505"/>
      <c r="U180" s="505"/>
      <c r="V180" s="505"/>
      <c r="W180" s="505"/>
      <c r="X180" s="505"/>
      <c r="Y180" s="505"/>
      <c r="Z180" s="505"/>
      <c r="AA180" s="505"/>
      <c r="AB180" s="505"/>
      <c r="AC180" s="505"/>
    </row>
    <row r="181" spans="1:29">
      <c r="A181" s="505"/>
      <c r="B181" s="505"/>
      <c r="C181" s="505"/>
      <c r="D181" s="505"/>
      <c r="E181" s="505"/>
      <c r="F181" s="505"/>
      <c r="G181" s="505"/>
      <c r="H181" s="505"/>
      <c r="I181" s="505"/>
      <c r="J181" s="505"/>
      <c r="K181" s="517"/>
      <c r="L181" s="518"/>
      <c r="M181" s="505"/>
      <c r="N181" s="505"/>
      <c r="O181" s="505"/>
      <c r="P181" s="505"/>
      <c r="Q181" s="505"/>
      <c r="R181" s="505"/>
      <c r="S181" s="505"/>
      <c r="T181" s="505"/>
      <c r="U181" s="505"/>
      <c r="V181" s="505"/>
      <c r="W181" s="505"/>
      <c r="X181" s="505"/>
      <c r="Y181" s="505"/>
      <c r="Z181" s="505"/>
      <c r="AA181" s="505"/>
      <c r="AB181" s="505"/>
      <c r="AC181" s="505"/>
    </row>
    <row r="182" spans="1:29">
      <c r="A182" s="505"/>
      <c r="B182" s="505"/>
      <c r="C182" s="505"/>
      <c r="D182" s="505"/>
      <c r="E182" s="505"/>
      <c r="F182" s="505"/>
      <c r="G182" s="505"/>
      <c r="H182" s="505"/>
      <c r="I182" s="505"/>
      <c r="J182" s="505"/>
      <c r="K182" s="517"/>
      <c r="L182" s="518"/>
      <c r="M182" s="505"/>
      <c r="N182" s="505"/>
      <c r="O182" s="505"/>
      <c r="P182" s="505"/>
      <c r="Q182" s="505"/>
      <c r="R182" s="505"/>
      <c r="S182" s="505"/>
      <c r="T182" s="505"/>
      <c r="U182" s="505"/>
      <c r="V182" s="505"/>
      <c r="W182" s="505"/>
      <c r="X182" s="505"/>
      <c r="Y182" s="505"/>
      <c r="Z182" s="505"/>
      <c r="AA182" s="505"/>
      <c r="AB182" s="505"/>
      <c r="AC182" s="505"/>
    </row>
    <row r="183" spans="1:29">
      <c r="A183" s="505"/>
      <c r="B183" s="505"/>
      <c r="C183" s="505"/>
      <c r="D183" s="505"/>
      <c r="E183" s="505"/>
      <c r="F183" s="505"/>
      <c r="G183" s="505"/>
      <c r="H183" s="505"/>
      <c r="I183" s="505"/>
      <c r="J183" s="505"/>
      <c r="K183" s="517"/>
      <c r="L183" s="518"/>
      <c r="M183" s="505"/>
      <c r="N183" s="505"/>
      <c r="O183" s="505"/>
      <c r="P183" s="505"/>
      <c r="Q183" s="505"/>
      <c r="R183" s="505"/>
      <c r="S183" s="505"/>
      <c r="T183" s="505"/>
      <c r="U183" s="505"/>
      <c r="V183" s="505"/>
      <c r="W183" s="505"/>
      <c r="X183" s="505"/>
      <c r="Y183" s="505"/>
      <c r="Z183" s="505"/>
      <c r="AA183" s="505"/>
      <c r="AB183" s="505"/>
      <c r="AC183" s="505"/>
    </row>
    <row r="184" spans="1:29">
      <c r="A184" s="505"/>
      <c r="B184" s="505"/>
      <c r="C184" s="505"/>
      <c r="D184" s="505"/>
      <c r="E184" s="505"/>
      <c r="F184" s="505"/>
      <c r="G184" s="505"/>
      <c r="H184" s="505"/>
      <c r="I184" s="505"/>
      <c r="J184" s="505"/>
      <c r="K184" s="517"/>
      <c r="L184" s="518"/>
      <c r="M184" s="505"/>
      <c r="N184" s="505"/>
      <c r="O184" s="505"/>
      <c r="P184" s="505"/>
      <c r="Q184" s="505"/>
      <c r="R184" s="505"/>
      <c r="S184" s="505"/>
      <c r="T184" s="505"/>
      <c r="U184" s="505"/>
      <c r="V184" s="505"/>
      <c r="W184" s="505"/>
      <c r="X184" s="505"/>
      <c r="Y184" s="505"/>
      <c r="Z184" s="505"/>
      <c r="AA184" s="505"/>
      <c r="AB184" s="505"/>
      <c r="AC184" s="505"/>
    </row>
    <row r="185" spans="1:29">
      <c r="A185" s="505"/>
      <c r="B185" s="505"/>
      <c r="C185" s="505"/>
      <c r="D185" s="505"/>
      <c r="E185" s="505"/>
      <c r="F185" s="505"/>
      <c r="G185" s="505"/>
      <c r="H185" s="505"/>
      <c r="I185" s="505"/>
      <c r="J185" s="505"/>
      <c r="K185" s="517"/>
      <c r="L185" s="518"/>
      <c r="M185" s="505"/>
      <c r="N185" s="505"/>
      <c r="O185" s="505"/>
      <c r="P185" s="505"/>
      <c r="Q185" s="505"/>
      <c r="R185" s="505"/>
      <c r="S185" s="505"/>
      <c r="T185" s="505"/>
      <c r="U185" s="505"/>
      <c r="V185" s="505"/>
      <c r="W185" s="505"/>
      <c r="X185" s="505"/>
      <c r="Y185" s="505"/>
      <c r="Z185" s="505"/>
      <c r="AA185" s="505"/>
      <c r="AB185" s="505"/>
      <c r="AC185" s="505"/>
    </row>
    <row r="186" spans="1:29">
      <c r="A186" s="505"/>
      <c r="B186" s="505"/>
      <c r="C186" s="505"/>
      <c r="D186" s="505"/>
      <c r="E186" s="505"/>
      <c r="F186" s="505"/>
      <c r="G186" s="505"/>
      <c r="H186" s="505"/>
      <c r="I186" s="505"/>
      <c r="J186" s="505"/>
      <c r="K186" s="517"/>
      <c r="L186" s="518"/>
      <c r="M186" s="505"/>
      <c r="N186" s="505"/>
      <c r="O186" s="505"/>
      <c r="P186" s="505"/>
      <c r="Q186" s="505"/>
      <c r="R186" s="505"/>
      <c r="S186" s="505"/>
      <c r="T186" s="505"/>
      <c r="U186" s="505"/>
      <c r="V186" s="505"/>
      <c r="W186" s="505"/>
      <c r="X186" s="505"/>
      <c r="Y186" s="505"/>
      <c r="Z186" s="505"/>
      <c r="AA186" s="505"/>
      <c r="AB186" s="505"/>
      <c r="AC186" s="505"/>
    </row>
    <row r="187" spans="1:29">
      <c r="A187" s="505"/>
      <c r="B187" s="505"/>
      <c r="C187" s="505"/>
      <c r="D187" s="505"/>
      <c r="E187" s="505"/>
      <c r="F187" s="505"/>
      <c r="G187" s="505"/>
      <c r="H187" s="505"/>
      <c r="I187" s="505"/>
      <c r="J187" s="505"/>
      <c r="K187" s="517"/>
      <c r="L187" s="518"/>
      <c r="M187" s="505"/>
      <c r="N187" s="505"/>
      <c r="O187" s="505"/>
      <c r="P187" s="505"/>
      <c r="Q187" s="505"/>
      <c r="R187" s="505"/>
      <c r="S187" s="505"/>
      <c r="T187" s="505"/>
      <c r="U187" s="505"/>
      <c r="V187" s="505"/>
      <c r="W187" s="505"/>
      <c r="X187" s="505"/>
      <c r="Y187" s="505"/>
      <c r="Z187" s="505"/>
      <c r="AA187" s="505"/>
      <c r="AB187" s="505"/>
      <c r="AC187" s="505"/>
    </row>
    <row r="188" spans="1:29">
      <c r="A188" s="505"/>
      <c r="B188" s="505"/>
      <c r="C188" s="505"/>
      <c r="D188" s="505"/>
      <c r="E188" s="505"/>
      <c r="F188" s="505"/>
      <c r="G188" s="505"/>
      <c r="H188" s="505"/>
      <c r="I188" s="505"/>
      <c r="J188" s="505"/>
      <c r="K188" s="517"/>
      <c r="L188" s="518"/>
      <c r="M188" s="505"/>
      <c r="N188" s="505"/>
      <c r="O188" s="505"/>
      <c r="P188" s="505"/>
      <c r="Q188" s="505"/>
      <c r="R188" s="505"/>
      <c r="S188" s="505"/>
      <c r="T188" s="505"/>
      <c r="U188" s="505"/>
      <c r="V188" s="505"/>
      <c r="W188" s="505"/>
      <c r="X188" s="505"/>
      <c r="Y188" s="505"/>
      <c r="Z188" s="505"/>
      <c r="AA188" s="505"/>
      <c r="AB188" s="505"/>
      <c r="AC188" s="505"/>
    </row>
    <row r="189" spans="1:29">
      <c r="A189" s="505"/>
      <c r="B189" s="505"/>
      <c r="C189" s="505"/>
      <c r="D189" s="505"/>
      <c r="E189" s="505"/>
      <c r="F189" s="505"/>
      <c r="G189" s="505"/>
      <c r="H189" s="505"/>
      <c r="I189" s="505"/>
      <c r="J189" s="505"/>
      <c r="K189" s="517"/>
      <c r="L189" s="518"/>
      <c r="M189" s="505"/>
      <c r="N189" s="505"/>
      <c r="O189" s="505"/>
      <c r="P189" s="505"/>
      <c r="Q189" s="505"/>
      <c r="R189" s="505"/>
      <c r="S189" s="505"/>
      <c r="T189" s="505"/>
      <c r="U189" s="505"/>
      <c r="V189" s="505"/>
      <c r="W189" s="505"/>
      <c r="X189" s="505"/>
      <c r="Y189" s="505"/>
      <c r="Z189" s="505"/>
      <c r="AA189" s="505"/>
      <c r="AB189" s="505"/>
      <c r="AC189" s="505"/>
    </row>
    <row r="190" spans="1:29">
      <c r="A190" s="505"/>
      <c r="B190" s="505"/>
      <c r="C190" s="505"/>
      <c r="D190" s="505"/>
      <c r="E190" s="505"/>
      <c r="F190" s="505"/>
      <c r="G190" s="505"/>
      <c r="H190" s="505"/>
      <c r="I190" s="505"/>
      <c r="J190" s="505"/>
      <c r="K190" s="517"/>
      <c r="L190" s="518"/>
      <c r="M190" s="505"/>
      <c r="N190" s="505"/>
      <c r="O190" s="505"/>
      <c r="P190" s="505"/>
      <c r="Q190" s="505"/>
      <c r="R190" s="505"/>
      <c r="S190" s="505"/>
      <c r="T190" s="505"/>
      <c r="U190" s="505"/>
      <c r="V190" s="505"/>
      <c r="W190" s="505"/>
      <c r="X190" s="505"/>
      <c r="Y190" s="505"/>
      <c r="Z190" s="505"/>
      <c r="AA190" s="505"/>
      <c r="AB190" s="505"/>
      <c r="AC190" s="505"/>
    </row>
    <row r="191" spans="1:29">
      <c r="A191" s="505"/>
      <c r="B191" s="505"/>
      <c r="C191" s="505"/>
      <c r="D191" s="505"/>
      <c r="E191" s="505"/>
      <c r="F191" s="505"/>
      <c r="G191" s="505"/>
      <c r="H191" s="505"/>
      <c r="I191" s="505"/>
      <c r="J191" s="505"/>
      <c r="K191" s="517"/>
      <c r="L191" s="518"/>
      <c r="M191" s="505"/>
      <c r="N191" s="505"/>
      <c r="O191" s="505"/>
      <c r="P191" s="505"/>
      <c r="Q191" s="505"/>
      <c r="R191" s="505"/>
      <c r="S191" s="505"/>
      <c r="T191" s="505"/>
      <c r="U191" s="505"/>
      <c r="V191" s="505"/>
      <c r="W191" s="505"/>
      <c r="X191" s="505"/>
      <c r="Y191" s="505"/>
      <c r="Z191" s="505"/>
      <c r="AA191" s="505"/>
      <c r="AB191" s="505"/>
      <c r="AC191" s="505"/>
    </row>
    <row r="192" spans="1:29">
      <c r="A192" s="505"/>
      <c r="B192" s="505"/>
      <c r="C192" s="505"/>
      <c r="D192" s="505"/>
      <c r="E192" s="505"/>
      <c r="F192" s="505"/>
      <c r="G192" s="505"/>
      <c r="H192" s="505"/>
      <c r="I192" s="505"/>
      <c r="J192" s="505"/>
      <c r="K192" s="517"/>
      <c r="L192" s="518"/>
      <c r="M192" s="505"/>
      <c r="N192" s="505"/>
      <c r="O192" s="505"/>
      <c r="P192" s="505"/>
      <c r="Q192" s="505"/>
      <c r="R192" s="505"/>
      <c r="S192" s="505"/>
      <c r="T192" s="505"/>
      <c r="U192" s="505"/>
      <c r="V192" s="505"/>
      <c r="W192" s="505"/>
      <c r="X192" s="505"/>
      <c r="Y192" s="505"/>
      <c r="Z192" s="505"/>
      <c r="AA192" s="505"/>
      <c r="AB192" s="505"/>
      <c r="AC192" s="505"/>
    </row>
    <row r="193" spans="1:29">
      <c r="A193" s="505"/>
      <c r="B193" s="505"/>
      <c r="C193" s="505"/>
      <c r="D193" s="505"/>
      <c r="E193" s="505"/>
      <c r="F193" s="505"/>
      <c r="G193" s="505"/>
      <c r="H193" s="505"/>
      <c r="I193" s="505"/>
      <c r="J193" s="505"/>
      <c r="K193" s="517"/>
      <c r="L193" s="518"/>
      <c r="M193" s="505"/>
      <c r="N193" s="505"/>
      <c r="O193" s="505"/>
      <c r="P193" s="505"/>
      <c r="Q193" s="505"/>
      <c r="R193" s="505"/>
      <c r="S193" s="505"/>
      <c r="T193" s="505"/>
      <c r="U193" s="505"/>
      <c r="V193" s="505"/>
      <c r="W193" s="505"/>
      <c r="X193" s="505"/>
      <c r="Y193" s="505"/>
      <c r="Z193" s="505"/>
      <c r="AA193" s="505"/>
      <c r="AB193" s="505"/>
      <c r="AC193" s="505"/>
    </row>
    <row r="194" spans="1:29">
      <c r="A194" s="505"/>
      <c r="B194" s="505"/>
      <c r="C194" s="505"/>
      <c r="D194" s="505"/>
      <c r="E194" s="505"/>
      <c r="F194" s="505"/>
      <c r="G194" s="505"/>
      <c r="H194" s="505"/>
      <c r="I194" s="505"/>
      <c r="J194" s="505"/>
      <c r="K194" s="517"/>
      <c r="L194" s="518"/>
      <c r="M194" s="505"/>
      <c r="N194" s="505"/>
      <c r="O194" s="505"/>
      <c r="P194" s="505"/>
      <c r="Q194" s="505"/>
      <c r="R194" s="505"/>
      <c r="S194" s="505"/>
      <c r="T194" s="505"/>
      <c r="U194" s="505"/>
      <c r="V194" s="505"/>
      <c r="W194" s="505"/>
      <c r="X194" s="505"/>
      <c r="Y194" s="505"/>
      <c r="Z194" s="505"/>
      <c r="AA194" s="505"/>
      <c r="AB194" s="505"/>
      <c r="AC194" s="505"/>
    </row>
    <row r="195" spans="1:29">
      <c r="A195" s="505"/>
      <c r="B195" s="505"/>
      <c r="C195" s="505"/>
      <c r="D195" s="505"/>
      <c r="E195" s="505"/>
      <c r="F195" s="505"/>
      <c r="G195" s="505"/>
      <c r="H195" s="505"/>
      <c r="I195" s="505"/>
      <c r="J195" s="505"/>
      <c r="K195" s="517"/>
      <c r="L195" s="518"/>
      <c r="M195" s="505"/>
      <c r="N195" s="505"/>
      <c r="O195" s="505"/>
      <c r="P195" s="505"/>
      <c r="Q195" s="505"/>
      <c r="R195" s="505"/>
      <c r="S195" s="505"/>
      <c r="T195" s="505"/>
      <c r="U195" s="505"/>
      <c r="V195" s="505"/>
      <c r="W195" s="505"/>
      <c r="X195" s="505"/>
      <c r="Y195" s="505"/>
      <c r="Z195" s="505"/>
      <c r="AA195" s="505"/>
      <c r="AB195" s="505"/>
      <c r="AC195" s="505"/>
    </row>
    <row r="196" spans="1:29">
      <c r="A196" s="505"/>
      <c r="B196" s="505"/>
      <c r="C196" s="505"/>
      <c r="D196" s="505"/>
      <c r="E196" s="505"/>
      <c r="F196" s="505"/>
      <c r="G196" s="505"/>
      <c r="H196" s="505"/>
      <c r="I196" s="505"/>
      <c r="J196" s="505"/>
      <c r="K196" s="517"/>
      <c r="L196" s="518"/>
      <c r="M196" s="505"/>
      <c r="N196" s="505"/>
      <c r="O196" s="505"/>
      <c r="P196" s="505"/>
      <c r="Q196" s="505"/>
      <c r="R196" s="505"/>
      <c r="S196" s="505"/>
      <c r="T196" s="505"/>
      <c r="U196" s="505"/>
      <c r="V196" s="505"/>
      <c r="W196" s="505"/>
      <c r="X196" s="505"/>
      <c r="Y196" s="505"/>
      <c r="Z196" s="505"/>
      <c r="AA196" s="505"/>
      <c r="AB196" s="505"/>
      <c r="AC196" s="505"/>
    </row>
    <row r="197" spans="1:29">
      <c r="A197" s="505"/>
      <c r="B197" s="505"/>
      <c r="C197" s="505"/>
      <c r="D197" s="505"/>
      <c r="E197" s="505"/>
      <c r="F197" s="505"/>
      <c r="G197" s="505"/>
      <c r="H197" s="505"/>
      <c r="I197" s="505"/>
      <c r="J197" s="505"/>
      <c r="K197" s="517"/>
      <c r="L197" s="518"/>
      <c r="M197" s="505"/>
      <c r="N197" s="505"/>
      <c r="O197" s="505"/>
      <c r="P197" s="505"/>
      <c r="Q197" s="505"/>
      <c r="R197" s="505"/>
      <c r="S197" s="505"/>
      <c r="T197" s="505"/>
      <c r="U197" s="505"/>
      <c r="V197" s="505"/>
      <c r="W197" s="505"/>
      <c r="X197" s="505"/>
      <c r="Y197" s="505"/>
      <c r="Z197" s="505"/>
      <c r="AA197" s="505"/>
      <c r="AB197" s="505"/>
      <c r="AC197" s="505"/>
    </row>
    <row r="198" spans="1:29">
      <c r="A198" s="505"/>
      <c r="B198" s="505"/>
      <c r="C198" s="505"/>
      <c r="D198" s="505"/>
      <c r="E198" s="505"/>
      <c r="F198" s="505"/>
      <c r="G198" s="505"/>
      <c r="H198" s="505"/>
      <c r="I198" s="505"/>
      <c r="J198" s="505"/>
      <c r="K198" s="517"/>
      <c r="L198" s="518"/>
      <c r="M198" s="505"/>
      <c r="N198" s="505"/>
      <c r="O198" s="505"/>
      <c r="P198" s="505"/>
      <c r="Q198" s="505"/>
      <c r="R198" s="505"/>
      <c r="S198" s="505"/>
      <c r="T198" s="505"/>
      <c r="U198" s="505"/>
      <c r="V198" s="505"/>
      <c r="W198" s="505"/>
      <c r="X198" s="505"/>
      <c r="Y198" s="505"/>
      <c r="Z198" s="505"/>
      <c r="AA198" s="505"/>
      <c r="AB198" s="505"/>
      <c r="AC198" s="505"/>
    </row>
    <row r="199" spans="1:29">
      <c r="A199" s="505"/>
      <c r="B199" s="505"/>
      <c r="C199" s="505"/>
      <c r="D199" s="505"/>
      <c r="E199" s="505"/>
      <c r="F199" s="505"/>
      <c r="G199" s="505"/>
      <c r="H199" s="505"/>
      <c r="I199" s="505"/>
      <c r="J199" s="505"/>
      <c r="K199" s="517"/>
      <c r="L199" s="518"/>
      <c r="M199" s="505"/>
      <c r="N199" s="505"/>
      <c r="O199" s="505"/>
      <c r="P199" s="505"/>
      <c r="Q199" s="505"/>
      <c r="R199" s="505"/>
      <c r="S199" s="505"/>
      <c r="T199" s="505"/>
      <c r="U199" s="505"/>
      <c r="V199" s="505"/>
      <c r="W199" s="505"/>
      <c r="X199" s="505"/>
      <c r="Y199" s="505"/>
      <c r="Z199" s="505"/>
      <c r="AA199" s="505"/>
      <c r="AB199" s="505"/>
      <c r="AC199" s="505"/>
    </row>
    <row r="200" spans="1:29">
      <c r="A200" s="505"/>
      <c r="B200" s="505"/>
      <c r="C200" s="505"/>
      <c r="D200" s="505"/>
      <c r="E200" s="505"/>
      <c r="F200" s="505"/>
      <c r="G200" s="505"/>
      <c r="H200" s="505"/>
      <c r="I200" s="505"/>
      <c r="J200" s="505"/>
      <c r="K200" s="517"/>
      <c r="L200" s="518"/>
      <c r="M200" s="505"/>
      <c r="N200" s="505"/>
      <c r="O200" s="505"/>
      <c r="P200" s="505"/>
      <c r="Q200" s="505"/>
      <c r="R200" s="505"/>
      <c r="S200" s="505"/>
      <c r="T200" s="505"/>
      <c r="U200" s="505"/>
      <c r="V200" s="505"/>
      <c r="W200" s="505"/>
      <c r="X200" s="505"/>
      <c r="Y200" s="505"/>
      <c r="Z200" s="505"/>
      <c r="AA200" s="505"/>
      <c r="AB200" s="505"/>
      <c r="AC200" s="505"/>
    </row>
    <row r="201" spans="1:29">
      <c r="A201" s="505"/>
      <c r="B201" s="505"/>
      <c r="C201" s="505"/>
      <c r="D201" s="505"/>
      <c r="E201" s="505"/>
      <c r="F201" s="505"/>
      <c r="G201" s="505"/>
      <c r="H201" s="505"/>
      <c r="I201" s="505"/>
      <c r="J201" s="505"/>
      <c r="K201" s="517"/>
      <c r="L201" s="518"/>
      <c r="M201" s="505"/>
      <c r="N201" s="505"/>
      <c r="O201" s="505"/>
      <c r="P201" s="505"/>
      <c r="Q201" s="505"/>
      <c r="R201" s="505"/>
      <c r="S201" s="505"/>
      <c r="T201" s="505"/>
      <c r="U201" s="505"/>
      <c r="V201" s="505"/>
      <c r="W201" s="505"/>
      <c r="X201" s="505"/>
      <c r="Y201" s="505"/>
      <c r="Z201" s="505"/>
      <c r="AA201" s="505"/>
      <c r="AB201" s="505"/>
      <c r="AC201" s="505"/>
    </row>
    <row r="202" spans="1:29">
      <c r="A202" s="505"/>
      <c r="B202" s="505"/>
      <c r="C202" s="505"/>
      <c r="D202" s="505"/>
      <c r="E202" s="505"/>
      <c r="F202" s="505"/>
      <c r="G202" s="505"/>
      <c r="H202" s="505"/>
      <c r="I202" s="505"/>
      <c r="J202" s="505"/>
      <c r="K202" s="517"/>
      <c r="L202" s="518"/>
      <c r="M202" s="505"/>
      <c r="N202" s="505"/>
      <c r="O202" s="505"/>
      <c r="P202" s="505"/>
      <c r="Q202" s="505"/>
      <c r="R202" s="505"/>
      <c r="S202" s="505"/>
      <c r="T202" s="505"/>
      <c r="U202" s="505"/>
      <c r="V202" s="505"/>
      <c r="W202" s="505"/>
      <c r="X202" s="505"/>
      <c r="Y202" s="505"/>
      <c r="Z202" s="505"/>
      <c r="AA202" s="505"/>
      <c r="AB202" s="505"/>
      <c r="AC202" s="505"/>
    </row>
    <row r="203" spans="1:29">
      <c r="A203" s="505"/>
      <c r="B203" s="505"/>
      <c r="C203" s="505"/>
      <c r="D203" s="505"/>
      <c r="E203" s="505"/>
      <c r="F203" s="505"/>
      <c r="G203" s="505"/>
      <c r="H203" s="505"/>
      <c r="I203" s="505"/>
      <c r="J203" s="505"/>
      <c r="K203" s="517"/>
      <c r="L203" s="518"/>
      <c r="M203" s="505"/>
      <c r="N203" s="505"/>
      <c r="O203" s="505"/>
      <c r="P203" s="505"/>
      <c r="Q203" s="505"/>
      <c r="R203" s="505"/>
      <c r="S203" s="505"/>
      <c r="T203" s="505"/>
      <c r="U203" s="505"/>
      <c r="V203" s="505"/>
      <c r="W203" s="505"/>
      <c r="X203" s="505"/>
      <c r="Y203" s="505"/>
      <c r="Z203" s="505"/>
      <c r="AA203" s="505"/>
      <c r="AB203" s="505"/>
      <c r="AC203" s="505"/>
    </row>
    <row r="204" spans="1:29">
      <c r="A204" s="505"/>
      <c r="B204" s="505"/>
      <c r="C204" s="505"/>
      <c r="D204" s="505"/>
      <c r="E204" s="505"/>
      <c r="F204" s="505"/>
      <c r="G204" s="505"/>
      <c r="H204" s="505"/>
      <c r="I204" s="505"/>
      <c r="J204" s="505"/>
      <c r="K204" s="517"/>
      <c r="L204" s="518"/>
      <c r="M204" s="505"/>
      <c r="N204" s="505"/>
      <c r="O204" s="505"/>
      <c r="P204" s="505"/>
      <c r="Q204" s="505"/>
      <c r="R204" s="505"/>
      <c r="S204" s="505"/>
      <c r="T204" s="505"/>
      <c r="U204" s="505"/>
      <c r="V204" s="505"/>
      <c r="W204" s="505"/>
      <c r="X204" s="505"/>
      <c r="Y204" s="505"/>
      <c r="Z204" s="505"/>
      <c r="AA204" s="505"/>
      <c r="AB204" s="505"/>
      <c r="AC204" s="505"/>
    </row>
    <row r="205" spans="1:29">
      <c r="A205" s="505"/>
      <c r="B205" s="505"/>
      <c r="C205" s="505"/>
      <c r="D205" s="505"/>
      <c r="E205" s="505"/>
      <c r="F205" s="505"/>
      <c r="G205" s="505"/>
      <c r="H205" s="505"/>
      <c r="I205" s="505"/>
      <c r="J205" s="505"/>
      <c r="K205" s="517"/>
      <c r="L205" s="518"/>
      <c r="M205" s="505"/>
      <c r="N205" s="505"/>
      <c r="O205" s="505"/>
      <c r="P205" s="505"/>
      <c r="Q205" s="505"/>
      <c r="R205" s="505"/>
      <c r="S205" s="505"/>
      <c r="T205" s="505"/>
      <c r="U205" s="505"/>
      <c r="V205" s="505"/>
      <c r="W205" s="505"/>
      <c r="X205" s="505"/>
      <c r="Y205" s="505"/>
      <c r="Z205" s="505"/>
      <c r="AA205" s="505"/>
      <c r="AB205" s="505"/>
      <c r="AC205" s="505"/>
    </row>
    <row r="206" spans="1:29">
      <c r="A206" s="505"/>
      <c r="B206" s="505"/>
      <c r="C206" s="505"/>
      <c r="D206" s="505"/>
      <c r="E206" s="505"/>
      <c r="F206" s="505"/>
      <c r="G206" s="505"/>
      <c r="H206" s="505"/>
      <c r="I206" s="505"/>
      <c r="J206" s="505"/>
      <c r="K206" s="517"/>
      <c r="L206" s="518"/>
      <c r="M206" s="505"/>
      <c r="N206" s="505"/>
      <c r="O206" s="505"/>
      <c r="P206" s="505"/>
      <c r="Q206" s="505"/>
      <c r="R206" s="505"/>
      <c r="S206" s="505"/>
      <c r="T206" s="505"/>
      <c r="U206" s="505"/>
      <c r="V206" s="505"/>
      <c r="W206" s="505"/>
      <c r="X206" s="505"/>
      <c r="Y206" s="505"/>
      <c r="Z206" s="505"/>
      <c r="AA206" s="505"/>
      <c r="AB206" s="505"/>
      <c r="AC206" s="505"/>
    </row>
    <row r="207" spans="1:29">
      <c r="A207" s="505"/>
      <c r="B207" s="505"/>
      <c r="C207" s="505"/>
      <c r="D207" s="505"/>
      <c r="E207" s="505"/>
      <c r="F207" s="505"/>
      <c r="G207" s="505"/>
      <c r="H207" s="505"/>
      <c r="I207" s="505"/>
      <c r="J207" s="505"/>
      <c r="K207" s="517"/>
      <c r="L207" s="518"/>
      <c r="M207" s="505"/>
      <c r="N207" s="505"/>
      <c r="O207" s="505"/>
      <c r="P207" s="505"/>
      <c r="Q207" s="505"/>
      <c r="R207" s="505"/>
      <c r="S207" s="505"/>
      <c r="T207" s="505"/>
      <c r="U207" s="505"/>
      <c r="V207" s="505"/>
      <c r="W207" s="505"/>
      <c r="X207" s="505"/>
      <c r="Y207" s="505"/>
      <c r="Z207" s="505"/>
      <c r="AA207" s="505"/>
      <c r="AB207" s="505"/>
      <c r="AC207" s="505"/>
    </row>
    <row r="208" spans="1:29">
      <c r="A208" s="505"/>
      <c r="B208" s="505"/>
      <c r="C208" s="505"/>
      <c r="D208" s="505"/>
      <c r="E208" s="505"/>
      <c r="F208" s="505"/>
      <c r="G208" s="505"/>
      <c r="H208" s="505"/>
      <c r="I208" s="505"/>
      <c r="J208" s="505"/>
      <c r="K208" s="517"/>
      <c r="L208" s="518"/>
      <c r="M208" s="505"/>
      <c r="N208" s="505"/>
      <c r="O208" s="505"/>
      <c r="P208" s="505"/>
      <c r="Q208" s="505"/>
      <c r="R208" s="505"/>
      <c r="S208" s="505"/>
      <c r="T208" s="505"/>
      <c r="U208" s="505"/>
      <c r="V208" s="505"/>
      <c r="W208" s="505"/>
      <c r="X208" s="505"/>
      <c r="Y208" s="505"/>
      <c r="Z208" s="505"/>
      <c r="AA208" s="505"/>
      <c r="AB208" s="505"/>
      <c r="AC208" s="505"/>
    </row>
    <row r="209" spans="1:29">
      <c r="A209" s="505"/>
      <c r="B209" s="505"/>
      <c r="C209" s="505"/>
      <c r="D209" s="505"/>
      <c r="E209" s="505"/>
      <c r="F209" s="505"/>
      <c r="G209" s="505"/>
      <c r="H209" s="505"/>
      <c r="I209" s="505"/>
      <c r="J209" s="505"/>
      <c r="K209" s="517"/>
      <c r="L209" s="518"/>
      <c r="M209" s="505"/>
      <c r="N209" s="505"/>
      <c r="O209" s="505"/>
      <c r="P209" s="505"/>
      <c r="Q209" s="505"/>
      <c r="R209" s="505"/>
      <c r="S209" s="505"/>
      <c r="T209" s="505"/>
      <c r="U209" s="505"/>
      <c r="V209" s="505"/>
      <c r="W209" s="505"/>
      <c r="X209" s="505"/>
      <c r="Y209" s="505"/>
      <c r="Z209" s="505"/>
      <c r="AA209" s="505"/>
      <c r="AB209" s="505"/>
      <c r="AC209" s="505"/>
    </row>
    <row r="210" spans="1:29">
      <c r="A210" s="505"/>
      <c r="B210" s="505"/>
      <c r="C210" s="505"/>
      <c r="D210" s="505"/>
      <c r="E210" s="505"/>
      <c r="F210" s="505"/>
      <c r="G210" s="505"/>
      <c r="H210" s="505"/>
      <c r="I210" s="505"/>
      <c r="J210" s="505"/>
      <c r="K210" s="517"/>
      <c r="L210" s="518"/>
      <c r="M210" s="505"/>
      <c r="N210" s="505"/>
      <c r="O210" s="505"/>
      <c r="P210" s="505"/>
      <c r="Q210" s="505"/>
      <c r="R210" s="505"/>
      <c r="S210" s="505"/>
      <c r="T210" s="505"/>
      <c r="U210" s="505"/>
      <c r="V210" s="505"/>
      <c r="W210" s="505"/>
      <c r="X210" s="505"/>
      <c r="Y210" s="505"/>
      <c r="Z210" s="505"/>
      <c r="AA210" s="505"/>
      <c r="AB210" s="505"/>
      <c r="AC210" s="505"/>
    </row>
    <row r="211" spans="1:29">
      <c r="A211" s="505"/>
      <c r="B211" s="505"/>
      <c r="C211" s="505"/>
      <c r="D211" s="505"/>
      <c r="E211" s="505"/>
      <c r="F211" s="505"/>
      <c r="G211" s="505"/>
      <c r="H211" s="505"/>
      <c r="I211" s="505"/>
      <c r="J211" s="505"/>
      <c r="K211" s="517"/>
      <c r="L211" s="518"/>
      <c r="M211" s="505"/>
      <c r="N211" s="505"/>
      <c r="O211" s="505"/>
      <c r="P211" s="505"/>
      <c r="Q211" s="505"/>
      <c r="R211" s="505"/>
      <c r="S211" s="505"/>
      <c r="T211" s="505"/>
      <c r="U211" s="505"/>
      <c r="V211" s="505"/>
      <c r="W211" s="505"/>
      <c r="X211" s="505"/>
      <c r="Y211" s="505"/>
      <c r="Z211" s="505"/>
      <c r="AA211" s="505"/>
      <c r="AB211" s="505"/>
      <c r="AC211" s="505"/>
    </row>
    <row r="212" spans="1:29">
      <c r="A212" s="505"/>
      <c r="B212" s="505"/>
      <c r="C212" s="505"/>
      <c r="D212" s="505"/>
      <c r="E212" s="505"/>
      <c r="F212" s="505"/>
      <c r="G212" s="505"/>
      <c r="H212" s="505"/>
      <c r="I212" s="505"/>
      <c r="J212" s="505"/>
      <c r="K212" s="517"/>
      <c r="L212" s="518"/>
      <c r="M212" s="505"/>
      <c r="N212" s="505"/>
      <c r="O212" s="505"/>
      <c r="P212" s="505"/>
      <c r="Q212" s="505"/>
      <c r="R212" s="505"/>
      <c r="S212" s="505"/>
      <c r="T212" s="505"/>
      <c r="U212" s="505"/>
      <c r="V212" s="505"/>
      <c r="W212" s="505"/>
      <c r="X212" s="505"/>
      <c r="Y212" s="505"/>
      <c r="Z212" s="505"/>
      <c r="AA212" s="505"/>
      <c r="AB212" s="505"/>
      <c r="AC212" s="505"/>
    </row>
    <row r="213" spans="1:29">
      <c r="A213" s="505"/>
      <c r="B213" s="505"/>
      <c r="C213" s="505"/>
      <c r="D213" s="505"/>
      <c r="E213" s="505"/>
      <c r="F213" s="505"/>
      <c r="G213" s="505"/>
      <c r="H213" s="505"/>
      <c r="I213" s="505"/>
      <c r="J213" s="505"/>
      <c r="K213" s="517"/>
      <c r="L213" s="518"/>
      <c r="M213" s="505"/>
      <c r="N213" s="505"/>
      <c r="O213" s="505"/>
      <c r="P213" s="505"/>
      <c r="Q213" s="505"/>
      <c r="R213" s="505"/>
      <c r="S213" s="505"/>
      <c r="T213" s="505"/>
      <c r="U213" s="505"/>
      <c r="V213" s="505"/>
      <c r="W213" s="505"/>
      <c r="X213" s="505"/>
      <c r="Y213" s="505"/>
      <c r="Z213" s="505"/>
      <c r="AA213" s="505"/>
      <c r="AB213" s="505"/>
      <c r="AC213" s="505"/>
    </row>
    <row r="214" spans="1:29">
      <c r="A214" s="505"/>
      <c r="B214" s="505"/>
      <c r="C214" s="505"/>
      <c r="D214" s="505"/>
      <c r="E214" s="505"/>
      <c r="F214" s="505"/>
      <c r="G214" s="505"/>
      <c r="H214" s="505"/>
      <c r="I214" s="505"/>
      <c r="J214" s="505"/>
      <c r="K214" s="517"/>
      <c r="L214" s="518"/>
      <c r="M214" s="505"/>
      <c r="N214" s="505"/>
      <c r="O214" s="505"/>
      <c r="P214" s="505"/>
      <c r="Q214" s="505"/>
      <c r="R214" s="505"/>
      <c r="S214" s="505"/>
      <c r="T214" s="505"/>
      <c r="U214" s="505"/>
      <c r="V214" s="505"/>
      <c r="W214" s="505"/>
      <c r="X214" s="505"/>
      <c r="Y214" s="505"/>
      <c r="Z214" s="505"/>
      <c r="AA214" s="505"/>
      <c r="AB214" s="505"/>
      <c r="AC214" s="505"/>
    </row>
    <row r="215" spans="1:29">
      <c r="A215" s="505"/>
      <c r="B215" s="505"/>
      <c r="C215" s="505"/>
      <c r="D215" s="505"/>
      <c r="E215" s="505"/>
      <c r="F215" s="505"/>
      <c r="G215" s="505"/>
      <c r="H215" s="505"/>
      <c r="I215" s="505"/>
      <c r="J215" s="505"/>
      <c r="K215" s="517"/>
      <c r="L215" s="518"/>
      <c r="M215" s="505"/>
      <c r="N215" s="505"/>
      <c r="O215" s="505"/>
      <c r="P215" s="505"/>
      <c r="Q215" s="505"/>
      <c r="R215" s="505"/>
      <c r="S215" s="505"/>
      <c r="T215" s="505"/>
      <c r="U215" s="505"/>
      <c r="V215" s="505"/>
      <c r="W215" s="505"/>
      <c r="X215" s="505"/>
      <c r="Y215" s="505"/>
      <c r="Z215" s="505"/>
      <c r="AA215" s="505"/>
      <c r="AB215" s="505"/>
      <c r="AC215" s="505"/>
    </row>
    <row r="216" spans="1:29">
      <c r="A216" s="505"/>
      <c r="B216" s="505"/>
      <c r="C216" s="505"/>
      <c r="D216" s="505"/>
      <c r="E216" s="505"/>
      <c r="F216" s="505"/>
      <c r="G216" s="505"/>
      <c r="H216" s="505"/>
      <c r="I216" s="505"/>
      <c r="J216" s="505"/>
      <c r="K216" s="517"/>
      <c r="L216" s="518"/>
      <c r="M216" s="505"/>
      <c r="N216" s="505"/>
      <c r="O216" s="505"/>
      <c r="P216" s="505"/>
      <c r="Q216" s="505"/>
      <c r="R216" s="505"/>
      <c r="S216" s="505"/>
      <c r="T216" s="505"/>
      <c r="U216" s="505"/>
      <c r="V216" s="505"/>
      <c r="W216" s="505"/>
      <c r="X216" s="505"/>
      <c r="Y216" s="505"/>
      <c r="Z216" s="505"/>
      <c r="AA216" s="505"/>
      <c r="AB216" s="505"/>
      <c r="AC216" s="505"/>
    </row>
    <row r="217" spans="1:29">
      <c r="A217" s="505"/>
      <c r="B217" s="505"/>
      <c r="C217" s="505"/>
      <c r="D217" s="505"/>
      <c r="E217" s="505"/>
      <c r="F217" s="505"/>
      <c r="G217" s="505"/>
      <c r="H217" s="505"/>
      <c r="I217" s="505"/>
      <c r="J217" s="505"/>
      <c r="K217" s="517"/>
      <c r="L217" s="518"/>
      <c r="M217" s="505"/>
      <c r="N217" s="505"/>
      <c r="O217" s="505"/>
      <c r="P217" s="505"/>
      <c r="Q217" s="505"/>
      <c r="R217" s="505"/>
      <c r="S217" s="505"/>
      <c r="T217" s="505"/>
      <c r="U217" s="505"/>
      <c r="V217" s="505"/>
      <c r="W217" s="505"/>
      <c r="X217" s="505"/>
      <c r="Y217" s="505"/>
      <c r="Z217" s="505"/>
      <c r="AA217" s="505"/>
      <c r="AB217" s="505"/>
      <c r="AC217" s="505"/>
    </row>
    <row r="218" spans="1:29">
      <c r="A218" s="505"/>
      <c r="B218" s="505"/>
      <c r="C218" s="505"/>
      <c r="D218" s="505"/>
      <c r="E218" s="505"/>
      <c r="F218" s="505"/>
      <c r="G218" s="505"/>
      <c r="H218" s="505"/>
      <c r="I218" s="505"/>
      <c r="J218" s="505"/>
      <c r="K218" s="517"/>
      <c r="L218" s="518"/>
      <c r="M218" s="505"/>
      <c r="N218" s="505"/>
      <c r="O218" s="505"/>
      <c r="P218" s="505"/>
      <c r="Q218" s="505"/>
      <c r="R218" s="505"/>
      <c r="S218" s="505"/>
      <c r="T218" s="505"/>
      <c r="U218" s="505"/>
      <c r="V218" s="505"/>
      <c r="W218" s="505"/>
      <c r="X218" s="505"/>
      <c r="Y218" s="505"/>
      <c r="Z218" s="505"/>
      <c r="AA218" s="505"/>
      <c r="AB218" s="505"/>
      <c r="AC218" s="505"/>
    </row>
    <row r="219" spans="1:29">
      <c r="A219" s="505"/>
      <c r="B219" s="505"/>
      <c r="C219" s="505"/>
      <c r="D219" s="505"/>
      <c r="E219" s="505"/>
      <c r="F219" s="505"/>
      <c r="G219" s="505"/>
      <c r="H219" s="505"/>
      <c r="I219" s="505"/>
      <c r="J219" s="505"/>
      <c r="K219" s="517"/>
      <c r="L219" s="518"/>
      <c r="M219" s="505"/>
      <c r="N219" s="505"/>
      <c r="O219" s="505"/>
      <c r="P219" s="505"/>
      <c r="Q219" s="505"/>
      <c r="R219" s="505"/>
      <c r="S219" s="505"/>
      <c r="T219" s="505"/>
      <c r="U219" s="505"/>
      <c r="V219" s="505"/>
      <c r="W219" s="505"/>
      <c r="X219" s="505"/>
      <c r="Y219" s="505"/>
      <c r="Z219" s="505"/>
      <c r="AA219" s="505"/>
      <c r="AB219" s="505"/>
      <c r="AC219" s="505"/>
    </row>
    <row r="220" spans="1:29">
      <c r="A220" s="505"/>
      <c r="B220" s="505"/>
      <c r="C220" s="505"/>
      <c r="D220" s="505"/>
      <c r="E220" s="505"/>
      <c r="F220" s="505"/>
      <c r="G220" s="505"/>
      <c r="H220" s="505"/>
      <c r="I220" s="505"/>
      <c r="J220" s="505"/>
      <c r="K220" s="517"/>
      <c r="L220" s="518"/>
      <c r="M220" s="505"/>
      <c r="N220" s="505"/>
      <c r="O220" s="505"/>
      <c r="P220" s="505"/>
      <c r="Q220" s="505"/>
      <c r="R220" s="505"/>
      <c r="S220" s="505"/>
      <c r="T220" s="505"/>
      <c r="U220" s="505"/>
      <c r="V220" s="505"/>
      <c r="W220" s="505"/>
      <c r="X220" s="505"/>
      <c r="Y220" s="505"/>
      <c r="Z220" s="505"/>
      <c r="AA220" s="505"/>
      <c r="AB220" s="505"/>
      <c r="AC220" s="505"/>
    </row>
    <row r="221" spans="1:29">
      <c r="A221" s="505"/>
      <c r="B221" s="505"/>
      <c r="C221" s="505"/>
      <c r="D221" s="505"/>
      <c r="E221" s="505"/>
      <c r="F221" s="505"/>
      <c r="G221" s="505"/>
      <c r="H221" s="505"/>
      <c r="I221" s="505"/>
      <c r="J221" s="505"/>
      <c r="K221" s="517"/>
      <c r="L221" s="518"/>
      <c r="M221" s="505"/>
      <c r="N221" s="505"/>
      <c r="O221" s="505"/>
      <c r="P221" s="505"/>
      <c r="Q221" s="505"/>
      <c r="R221" s="505"/>
      <c r="S221" s="505"/>
      <c r="T221" s="505"/>
      <c r="U221" s="505"/>
      <c r="V221" s="505"/>
      <c r="W221" s="505"/>
      <c r="X221" s="505"/>
      <c r="Y221" s="505"/>
      <c r="Z221" s="505"/>
      <c r="AA221" s="505"/>
      <c r="AB221" s="505"/>
      <c r="AC221" s="505"/>
    </row>
    <row r="222" spans="1:29">
      <c r="A222" s="505"/>
      <c r="B222" s="505"/>
      <c r="C222" s="505"/>
      <c r="D222" s="505"/>
      <c r="E222" s="505"/>
      <c r="F222" s="505"/>
      <c r="G222" s="505"/>
      <c r="H222" s="505"/>
      <c r="I222" s="505"/>
      <c r="J222" s="505"/>
      <c r="K222" s="517"/>
      <c r="L222" s="518"/>
      <c r="M222" s="505"/>
      <c r="N222" s="505"/>
      <c r="O222" s="505"/>
      <c r="P222" s="505"/>
      <c r="Q222" s="505"/>
      <c r="R222" s="505"/>
      <c r="S222" s="505"/>
      <c r="T222" s="505"/>
      <c r="U222" s="505"/>
      <c r="V222" s="505"/>
      <c r="W222" s="505"/>
      <c r="X222" s="505"/>
      <c r="Y222" s="505"/>
      <c r="Z222" s="505"/>
      <c r="AA222" s="505"/>
      <c r="AB222" s="505"/>
      <c r="AC222" s="505"/>
    </row>
    <row r="223" spans="1:29">
      <c r="A223" s="505"/>
      <c r="B223" s="505"/>
      <c r="C223" s="505"/>
      <c r="D223" s="505"/>
      <c r="E223" s="505"/>
      <c r="F223" s="505"/>
      <c r="G223" s="505"/>
      <c r="H223" s="505"/>
      <c r="I223" s="505"/>
      <c r="J223" s="505"/>
      <c r="K223" s="517"/>
      <c r="L223" s="518"/>
      <c r="M223" s="505"/>
      <c r="N223" s="505"/>
      <c r="O223" s="505"/>
      <c r="P223" s="505"/>
      <c r="Q223" s="505"/>
      <c r="R223" s="505"/>
      <c r="S223" s="505"/>
      <c r="T223" s="505"/>
      <c r="U223" s="505"/>
      <c r="V223" s="505"/>
      <c r="W223" s="505"/>
      <c r="X223" s="505"/>
      <c r="Y223" s="505"/>
      <c r="Z223" s="505"/>
      <c r="AA223" s="505"/>
      <c r="AB223" s="505"/>
      <c r="AC223" s="505"/>
    </row>
    <row r="224" spans="1:29">
      <c r="A224" s="505"/>
      <c r="B224" s="505"/>
      <c r="C224" s="505"/>
      <c r="D224" s="505"/>
      <c r="E224" s="505"/>
      <c r="F224" s="505"/>
      <c r="G224" s="505"/>
      <c r="H224" s="505"/>
      <c r="I224" s="505"/>
      <c r="J224" s="505"/>
      <c r="K224" s="517"/>
      <c r="L224" s="518"/>
      <c r="M224" s="505"/>
      <c r="N224" s="505"/>
      <c r="O224" s="505"/>
      <c r="P224" s="505"/>
      <c r="Q224" s="505"/>
      <c r="R224" s="505"/>
      <c r="S224" s="505"/>
      <c r="T224" s="505"/>
      <c r="U224" s="505"/>
      <c r="V224" s="505"/>
      <c r="W224" s="505"/>
      <c r="X224" s="505"/>
      <c r="Y224" s="505"/>
      <c r="Z224" s="505"/>
      <c r="AA224" s="505"/>
      <c r="AB224" s="505"/>
      <c r="AC224" s="505"/>
    </row>
    <row r="225" spans="1:29">
      <c r="A225" s="505"/>
      <c r="B225" s="505"/>
      <c r="C225" s="505"/>
      <c r="D225" s="505"/>
      <c r="E225" s="505"/>
      <c r="F225" s="505"/>
      <c r="G225" s="505"/>
      <c r="H225" s="505"/>
      <c r="I225" s="505"/>
      <c r="J225" s="505"/>
      <c r="K225" s="517"/>
      <c r="L225" s="518"/>
      <c r="M225" s="505"/>
      <c r="N225" s="505"/>
      <c r="O225" s="505"/>
      <c r="P225" s="505"/>
      <c r="Q225" s="505"/>
      <c r="R225" s="505"/>
      <c r="S225" s="505"/>
      <c r="T225" s="505"/>
      <c r="U225" s="505"/>
      <c r="V225" s="505"/>
      <c r="W225" s="505"/>
      <c r="X225" s="505"/>
      <c r="Y225" s="505"/>
      <c r="Z225" s="505"/>
      <c r="AA225" s="505"/>
      <c r="AB225" s="505"/>
      <c r="AC225" s="505"/>
    </row>
    <row r="226" spans="1:29">
      <c r="A226" s="505"/>
      <c r="B226" s="505"/>
      <c r="C226" s="505"/>
      <c r="D226" s="505"/>
      <c r="E226" s="505"/>
      <c r="F226" s="505"/>
      <c r="G226" s="505"/>
      <c r="H226" s="505"/>
      <c r="I226" s="505"/>
      <c r="J226" s="505"/>
      <c r="K226" s="517"/>
      <c r="L226" s="518"/>
      <c r="M226" s="505"/>
      <c r="N226" s="505"/>
      <c r="O226" s="505"/>
      <c r="P226" s="505"/>
      <c r="Q226" s="505"/>
      <c r="R226" s="505"/>
      <c r="S226" s="505"/>
      <c r="T226" s="505"/>
      <c r="U226" s="505"/>
      <c r="V226" s="505"/>
      <c r="W226" s="505"/>
      <c r="X226" s="505"/>
      <c r="Y226" s="505"/>
      <c r="Z226" s="505"/>
      <c r="AA226" s="505"/>
      <c r="AB226" s="505"/>
      <c r="AC226" s="505"/>
    </row>
    <row r="227" spans="1:29">
      <c r="A227" s="505"/>
      <c r="B227" s="505"/>
      <c r="C227" s="505"/>
      <c r="D227" s="505"/>
      <c r="E227" s="505"/>
      <c r="F227" s="505"/>
      <c r="G227" s="505"/>
      <c r="H227" s="505"/>
      <c r="I227" s="505"/>
      <c r="J227" s="505"/>
      <c r="K227" s="517"/>
      <c r="L227" s="518"/>
      <c r="M227" s="505"/>
      <c r="N227" s="505"/>
      <c r="O227" s="505"/>
      <c r="P227" s="505"/>
      <c r="Q227" s="505"/>
      <c r="R227" s="505"/>
      <c r="S227" s="505"/>
      <c r="T227" s="505"/>
      <c r="U227" s="505"/>
      <c r="V227" s="505"/>
      <c r="W227" s="505"/>
      <c r="X227" s="505"/>
      <c r="Y227" s="505"/>
      <c r="Z227" s="505"/>
      <c r="AA227" s="505"/>
      <c r="AB227" s="505"/>
      <c r="AC227" s="505"/>
    </row>
    <row r="228" spans="1:29">
      <c r="A228" s="505"/>
      <c r="B228" s="505"/>
      <c r="C228" s="505"/>
      <c r="D228" s="505"/>
      <c r="E228" s="505"/>
      <c r="F228" s="505"/>
      <c r="G228" s="505"/>
      <c r="H228" s="505"/>
      <c r="I228" s="505"/>
      <c r="J228" s="505"/>
      <c r="K228" s="517"/>
      <c r="L228" s="518"/>
      <c r="M228" s="505"/>
      <c r="N228" s="505"/>
      <c r="O228" s="505"/>
      <c r="P228" s="505"/>
      <c r="Q228" s="505"/>
      <c r="R228" s="505"/>
      <c r="S228" s="505"/>
      <c r="T228" s="505"/>
      <c r="U228" s="505"/>
      <c r="V228" s="505"/>
      <c r="W228" s="505"/>
      <c r="X228" s="505"/>
      <c r="Y228" s="505"/>
      <c r="Z228" s="505"/>
      <c r="AA228" s="505"/>
      <c r="AB228" s="505"/>
      <c r="AC228" s="505"/>
    </row>
    <row r="229" spans="1:29">
      <c r="A229" s="505"/>
      <c r="B229" s="505"/>
      <c r="C229" s="505"/>
      <c r="D229" s="505"/>
      <c r="E229" s="505"/>
      <c r="F229" s="505"/>
      <c r="G229" s="505"/>
      <c r="H229" s="505"/>
      <c r="I229" s="505"/>
      <c r="J229" s="505"/>
      <c r="K229" s="517"/>
      <c r="L229" s="518"/>
      <c r="M229" s="505"/>
      <c r="N229" s="505"/>
      <c r="O229" s="505"/>
      <c r="P229" s="505"/>
      <c r="Q229" s="505"/>
      <c r="R229" s="505"/>
      <c r="S229" s="505"/>
      <c r="T229" s="505"/>
      <c r="U229" s="505"/>
      <c r="V229" s="505"/>
      <c r="W229" s="505"/>
      <c r="X229" s="505"/>
      <c r="Y229" s="505"/>
      <c r="Z229" s="505"/>
      <c r="AA229" s="505"/>
      <c r="AB229" s="505"/>
      <c r="AC229" s="505"/>
    </row>
    <row r="230" spans="1:29">
      <c r="A230" s="505"/>
      <c r="B230" s="505"/>
      <c r="C230" s="505"/>
      <c r="D230" s="505"/>
      <c r="E230" s="505"/>
      <c r="F230" s="505"/>
      <c r="G230" s="505"/>
      <c r="H230" s="505"/>
      <c r="I230" s="505"/>
      <c r="J230" s="505"/>
      <c r="K230" s="517"/>
      <c r="L230" s="518"/>
      <c r="M230" s="505"/>
      <c r="N230" s="505"/>
      <c r="O230" s="505"/>
      <c r="P230" s="505"/>
      <c r="Q230" s="505"/>
      <c r="R230" s="505"/>
      <c r="S230" s="505"/>
      <c r="T230" s="505"/>
      <c r="U230" s="505"/>
      <c r="V230" s="505"/>
      <c r="W230" s="505"/>
      <c r="X230" s="505"/>
      <c r="Y230" s="505"/>
      <c r="Z230" s="505"/>
      <c r="AA230" s="505"/>
      <c r="AB230" s="505"/>
      <c r="AC230" s="505"/>
    </row>
    <row r="231" spans="1:29">
      <c r="A231" s="505"/>
      <c r="B231" s="505"/>
      <c r="C231" s="505"/>
      <c r="D231" s="505"/>
      <c r="E231" s="505"/>
      <c r="F231" s="505"/>
      <c r="G231" s="505"/>
      <c r="H231" s="505"/>
      <c r="I231" s="505"/>
      <c r="J231" s="505"/>
      <c r="K231" s="517"/>
      <c r="L231" s="518"/>
      <c r="M231" s="505"/>
      <c r="N231" s="505"/>
      <c r="O231" s="505"/>
      <c r="P231" s="505"/>
      <c r="Q231" s="505"/>
      <c r="R231" s="505"/>
      <c r="S231" s="505"/>
      <c r="T231" s="505"/>
      <c r="U231" s="505"/>
      <c r="V231" s="505"/>
      <c r="W231" s="505"/>
      <c r="X231" s="505"/>
      <c r="Y231" s="505"/>
      <c r="Z231" s="505"/>
      <c r="AA231" s="505"/>
      <c r="AB231" s="505"/>
      <c r="AC231" s="505"/>
    </row>
    <row r="232" spans="1:29">
      <c r="A232" s="505"/>
      <c r="B232" s="505"/>
      <c r="C232" s="505"/>
      <c r="D232" s="505"/>
      <c r="E232" s="505"/>
      <c r="F232" s="505"/>
      <c r="G232" s="505"/>
      <c r="H232" s="505"/>
      <c r="I232" s="505"/>
      <c r="J232" s="505"/>
      <c r="K232" s="517"/>
      <c r="L232" s="518"/>
      <c r="M232" s="505"/>
      <c r="N232" s="505"/>
      <c r="O232" s="505"/>
      <c r="P232" s="505"/>
      <c r="Q232" s="505"/>
      <c r="R232" s="505"/>
      <c r="S232" s="505"/>
      <c r="T232" s="505"/>
      <c r="U232" s="505"/>
      <c r="V232" s="505"/>
      <c r="W232" s="505"/>
      <c r="X232" s="505"/>
      <c r="Y232" s="505"/>
      <c r="Z232" s="505"/>
      <c r="AA232" s="505"/>
      <c r="AB232" s="505"/>
      <c r="AC232" s="505"/>
    </row>
    <row r="233" spans="1:29">
      <c r="A233" s="505"/>
      <c r="B233" s="505"/>
      <c r="C233" s="505"/>
      <c r="D233" s="505"/>
      <c r="E233" s="505"/>
      <c r="F233" s="505"/>
      <c r="G233" s="505"/>
      <c r="H233" s="505"/>
      <c r="I233" s="505"/>
      <c r="J233" s="505"/>
      <c r="K233" s="517"/>
      <c r="L233" s="518"/>
      <c r="M233" s="505"/>
      <c r="N233" s="505"/>
      <c r="O233" s="505"/>
      <c r="P233" s="505"/>
      <c r="Q233" s="505"/>
      <c r="R233" s="505"/>
      <c r="S233" s="505"/>
      <c r="T233" s="505"/>
      <c r="U233" s="505"/>
      <c r="V233" s="505"/>
      <c r="W233" s="505"/>
      <c r="X233" s="505"/>
      <c r="Y233" s="505"/>
      <c r="Z233" s="505"/>
      <c r="AA233" s="505"/>
      <c r="AB233" s="505"/>
      <c r="AC233" s="505"/>
    </row>
    <row r="234" spans="1:29">
      <c r="A234" s="505"/>
      <c r="B234" s="505"/>
      <c r="C234" s="505"/>
      <c r="D234" s="505"/>
      <c r="E234" s="505"/>
      <c r="F234" s="505"/>
      <c r="G234" s="505"/>
      <c r="H234" s="505"/>
      <c r="I234" s="505"/>
      <c r="J234" s="505"/>
      <c r="K234" s="517"/>
      <c r="L234" s="518"/>
      <c r="M234" s="505"/>
      <c r="N234" s="505"/>
      <c r="O234" s="505"/>
      <c r="P234" s="505"/>
      <c r="Q234" s="505"/>
      <c r="R234" s="505"/>
      <c r="S234" s="505"/>
      <c r="T234" s="505"/>
      <c r="U234" s="505"/>
      <c r="V234" s="505"/>
      <c r="W234" s="505"/>
      <c r="X234" s="505"/>
      <c r="Y234" s="505"/>
      <c r="Z234" s="505"/>
      <c r="AA234" s="505"/>
      <c r="AB234" s="505"/>
      <c r="AC234" s="505"/>
    </row>
    <row r="235" spans="1:29">
      <c r="A235" s="505"/>
      <c r="B235" s="505"/>
      <c r="C235" s="505"/>
      <c r="D235" s="505"/>
      <c r="E235" s="505"/>
      <c r="F235" s="505"/>
      <c r="G235" s="505"/>
      <c r="H235" s="505"/>
      <c r="I235" s="505"/>
      <c r="J235" s="505"/>
      <c r="K235" s="517"/>
      <c r="L235" s="518"/>
      <c r="M235" s="505"/>
      <c r="N235" s="505"/>
      <c r="O235" s="505"/>
      <c r="P235" s="505"/>
      <c r="Q235" s="505"/>
      <c r="R235" s="505"/>
      <c r="S235" s="505"/>
      <c r="T235" s="505"/>
      <c r="U235" s="505"/>
      <c r="V235" s="505"/>
      <c r="W235" s="505"/>
      <c r="X235" s="505"/>
      <c r="Y235" s="505"/>
      <c r="Z235" s="505"/>
      <c r="AA235" s="505"/>
      <c r="AB235" s="505"/>
      <c r="AC235" s="505"/>
    </row>
    <row r="236" spans="1:29">
      <c r="N236" s="505"/>
      <c r="O236" s="505"/>
      <c r="P236" s="505"/>
      <c r="Q236" s="505"/>
      <c r="R236" s="505"/>
      <c r="S236" s="505"/>
      <c r="T236" s="505"/>
      <c r="U236" s="505"/>
      <c r="V236" s="505"/>
      <c r="W236" s="505"/>
      <c r="X236" s="505"/>
      <c r="Y236" s="505"/>
      <c r="Z236" s="505"/>
      <c r="AA236" s="505"/>
      <c r="AB236" s="505"/>
      <c r="AC236" s="50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54" type="noConversion"/>
  <conditionalFormatting sqref="F42">
    <cfRule type="expression" dxfId="56" priority="4">
      <formula>$D$42="简单平均"</formula>
    </cfRule>
  </conditionalFormatting>
  <conditionalFormatting sqref="H42">
    <cfRule type="expression" dxfId="55" priority="3">
      <formula>$D$42="简单平均"</formula>
    </cfRule>
  </conditionalFormatting>
  <conditionalFormatting sqref="J42">
    <cfRule type="expression" dxfId="54" priority="2">
      <formula>$D$42="简单平均"</formula>
    </cfRule>
  </conditionalFormatting>
  <conditionalFormatting sqref="E46">
    <cfRule type="expression" dxfId="53" priority="16" stopIfTrue="1">
      <formula>$F$46="超过30%"</formula>
    </cfRule>
  </conditionalFormatting>
  <conditionalFormatting sqref="G46">
    <cfRule type="expression" dxfId="52" priority="12" stopIfTrue="1">
      <formula>$H$46="超过30%"</formula>
    </cfRule>
  </conditionalFormatting>
  <conditionalFormatting sqref="I46">
    <cfRule type="expression" dxfId="51" priority="7" stopIfTrue="1">
      <formula>$J$46="超过30%"</formula>
    </cfRule>
  </conditionalFormatting>
  <conditionalFormatting sqref="J46">
    <cfRule type="containsText" dxfId="50" priority="10" stopIfTrue="1" operator="containsText" text="超过">
      <formula>NOT(ISERROR(SEARCH("超过",J46)))</formula>
    </cfRule>
  </conditionalFormatting>
  <conditionalFormatting sqref="E47">
    <cfRule type="expression" dxfId="49" priority="15" stopIfTrue="1">
      <formula>$F$47="超过20%"</formula>
    </cfRule>
  </conditionalFormatting>
  <conditionalFormatting sqref="G47">
    <cfRule type="expression" dxfId="48" priority="11" stopIfTrue="1">
      <formula>$H$47="超过20%"</formula>
    </cfRule>
  </conditionalFormatting>
  <conditionalFormatting sqref="I47">
    <cfRule type="expression" dxfId="47" priority="6" stopIfTrue="1">
      <formula>$J$47="超过20%"</formula>
    </cfRule>
  </conditionalFormatting>
  <conditionalFormatting sqref="J47">
    <cfRule type="containsText" dxfId="46" priority="8" stopIfTrue="1" operator="containsText" text="超过">
      <formula>NOT(ISERROR(SEARCH("超过",J47)))</formula>
    </cfRule>
  </conditionalFormatting>
  <conditionalFormatting sqref="E48">
    <cfRule type="expression" dxfId="45" priority="14" stopIfTrue="1">
      <formula>$F$48="超过30%"</formula>
    </cfRule>
  </conditionalFormatting>
  <conditionalFormatting sqref="F48">
    <cfRule type="containsText" dxfId="44" priority="18" stopIfTrue="1" operator="containsText" text="超过">
      <formula>NOT(ISERROR(SEARCH("超过",F48)))</formula>
    </cfRule>
  </conditionalFormatting>
  <conditionalFormatting sqref="G48">
    <cfRule type="expression" dxfId="43" priority="13" stopIfTrue="1">
      <formula>$H$48="超过30%"</formula>
    </cfRule>
  </conditionalFormatting>
  <conditionalFormatting sqref="H48">
    <cfRule type="containsText" dxfId="42" priority="19" stopIfTrue="1" operator="containsText" text="超过">
      <formula>NOT(ISERROR(SEARCH("超过",H48)))</formula>
    </cfRule>
  </conditionalFormatting>
  <conditionalFormatting sqref="I48">
    <cfRule type="expression" dxfId="41" priority="5" stopIfTrue="1">
      <formula>$J$48="超过30%"</formula>
    </cfRule>
  </conditionalFormatting>
  <conditionalFormatting sqref="J48">
    <cfRule type="containsText" dxfId="40" priority="9" stopIfTrue="1" operator="containsText" text="超过">
      <formula>NOT(ISERROR(SEARCH("超过",J48)))</formula>
    </cfRule>
  </conditionalFormatting>
  <conditionalFormatting sqref="F7:F40 H7:H40 J7:J40">
    <cfRule type="cellIs" dxfId="39" priority="1" operator="notEqual">
      <formula>100</formula>
    </cfRule>
  </conditionalFormatting>
  <conditionalFormatting sqref="F46 H46">
    <cfRule type="containsText" dxfId="38" priority="20" stopIfTrue="1" operator="containsText" text="超过">
      <formula>NOT(ISERROR(SEARCH("超过",F46)))</formula>
    </cfRule>
  </conditionalFormatting>
  <conditionalFormatting sqref="F47 H47">
    <cfRule type="containsText" dxfId="37" priority="17" stopIfTrue="1" operator="containsText" text="超过">
      <formula>NOT(ISERROR(SEARCH("超过",F47)))</formula>
    </cfRule>
  </conditionalFormatting>
  <dataValidations count="17">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topLeftCell="A28" zoomScale="60" zoomScaleNormal="60" workbookViewId="0">
      <selection activeCell="T45" sqref="T45"/>
    </sheetView>
  </sheetViews>
  <sheetFormatPr defaultColWidth="9" defaultRowHeight="14.25"/>
  <cols>
    <col min="1" max="1" width="10.5" style="215" customWidth="1"/>
    <col min="2" max="2" width="15.75" style="215" customWidth="1"/>
    <col min="3" max="3" width="14.375" style="215" customWidth="1"/>
    <col min="4" max="4" width="12.25" style="215" customWidth="1"/>
    <col min="5" max="5" width="14.375" style="215" customWidth="1"/>
    <col min="6" max="6" width="12.25" style="215" customWidth="1"/>
    <col min="7" max="7" width="14.5" style="215" customWidth="1"/>
    <col min="8" max="8" width="12.25" style="215" customWidth="1"/>
    <col min="9" max="9" width="14.5" style="215" customWidth="1"/>
    <col min="10" max="10" width="12.25" style="215" customWidth="1"/>
    <col min="11" max="11" width="12.25" style="216" customWidth="1"/>
    <col min="12" max="12" width="12.25" style="217" customWidth="1"/>
    <col min="13" max="15" width="12.25" style="215" customWidth="1"/>
    <col min="16" max="16" width="4.75" style="215" customWidth="1"/>
    <col min="17" max="17" width="19.5" style="215" customWidth="1"/>
    <col min="18" max="22" width="6.125" style="215" customWidth="1"/>
    <col min="23" max="23" width="5.75" style="215" customWidth="1"/>
    <col min="24" max="24" width="4.25" style="215" customWidth="1"/>
    <col min="25" max="25" width="3.5" style="215" customWidth="1"/>
    <col min="26" max="26" width="19.75" style="215" customWidth="1"/>
    <col min="27" max="28" width="9.375" style="215" customWidth="1"/>
    <col min="29" max="16384" width="9" style="215"/>
  </cols>
  <sheetData>
    <row r="1" spans="1:29" s="209" customFormat="1" ht="28.5" customHeight="1">
      <c r="A1" s="218" t="s">
        <v>2406</v>
      </c>
      <c r="B1" s="219"/>
      <c r="C1" s="220" t="s">
        <v>2408</v>
      </c>
      <c r="D1" s="221"/>
      <c r="E1" s="222"/>
      <c r="F1" s="223"/>
      <c r="G1" s="224" t="s">
        <v>2409</v>
      </c>
      <c r="H1" s="222"/>
      <c r="I1" s="222"/>
      <c r="J1" s="222"/>
      <c r="K1" s="393"/>
      <c r="L1" s="394"/>
      <c r="M1" s="395"/>
      <c r="N1" s="395"/>
      <c r="O1" s="395"/>
      <c r="P1" s="396"/>
      <c r="Q1" s="396"/>
      <c r="R1" s="396"/>
      <c r="S1" s="396"/>
      <c r="T1" s="396"/>
      <c r="U1" s="396"/>
      <c r="V1" s="396"/>
      <c r="W1" s="396"/>
      <c r="X1" s="396"/>
      <c r="Y1" s="396"/>
      <c r="Z1" s="396"/>
      <c r="AA1" s="396"/>
      <c r="AB1" s="396"/>
      <c r="AC1" s="488"/>
    </row>
    <row r="2" spans="1:29" s="209" customFormat="1" ht="28.5" customHeight="1">
      <c r="A2" s="225" t="s">
        <v>945</v>
      </c>
      <c r="B2" s="226" t="e">
        <f>IF(B37="元/平方米",ROUND(B3*D3/10000,0),ROUND(F3*C39/10000,0))</f>
        <v>#DIV/0!</v>
      </c>
      <c r="C2" s="227"/>
      <c r="D2" s="227"/>
      <c r="E2" s="228"/>
      <c r="F2" s="229"/>
      <c r="G2" s="228"/>
      <c r="H2" s="228"/>
      <c r="I2" s="228"/>
      <c r="J2" s="228"/>
      <c r="K2" s="397"/>
      <c r="L2" s="398"/>
      <c r="M2" s="396"/>
      <c r="N2" s="396"/>
      <c r="O2" s="396"/>
      <c r="P2" s="396"/>
      <c r="Q2" s="396"/>
      <c r="R2" s="396"/>
      <c r="S2" s="396"/>
      <c r="T2" s="396"/>
      <c r="U2" s="396"/>
      <c r="V2" s="396"/>
      <c r="W2" s="396"/>
      <c r="X2" s="396"/>
      <c r="Y2" s="396"/>
      <c r="Z2" s="396"/>
      <c r="AA2" s="396"/>
      <c r="AB2" s="396"/>
      <c r="AC2" s="488"/>
    </row>
    <row r="3" spans="1:29" s="209" customFormat="1" ht="28.5" customHeight="1">
      <c r="A3" s="230" t="s">
        <v>2219</v>
      </c>
      <c r="B3" s="231" t="e">
        <f>IF(B37="元/平方米",C39,ROUND(B2*10000/D3,0))</f>
        <v>#DIV/0!</v>
      </c>
      <c r="C3" s="232" t="s">
        <v>2410</v>
      </c>
      <c r="D3" s="233">
        <f>SUMIF('数据-汇总表'!$C19:$C33,D1,'数据-汇总表'!$E19:$E33)</f>
        <v>0</v>
      </c>
      <c r="E3" s="520" t="s">
        <v>2462</v>
      </c>
      <c r="F3" s="233">
        <f>SUMIF('数据-取费表'!A5:A15,D1,'数据-取费表'!AH5:AH15)</f>
        <v>0</v>
      </c>
      <c r="G3" s="228"/>
      <c r="H3" s="228"/>
      <c r="I3" s="228"/>
      <c r="J3" s="228"/>
      <c r="K3" s="397"/>
      <c r="L3" s="398"/>
      <c r="M3" s="396"/>
      <c r="N3" s="396"/>
      <c r="O3" s="396"/>
      <c r="P3" s="396"/>
      <c r="Q3" s="396"/>
      <c r="R3" s="396"/>
      <c r="S3" s="396"/>
      <c r="T3" s="396"/>
      <c r="U3" s="396"/>
      <c r="V3" s="396"/>
      <c r="W3" s="396"/>
      <c r="X3" s="396"/>
      <c r="Y3" s="396"/>
      <c r="Z3" s="396"/>
      <c r="AA3" s="396"/>
      <c r="AB3" s="489"/>
      <c r="AC3" s="490"/>
    </row>
    <row r="4" spans="1:29" ht="15">
      <c r="A4" s="234" t="s">
        <v>1030</v>
      </c>
      <c r="B4" s="235"/>
      <c r="C4" s="3823" t="s">
        <v>1031</v>
      </c>
      <c r="D4" s="3824"/>
      <c r="E4" s="3823" t="s">
        <v>1032</v>
      </c>
      <c r="F4" s="3824"/>
      <c r="G4" s="3823" t="s">
        <v>1033</v>
      </c>
      <c r="H4" s="3824"/>
      <c r="I4" s="3823" t="s">
        <v>1034</v>
      </c>
      <c r="J4" s="3824"/>
      <c r="K4" s="399" t="s">
        <v>1035</v>
      </c>
      <c r="L4" s="400"/>
      <c r="M4" s="401"/>
      <c r="N4" s="401"/>
      <c r="O4" s="401"/>
      <c r="P4" s="3847" t="s">
        <v>1036</v>
      </c>
      <c r="Q4" s="3848"/>
      <c r="R4" s="3853" t="s">
        <v>1032</v>
      </c>
      <c r="S4" s="3854"/>
      <c r="T4" s="3853" t="s">
        <v>1033</v>
      </c>
      <c r="U4" s="3854"/>
      <c r="V4" s="3835" t="s">
        <v>1034</v>
      </c>
      <c r="W4" s="3835"/>
      <c r="X4" s="471"/>
      <c r="Y4" s="3853" t="s">
        <v>1036</v>
      </c>
      <c r="Z4" s="3854"/>
      <c r="AA4" s="3844" t="s">
        <v>1032</v>
      </c>
      <c r="AB4" s="3845" t="s">
        <v>1033</v>
      </c>
      <c r="AC4" s="3844" t="s">
        <v>1034</v>
      </c>
    </row>
    <row r="5" spans="1:29" ht="15">
      <c r="A5" s="236"/>
      <c r="B5" s="237"/>
      <c r="C5" s="3825" t="s">
        <v>1037</v>
      </c>
      <c r="D5" s="3826"/>
      <c r="E5" s="3825" t="s">
        <v>1038</v>
      </c>
      <c r="F5" s="3826"/>
      <c r="G5" s="3825" t="s">
        <v>1039</v>
      </c>
      <c r="H5" s="3826"/>
      <c r="I5" s="3825" t="s">
        <v>1040</v>
      </c>
      <c r="J5" s="3826"/>
      <c r="K5" s="399"/>
      <c r="L5" s="400"/>
      <c r="M5" s="401"/>
      <c r="N5" s="401"/>
      <c r="O5" s="401"/>
      <c r="P5" s="3849"/>
      <c r="Q5" s="3850"/>
      <c r="R5" s="3855"/>
      <c r="S5" s="3856"/>
      <c r="T5" s="3855"/>
      <c r="U5" s="3856"/>
      <c r="V5" s="3835"/>
      <c r="W5" s="3835"/>
      <c r="X5" s="471"/>
      <c r="Y5" s="3855"/>
      <c r="Z5" s="3856"/>
      <c r="AA5" s="3845"/>
      <c r="AB5" s="3845"/>
      <c r="AC5" s="3845"/>
    </row>
    <row r="6" spans="1:29" ht="15">
      <c r="A6" s="238"/>
      <c r="B6" s="239"/>
      <c r="C6" s="3829" t="s">
        <v>1041</v>
      </c>
      <c r="D6" s="3830"/>
      <c r="E6" s="3827" t="s">
        <v>1041</v>
      </c>
      <c r="F6" s="3828"/>
      <c r="G6" s="3829" t="s">
        <v>1041</v>
      </c>
      <c r="H6" s="3830"/>
      <c r="I6" s="3829" t="s">
        <v>1041</v>
      </c>
      <c r="J6" s="3830"/>
      <c r="K6" s="399" t="s">
        <v>1042</v>
      </c>
      <c r="L6" s="400"/>
      <c r="M6" s="401"/>
      <c r="N6" s="401"/>
      <c r="O6" s="401"/>
      <c r="P6" s="3851"/>
      <c r="Q6" s="3852"/>
      <c r="R6" s="3855"/>
      <c r="S6" s="3856"/>
      <c r="T6" s="3857"/>
      <c r="U6" s="3858"/>
      <c r="V6" s="3835"/>
      <c r="W6" s="3835"/>
      <c r="X6" s="471"/>
      <c r="Y6" s="3857"/>
      <c r="Z6" s="3858"/>
      <c r="AA6" s="3846"/>
      <c r="AB6" s="3846"/>
      <c r="AC6" s="3846"/>
    </row>
    <row r="7" spans="1:29" s="210" customFormat="1" ht="15">
      <c r="A7" s="240"/>
      <c r="B7" s="241" t="s">
        <v>1043</v>
      </c>
      <c r="C7" s="242">
        <f>'数据-取费表'!B2</f>
        <v>45260</v>
      </c>
      <c r="D7" s="243">
        <v>100</v>
      </c>
      <c r="E7" s="244"/>
      <c r="F7" s="245">
        <f>SUMIF(48:48,YEAR(E7)&amp;"-"&amp;MONTH(E7),49:49)</f>
        <v>0</v>
      </c>
      <c r="G7" s="246"/>
      <c r="H7" s="243">
        <f>SUMIF(48:48,YEAR(G7)&amp;"-"&amp;MONTH(G7),49:49)</f>
        <v>0</v>
      </c>
      <c r="I7" s="246"/>
      <c r="J7" s="243">
        <f>SUMIF(48:48,YEAR(I7)&amp;"-"&amp;MONTH(I7),49:49)</f>
        <v>0</v>
      </c>
      <c r="K7" s="402"/>
      <c r="L7" s="403"/>
      <c r="M7" s="404"/>
      <c r="N7" s="404"/>
      <c r="O7" s="404"/>
      <c r="P7" s="3831" t="s">
        <v>1044</v>
      </c>
      <c r="Q7" s="3832"/>
      <c r="R7" s="472" t="s">
        <v>1045</v>
      </c>
      <c r="S7" s="473">
        <f t="shared" ref="S7:S14" si="0">F7</f>
        <v>0</v>
      </c>
      <c r="T7" s="472" t="s">
        <v>1045</v>
      </c>
      <c r="U7" s="473">
        <f t="shared" ref="U7:U14" si="1">H7</f>
        <v>0</v>
      </c>
      <c r="V7" s="472" t="s">
        <v>1045</v>
      </c>
      <c r="W7" s="473">
        <f t="shared" ref="W7:W14" si="2">J7</f>
        <v>0</v>
      </c>
      <c r="X7" s="474"/>
      <c r="Y7" s="3831" t="s">
        <v>1044</v>
      </c>
      <c r="Z7" s="3833"/>
      <c r="AA7" s="491" t="e">
        <f>D7/F7</f>
        <v>#DIV/0!</v>
      </c>
      <c r="AB7" s="491" t="e">
        <f>D7/H7</f>
        <v>#DIV/0!</v>
      </c>
      <c r="AC7" s="491" t="e">
        <f>D7/J7</f>
        <v>#DIV/0!</v>
      </c>
    </row>
    <row r="8" spans="1:29" s="210" customFormat="1" ht="15">
      <c r="A8" s="247"/>
      <c r="B8" s="248" t="s">
        <v>1046</v>
      </c>
      <c r="C8" s="249" t="s">
        <v>1047</v>
      </c>
      <c r="D8" s="243">
        <v>100</v>
      </c>
      <c r="E8" s="249"/>
      <c r="F8" s="245">
        <f>SUMIF(51:51,E8,52:52)-SUMIF(51:51,C8,52:52)+100</f>
        <v>0</v>
      </c>
      <c r="G8" s="249"/>
      <c r="H8" s="243">
        <f>SUMIF(51:51,G8,52:52)-SUMIF(51:51,C8,52:52)+100</f>
        <v>0</v>
      </c>
      <c r="I8" s="249"/>
      <c r="J8" s="243">
        <f>SUMIF(51:51,I8,52:52)-SUMIF(51:51,C8,52:52)+100</f>
        <v>0</v>
      </c>
      <c r="K8" s="402"/>
      <c r="L8" s="403"/>
      <c r="M8" s="404"/>
      <c r="N8" s="404"/>
      <c r="O8" s="404"/>
      <c r="P8" s="3831" t="s">
        <v>1048</v>
      </c>
      <c r="Q8" s="3833"/>
      <c r="R8" s="472" t="s">
        <v>1045</v>
      </c>
      <c r="S8" s="473">
        <f t="shared" si="0"/>
        <v>0</v>
      </c>
      <c r="T8" s="472" t="s">
        <v>1045</v>
      </c>
      <c r="U8" s="473">
        <f t="shared" si="1"/>
        <v>0</v>
      </c>
      <c r="V8" s="472" t="s">
        <v>1045</v>
      </c>
      <c r="W8" s="473">
        <f t="shared" si="2"/>
        <v>0</v>
      </c>
      <c r="X8" s="474"/>
      <c r="Y8" s="3831" t="s">
        <v>1048</v>
      </c>
      <c r="Z8" s="3833"/>
      <c r="AA8" s="491" t="e">
        <f t="shared" ref="AA8:AA36" si="3">D8/F8</f>
        <v>#DIV/0!</v>
      </c>
      <c r="AB8" s="491" t="e">
        <f t="shared" ref="AB8:AB36" si="4">D8/H8</f>
        <v>#DIV/0!</v>
      </c>
      <c r="AC8" s="491" t="e">
        <f t="shared" ref="AC8:AC36" si="5">D8/J8</f>
        <v>#DIV/0!</v>
      </c>
    </row>
    <row r="9" spans="1:29" s="210" customFormat="1" ht="15">
      <c r="A9" s="250"/>
      <c r="B9" s="251" t="s">
        <v>1049</v>
      </c>
      <c r="C9" s="252"/>
      <c r="D9" s="253">
        <v>100</v>
      </c>
      <c r="E9" s="254"/>
      <c r="F9" s="253">
        <f>SUMIF(53:53,E9,54:54)-SUMIF(53:53,C9,54:54)+100</f>
        <v>100</v>
      </c>
      <c r="G9" s="521"/>
      <c r="H9" s="253">
        <f>SUMIF(53:53,G9,54:54)-SUMIF(53:53,C9,54:54)+100</f>
        <v>100</v>
      </c>
      <c r="I9" s="521"/>
      <c r="J9" s="253">
        <f>SUMIF(53:53,I9,54:54)-SUMIF(53:53,C9,54:54)+100</f>
        <v>100</v>
      </c>
      <c r="K9" s="402"/>
      <c r="L9" s="403"/>
      <c r="M9" s="404"/>
      <c r="N9" s="404"/>
      <c r="O9" s="405"/>
      <c r="P9" s="3834" t="s">
        <v>1050</v>
      </c>
      <c r="Q9" s="475" t="str">
        <f t="shared" ref="Q9:Q14" si="6">B9</f>
        <v>用途</v>
      </c>
      <c r="R9" s="472" t="s">
        <v>1045</v>
      </c>
      <c r="S9" s="473">
        <f t="shared" si="0"/>
        <v>100</v>
      </c>
      <c r="T9" s="472" t="s">
        <v>1045</v>
      </c>
      <c r="U9" s="473">
        <f t="shared" si="1"/>
        <v>100</v>
      </c>
      <c r="V9" s="472" t="s">
        <v>1045</v>
      </c>
      <c r="W9" s="473">
        <f t="shared" si="2"/>
        <v>100</v>
      </c>
      <c r="X9" s="474"/>
      <c r="Y9" s="3802" t="s">
        <v>1051</v>
      </c>
      <c r="Z9" s="492" t="str">
        <f t="shared" ref="Z9:Z14" si="7">Q9</f>
        <v>用途</v>
      </c>
      <c r="AA9" s="491">
        <f t="shared" si="3"/>
        <v>1</v>
      </c>
      <c r="AB9" s="491">
        <f t="shared" si="4"/>
        <v>1</v>
      </c>
      <c r="AC9" s="491">
        <f t="shared" si="5"/>
        <v>1</v>
      </c>
    </row>
    <row r="10" spans="1:29" s="211" customFormat="1" ht="27">
      <c r="A10" s="255"/>
      <c r="B10" s="248" t="s">
        <v>1052</v>
      </c>
      <c r="C10" s="256"/>
      <c r="D10" s="257">
        <v>100</v>
      </c>
      <c r="E10" s="256"/>
      <c r="F10" s="257">
        <f>SUMIF(55:55,E10,56:56)-SUMIF(55:55,C10,56:56)+100</f>
        <v>100</v>
      </c>
      <c r="G10" s="258"/>
      <c r="H10" s="257">
        <f>SUMIF(55:55,G10,56:56)-SUMIF(55:55,C10,56:56)+100</f>
        <v>100</v>
      </c>
      <c r="I10" s="256"/>
      <c r="J10" s="257">
        <f>SUMIF(55:55,I10,56:56)-SUMIF(55:55,C10,56:56)+100</f>
        <v>100</v>
      </c>
      <c r="K10" s="402"/>
      <c r="L10" s="407"/>
      <c r="M10" s="408"/>
      <c r="N10" s="408"/>
      <c r="O10" s="409"/>
      <c r="P10" s="3834"/>
      <c r="Q10" s="475" t="str">
        <f t="shared" si="6"/>
        <v>土地使用年限（年）</v>
      </c>
      <c r="R10" s="472" t="s">
        <v>1045</v>
      </c>
      <c r="S10" s="473">
        <f t="shared" si="0"/>
        <v>100</v>
      </c>
      <c r="T10" s="472" t="s">
        <v>1045</v>
      </c>
      <c r="U10" s="473">
        <f t="shared" si="1"/>
        <v>100</v>
      </c>
      <c r="V10" s="472" t="s">
        <v>1045</v>
      </c>
      <c r="W10" s="473">
        <f t="shared" si="2"/>
        <v>100</v>
      </c>
      <c r="X10" s="474"/>
      <c r="Y10" s="3802"/>
      <c r="Z10" s="492" t="str">
        <f t="shared" si="7"/>
        <v>土地使用年限（年）</v>
      </c>
      <c r="AA10" s="491">
        <f t="shared" si="3"/>
        <v>1</v>
      </c>
      <c r="AB10" s="491">
        <f t="shared" si="4"/>
        <v>1</v>
      </c>
      <c r="AC10" s="491">
        <f t="shared" si="5"/>
        <v>1</v>
      </c>
    </row>
    <row r="11" spans="1:29" ht="15">
      <c r="A11" s="259"/>
      <c r="B11" s="260">
        <v>111</v>
      </c>
      <c r="C11" s="261"/>
      <c r="D11" s="257">
        <v>100</v>
      </c>
      <c r="E11" s="261"/>
      <c r="F11" s="257">
        <f>SUMIF(57:57,E11,58:58)-SUMIF(57:57,C11,58:58)+100</f>
        <v>100</v>
      </c>
      <c r="G11" s="261"/>
      <c r="H11" s="257">
        <f>SUMIF(57:57,G11,58:58)-SUMIF(57:57,C11,58:58)+100</f>
        <v>100</v>
      </c>
      <c r="I11" s="261"/>
      <c r="J11" s="257">
        <f>SUMIF(57:57,I11,58:58)-SUMIF(57:57,C11,58:58)+100</f>
        <v>100</v>
      </c>
      <c r="K11" s="410"/>
      <c r="L11" s="411"/>
      <c r="M11" s="401"/>
      <c r="N11" s="401"/>
      <c r="O11" s="412"/>
      <c r="P11" s="3834"/>
      <c r="Q11" s="475">
        <f t="shared" si="6"/>
        <v>111</v>
      </c>
      <c r="R11" s="472" t="s">
        <v>1045</v>
      </c>
      <c r="S11" s="473">
        <f t="shared" si="0"/>
        <v>100</v>
      </c>
      <c r="T11" s="472" t="s">
        <v>1045</v>
      </c>
      <c r="U11" s="473">
        <f t="shared" si="1"/>
        <v>100</v>
      </c>
      <c r="V11" s="472" t="s">
        <v>1045</v>
      </c>
      <c r="W11" s="473">
        <f t="shared" si="2"/>
        <v>100</v>
      </c>
      <c r="X11" s="474"/>
      <c r="Y11" s="3802"/>
      <c r="Z11" s="492">
        <f t="shared" si="7"/>
        <v>111</v>
      </c>
      <c r="AA11" s="491">
        <f t="shared" si="3"/>
        <v>1</v>
      </c>
      <c r="AB11" s="491">
        <f t="shared" si="4"/>
        <v>1</v>
      </c>
      <c r="AC11" s="491">
        <f t="shared" si="5"/>
        <v>1</v>
      </c>
    </row>
    <row r="12" spans="1:29" s="210" customFormat="1" ht="15">
      <c r="A12" s="259"/>
      <c r="B12" s="260">
        <v>111</v>
      </c>
      <c r="C12" s="261"/>
      <c r="D12" s="263">
        <v>100</v>
      </c>
      <c r="E12" s="261"/>
      <c r="F12" s="257">
        <f>SUMIF(59:59,E12,60:60)-SUMIF(59:59,C12,60:60)+100</f>
        <v>100</v>
      </c>
      <c r="G12" s="261"/>
      <c r="H12" s="257">
        <f>SUMIF(59:59,G12,60:60)-SUMIF(59:59,C12,60:60)+100</f>
        <v>100</v>
      </c>
      <c r="I12" s="261"/>
      <c r="J12" s="257">
        <f>SUMIF(59:59,I12,60:60)-SUMIF(59:59,C12,60:60)+100</f>
        <v>100</v>
      </c>
      <c r="K12" s="410"/>
      <c r="L12" s="403"/>
      <c r="M12" s="404"/>
      <c r="N12" s="404"/>
      <c r="O12" s="405"/>
      <c r="P12" s="3834"/>
      <c r="Q12" s="475">
        <f t="shared" si="6"/>
        <v>111</v>
      </c>
      <c r="R12" s="472" t="s">
        <v>1045</v>
      </c>
      <c r="S12" s="473">
        <f t="shared" si="0"/>
        <v>100</v>
      </c>
      <c r="T12" s="472" t="s">
        <v>1045</v>
      </c>
      <c r="U12" s="473">
        <f t="shared" si="1"/>
        <v>100</v>
      </c>
      <c r="V12" s="472" t="s">
        <v>1045</v>
      </c>
      <c r="W12" s="473">
        <f t="shared" si="2"/>
        <v>100</v>
      </c>
      <c r="X12" s="474"/>
      <c r="Y12" s="3802"/>
      <c r="Z12" s="492">
        <f t="shared" si="7"/>
        <v>111</v>
      </c>
      <c r="AA12" s="491">
        <f t="shared" si="3"/>
        <v>1</v>
      </c>
      <c r="AB12" s="491">
        <f t="shared" si="4"/>
        <v>1</v>
      </c>
      <c r="AC12" s="491">
        <f t="shared" si="5"/>
        <v>1</v>
      </c>
    </row>
    <row r="13" spans="1:29" ht="15">
      <c r="A13" s="264"/>
      <c r="B13" s="265">
        <v>111</v>
      </c>
      <c r="C13" s="266"/>
      <c r="D13" s="267">
        <v>100</v>
      </c>
      <c r="E13" s="261"/>
      <c r="F13" s="257">
        <f>SUMIF(61:61,E13,62:62)-SUMIF(61:61,C13,62:62)+100</f>
        <v>100</v>
      </c>
      <c r="G13" s="261"/>
      <c r="H13" s="267">
        <f>SUMIF(61:61,G13,62:62)-SUMIF(61:61,C13,62:62)+100</f>
        <v>100</v>
      </c>
      <c r="I13" s="261"/>
      <c r="J13" s="267">
        <f>SUMIF(61:61,I13,62:62)-SUMIF(61:61,C13,62:62)+100</f>
        <v>100</v>
      </c>
      <c r="K13" s="410"/>
      <c r="L13" s="413"/>
      <c r="M13" s="401"/>
      <c r="N13" s="401"/>
      <c r="O13" s="412"/>
      <c r="P13" s="3834"/>
      <c r="Q13" s="475">
        <f t="shared" si="6"/>
        <v>111</v>
      </c>
      <c r="R13" s="472" t="s">
        <v>1045</v>
      </c>
      <c r="S13" s="473">
        <f t="shared" si="0"/>
        <v>100</v>
      </c>
      <c r="T13" s="472" t="s">
        <v>1045</v>
      </c>
      <c r="U13" s="473">
        <f t="shared" si="1"/>
        <v>100</v>
      </c>
      <c r="V13" s="472" t="s">
        <v>1045</v>
      </c>
      <c r="W13" s="473">
        <f t="shared" si="2"/>
        <v>100</v>
      </c>
      <c r="X13" s="474"/>
      <c r="Y13" s="3802"/>
      <c r="Z13" s="492">
        <f t="shared" si="7"/>
        <v>111</v>
      </c>
      <c r="AA13" s="491">
        <f t="shared" si="3"/>
        <v>1</v>
      </c>
      <c r="AB13" s="491">
        <f t="shared" si="4"/>
        <v>1</v>
      </c>
      <c r="AC13" s="491">
        <f t="shared" si="5"/>
        <v>1</v>
      </c>
    </row>
    <row r="14" spans="1:29" ht="85.5">
      <c r="A14" s="268" t="s">
        <v>1055</v>
      </c>
      <c r="B14" s="522" t="s">
        <v>227</v>
      </c>
      <c r="C14" s="270" t="str">
        <f>IF(B1="工业",估价对象房地状况!G4,估价对象房地状况!C6)</f>
        <v>估价对象周边道路状况、公共交通通达情况、停车便捷程度，综合评价交通便捷度较好</v>
      </c>
      <c r="D14" s="271">
        <v>100</v>
      </c>
      <c r="E14" s="272"/>
      <c r="F14" s="273">
        <f>SUMIF(63:63,E15,64:64)-SUMIF(63:63,C15,64:64)+100</f>
        <v>100</v>
      </c>
      <c r="G14" s="274"/>
      <c r="H14" s="271">
        <f>SUMIF(63:63,G15,64:64)-SUMIF(63:63,C15,64:64)+100</f>
        <v>100</v>
      </c>
      <c r="I14" s="272"/>
      <c r="J14" s="271">
        <f>SUMIF(63:63,I15,64:64)-SUMIF(63:63,C15,64:64)+100</f>
        <v>100</v>
      </c>
      <c r="K14" s="414"/>
      <c r="L14" s="413"/>
      <c r="M14" s="401"/>
      <c r="N14" s="401"/>
      <c r="O14" s="412"/>
      <c r="P14" s="3840" t="s">
        <v>1056</v>
      </c>
      <c r="Q14" s="406" t="str">
        <f t="shared" si="6"/>
        <v>交通便捷度</v>
      </c>
      <c r="R14" s="476" t="s">
        <v>1045</v>
      </c>
      <c r="S14" s="477">
        <f t="shared" si="0"/>
        <v>100</v>
      </c>
      <c r="T14" s="476" t="s">
        <v>1045</v>
      </c>
      <c r="U14" s="477">
        <f t="shared" si="1"/>
        <v>100</v>
      </c>
      <c r="V14" s="476" t="s">
        <v>1045</v>
      </c>
      <c r="W14" s="477">
        <f t="shared" si="2"/>
        <v>100</v>
      </c>
      <c r="X14" s="471"/>
      <c r="Y14" s="3840" t="s">
        <v>1056</v>
      </c>
      <c r="Z14" s="470" t="str">
        <f t="shared" si="7"/>
        <v>交通便捷度</v>
      </c>
      <c r="AA14" s="482">
        <f t="shared" si="3"/>
        <v>1</v>
      </c>
      <c r="AB14" s="482">
        <f t="shared" si="4"/>
        <v>1</v>
      </c>
      <c r="AC14" s="482">
        <f t="shared" si="5"/>
        <v>1</v>
      </c>
    </row>
    <row r="15" spans="1:29" ht="15">
      <c r="A15" s="236"/>
      <c r="B15" s="523"/>
      <c r="C15" s="277"/>
      <c r="D15" s="278"/>
      <c r="E15" s="277"/>
      <c r="F15" s="279"/>
      <c r="G15" s="277"/>
      <c r="H15" s="280"/>
      <c r="I15" s="277"/>
      <c r="J15" s="278"/>
      <c r="K15" s="415"/>
      <c r="L15" s="413"/>
      <c r="M15" s="401"/>
      <c r="N15" s="401"/>
      <c r="O15" s="412"/>
      <c r="P15" s="3841"/>
      <c r="Q15" s="406"/>
      <c r="R15" s="476"/>
      <c r="S15" s="477"/>
      <c r="T15" s="476"/>
      <c r="U15" s="477"/>
      <c r="V15" s="476"/>
      <c r="W15" s="477"/>
      <c r="X15" s="471"/>
      <c r="Y15" s="3841"/>
      <c r="Z15" s="470"/>
      <c r="AA15" s="482">
        <v>1</v>
      </c>
      <c r="AB15" s="482">
        <v>1</v>
      </c>
      <c r="AC15" s="482">
        <v>1</v>
      </c>
    </row>
    <row r="16" spans="1:29" ht="42.75">
      <c r="A16" s="236"/>
      <c r="B16" s="281" t="s">
        <v>229</v>
      </c>
      <c r="C16" s="282" t="str">
        <f>IF(B1="工业",估价对象房地状况!G5,估价对象房地状况!C7)</f>
        <v>估价对象所在区域公共配套设施齐备情况</v>
      </c>
      <c r="D16" s="283">
        <v>100</v>
      </c>
      <c r="E16" s="286"/>
      <c r="F16" s="285">
        <f>SUMIF(65:65,E17,66:66)-SUMIF(65:65,C17,66:66)+100</f>
        <v>100</v>
      </c>
      <c r="G16" s="286"/>
      <c r="H16" s="283">
        <f>SUMIF(65:65,G17,66:66)-SUMIF(65:65,C17,66:66)+100</f>
        <v>100</v>
      </c>
      <c r="I16" s="284"/>
      <c r="J16" s="283">
        <f>SUMIF(65:65,I17,66:66)-SUMIF(65:65,C17,66:66)+100</f>
        <v>100</v>
      </c>
      <c r="K16" s="414"/>
      <c r="L16" s="413"/>
      <c r="M16" s="401"/>
      <c r="N16" s="401"/>
      <c r="O16" s="412"/>
      <c r="P16" s="3841"/>
      <c r="Q16" s="406" t="str">
        <f>B16</f>
        <v>公共配套设施</v>
      </c>
      <c r="R16" s="476" t="s">
        <v>1045</v>
      </c>
      <c r="S16" s="477">
        <f>F16</f>
        <v>100</v>
      </c>
      <c r="T16" s="476" t="s">
        <v>1045</v>
      </c>
      <c r="U16" s="477">
        <f>H16</f>
        <v>100</v>
      </c>
      <c r="V16" s="476" t="s">
        <v>1045</v>
      </c>
      <c r="W16" s="477">
        <f>J16</f>
        <v>100</v>
      </c>
      <c r="X16" s="471"/>
      <c r="Y16" s="3841"/>
      <c r="Z16" s="470" t="str">
        <f>Q16</f>
        <v>公共配套设施</v>
      </c>
      <c r="AA16" s="482">
        <f t="shared" si="3"/>
        <v>1</v>
      </c>
      <c r="AB16" s="482">
        <f t="shared" si="4"/>
        <v>1</v>
      </c>
      <c r="AC16" s="482">
        <f t="shared" si="5"/>
        <v>1</v>
      </c>
    </row>
    <row r="17" spans="1:29" ht="15">
      <c r="A17" s="236"/>
      <c r="B17" s="287"/>
      <c r="C17" s="288"/>
      <c r="D17" s="278"/>
      <c r="E17" s="277"/>
      <c r="F17" s="279"/>
      <c r="G17" s="277"/>
      <c r="H17" s="278"/>
      <c r="I17" s="277"/>
      <c r="J17" s="278"/>
      <c r="K17" s="415"/>
      <c r="L17" s="413"/>
      <c r="M17" s="401"/>
      <c r="N17" s="401"/>
      <c r="O17" s="412"/>
      <c r="P17" s="3841"/>
      <c r="Q17" s="406"/>
      <c r="R17" s="476"/>
      <c r="S17" s="477"/>
      <c r="T17" s="476"/>
      <c r="U17" s="477"/>
      <c r="V17" s="476"/>
      <c r="W17" s="477"/>
      <c r="X17" s="471"/>
      <c r="Y17" s="3841"/>
      <c r="Z17" s="470"/>
      <c r="AA17" s="482">
        <v>1</v>
      </c>
      <c r="AB17" s="482">
        <v>1</v>
      </c>
      <c r="AC17" s="482">
        <v>1</v>
      </c>
    </row>
    <row r="18" spans="1:29" ht="28.5">
      <c r="A18" s="236"/>
      <c r="B18" s="289" t="s">
        <v>230</v>
      </c>
      <c r="C18" s="282" t="str">
        <f>IF(B1="工业",估价对象房地状况!G6,估价对象房地状况!C8)</f>
        <v>估价对象所在区域基础设施水平</v>
      </c>
      <c r="D18" s="280">
        <v>100</v>
      </c>
      <c r="E18" s="286"/>
      <c r="F18" s="285">
        <f>SUMIF(67:67,E19,68:68)-SUMIF(67:67,C19,68:68)+100</f>
        <v>100</v>
      </c>
      <c r="G18" s="286"/>
      <c r="H18" s="283">
        <f>SUMIF(67:67,G19,68:68)-SUMIF(67:67,C19,68:68)+100</f>
        <v>100</v>
      </c>
      <c r="I18" s="284"/>
      <c r="J18" s="283">
        <f>SUMIF(67:67,I19,68:68)-SUMIF(67:67,C19,68:68)+100</f>
        <v>100</v>
      </c>
      <c r="K18" s="414"/>
      <c r="L18" s="413"/>
      <c r="M18" s="401"/>
      <c r="N18" s="401"/>
      <c r="O18" s="412"/>
      <c r="P18" s="3841"/>
      <c r="Q18" s="406" t="str">
        <f>B18</f>
        <v>基础设施水平</v>
      </c>
      <c r="R18" s="476" t="s">
        <v>1045</v>
      </c>
      <c r="S18" s="477">
        <f>F18</f>
        <v>100</v>
      </c>
      <c r="T18" s="476" t="s">
        <v>1045</v>
      </c>
      <c r="U18" s="477">
        <f>H18</f>
        <v>100</v>
      </c>
      <c r="V18" s="476" t="s">
        <v>1045</v>
      </c>
      <c r="W18" s="477">
        <f>J18</f>
        <v>100</v>
      </c>
      <c r="X18" s="471"/>
      <c r="Y18" s="3841"/>
      <c r="Z18" s="470" t="str">
        <f>Q18</f>
        <v>基础设施水平</v>
      </c>
      <c r="AA18" s="482">
        <f>D18/F18</f>
        <v>1</v>
      </c>
      <c r="AB18" s="482">
        <f>D18/H18</f>
        <v>1</v>
      </c>
      <c r="AC18" s="482">
        <f>D18/J18</f>
        <v>1</v>
      </c>
    </row>
    <row r="19" spans="1:29" ht="15">
      <c r="A19" s="236"/>
      <c r="B19" s="293"/>
      <c r="C19" s="288"/>
      <c r="D19" s="280"/>
      <c r="E19" s="277"/>
      <c r="F19" s="279"/>
      <c r="G19" s="277"/>
      <c r="H19" s="278"/>
      <c r="I19" s="277"/>
      <c r="J19" s="278"/>
      <c r="K19" s="416"/>
      <c r="L19" s="413"/>
      <c r="M19" s="401"/>
      <c r="N19" s="401"/>
      <c r="O19" s="412"/>
      <c r="P19" s="3841"/>
      <c r="Q19" s="406"/>
      <c r="R19" s="476"/>
      <c r="S19" s="477"/>
      <c r="T19" s="476"/>
      <c r="U19" s="477"/>
      <c r="V19" s="476"/>
      <c r="W19" s="477"/>
      <c r="X19" s="471"/>
      <c r="Y19" s="3841"/>
      <c r="Z19" s="470"/>
      <c r="AA19" s="482">
        <v>1</v>
      </c>
      <c r="AB19" s="482">
        <v>1</v>
      </c>
      <c r="AC19" s="482">
        <v>1</v>
      </c>
    </row>
    <row r="20" spans="1:29" ht="57">
      <c r="A20" s="236"/>
      <c r="B20" s="524" t="s">
        <v>2411</v>
      </c>
      <c r="C20" s="282" t="str">
        <f>IF(B1="工业",估价对象房地状况!G7,估价对象房地状况!C9)</f>
        <v>区域自然环境：；人文环境；综合评价环境状况一般</v>
      </c>
      <c r="D20" s="283">
        <v>100</v>
      </c>
      <c r="E20" s="290"/>
      <c r="F20" s="291">
        <f>SUMIF(69:69,E21,70:70)-SUMIF(69:69,C21,70:70)+100</f>
        <v>100</v>
      </c>
      <c r="G20" s="292"/>
      <c r="H20" s="280">
        <f>SUMIF(69:69,G21,70:70)-SUMIF(69:69,C21,70:70)+100</f>
        <v>100</v>
      </c>
      <c r="I20" s="290"/>
      <c r="J20" s="280">
        <f>SUMIF(69:69,I21,70:70)-SUMIF(69:69,C21,70:70)+100</f>
        <v>100</v>
      </c>
      <c r="K20" s="414"/>
      <c r="L20" s="413"/>
      <c r="M20" s="401"/>
      <c r="N20" s="401"/>
      <c r="O20" s="412"/>
      <c r="P20" s="3841"/>
      <c r="Q20" s="406" t="str">
        <f>B20</f>
        <v>自然及人文环境</v>
      </c>
      <c r="R20" s="476" t="s">
        <v>1045</v>
      </c>
      <c r="S20" s="477">
        <f>F20</f>
        <v>100</v>
      </c>
      <c r="T20" s="476" t="s">
        <v>1045</v>
      </c>
      <c r="U20" s="477">
        <f>H20</f>
        <v>100</v>
      </c>
      <c r="V20" s="476" t="s">
        <v>1045</v>
      </c>
      <c r="W20" s="477">
        <f>J20</f>
        <v>100</v>
      </c>
      <c r="X20" s="471"/>
      <c r="Y20" s="3841"/>
      <c r="Z20" s="470" t="str">
        <f>Q20</f>
        <v>自然及人文环境</v>
      </c>
      <c r="AA20" s="482">
        <f t="shared" si="3"/>
        <v>1</v>
      </c>
      <c r="AB20" s="482">
        <f t="shared" si="4"/>
        <v>1</v>
      </c>
      <c r="AC20" s="482">
        <f t="shared" si="5"/>
        <v>1</v>
      </c>
    </row>
    <row r="21" spans="1:29" ht="15">
      <c r="A21" s="236"/>
      <c r="B21" s="287"/>
      <c r="C21" s="277"/>
      <c r="D21" s="278"/>
      <c r="E21" s="277"/>
      <c r="F21" s="279"/>
      <c r="G21" s="277"/>
      <c r="H21" s="278"/>
      <c r="I21" s="277"/>
      <c r="J21" s="278"/>
      <c r="K21" s="415"/>
      <c r="L21" s="413"/>
      <c r="M21" s="401"/>
      <c r="N21" s="401"/>
      <c r="O21" s="412"/>
      <c r="P21" s="3841"/>
      <c r="Q21" s="406"/>
      <c r="R21" s="476"/>
      <c r="S21" s="477"/>
      <c r="T21" s="476"/>
      <c r="U21" s="477"/>
      <c r="V21" s="476"/>
      <c r="W21" s="477"/>
      <c r="X21" s="471"/>
      <c r="Y21" s="3841"/>
      <c r="Z21" s="470"/>
      <c r="AA21" s="482">
        <v>1</v>
      </c>
      <c r="AB21" s="482">
        <v>1</v>
      </c>
      <c r="AC21" s="482">
        <v>1</v>
      </c>
    </row>
    <row r="22" spans="1:29" ht="15">
      <c r="A22" s="236"/>
      <c r="B22" s="524" t="s">
        <v>2449</v>
      </c>
      <c r="C22" s="296"/>
      <c r="D22" s="280">
        <v>100</v>
      </c>
      <c r="E22" s="296"/>
      <c r="F22" s="297">
        <f>SUMIF(71:71,E22,72:72)-SUMIF(71:71,C22,72:72)+100</f>
        <v>100</v>
      </c>
      <c r="G22" s="296"/>
      <c r="H22" s="267">
        <f>SUMIF(71:71,G22,72:72)-SUMIF(71:71,C22,72:72)+100</f>
        <v>100</v>
      </c>
      <c r="I22" s="296"/>
      <c r="J22" s="267">
        <f>SUMIF(71:71,I22,72:72)-SUMIF(71:71,C22,72:72)+100</f>
        <v>100</v>
      </c>
      <c r="K22" s="417"/>
      <c r="L22" s="413"/>
      <c r="M22" s="401"/>
      <c r="N22" s="401"/>
      <c r="O22" s="412"/>
      <c r="P22" s="3841"/>
      <c r="Q22" s="406" t="str">
        <f>B22</f>
        <v>楼层</v>
      </c>
      <c r="R22" s="476" t="s">
        <v>1045</v>
      </c>
      <c r="S22" s="477">
        <f>F22</f>
        <v>100</v>
      </c>
      <c r="T22" s="476" t="s">
        <v>1045</v>
      </c>
      <c r="U22" s="477">
        <f>H22</f>
        <v>100</v>
      </c>
      <c r="V22" s="476" t="s">
        <v>1045</v>
      </c>
      <c r="W22" s="477">
        <f>J22</f>
        <v>100</v>
      </c>
      <c r="X22" s="471"/>
      <c r="Y22" s="3841"/>
      <c r="Z22" s="470" t="str">
        <f>Q22</f>
        <v>楼层</v>
      </c>
      <c r="AA22" s="482">
        <f t="shared" si="3"/>
        <v>1</v>
      </c>
      <c r="AB22" s="482">
        <f t="shared" si="4"/>
        <v>1</v>
      </c>
      <c r="AC22" s="482">
        <f t="shared" si="5"/>
        <v>1</v>
      </c>
    </row>
    <row r="23" spans="1:29" ht="15">
      <c r="A23" s="236"/>
      <c r="B23" s="525">
        <v>111</v>
      </c>
      <c r="C23" s="261"/>
      <c r="D23" s="267">
        <v>100</v>
      </c>
      <c r="E23" s="261"/>
      <c r="F23" s="297">
        <f>SUMIF(73:73,E23,74:74)-SUMIF(73:73,C23,74:74)+100</f>
        <v>100</v>
      </c>
      <c r="G23" s="261"/>
      <c r="H23" s="267">
        <f>SUMIF(73:73,G23,74:74)-SUMIF(73:73,C23,74:74)+100</f>
        <v>100</v>
      </c>
      <c r="I23" s="261"/>
      <c r="J23" s="267">
        <f>SUMIF(73:73,I23,74:74)-SUMIF(73:73,C23,74:74)+100</f>
        <v>100</v>
      </c>
      <c r="K23" s="410"/>
      <c r="L23" s="413"/>
      <c r="M23" s="401"/>
      <c r="N23" s="401"/>
      <c r="O23" s="412"/>
      <c r="P23" s="3841"/>
      <c r="Q23" s="406">
        <f>B23</f>
        <v>111</v>
      </c>
      <c r="R23" s="476" t="s">
        <v>1045</v>
      </c>
      <c r="S23" s="477">
        <f>F23</f>
        <v>100</v>
      </c>
      <c r="T23" s="476" t="s">
        <v>1045</v>
      </c>
      <c r="U23" s="477">
        <f>H23</f>
        <v>100</v>
      </c>
      <c r="V23" s="476" t="s">
        <v>1045</v>
      </c>
      <c r="W23" s="477">
        <f>J23</f>
        <v>100</v>
      </c>
      <c r="X23" s="471"/>
      <c r="Y23" s="3841"/>
      <c r="Z23" s="470">
        <f>Q23</f>
        <v>111</v>
      </c>
      <c r="AA23" s="482">
        <f t="shared" si="3"/>
        <v>1</v>
      </c>
      <c r="AB23" s="482">
        <f t="shared" si="4"/>
        <v>1</v>
      </c>
      <c r="AC23" s="482">
        <f t="shared" si="5"/>
        <v>1</v>
      </c>
    </row>
    <row r="24" spans="1:29" ht="15">
      <c r="A24" s="236"/>
      <c r="B24" s="525">
        <v>111</v>
      </c>
      <c r="C24" s="261"/>
      <c r="D24" s="267">
        <v>100</v>
      </c>
      <c r="E24" s="261"/>
      <c r="F24" s="297">
        <f>SUMIF(75:75,E24,76:76)-SUMIF(75:75,C24,76:76)+100</f>
        <v>100</v>
      </c>
      <c r="G24" s="261"/>
      <c r="H24" s="267">
        <f>SUMIF(75:75,G24,76:76)-SUMIF(75:75,C24,76:76)+100</f>
        <v>100</v>
      </c>
      <c r="I24" s="261"/>
      <c r="J24" s="267">
        <f>SUMIF(75:75,I24,76:76)-SUMIF(75:75,C24,76:76)+100</f>
        <v>100</v>
      </c>
      <c r="K24" s="410"/>
      <c r="L24" s="413"/>
      <c r="M24" s="401"/>
      <c r="N24" s="401"/>
      <c r="O24" s="412"/>
      <c r="P24" s="3841"/>
      <c r="Q24" s="406">
        <f t="shared" ref="Q24:Q36" si="8">B24</f>
        <v>111</v>
      </c>
      <c r="R24" s="476" t="s">
        <v>1045</v>
      </c>
      <c r="S24" s="477">
        <f>F24</f>
        <v>100</v>
      </c>
      <c r="T24" s="476" t="s">
        <v>1045</v>
      </c>
      <c r="U24" s="477">
        <f>H24</f>
        <v>100</v>
      </c>
      <c r="V24" s="476" t="s">
        <v>1045</v>
      </c>
      <c r="W24" s="477">
        <f>J24</f>
        <v>100</v>
      </c>
      <c r="X24" s="471"/>
      <c r="Y24" s="3841"/>
      <c r="Z24" s="470">
        <f>Q24</f>
        <v>111</v>
      </c>
      <c r="AA24" s="482">
        <f t="shared" si="3"/>
        <v>1</v>
      </c>
      <c r="AB24" s="482">
        <f t="shared" si="4"/>
        <v>1</v>
      </c>
      <c r="AC24" s="482">
        <f t="shared" si="5"/>
        <v>1</v>
      </c>
    </row>
    <row r="25" spans="1:29" s="210" customFormat="1" ht="15">
      <c r="A25" s="526"/>
      <c r="B25" s="527">
        <v>111</v>
      </c>
      <c r="C25" s="319"/>
      <c r="D25" s="528">
        <v>100</v>
      </c>
      <c r="E25" s="529"/>
      <c r="F25" s="530">
        <f>SUMIF(77:77,E25,78:78)-SUMIF(77:77,C25,78:78)+100</f>
        <v>100</v>
      </c>
      <c r="G25" s="529"/>
      <c r="H25" s="528">
        <f>SUMIF(77:77,G25,78:78)-SUMIF(77:77,C25,78:78)+100</f>
        <v>100</v>
      </c>
      <c r="I25" s="529"/>
      <c r="J25" s="528">
        <f>SUMIF(77:77,I25,78:78)-SUMIF(77:77,C25,78:78)+100</f>
        <v>100</v>
      </c>
      <c r="K25" s="410"/>
      <c r="L25" s="403"/>
      <c r="M25" s="404"/>
      <c r="N25" s="404"/>
      <c r="O25" s="405"/>
      <c r="P25" s="3841"/>
      <c r="Q25" s="475">
        <f t="shared" si="8"/>
        <v>111</v>
      </c>
      <c r="R25" s="472" t="s">
        <v>1045</v>
      </c>
      <c r="S25" s="473">
        <f>F25</f>
        <v>100</v>
      </c>
      <c r="T25" s="472" t="s">
        <v>1045</v>
      </c>
      <c r="U25" s="473">
        <f>H25</f>
        <v>100</v>
      </c>
      <c r="V25" s="472" t="s">
        <v>1045</v>
      </c>
      <c r="W25" s="473">
        <f>J25</f>
        <v>100</v>
      </c>
      <c r="X25" s="474"/>
      <c r="Y25" s="3841"/>
      <c r="Z25" s="492">
        <f>Q25</f>
        <v>111</v>
      </c>
      <c r="AA25" s="482">
        <f t="shared" si="3"/>
        <v>1</v>
      </c>
      <c r="AB25" s="482">
        <f t="shared" si="4"/>
        <v>1</v>
      </c>
      <c r="AC25" s="482">
        <f t="shared" si="5"/>
        <v>1</v>
      </c>
    </row>
    <row r="26" spans="1:29" ht="15">
      <c r="A26" s="303" t="s">
        <v>1061</v>
      </c>
      <c r="B26" s="531" t="s">
        <v>2463</v>
      </c>
      <c r="C26" s="532">
        <f>B1</f>
        <v>0</v>
      </c>
      <c r="D26" s="278">
        <v>100</v>
      </c>
      <c r="E26" s="277"/>
      <c r="F26" s="279">
        <f>SUMIF(79:79,E26,80:80)-SUMIF(79:79,C26,80:80)+100</f>
        <v>100</v>
      </c>
      <c r="G26" s="277"/>
      <c r="H26" s="278">
        <f>SUMIF(79:79,G26,80:80)-SUMIF(79:79,C26,80:80)+100</f>
        <v>100</v>
      </c>
      <c r="I26" s="277"/>
      <c r="J26" s="278">
        <f>SUMIF(79:79,I26,80:80)-SUMIF(79:79,C26,80:80)+100</f>
        <v>100</v>
      </c>
      <c r="K26" s="417"/>
      <c r="L26" s="413"/>
      <c r="M26" s="401"/>
      <c r="N26" s="401"/>
      <c r="O26" s="412"/>
      <c r="P26" s="3842" t="s">
        <v>1060</v>
      </c>
      <c r="Q26" s="406" t="str">
        <f t="shared" si="8"/>
        <v>配套类型</v>
      </c>
      <c r="R26" s="476" t="s">
        <v>1045</v>
      </c>
      <c r="S26" s="477">
        <f t="shared" ref="S26:S36" si="9">F26</f>
        <v>100</v>
      </c>
      <c r="T26" s="476" t="s">
        <v>1045</v>
      </c>
      <c r="U26" s="477">
        <f t="shared" ref="U26:U36" si="10">H26</f>
        <v>100</v>
      </c>
      <c r="V26" s="476" t="s">
        <v>1045</v>
      </c>
      <c r="W26" s="477">
        <f t="shared" ref="W26:W36" si="11">J26</f>
        <v>100</v>
      </c>
      <c r="X26" s="471"/>
      <c r="Y26" s="3843" t="s">
        <v>1060</v>
      </c>
      <c r="Z26" s="470" t="str">
        <f t="shared" ref="Z26:Z36" si="12">Q26</f>
        <v>配套类型</v>
      </c>
      <c r="AA26" s="482">
        <f t="shared" si="3"/>
        <v>1</v>
      </c>
      <c r="AB26" s="482">
        <f t="shared" si="4"/>
        <v>1</v>
      </c>
      <c r="AC26" s="482">
        <f t="shared" si="5"/>
        <v>1</v>
      </c>
    </row>
    <row r="27" spans="1:29" s="212" customFormat="1" ht="15">
      <c r="A27" s="533"/>
      <c r="B27" s="534" t="s">
        <v>2464</v>
      </c>
      <c r="C27" s="535"/>
      <c r="D27" s="257">
        <v>100</v>
      </c>
      <c r="E27" s="535"/>
      <c r="F27" s="297">
        <f>SUMIF(81:81,E27,82:82)-SUMIF(81:81,C27,82:82)+100</f>
        <v>100</v>
      </c>
      <c r="G27" s="535"/>
      <c r="H27" s="267">
        <f>SUMIF(81:81,G27,82:82)-SUMIF(81:81,C27,82:82)+100</f>
        <v>100</v>
      </c>
      <c r="I27" s="535"/>
      <c r="J27" s="267">
        <f>SUMIF(81:81,I27,82:82)-SUMIF(81:81,C27,82:82)+100</f>
        <v>100</v>
      </c>
      <c r="K27" s="410"/>
      <c r="L27" s="411"/>
      <c r="M27" s="418"/>
      <c r="N27" s="418"/>
      <c r="O27" s="419"/>
      <c r="P27" s="3843"/>
      <c r="Q27" s="478" t="str">
        <f t="shared" si="8"/>
        <v>项目停车位配比</v>
      </c>
      <c r="R27" s="479" t="s">
        <v>1045</v>
      </c>
      <c r="S27" s="480">
        <f t="shared" si="9"/>
        <v>100</v>
      </c>
      <c r="T27" s="479" t="s">
        <v>1045</v>
      </c>
      <c r="U27" s="480">
        <f t="shared" si="10"/>
        <v>100</v>
      </c>
      <c r="V27" s="479" t="s">
        <v>1045</v>
      </c>
      <c r="W27" s="480">
        <f t="shared" si="11"/>
        <v>100</v>
      </c>
      <c r="X27" s="481"/>
      <c r="Y27" s="3843"/>
      <c r="Z27" s="493" t="str">
        <f t="shared" si="12"/>
        <v>项目停车位配比</v>
      </c>
      <c r="AA27" s="482">
        <f t="shared" si="3"/>
        <v>1</v>
      </c>
      <c r="AB27" s="482">
        <f t="shared" si="4"/>
        <v>1</v>
      </c>
      <c r="AC27" s="482">
        <f t="shared" si="5"/>
        <v>1</v>
      </c>
    </row>
    <row r="28" spans="1:29" ht="15">
      <c r="A28" s="536"/>
      <c r="B28" s="534" t="s">
        <v>2419</v>
      </c>
      <c r="C28" s="314"/>
      <c r="D28" s="267">
        <v>100</v>
      </c>
      <c r="E28" s="314"/>
      <c r="F28" s="297">
        <f>SUMIF(83:83,E28,84:84)-SUMIF(83:83,C28,84:84)+100</f>
        <v>100</v>
      </c>
      <c r="G28" s="314"/>
      <c r="H28" s="267">
        <f>SUMIF(83:83,G28,84:84)-SUMIF(83:83,C28,84:84)+100</f>
        <v>100</v>
      </c>
      <c r="I28" s="314"/>
      <c r="J28" s="267">
        <f>SUMIF(83:83,I28,84:84)-SUMIF(83:83,C28,84:84)+100</f>
        <v>100</v>
      </c>
      <c r="K28" s="417"/>
      <c r="L28" s="413"/>
      <c r="M28" s="401"/>
      <c r="N28" s="401"/>
      <c r="O28" s="412"/>
      <c r="P28" s="3843"/>
      <c r="Q28" s="406" t="str">
        <f t="shared" si="8"/>
        <v>公共部分装修</v>
      </c>
      <c r="R28" s="476" t="s">
        <v>1045</v>
      </c>
      <c r="S28" s="477">
        <f t="shared" si="9"/>
        <v>100</v>
      </c>
      <c r="T28" s="476" t="s">
        <v>1045</v>
      </c>
      <c r="U28" s="477">
        <f t="shared" si="10"/>
        <v>100</v>
      </c>
      <c r="V28" s="476" t="s">
        <v>1045</v>
      </c>
      <c r="W28" s="477">
        <f t="shared" si="11"/>
        <v>100</v>
      </c>
      <c r="X28" s="471"/>
      <c r="Y28" s="3843"/>
      <c r="Z28" s="470" t="str">
        <f t="shared" si="12"/>
        <v>公共部分装修</v>
      </c>
      <c r="AA28" s="482">
        <f t="shared" si="3"/>
        <v>1</v>
      </c>
      <c r="AB28" s="482">
        <f t="shared" si="4"/>
        <v>1</v>
      </c>
      <c r="AC28" s="482">
        <f t="shared" si="5"/>
        <v>1</v>
      </c>
    </row>
    <row r="29" spans="1:29" ht="15">
      <c r="A29" s="536"/>
      <c r="B29" s="534" t="s">
        <v>2465</v>
      </c>
      <c r="C29" s="262"/>
      <c r="D29" s="267">
        <v>100</v>
      </c>
      <c r="E29" s="310"/>
      <c r="F29" s="297" t="e">
        <f>LOOKUP(E29,86:86,87:87)-LOOKUP(C29,86:86,87:87)+100</f>
        <v>#N/A</v>
      </c>
      <c r="G29" s="310"/>
      <c r="H29" s="297" t="e">
        <f>LOOKUP(G29,86:86,87:87)-LOOKUP(C29,86:86,87:87)+100</f>
        <v>#N/A</v>
      </c>
      <c r="I29" s="310"/>
      <c r="J29" s="267" t="e">
        <f>LOOKUP(I29,86:86,87:87)-LOOKUP(C29,86:86,87:87)+100</f>
        <v>#N/A</v>
      </c>
      <c r="K29" s="417"/>
      <c r="L29" s="413"/>
      <c r="M29" s="401"/>
      <c r="N29" s="401"/>
      <c r="O29" s="412"/>
      <c r="P29" s="3843"/>
      <c r="Q29" s="406" t="str">
        <f t="shared" si="8"/>
        <v>成新率</v>
      </c>
      <c r="R29" s="476" t="s">
        <v>1045</v>
      </c>
      <c r="S29" s="477" t="e">
        <f t="shared" si="9"/>
        <v>#N/A</v>
      </c>
      <c r="T29" s="476" t="s">
        <v>1045</v>
      </c>
      <c r="U29" s="477" t="e">
        <f t="shared" si="10"/>
        <v>#N/A</v>
      </c>
      <c r="V29" s="476" t="s">
        <v>1045</v>
      </c>
      <c r="W29" s="477" t="e">
        <f t="shared" si="11"/>
        <v>#N/A</v>
      </c>
      <c r="X29" s="471"/>
      <c r="Y29" s="3843"/>
      <c r="Z29" s="470" t="str">
        <f t="shared" si="12"/>
        <v>成新率</v>
      </c>
      <c r="AA29" s="482" t="e">
        <f t="shared" si="3"/>
        <v>#N/A</v>
      </c>
      <c r="AB29" s="482" t="e">
        <f t="shared" si="4"/>
        <v>#N/A</v>
      </c>
      <c r="AC29" s="482" t="e">
        <f t="shared" si="5"/>
        <v>#N/A</v>
      </c>
    </row>
    <row r="30" spans="1:29" ht="15">
      <c r="A30" s="536"/>
      <c r="B30" s="534" t="s">
        <v>2466</v>
      </c>
      <c r="C30" s="315"/>
      <c r="D30" s="267">
        <v>100</v>
      </c>
      <c r="E30" s="315"/>
      <c r="F30" s="297">
        <f>SUMIF(88:88,E30,89:89)-SUMIF(88:88,C30,89:89)+100</f>
        <v>100</v>
      </c>
      <c r="G30" s="315"/>
      <c r="H30" s="267">
        <f>SUMIF(88:88,E30,89:89)-SUMIF(88:88,C30,89:89)+100</f>
        <v>100</v>
      </c>
      <c r="I30" s="315"/>
      <c r="J30" s="267">
        <f>SUMIF(88:88,E30,89:89)-SUMIF(88:88,C30,89:89)+100</f>
        <v>100</v>
      </c>
      <c r="K30" s="417"/>
      <c r="L30" s="413"/>
      <c r="M30" s="401"/>
      <c r="N30" s="401"/>
      <c r="O30" s="412"/>
      <c r="P30" s="3843"/>
      <c r="Q30" s="406" t="str">
        <f t="shared" si="8"/>
        <v>物业等级</v>
      </c>
      <c r="R30" s="476" t="s">
        <v>1045</v>
      </c>
      <c r="S30" s="477">
        <f t="shared" si="9"/>
        <v>100</v>
      </c>
      <c r="T30" s="476" t="s">
        <v>1045</v>
      </c>
      <c r="U30" s="477">
        <f t="shared" si="10"/>
        <v>100</v>
      </c>
      <c r="V30" s="476" t="s">
        <v>1045</v>
      </c>
      <c r="W30" s="477">
        <f t="shared" si="11"/>
        <v>100</v>
      </c>
      <c r="X30" s="471"/>
      <c r="Y30" s="3843"/>
      <c r="Z30" s="470" t="str">
        <f t="shared" si="12"/>
        <v>物业等级</v>
      </c>
      <c r="AA30" s="482">
        <f t="shared" si="3"/>
        <v>1</v>
      </c>
      <c r="AB30" s="482">
        <f t="shared" si="4"/>
        <v>1</v>
      </c>
      <c r="AC30" s="482">
        <f t="shared" si="5"/>
        <v>1</v>
      </c>
    </row>
    <row r="31" spans="1:29" s="210" customFormat="1" ht="15">
      <c r="A31" s="537"/>
      <c r="B31" s="534" t="s">
        <v>2467</v>
      </c>
      <c r="C31" s="262"/>
      <c r="D31" s="257">
        <v>100</v>
      </c>
      <c r="E31" s="262"/>
      <c r="F31" s="297" t="e">
        <f>LOOKUP(E31,91:91,92:92)-LOOKUP(C31,91:91,92:92)+100</f>
        <v>#N/A</v>
      </c>
      <c r="G31" s="262"/>
      <c r="H31" s="267" t="e">
        <f>LOOKUP(G31,91:91,92:92)-LOOKUP(C31,91:91,92:92)+100</f>
        <v>#N/A</v>
      </c>
      <c r="I31" s="262"/>
      <c r="J31" s="267" t="e">
        <f>LOOKUP(I31,91:91,92:92)-LOOKUP(C31,91:91,92:92)+100</f>
        <v>#N/A</v>
      </c>
      <c r="K31" s="417"/>
      <c r="L31" s="403"/>
      <c r="M31" s="404"/>
      <c r="N31" s="404"/>
      <c r="O31" s="405"/>
      <c r="P31" s="3843"/>
      <c r="Q31" s="475" t="str">
        <f t="shared" si="8"/>
        <v>停车位面积</v>
      </c>
      <c r="R31" s="472" t="s">
        <v>1045</v>
      </c>
      <c r="S31" s="473" t="e">
        <f t="shared" si="9"/>
        <v>#N/A</v>
      </c>
      <c r="T31" s="472" t="s">
        <v>1045</v>
      </c>
      <c r="U31" s="473" t="e">
        <f t="shared" si="10"/>
        <v>#N/A</v>
      </c>
      <c r="V31" s="472" t="s">
        <v>1045</v>
      </c>
      <c r="W31" s="473" t="e">
        <f t="shared" si="11"/>
        <v>#N/A</v>
      </c>
      <c r="X31" s="474"/>
      <c r="Y31" s="3843"/>
      <c r="Z31" s="492" t="str">
        <f t="shared" si="12"/>
        <v>停车位面积</v>
      </c>
      <c r="AA31" s="491" t="e">
        <f t="shared" si="3"/>
        <v>#N/A</v>
      </c>
      <c r="AB31" s="491" t="e">
        <f t="shared" si="4"/>
        <v>#N/A</v>
      </c>
      <c r="AC31" s="491" t="e">
        <f t="shared" si="5"/>
        <v>#N/A</v>
      </c>
    </row>
    <row r="32" spans="1:29" ht="15">
      <c r="A32" s="536"/>
      <c r="B32" s="534" t="s">
        <v>2468</v>
      </c>
      <c r="C32" s="314"/>
      <c r="D32" s="267">
        <v>100</v>
      </c>
      <c r="E32" s="314"/>
      <c r="F32" s="297">
        <f>SUMIF(93:93,E32,94:94)-SUMIF(93:93,C32,94:94)+100</f>
        <v>100</v>
      </c>
      <c r="G32" s="314"/>
      <c r="H32" s="267">
        <f>SUMIF(93:93,G32,94:94)-SUMIF(93:93,C32,94:94)+100</f>
        <v>100</v>
      </c>
      <c r="I32" s="314"/>
      <c r="J32" s="267">
        <f>SUMIF(93:93,I32,94:94)-SUMIF(93:93,C32,94:94)+100</f>
        <v>100</v>
      </c>
      <c r="K32" s="417"/>
      <c r="L32" s="413"/>
      <c r="M32" s="401"/>
      <c r="N32" s="401"/>
      <c r="O32" s="412"/>
      <c r="P32" s="3843" t="s">
        <v>1060</v>
      </c>
      <c r="Q32" s="406" t="str">
        <f t="shared" si="8"/>
        <v>车位类型</v>
      </c>
      <c r="R32" s="476" t="s">
        <v>1045</v>
      </c>
      <c r="S32" s="477">
        <f t="shared" si="9"/>
        <v>100</v>
      </c>
      <c r="T32" s="476" t="s">
        <v>1045</v>
      </c>
      <c r="U32" s="477">
        <f t="shared" si="10"/>
        <v>100</v>
      </c>
      <c r="V32" s="476" t="s">
        <v>1045</v>
      </c>
      <c r="W32" s="477">
        <f t="shared" si="11"/>
        <v>100</v>
      </c>
      <c r="X32" s="471"/>
      <c r="Y32" s="3843" t="s">
        <v>1060</v>
      </c>
      <c r="Z32" s="470" t="str">
        <f t="shared" si="12"/>
        <v>车位类型</v>
      </c>
      <c r="AA32" s="482">
        <f t="shared" si="3"/>
        <v>1</v>
      </c>
      <c r="AB32" s="482">
        <f t="shared" si="4"/>
        <v>1</v>
      </c>
      <c r="AC32" s="482">
        <f t="shared" si="5"/>
        <v>1</v>
      </c>
    </row>
    <row r="33" spans="1:29" ht="15">
      <c r="A33" s="536"/>
      <c r="B33" s="534" t="s">
        <v>2469</v>
      </c>
      <c r="C33" s="314"/>
      <c r="D33" s="267">
        <v>100</v>
      </c>
      <c r="E33" s="314"/>
      <c r="F33" s="297">
        <f>SUMIF(95:95,E33,96:96)-SUMIF(95:95,C33,96:96)+100</f>
        <v>100</v>
      </c>
      <c r="G33" s="314"/>
      <c r="H33" s="267">
        <f>SUMIF(95:95,G33,96:96)-SUMIF(95:95,C33,96:96)+100</f>
        <v>100</v>
      </c>
      <c r="I33" s="314"/>
      <c r="J33" s="267">
        <f>SUMIF(95:95,I33,96:96)-SUMIF(95:95,C33,96:96)+100</f>
        <v>100</v>
      </c>
      <c r="K33" s="417"/>
      <c r="L33" s="413"/>
      <c r="M33" s="401"/>
      <c r="N33" s="401"/>
      <c r="O33" s="412"/>
      <c r="P33" s="3843"/>
      <c r="Q33" s="406" t="str">
        <f t="shared" si="8"/>
        <v>是否直接入户</v>
      </c>
      <c r="R33" s="476" t="s">
        <v>1045</v>
      </c>
      <c r="S33" s="477">
        <f t="shared" si="9"/>
        <v>100</v>
      </c>
      <c r="T33" s="476" t="s">
        <v>1045</v>
      </c>
      <c r="U33" s="477">
        <f t="shared" si="10"/>
        <v>100</v>
      </c>
      <c r="V33" s="476" t="s">
        <v>1045</v>
      </c>
      <c r="W33" s="477">
        <f t="shared" si="11"/>
        <v>100</v>
      </c>
      <c r="X33" s="471"/>
      <c r="Y33" s="3843"/>
      <c r="Z33" s="470" t="str">
        <f t="shared" si="12"/>
        <v>是否直接入户</v>
      </c>
      <c r="AA33" s="482">
        <f t="shared" si="3"/>
        <v>1</v>
      </c>
      <c r="AB33" s="482">
        <f t="shared" si="4"/>
        <v>1</v>
      </c>
      <c r="AC33" s="482">
        <f t="shared" si="5"/>
        <v>1</v>
      </c>
    </row>
    <row r="34" spans="1:29" ht="15">
      <c r="A34" s="536"/>
      <c r="B34" s="525">
        <v>111</v>
      </c>
      <c r="C34" s="261"/>
      <c r="D34" s="267">
        <v>100</v>
      </c>
      <c r="E34" s="261"/>
      <c r="F34" s="297">
        <f>SUMIF(97:97,E34,98:98)-SUMIF(97:97,C34,98:98)+100</f>
        <v>100</v>
      </c>
      <c r="G34" s="261"/>
      <c r="H34" s="267">
        <f>SUMIF(97:97,G34,98:98)-SUMIF(97:97,C34,98:98)+100</f>
        <v>100</v>
      </c>
      <c r="I34" s="261"/>
      <c r="J34" s="267">
        <f>SUMIF(97:97,I34,98:98)-SUMIF(97:97,C34,98:98)+100</f>
        <v>100</v>
      </c>
      <c r="K34" s="410"/>
      <c r="L34" s="413"/>
      <c r="M34" s="401"/>
      <c r="N34" s="401"/>
      <c r="O34" s="412"/>
      <c r="P34" s="3843"/>
      <c r="Q34" s="406">
        <f t="shared" si="8"/>
        <v>111</v>
      </c>
      <c r="R34" s="476" t="s">
        <v>1045</v>
      </c>
      <c r="S34" s="477">
        <f t="shared" si="9"/>
        <v>100</v>
      </c>
      <c r="T34" s="476" t="s">
        <v>1045</v>
      </c>
      <c r="U34" s="477">
        <f t="shared" si="10"/>
        <v>100</v>
      </c>
      <c r="V34" s="476" t="s">
        <v>1045</v>
      </c>
      <c r="W34" s="477">
        <f t="shared" si="11"/>
        <v>100</v>
      </c>
      <c r="X34" s="471"/>
      <c r="Y34" s="3843"/>
      <c r="Z34" s="470">
        <f t="shared" si="12"/>
        <v>111</v>
      </c>
      <c r="AA34" s="482">
        <f t="shared" si="3"/>
        <v>1</v>
      </c>
      <c r="AB34" s="482">
        <f t="shared" si="4"/>
        <v>1</v>
      </c>
      <c r="AC34" s="482">
        <f t="shared" si="5"/>
        <v>1</v>
      </c>
    </row>
    <row r="35" spans="1:29" s="212" customFormat="1" ht="15">
      <c r="A35" s="533"/>
      <c r="B35" s="525">
        <v>111</v>
      </c>
      <c r="C35" s="261"/>
      <c r="D35" s="267">
        <v>100</v>
      </c>
      <c r="E35" s="261"/>
      <c r="F35" s="297">
        <f>SUMIF(99:99,E35,100:100)-SUMIF(99:99,C35,100:100)+100</f>
        <v>100</v>
      </c>
      <c r="G35" s="261"/>
      <c r="H35" s="267">
        <f>SUMIF(99:99,G35,100:100)-SUMIF(99:99,C35,100:100)+100</f>
        <v>100</v>
      </c>
      <c r="I35" s="261"/>
      <c r="J35" s="267">
        <f>SUMIF(99:99,I35,100:100)-SUMIF(99:99,C35,100:100)+100</f>
        <v>100</v>
      </c>
      <c r="K35" s="410"/>
      <c r="L35" s="411"/>
      <c r="M35" s="418"/>
      <c r="N35" s="418"/>
      <c r="O35" s="419"/>
      <c r="P35" s="3843"/>
      <c r="Q35" s="478">
        <f t="shared" si="8"/>
        <v>111</v>
      </c>
      <c r="R35" s="479" t="s">
        <v>1045</v>
      </c>
      <c r="S35" s="480">
        <f t="shared" si="9"/>
        <v>100</v>
      </c>
      <c r="T35" s="479" t="s">
        <v>1045</v>
      </c>
      <c r="U35" s="480">
        <f t="shared" si="10"/>
        <v>100</v>
      </c>
      <c r="V35" s="479" t="s">
        <v>1045</v>
      </c>
      <c r="W35" s="480">
        <f t="shared" si="11"/>
        <v>100</v>
      </c>
      <c r="X35" s="481"/>
      <c r="Y35" s="3843"/>
      <c r="Z35" s="493">
        <f t="shared" si="12"/>
        <v>111</v>
      </c>
      <c r="AA35" s="482">
        <f t="shared" si="3"/>
        <v>1</v>
      </c>
      <c r="AB35" s="482">
        <f t="shared" si="4"/>
        <v>1</v>
      </c>
      <c r="AC35" s="482">
        <f t="shared" si="5"/>
        <v>1</v>
      </c>
    </row>
    <row r="36" spans="1:29" ht="15">
      <c r="A36" s="538"/>
      <c r="B36" s="527">
        <v>111</v>
      </c>
      <c r="C36" s="266"/>
      <c r="D36" s="267">
        <v>100</v>
      </c>
      <c r="E36" s="261"/>
      <c r="F36" s="297">
        <f>SUMIF(101:101,E36,102:102)-SUMIF(101:101,C36,102:102)+100</f>
        <v>100</v>
      </c>
      <c r="G36" s="261"/>
      <c r="H36" s="267">
        <f>SUMIF(101:101,G36,102:102)-SUMIF(101:101,C36,102:102)+100</f>
        <v>100</v>
      </c>
      <c r="I36" s="261"/>
      <c r="J36" s="267">
        <f>SUMIF(101:101,I36,102:102)-SUMIF(101:101,C36,102:102)+100</f>
        <v>100</v>
      </c>
      <c r="K36" s="410"/>
      <c r="L36" s="413"/>
      <c r="M36" s="401"/>
      <c r="N36" s="401"/>
      <c r="O36" s="412"/>
      <c r="P36" s="3843"/>
      <c r="Q36" s="406">
        <f t="shared" si="8"/>
        <v>111</v>
      </c>
      <c r="R36" s="476" t="s">
        <v>1045</v>
      </c>
      <c r="S36" s="477">
        <f t="shared" si="9"/>
        <v>100</v>
      </c>
      <c r="T36" s="476" t="s">
        <v>1045</v>
      </c>
      <c r="U36" s="477">
        <f t="shared" si="10"/>
        <v>100</v>
      </c>
      <c r="V36" s="476" t="s">
        <v>1045</v>
      </c>
      <c r="W36" s="477">
        <f t="shared" si="11"/>
        <v>100</v>
      </c>
      <c r="X36" s="471"/>
      <c r="Y36" s="3843"/>
      <c r="Z36" s="470">
        <f t="shared" si="12"/>
        <v>111</v>
      </c>
      <c r="AA36" s="482">
        <f t="shared" si="3"/>
        <v>1</v>
      </c>
      <c r="AB36" s="482">
        <f t="shared" si="4"/>
        <v>1</v>
      </c>
      <c r="AC36" s="482">
        <f t="shared" si="5"/>
        <v>1</v>
      </c>
    </row>
    <row r="37" spans="1:29" ht="15">
      <c r="A37" s="539" t="s">
        <v>2470</v>
      </c>
      <c r="B37" s="540" t="s">
        <v>1123</v>
      </c>
      <c r="C37" s="325" t="s">
        <v>138</v>
      </c>
      <c r="D37" s="326"/>
      <c r="E37" s="327"/>
      <c r="F37" s="328"/>
      <c r="G37" s="329"/>
      <c r="H37" s="330"/>
      <c r="I37" s="327"/>
      <c r="J37" s="330"/>
      <c r="K37" s="420"/>
      <c r="L37" s="421"/>
      <c r="M37" s="351"/>
      <c r="N37" s="401"/>
      <c r="O37" s="351"/>
      <c r="P37" s="3834" t="str">
        <f>A37</f>
        <v>成交单价</v>
      </c>
      <c r="Q37" s="3834"/>
      <c r="R37" s="3949">
        <f>E37</f>
        <v>0</v>
      </c>
      <c r="S37" s="3949"/>
      <c r="T37" s="3949">
        <f>G37</f>
        <v>0</v>
      </c>
      <c r="U37" s="3949"/>
      <c r="V37" s="3949">
        <f>I37</f>
        <v>0</v>
      </c>
      <c r="W37" s="3949"/>
      <c r="X37" s="353"/>
      <c r="Y37" s="494"/>
      <c r="Z37" s="353"/>
      <c r="AA37" s="353"/>
      <c r="AB37" s="353"/>
      <c r="AC37" s="353"/>
    </row>
    <row r="38" spans="1:29" ht="15">
      <c r="A38" s="331" t="s">
        <v>1069</v>
      </c>
      <c r="B38" s="332"/>
      <c r="C38" s="333" t="e">
        <f>R39</f>
        <v>#DIV/0!</v>
      </c>
      <c r="D38" s="334" t="s">
        <v>1070</v>
      </c>
      <c r="E38" s="335" t="e">
        <f>R38</f>
        <v>#DIV/0!</v>
      </c>
      <c r="F38" s="336"/>
      <c r="G38" s="333" t="e">
        <f>T38</f>
        <v>#DIV/0!</v>
      </c>
      <c r="H38" s="336"/>
      <c r="I38" s="335" t="e">
        <f>V38</f>
        <v>#DIV/0!</v>
      </c>
      <c r="J38" s="336"/>
      <c r="K38" s="422">
        <f>F38+H38+J38</f>
        <v>0</v>
      </c>
      <c r="L38" s="421"/>
      <c r="M38" s="351"/>
      <c r="N38" s="351"/>
      <c r="O38" s="351"/>
      <c r="P38" s="3834" t="str">
        <f>A38</f>
        <v>比较价格（元/平方米）</v>
      </c>
      <c r="Q38" s="3834"/>
      <c r="R38" s="3949" t="e">
        <f>IF(F1="售价",ROUND(PRODUCT(R37,AA7:AA36),0),ROUND(PRODUCT(R37,AA7:AA36),1))</f>
        <v>#DIV/0!</v>
      </c>
      <c r="S38" s="3949"/>
      <c r="T38" s="3949" t="e">
        <f>IF(F1="售价",ROUND(PRODUCT(T37,AB7:AB36),0),ROUND(PRODUCT(T37,AB7:AB36),1))</f>
        <v>#DIV/0!</v>
      </c>
      <c r="U38" s="3949"/>
      <c r="V38" s="3949" t="e">
        <f>IF(F1="售价",ROUND(PRODUCT(V37,AC7:AC36),0),ROUND(PRODUCT(V37,AC7:AC36),1))</f>
        <v>#DIV/0!</v>
      </c>
      <c r="W38" s="3949"/>
      <c r="X38" s="353"/>
      <c r="Y38" s="353"/>
      <c r="Z38" s="353"/>
      <c r="AA38" s="353"/>
      <c r="AB38" s="353"/>
      <c r="AC38" s="353"/>
    </row>
    <row r="39" spans="1:29" ht="15">
      <c r="A39" s="337" t="s">
        <v>1071</v>
      </c>
      <c r="B39" s="338"/>
      <c r="C39" s="339" t="e">
        <f>R39</f>
        <v>#DIV/0!</v>
      </c>
      <c r="D39" s="339"/>
      <c r="E39" s="339"/>
      <c r="F39" s="339"/>
      <c r="G39" s="339"/>
      <c r="H39" s="339"/>
      <c r="I39" s="339"/>
      <c r="J39" s="339"/>
      <c r="K39" s="423"/>
      <c r="L39" s="421"/>
      <c r="M39" s="351"/>
      <c r="N39" s="351"/>
      <c r="O39" s="351"/>
      <c r="P39" s="3837" t="str">
        <f>A39</f>
        <v>估价对象XX用房的比较价格（楼面单价，元/平方米）</v>
      </c>
      <c r="Q39" s="3838"/>
      <c r="R39" s="3950" t="e">
        <f>IF(F1="售价",ROUND(IF(D38="简单平均",AVERAGE(R38:W38),R38*F38+T38*H38+V38*J38),0),ROUND(IF(D38="简单平均",AVERAGE(R38:V38),R38*F38+T38*H38+V38*J38),1))</f>
        <v>#DIV/0!</v>
      </c>
      <c r="S39" s="3950"/>
      <c r="T39" s="3950"/>
      <c r="U39" s="3950"/>
      <c r="V39" s="3950"/>
      <c r="W39" s="3950"/>
      <c r="X39" s="353"/>
      <c r="Y39" s="353"/>
      <c r="Z39" s="353"/>
      <c r="AA39" s="353"/>
      <c r="AB39" s="353"/>
      <c r="AC39" s="353"/>
    </row>
    <row r="40" spans="1:29">
      <c r="A40" s="340"/>
      <c r="B40" s="340"/>
      <c r="C40" s="340"/>
      <c r="D40" s="340"/>
      <c r="E40" s="340"/>
      <c r="F40" s="340"/>
      <c r="G40" s="341"/>
      <c r="H40" s="340"/>
      <c r="I40" s="340"/>
      <c r="J40" s="340"/>
      <c r="K40" s="425"/>
      <c r="L40" s="426"/>
      <c r="M40" s="351"/>
      <c r="N40" s="351"/>
      <c r="O40" s="351"/>
      <c r="P40" s="351"/>
      <c r="Q40" s="351"/>
      <c r="R40" s="351"/>
      <c r="S40" s="351"/>
      <c r="T40" s="351"/>
      <c r="U40" s="351"/>
      <c r="V40" s="351"/>
      <c r="W40" s="351"/>
      <c r="X40" s="351"/>
      <c r="Y40" s="351"/>
      <c r="Z40" s="351"/>
      <c r="AA40" s="351"/>
      <c r="AB40" s="351"/>
      <c r="AC40" s="351"/>
    </row>
    <row r="41" spans="1:29">
      <c r="A41" s="340"/>
      <c r="B41" s="340"/>
      <c r="C41" s="340"/>
      <c r="D41" s="340"/>
      <c r="E41" s="340"/>
      <c r="F41" s="340"/>
      <c r="G41" s="340"/>
      <c r="H41" s="340"/>
      <c r="I41" s="340"/>
      <c r="J41" s="340"/>
      <c r="K41" s="425"/>
      <c r="L41" s="426"/>
      <c r="M41" s="351"/>
      <c r="N41" s="351"/>
      <c r="O41" s="351"/>
      <c r="P41" s="351"/>
      <c r="Q41" s="351"/>
      <c r="R41" s="351"/>
      <c r="S41" s="351"/>
      <c r="T41" s="351"/>
      <c r="U41" s="351"/>
      <c r="V41" s="351"/>
      <c r="W41" s="351"/>
      <c r="X41" s="351"/>
      <c r="Y41" s="351"/>
      <c r="Z41" s="351"/>
      <c r="AA41" s="351"/>
      <c r="AB41" s="351"/>
      <c r="AC41" s="351"/>
    </row>
    <row r="42" spans="1:29" ht="13.5" customHeight="1">
      <c r="A42" s="340"/>
      <c r="B42" s="340"/>
      <c r="C42" s="342" t="s">
        <v>1072</v>
      </c>
      <c r="D42" s="343"/>
      <c r="E42" s="344" t="e">
        <f>IF(E37&lt;E38,E38/E37-1,E37/E38-1)</f>
        <v>#DIV/0!</v>
      </c>
      <c r="F42" s="345" t="e">
        <f>IF(OR(E42&gt;=0.3,E42&lt;=-0.3),"超过30%","")</f>
        <v>#DIV/0!</v>
      </c>
      <c r="G42" s="344" t="e">
        <f>IF(G37&lt;G38,G38/G37-1,G37/G38-1)</f>
        <v>#DIV/0!</v>
      </c>
      <c r="H42" s="345" t="e">
        <f>IF(OR(G42&gt;=0.3,G42&lt;=-0.3),"超过30%","")</f>
        <v>#DIV/0!</v>
      </c>
      <c r="I42" s="344" t="e">
        <f>IF(I37&lt;I38,I38/I37-1,I37/I38-1)</f>
        <v>#DIV/0!</v>
      </c>
      <c r="J42" s="345" t="e">
        <f>IF(OR(I42&gt;=0.3,I42&lt;=-0.3),"超过30%","")</f>
        <v>#DIV/0!</v>
      </c>
      <c r="K42" s="425"/>
      <c r="L42" s="426"/>
      <c r="M42" s="351"/>
      <c r="N42" s="351"/>
      <c r="O42" s="351"/>
      <c r="P42" s="351"/>
      <c r="Q42" s="351"/>
      <c r="R42" s="351"/>
      <c r="S42" s="351"/>
      <c r="T42" s="351"/>
      <c r="U42" s="351"/>
      <c r="V42" s="351"/>
      <c r="W42" s="351"/>
      <c r="X42" s="351"/>
      <c r="Y42" s="351"/>
      <c r="Z42" s="351"/>
      <c r="AA42" s="351"/>
      <c r="AB42" s="351"/>
      <c r="AC42" s="351"/>
    </row>
    <row r="43" spans="1:29" ht="13.5" customHeight="1">
      <c r="A43" s="340"/>
      <c r="B43" s="340"/>
      <c r="C43" s="342" t="s">
        <v>1073</v>
      </c>
      <c r="D43" s="346"/>
      <c r="E43" s="344" t="e">
        <f>IF(E38&lt;G38,G38/E38-1,E38/G38-1)</f>
        <v>#DIV/0!</v>
      </c>
      <c r="F43" s="345" t="e">
        <f>IF(OR(E43&gt;=0.2,E43&lt;=-0.2),"超过20%","")</f>
        <v>#DIV/0!</v>
      </c>
      <c r="G43" s="344" t="e">
        <f>IF(G38&lt;I38,I38/G38-1,G38/I38-1)</f>
        <v>#DIV/0!</v>
      </c>
      <c r="H43" s="345" t="e">
        <f>IF(OR(G43&gt;=0.2,G43&lt;=-0.2),"超过20%","")</f>
        <v>#DIV/0!</v>
      </c>
      <c r="I43" s="344" t="e">
        <f>IF(I38&lt;E38,E38/I38-1,I38/E38-1)</f>
        <v>#DIV/0!</v>
      </c>
      <c r="J43" s="345" t="e">
        <f>IF(OR(I43&gt;=0.2,I43&lt;=-0.2),"超过20%","")</f>
        <v>#DIV/0!</v>
      </c>
      <c r="K43" s="425"/>
      <c r="L43" s="426"/>
      <c r="M43" s="351"/>
      <c r="N43" s="351"/>
      <c r="O43" s="351"/>
      <c r="P43" s="351"/>
      <c r="Q43" s="351"/>
      <c r="R43" s="351"/>
      <c r="S43" s="351"/>
      <c r="T43" s="351"/>
      <c r="U43" s="351"/>
      <c r="V43" s="351"/>
      <c r="W43" s="351"/>
      <c r="X43" s="351"/>
      <c r="Y43" s="351"/>
      <c r="Z43" s="351"/>
      <c r="AA43" s="351"/>
      <c r="AB43" s="351"/>
      <c r="AC43" s="351"/>
    </row>
    <row r="44" spans="1:29" s="213" customFormat="1" ht="13.5" customHeight="1">
      <c r="A44" s="347"/>
      <c r="B44" s="347"/>
      <c r="C44" s="342" t="s">
        <v>1074</v>
      </c>
      <c r="D44" s="346"/>
      <c r="E44" s="344" t="e">
        <f>IF(E37&lt;G37,G37/E37-1,E37/G37-1)</f>
        <v>#DIV/0!</v>
      </c>
      <c r="F44" s="345" t="e">
        <f>IF(OR(E44&gt;=0.3,E44&lt;=-0.3),"超过30%","")</f>
        <v>#DIV/0!</v>
      </c>
      <c r="G44" s="344" t="e">
        <f>IF(G37&lt;I37,I37/G37-1,G37/I37-1)</f>
        <v>#DIV/0!</v>
      </c>
      <c r="H44" s="345" t="e">
        <f>IF(OR(G44&gt;=0.3,G44&lt;=-0.3),"超过30%","")</f>
        <v>#DIV/0!</v>
      </c>
      <c r="I44" s="344" t="e">
        <f>IF(I37&lt;E37,E37/I37-1,I37/E37-1)</f>
        <v>#DIV/0!</v>
      </c>
      <c r="J44" s="345" t="e">
        <f>IF(OR(I44&gt;=0.3,I44&lt;=-0.3),"超过30%","")</f>
        <v>#DIV/0!</v>
      </c>
      <c r="K44" s="427"/>
      <c r="L44" s="428"/>
      <c r="M44" s="348"/>
      <c r="N44" s="348"/>
      <c r="O44" s="348"/>
      <c r="P44" s="348"/>
      <c r="Q44" s="348"/>
      <c r="R44" s="348"/>
      <c r="S44" s="348"/>
      <c r="T44" s="348"/>
      <c r="U44" s="348"/>
      <c r="V44" s="348"/>
      <c r="W44" s="348"/>
      <c r="X44" s="348"/>
      <c r="Y44" s="348"/>
      <c r="Z44" s="348"/>
      <c r="AA44" s="348"/>
      <c r="AB44" s="348"/>
      <c r="AC44" s="348"/>
    </row>
    <row r="45" spans="1:29" s="213" customFormat="1">
      <c r="A45" s="348"/>
      <c r="B45" s="349"/>
      <c r="C45" s="350"/>
      <c r="D45" s="348"/>
      <c r="E45" s="348"/>
      <c r="F45" s="348"/>
      <c r="G45" s="348"/>
      <c r="H45" s="348"/>
      <c r="I45" s="348"/>
      <c r="J45" s="348"/>
      <c r="K45" s="429"/>
      <c r="L45" s="428"/>
      <c r="M45" s="348"/>
      <c r="N45" s="348"/>
      <c r="O45" s="348"/>
      <c r="P45" s="348"/>
      <c r="Q45" s="348"/>
      <c r="R45" s="348"/>
      <c r="S45" s="348"/>
      <c r="T45" s="348"/>
      <c r="U45" s="348"/>
      <c r="V45" s="348"/>
      <c r="W45" s="348"/>
      <c r="X45" s="348"/>
      <c r="Y45" s="348"/>
      <c r="Z45" s="348"/>
      <c r="AA45" s="348"/>
      <c r="AB45" s="348"/>
      <c r="AC45" s="348"/>
    </row>
    <row r="46" spans="1:29">
      <c r="A46" s="351"/>
      <c r="B46" s="349"/>
      <c r="C46" s="350"/>
      <c r="D46" s="351"/>
      <c r="E46" s="351"/>
      <c r="F46" s="351"/>
      <c r="G46" s="351"/>
      <c r="H46" s="351"/>
      <c r="I46" s="351"/>
      <c r="J46" s="351"/>
      <c r="K46" s="430"/>
      <c r="L46" s="426"/>
      <c r="M46" s="351"/>
      <c r="N46" s="351"/>
      <c r="O46" s="351"/>
      <c r="P46" s="351"/>
      <c r="Q46" s="351"/>
      <c r="R46" s="351"/>
      <c r="S46" s="351"/>
      <c r="T46" s="351"/>
      <c r="U46" s="351"/>
      <c r="V46" s="351"/>
      <c r="W46" s="351"/>
      <c r="X46" s="351"/>
      <c r="Y46" s="351"/>
      <c r="Z46" s="351"/>
      <c r="AA46" s="351"/>
      <c r="AB46" s="351"/>
      <c r="AC46" s="351"/>
    </row>
    <row r="47" spans="1:29" ht="21">
      <c r="A47" s="352" t="s">
        <v>1095</v>
      </c>
      <c r="B47" s="353"/>
      <c r="C47" s="433"/>
      <c r="D47" s="433"/>
      <c r="E47" s="433"/>
      <c r="F47" s="541"/>
      <c r="G47" s="541"/>
      <c r="H47" s="433"/>
      <c r="I47" s="433"/>
      <c r="J47" s="433"/>
      <c r="K47" s="543"/>
      <c r="L47" s="544"/>
      <c r="M47" s="433"/>
      <c r="N47" s="433"/>
      <c r="O47" s="433"/>
      <c r="P47" s="433"/>
      <c r="Q47" s="437"/>
      <c r="R47" s="351"/>
      <c r="S47" s="351"/>
      <c r="T47" s="351"/>
      <c r="U47" s="351"/>
      <c r="V47" s="351"/>
      <c r="W47" s="351"/>
      <c r="X47" s="351"/>
      <c r="Y47" s="351"/>
      <c r="Z47" s="351"/>
      <c r="AA47" s="351"/>
      <c r="AB47" s="351"/>
      <c r="AC47" s="351"/>
    </row>
    <row r="48" spans="1:29" s="214" customFormat="1" ht="15">
      <c r="A48" s="356" t="s">
        <v>1043</v>
      </c>
      <c r="B48" s="357"/>
      <c r="C48" s="358" t="str">
        <f>YEAR(C7)&amp;"-"&amp;MONTH(C7)</f>
        <v>2023-11</v>
      </c>
      <c r="D48" s="359">
        <f>EDATE(C48,-1)</f>
        <v>45200</v>
      </c>
      <c r="E48" s="359">
        <f t="shared" ref="E48:O48" si="13">EDATE(D48,-1)</f>
        <v>45170</v>
      </c>
      <c r="F48" s="359">
        <f t="shared" si="13"/>
        <v>45139</v>
      </c>
      <c r="G48" s="359">
        <f t="shared" si="13"/>
        <v>45108</v>
      </c>
      <c r="H48" s="359">
        <f t="shared" si="13"/>
        <v>45078</v>
      </c>
      <c r="I48" s="359">
        <f t="shared" si="13"/>
        <v>45047</v>
      </c>
      <c r="J48" s="359">
        <f t="shared" si="13"/>
        <v>45017</v>
      </c>
      <c r="K48" s="359">
        <f t="shared" si="13"/>
        <v>44986</v>
      </c>
      <c r="L48" s="359">
        <f t="shared" si="13"/>
        <v>44958</v>
      </c>
      <c r="M48" s="359">
        <f t="shared" si="13"/>
        <v>44927</v>
      </c>
      <c r="N48" s="359">
        <f t="shared" si="13"/>
        <v>44896</v>
      </c>
      <c r="O48" s="359">
        <f t="shared" si="13"/>
        <v>44866</v>
      </c>
      <c r="P48" s="434"/>
      <c r="Q48" s="483"/>
      <c r="R48" s="483"/>
      <c r="S48" s="483"/>
      <c r="T48" s="483"/>
      <c r="U48" s="483"/>
      <c r="V48" s="483"/>
      <c r="W48" s="483"/>
      <c r="X48" s="483"/>
      <c r="Y48" s="483"/>
      <c r="Z48" s="483"/>
      <c r="AA48" s="483"/>
      <c r="AB48" s="483"/>
      <c r="AC48" s="483"/>
    </row>
    <row r="49" spans="1:29" s="210" customFormat="1" ht="15">
      <c r="A49" s="360"/>
      <c r="B49" s="361"/>
      <c r="C49" s="542">
        <v>100</v>
      </c>
      <c r="D49" s="363"/>
      <c r="E49" s="363"/>
      <c r="F49" s="363"/>
      <c r="G49" s="363"/>
      <c r="H49" s="363"/>
      <c r="I49" s="363"/>
      <c r="J49" s="363"/>
      <c r="K49" s="363"/>
      <c r="L49" s="363"/>
      <c r="M49" s="435"/>
      <c r="N49" s="363"/>
      <c r="O49" s="436"/>
      <c r="P49" s="437"/>
      <c r="Q49" s="484"/>
      <c r="R49" s="484"/>
      <c r="S49" s="484"/>
      <c r="T49" s="484"/>
      <c r="U49" s="484"/>
      <c r="V49" s="484"/>
      <c r="W49" s="484"/>
      <c r="X49" s="484"/>
      <c r="Y49" s="484"/>
      <c r="Z49" s="484"/>
      <c r="AA49" s="484"/>
      <c r="AB49" s="484"/>
      <c r="AC49" s="484"/>
    </row>
    <row r="50" spans="1:29" s="210" customFormat="1" ht="15">
      <c r="A50" s="364" t="s">
        <v>1114</v>
      </c>
      <c r="B50" s="365"/>
      <c r="C50" s="366"/>
      <c r="D50" s="367"/>
      <c r="E50" s="367"/>
      <c r="F50" s="367"/>
      <c r="G50" s="367"/>
      <c r="H50" s="367"/>
      <c r="I50" s="367"/>
      <c r="J50" s="367"/>
      <c r="K50" s="367"/>
      <c r="L50" s="367"/>
      <c r="M50" s="438"/>
      <c r="N50" s="367"/>
      <c r="O50" s="439"/>
      <c r="P50" s="437"/>
      <c r="Q50" s="437"/>
      <c r="R50" s="484"/>
      <c r="S50" s="484"/>
      <c r="T50" s="484"/>
      <c r="U50" s="484"/>
      <c r="V50" s="484"/>
      <c r="W50" s="484"/>
      <c r="X50" s="484"/>
      <c r="Y50" s="484"/>
      <c r="Z50" s="484"/>
      <c r="AA50" s="484"/>
      <c r="AB50" s="484"/>
      <c r="AC50" s="484"/>
    </row>
    <row r="51" spans="1:29" s="210" customFormat="1" ht="15">
      <c r="A51" s="368" t="s">
        <v>1046</v>
      </c>
      <c r="B51" s="361"/>
      <c r="C51" s="369" t="s">
        <v>1047</v>
      </c>
      <c r="D51" s="370"/>
      <c r="E51" s="370"/>
      <c r="F51" s="370"/>
      <c r="G51" s="370"/>
      <c r="H51" s="370"/>
      <c r="I51" s="370"/>
      <c r="J51" s="370"/>
      <c r="K51" s="370"/>
      <c r="L51" s="440"/>
      <c r="M51" s="441"/>
      <c r="N51" s="442"/>
      <c r="O51" s="442"/>
      <c r="P51" s="443"/>
      <c r="Q51" s="437"/>
      <c r="R51" s="484"/>
      <c r="S51" s="484"/>
      <c r="T51" s="484"/>
      <c r="U51" s="484"/>
      <c r="V51" s="484"/>
      <c r="W51" s="484"/>
      <c r="X51" s="484"/>
      <c r="Y51" s="484"/>
      <c r="Z51" s="484"/>
      <c r="AA51" s="484"/>
      <c r="AB51" s="484"/>
      <c r="AC51" s="484"/>
    </row>
    <row r="52" spans="1:29" s="210" customFormat="1" ht="15">
      <c r="A52" s="368"/>
      <c r="B52" s="361"/>
      <c r="C52" s="362">
        <v>100</v>
      </c>
      <c r="D52" s="363"/>
      <c r="E52" s="363"/>
      <c r="F52" s="363"/>
      <c r="G52" s="363"/>
      <c r="H52" s="363"/>
      <c r="I52" s="363"/>
      <c r="J52" s="363"/>
      <c r="K52" s="363"/>
      <c r="L52" s="363"/>
      <c r="M52" s="436"/>
      <c r="N52" s="442"/>
      <c r="O52" s="442"/>
      <c r="P52" s="437"/>
      <c r="Q52" s="437"/>
      <c r="R52" s="484"/>
      <c r="S52" s="484"/>
      <c r="T52" s="484"/>
      <c r="U52" s="484"/>
      <c r="V52" s="484"/>
      <c r="W52" s="484"/>
      <c r="X52" s="484"/>
      <c r="Y52" s="484"/>
      <c r="Z52" s="484"/>
      <c r="AA52" s="484"/>
      <c r="AB52" s="484"/>
      <c r="AC52" s="484"/>
    </row>
    <row r="53" spans="1:29">
      <c r="A53" s="371" t="s">
        <v>1099</v>
      </c>
      <c r="B53" s="372" t="s">
        <v>1100</v>
      </c>
      <c r="C53" s="373">
        <f>C9</f>
        <v>0</v>
      </c>
      <c r="D53" s="374"/>
      <c r="E53" s="374"/>
      <c r="F53" s="374"/>
      <c r="G53" s="374"/>
      <c r="H53" s="374"/>
      <c r="I53" s="374"/>
      <c r="J53" s="374"/>
      <c r="K53" s="444"/>
      <c r="L53" s="445"/>
      <c r="M53" s="446"/>
      <c r="N53" s="447"/>
      <c r="O53" s="447"/>
      <c r="P53" s="448"/>
      <c r="Q53" s="437"/>
      <c r="R53" s="351"/>
      <c r="S53" s="351"/>
      <c r="T53" s="351"/>
      <c r="U53" s="351"/>
      <c r="V53" s="351"/>
      <c r="W53" s="351"/>
      <c r="X53" s="351"/>
      <c r="Y53" s="351"/>
      <c r="Z53" s="351"/>
      <c r="AA53" s="351"/>
      <c r="AB53" s="351"/>
      <c r="AC53" s="351"/>
    </row>
    <row r="54" spans="1:29" ht="15">
      <c r="A54" s="375"/>
      <c r="B54" s="376"/>
      <c r="C54" s="377"/>
      <c r="D54" s="377"/>
      <c r="E54" s="377"/>
      <c r="F54" s="377"/>
      <c r="G54" s="377"/>
      <c r="H54" s="377"/>
      <c r="I54" s="377"/>
      <c r="J54" s="377"/>
      <c r="K54" s="377"/>
      <c r="L54" s="377"/>
      <c r="M54" s="449"/>
      <c r="N54" s="450"/>
      <c r="O54" s="450"/>
      <c r="P54" s="448"/>
      <c r="Q54" s="437"/>
      <c r="R54" s="351"/>
      <c r="S54" s="351"/>
      <c r="T54" s="351"/>
      <c r="U54" s="351"/>
      <c r="V54" s="351"/>
      <c r="W54" s="351"/>
      <c r="X54" s="351"/>
      <c r="Y54" s="351"/>
      <c r="Z54" s="351"/>
      <c r="AA54" s="351"/>
      <c r="AB54" s="351"/>
      <c r="AC54" s="351"/>
    </row>
    <row r="55" spans="1:29" ht="27">
      <c r="A55" s="375"/>
      <c r="B55" s="378" t="s">
        <v>1101</v>
      </c>
      <c r="C55" s="379"/>
      <c r="D55" s="379"/>
      <c r="E55" s="379"/>
      <c r="F55" s="379"/>
      <c r="G55" s="379"/>
      <c r="H55" s="379"/>
      <c r="I55" s="379"/>
      <c r="J55" s="379"/>
      <c r="K55" s="451"/>
      <c r="L55" s="452"/>
      <c r="M55" s="453"/>
      <c r="N55" s="447"/>
      <c r="O55" s="447"/>
      <c r="P55" s="448"/>
      <c r="Q55" s="437"/>
      <c r="R55" s="351"/>
      <c r="S55" s="351"/>
      <c r="T55" s="351"/>
      <c r="U55" s="351"/>
      <c r="V55" s="351"/>
      <c r="W55" s="351"/>
      <c r="X55" s="351"/>
      <c r="Y55" s="351"/>
      <c r="Z55" s="351"/>
      <c r="AA55" s="351"/>
      <c r="AB55" s="351"/>
      <c r="AC55" s="351"/>
    </row>
    <row r="56" spans="1:29" ht="15">
      <c r="A56" s="375"/>
      <c r="B56" s="380"/>
      <c r="C56" s="377"/>
      <c r="D56" s="377"/>
      <c r="E56" s="377"/>
      <c r="F56" s="377"/>
      <c r="G56" s="377"/>
      <c r="H56" s="377"/>
      <c r="I56" s="377"/>
      <c r="J56" s="377"/>
      <c r="K56" s="377"/>
      <c r="L56" s="377"/>
      <c r="M56" s="449"/>
      <c r="N56" s="450"/>
      <c r="O56" s="450"/>
      <c r="P56" s="448"/>
      <c r="Q56" s="437"/>
      <c r="R56" s="351"/>
      <c r="S56" s="351"/>
      <c r="T56" s="351"/>
      <c r="U56" s="351"/>
      <c r="V56" s="351"/>
      <c r="W56" s="351"/>
      <c r="X56" s="351"/>
      <c r="Y56" s="351"/>
      <c r="Z56" s="351"/>
      <c r="AA56" s="351"/>
      <c r="AB56" s="351"/>
      <c r="AC56" s="351"/>
    </row>
    <row r="57" spans="1:29" ht="15">
      <c r="A57" s="375"/>
      <c r="B57" s="381">
        <f>B11</f>
        <v>111</v>
      </c>
      <c r="C57" s="382"/>
      <c r="D57" s="382"/>
      <c r="E57" s="382"/>
      <c r="F57" s="382"/>
      <c r="G57" s="382"/>
      <c r="H57" s="382"/>
      <c r="I57" s="382"/>
      <c r="J57" s="382"/>
      <c r="K57" s="454"/>
      <c r="L57" s="455"/>
      <c r="M57" s="456"/>
      <c r="N57" s="447"/>
      <c r="O57" s="447"/>
      <c r="P57" s="448"/>
      <c r="Q57" s="437"/>
      <c r="R57" s="351"/>
      <c r="S57" s="351"/>
      <c r="T57" s="351"/>
      <c r="U57" s="351"/>
      <c r="V57" s="351"/>
      <c r="W57" s="351"/>
      <c r="X57" s="351"/>
      <c r="Y57" s="351"/>
      <c r="Z57" s="351"/>
      <c r="AA57" s="351"/>
      <c r="AB57" s="351"/>
      <c r="AC57" s="351"/>
    </row>
    <row r="58" spans="1:29" ht="15">
      <c r="A58" s="375"/>
      <c r="B58" s="376"/>
      <c r="C58" s="383"/>
      <c r="D58" s="377"/>
      <c r="E58" s="377"/>
      <c r="F58" s="377"/>
      <c r="G58" s="377"/>
      <c r="H58" s="377"/>
      <c r="I58" s="377"/>
      <c r="J58" s="377"/>
      <c r="K58" s="377"/>
      <c r="L58" s="377"/>
      <c r="M58" s="449"/>
      <c r="N58" s="450"/>
      <c r="O58" s="450"/>
      <c r="P58" s="448"/>
      <c r="Q58" s="437"/>
      <c r="R58" s="351"/>
      <c r="S58" s="351"/>
      <c r="T58" s="351"/>
      <c r="U58" s="351"/>
      <c r="V58" s="351"/>
      <c r="W58" s="351"/>
      <c r="X58" s="351"/>
      <c r="Y58" s="351"/>
      <c r="Z58" s="351"/>
      <c r="AA58" s="351"/>
      <c r="AB58" s="351"/>
      <c r="AC58" s="351"/>
    </row>
    <row r="59" spans="1:29" s="212" customFormat="1" ht="15">
      <c r="A59" s="384"/>
      <c r="B59" s="378">
        <f>B12</f>
        <v>111</v>
      </c>
      <c r="C59" s="382"/>
      <c r="D59" s="382"/>
      <c r="E59" s="382"/>
      <c r="F59" s="382"/>
      <c r="G59" s="385"/>
      <c r="H59" s="386"/>
      <c r="I59" s="386"/>
      <c r="J59" s="386"/>
      <c r="K59" s="386"/>
      <c r="L59" s="457"/>
      <c r="M59" s="458"/>
      <c r="N59" s="459"/>
      <c r="O59" s="459"/>
      <c r="P59" s="460"/>
      <c r="Q59" s="485"/>
      <c r="R59" s="486"/>
      <c r="S59" s="486"/>
      <c r="T59" s="486"/>
      <c r="U59" s="486"/>
      <c r="V59" s="486"/>
      <c r="W59" s="486"/>
      <c r="X59" s="486"/>
      <c r="Y59" s="486"/>
      <c r="Z59" s="486"/>
      <c r="AA59" s="486"/>
      <c r="AB59" s="486"/>
      <c r="AC59" s="486"/>
    </row>
    <row r="60" spans="1:29" s="212" customFormat="1" ht="15">
      <c r="A60" s="384"/>
      <c r="B60" s="380"/>
      <c r="C60" s="383"/>
      <c r="D60" s="377"/>
      <c r="E60" s="377"/>
      <c r="F60" s="377"/>
      <c r="G60" s="377"/>
      <c r="H60" s="377"/>
      <c r="I60" s="377"/>
      <c r="J60" s="377"/>
      <c r="K60" s="377"/>
      <c r="L60" s="377"/>
      <c r="M60" s="449"/>
      <c r="N60" s="450"/>
      <c r="O60" s="450"/>
      <c r="P60" s="460"/>
      <c r="Q60" s="485"/>
      <c r="R60" s="486"/>
      <c r="S60" s="486"/>
      <c r="T60" s="486"/>
      <c r="U60" s="486"/>
      <c r="V60" s="486"/>
      <c r="W60" s="486"/>
      <c r="X60" s="486"/>
      <c r="Y60" s="486"/>
      <c r="Z60" s="486"/>
      <c r="AA60" s="486"/>
      <c r="AB60" s="486"/>
      <c r="AC60" s="486"/>
    </row>
    <row r="61" spans="1:29" s="212" customFormat="1" ht="15">
      <c r="A61" s="384"/>
      <c r="B61" s="378">
        <f>B13</f>
        <v>111</v>
      </c>
      <c r="C61" s="385"/>
      <c r="D61" s="385"/>
      <c r="E61" s="385"/>
      <c r="F61" s="385"/>
      <c r="G61" s="385"/>
      <c r="H61" s="386"/>
      <c r="I61" s="386"/>
      <c r="J61" s="386"/>
      <c r="K61" s="386"/>
      <c r="L61" s="457"/>
      <c r="M61" s="458"/>
      <c r="N61" s="459"/>
      <c r="O61" s="459"/>
      <c r="P61" s="418"/>
      <c r="Q61" s="487"/>
      <c r="R61" s="486"/>
      <c r="S61" s="486"/>
      <c r="T61" s="486"/>
      <c r="U61" s="486"/>
      <c r="V61" s="486"/>
      <c r="W61" s="486"/>
      <c r="X61" s="486"/>
      <c r="Y61" s="486"/>
      <c r="Z61" s="486"/>
      <c r="AA61" s="486"/>
      <c r="AB61" s="486"/>
      <c r="AC61" s="486"/>
    </row>
    <row r="62" spans="1:29" s="212" customFormat="1" ht="15">
      <c r="A62" s="384"/>
      <c r="B62" s="380"/>
      <c r="C62" s="383"/>
      <c r="D62" s="383"/>
      <c r="E62" s="383"/>
      <c r="F62" s="383"/>
      <c r="G62" s="383"/>
      <c r="H62" s="387"/>
      <c r="I62" s="387"/>
      <c r="J62" s="387"/>
      <c r="K62" s="387"/>
      <c r="L62" s="387"/>
      <c r="M62" s="461"/>
      <c r="N62" s="459"/>
      <c r="O62" s="459"/>
      <c r="P62" s="460"/>
      <c r="Q62" s="485"/>
      <c r="R62" s="486"/>
      <c r="S62" s="486"/>
      <c r="T62" s="486"/>
      <c r="U62" s="486"/>
      <c r="V62" s="486"/>
      <c r="W62" s="486"/>
      <c r="X62" s="486"/>
      <c r="Y62" s="486"/>
      <c r="Z62" s="486"/>
      <c r="AA62" s="486"/>
      <c r="AB62" s="486"/>
      <c r="AC62" s="486"/>
    </row>
    <row r="63" spans="1:29">
      <c r="A63" s="371" t="s">
        <v>1103</v>
      </c>
      <c r="B63" s="372" t="s">
        <v>227</v>
      </c>
      <c r="C63" s="388" t="s">
        <v>244</v>
      </c>
      <c r="D63" s="388" t="s">
        <v>256</v>
      </c>
      <c r="E63" s="388" t="s">
        <v>267</v>
      </c>
      <c r="F63" s="388" t="s">
        <v>277</v>
      </c>
      <c r="G63" s="388" t="s">
        <v>285</v>
      </c>
      <c r="H63" s="373"/>
      <c r="I63" s="373"/>
      <c r="J63" s="373"/>
      <c r="K63" s="462"/>
      <c r="L63" s="463"/>
      <c r="M63" s="464"/>
      <c r="N63" s="447"/>
      <c r="O63" s="447"/>
      <c r="P63" s="465"/>
      <c r="Q63" s="437"/>
      <c r="R63" s="351"/>
      <c r="S63" s="351"/>
      <c r="T63" s="351"/>
      <c r="U63" s="351"/>
      <c r="V63" s="351"/>
      <c r="W63" s="351"/>
      <c r="X63" s="351"/>
      <c r="Y63" s="351"/>
      <c r="Z63" s="351"/>
      <c r="AA63" s="351"/>
      <c r="AB63" s="351"/>
      <c r="AC63" s="351"/>
    </row>
    <row r="64" spans="1:29" ht="15">
      <c r="A64" s="375"/>
      <c r="B64" s="380"/>
      <c r="C64" s="389">
        <v>100</v>
      </c>
      <c r="D64" s="389">
        <f>C64-$K14</f>
        <v>100</v>
      </c>
      <c r="E64" s="389">
        <f>D64-$K14</f>
        <v>100</v>
      </c>
      <c r="F64" s="389">
        <f>E64-$K14</f>
        <v>100</v>
      </c>
      <c r="G64" s="389">
        <f>F64-$K14</f>
        <v>100</v>
      </c>
      <c r="H64" s="389"/>
      <c r="I64" s="389"/>
      <c r="J64" s="389"/>
      <c r="K64" s="389"/>
      <c r="L64" s="389"/>
      <c r="M64" s="466"/>
      <c r="N64" s="450"/>
      <c r="O64" s="450"/>
      <c r="P64" s="448"/>
      <c r="Q64" s="437"/>
      <c r="R64" s="351"/>
      <c r="S64" s="351"/>
      <c r="T64" s="351"/>
      <c r="U64" s="351"/>
      <c r="V64" s="351"/>
      <c r="W64" s="351"/>
      <c r="X64" s="351"/>
      <c r="Y64" s="351"/>
      <c r="Z64" s="351"/>
      <c r="AA64" s="351"/>
      <c r="AB64" s="351"/>
      <c r="AC64" s="351"/>
    </row>
    <row r="65" spans="1:29" ht="15">
      <c r="A65" s="375"/>
      <c r="B65" s="390" t="s">
        <v>229</v>
      </c>
      <c r="C65" s="391" t="s">
        <v>244</v>
      </c>
      <c r="D65" s="391" t="s">
        <v>256</v>
      </c>
      <c r="E65" s="391" t="s">
        <v>267</v>
      </c>
      <c r="F65" s="391" t="s">
        <v>277</v>
      </c>
      <c r="G65" s="391" t="s">
        <v>285</v>
      </c>
      <c r="H65" s="392"/>
      <c r="I65" s="392"/>
      <c r="J65" s="392"/>
      <c r="K65" s="467"/>
      <c r="L65" s="468"/>
      <c r="M65" s="469"/>
      <c r="N65" s="447"/>
      <c r="O65" s="447"/>
      <c r="P65" s="448"/>
      <c r="Q65" s="437"/>
      <c r="R65" s="351"/>
      <c r="S65" s="351"/>
      <c r="T65" s="351"/>
      <c r="U65" s="351"/>
      <c r="V65" s="351"/>
      <c r="W65" s="351"/>
      <c r="X65" s="351"/>
      <c r="Y65" s="351"/>
      <c r="Z65" s="351"/>
      <c r="AA65" s="351"/>
      <c r="AB65" s="351"/>
      <c r="AC65" s="351"/>
    </row>
    <row r="66" spans="1:29" ht="15">
      <c r="A66" s="375"/>
      <c r="B66" s="380"/>
      <c r="C66" s="389">
        <v>100</v>
      </c>
      <c r="D66" s="389">
        <f>C66-$K16</f>
        <v>100</v>
      </c>
      <c r="E66" s="389">
        <f>D66-$K16</f>
        <v>100</v>
      </c>
      <c r="F66" s="389">
        <f>E66-$K16</f>
        <v>100</v>
      </c>
      <c r="G66" s="389">
        <f>F66-$K16</f>
        <v>100</v>
      </c>
      <c r="H66" s="389"/>
      <c r="I66" s="389"/>
      <c r="J66" s="389"/>
      <c r="K66" s="389"/>
      <c r="L66" s="389"/>
      <c r="M66" s="466"/>
      <c r="N66" s="450"/>
      <c r="O66" s="450"/>
      <c r="P66" s="448"/>
      <c r="Q66" s="437"/>
      <c r="R66" s="351"/>
      <c r="S66" s="351"/>
      <c r="T66" s="351"/>
      <c r="U66" s="351"/>
      <c r="V66" s="351"/>
      <c r="W66" s="351"/>
      <c r="X66" s="351"/>
      <c r="Y66" s="351"/>
      <c r="Z66" s="351"/>
      <c r="AA66" s="351"/>
      <c r="AB66" s="351"/>
      <c r="AC66" s="351"/>
    </row>
    <row r="67" spans="1:29" ht="15">
      <c r="A67" s="375"/>
      <c r="B67" s="495" t="s">
        <v>230</v>
      </c>
      <c r="C67" s="496" t="s">
        <v>245</v>
      </c>
      <c r="D67" s="496" t="s">
        <v>257</v>
      </c>
      <c r="E67" s="496" t="s">
        <v>268</v>
      </c>
      <c r="F67" s="496" t="s">
        <v>278</v>
      </c>
      <c r="G67" s="496" t="s">
        <v>286</v>
      </c>
      <c r="H67" s="392"/>
      <c r="I67" s="392"/>
      <c r="J67" s="392"/>
      <c r="K67" s="392"/>
      <c r="L67" s="392"/>
      <c r="M67" s="506"/>
      <c r="N67" s="450"/>
      <c r="O67" s="450"/>
      <c r="P67" s="448"/>
      <c r="Q67" s="437"/>
      <c r="R67" s="351"/>
      <c r="S67" s="351"/>
      <c r="T67" s="351"/>
      <c r="U67" s="351"/>
      <c r="V67" s="351"/>
      <c r="W67" s="351"/>
      <c r="X67" s="351"/>
      <c r="Y67" s="351"/>
      <c r="Z67" s="351"/>
      <c r="AA67" s="351"/>
      <c r="AB67" s="351"/>
      <c r="AC67" s="351"/>
    </row>
    <row r="68" spans="1:29" ht="15">
      <c r="A68" s="375"/>
      <c r="B68" s="497"/>
      <c r="C68" s="389">
        <v>100</v>
      </c>
      <c r="D68" s="389">
        <f>C68-$K18</f>
        <v>100</v>
      </c>
      <c r="E68" s="389">
        <f>D68-$K18</f>
        <v>100</v>
      </c>
      <c r="F68" s="389">
        <f>E68-$K18</f>
        <v>100</v>
      </c>
      <c r="G68" s="389">
        <f>F68-$K18</f>
        <v>100</v>
      </c>
      <c r="H68" s="381"/>
      <c r="I68" s="381"/>
      <c r="J68" s="381"/>
      <c r="K68" s="381"/>
      <c r="L68" s="381"/>
      <c r="M68" s="280"/>
      <c r="N68" s="450"/>
      <c r="O68" s="450"/>
      <c r="P68" s="448"/>
      <c r="Q68" s="437"/>
      <c r="R68" s="351"/>
      <c r="S68" s="351"/>
      <c r="T68" s="351"/>
      <c r="U68" s="351"/>
      <c r="V68" s="351"/>
      <c r="W68" s="351"/>
      <c r="X68" s="351"/>
      <c r="Y68" s="351"/>
      <c r="Z68" s="351"/>
      <c r="AA68" s="351"/>
      <c r="AB68" s="351"/>
      <c r="AC68" s="351"/>
    </row>
    <row r="69" spans="1:29" ht="15">
      <c r="A69" s="375"/>
      <c r="B69" s="378" t="s">
        <v>2411</v>
      </c>
      <c r="C69" s="391" t="s">
        <v>244</v>
      </c>
      <c r="D69" s="391" t="s">
        <v>256</v>
      </c>
      <c r="E69" s="391" t="s">
        <v>267</v>
      </c>
      <c r="F69" s="391" t="s">
        <v>277</v>
      </c>
      <c r="G69" s="391" t="s">
        <v>285</v>
      </c>
      <c r="H69" s="392"/>
      <c r="I69" s="392"/>
      <c r="J69" s="392"/>
      <c r="K69" s="467"/>
      <c r="L69" s="468"/>
      <c r="M69" s="469"/>
      <c r="N69" s="447"/>
      <c r="O69" s="447"/>
      <c r="P69" s="448"/>
      <c r="Q69" s="437"/>
      <c r="R69" s="351"/>
      <c r="S69" s="351"/>
      <c r="T69" s="351"/>
      <c r="U69" s="351"/>
      <c r="V69" s="351"/>
      <c r="W69" s="351"/>
      <c r="X69" s="351"/>
      <c r="Y69" s="351"/>
      <c r="Z69" s="351"/>
      <c r="AA69" s="351"/>
      <c r="AB69" s="351"/>
      <c r="AC69" s="351"/>
    </row>
    <row r="70" spans="1:29" ht="15">
      <c r="A70" s="375"/>
      <c r="B70" s="380"/>
      <c r="C70" s="389">
        <v>100</v>
      </c>
      <c r="D70" s="389">
        <f>C70-$K20</f>
        <v>100</v>
      </c>
      <c r="E70" s="389">
        <f>D70-$K20</f>
        <v>100</v>
      </c>
      <c r="F70" s="389">
        <f>E70-$K20</f>
        <v>100</v>
      </c>
      <c r="G70" s="389">
        <f>F70-$K20</f>
        <v>100</v>
      </c>
      <c r="H70" s="389"/>
      <c r="I70" s="389"/>
      <c r="J70" s="389"/>
      <c r="K70" s="389"/>
      <c r="L70" s="389"/>
      <c r="M70" s="466"/>
      <c r="N70" s="450"/>
      <c r="O70" s="450"/>
      <c r="P70" s="448"/>
      <c r="Q70" s="437"/>
      <c r="R70" s="351"/>
      <c r="S70" s="351"/>
      <c r="T70" s="351"/>
      <c r="U70" s="351"/>
      <c r="V70" s="351"/>
      <c r="W70" s="351"/>
      <c r="X70" s="351"/>
      <c r="Y70" s="351"/>
      <c r="Z70" s="351"/>
      <c r="AA70" s="351"/>
      <c r="AB70" s="351"/>
      <c r="AC70" s="351"/>
    </row>
    <row r="71" spans="1:29" ht="15">
      <c r="A71" s="375"/>
      <c r="B71" s="378" t="s">
        <v>2449</v>
      </c>
      <c r="C71" s="385"/>
      <c r="D71" s="385"/>
      <c r="E71" s="385"/>
      <c r="F71" s="385"/>
      <c r="G71" s="385"/>
      <c r="H71" s="379"/>
      <c r="I71" s="379"/>
      <c r="J71" s="379"/>
      <c r="K71" s="451"/>
      <c r="L71" s="452"/>
      <c r="M71" s="453"/>
      <c r="N71" s="447"/>
      <c r="O71" s="447"/>
      <c r="P71" s="448"/>
      <c r="Q71" s="437"/>
      <c r="R71" s="351"/>
      <c r="S71" s="351"/>
      <c r="T71" s="351"/>
      <c r="U71" s="351"/>
      <c r="V71" s="351"/>
      <c r="W71" s="351"/>
      <c r="X71" s="351"/>
      <c r="Y71" s="351"/>
      <c r="Z71" s="351"/>
      <c r="AA71" s="351"/>
      <c r="AB71" s="351"/>
      <c r="AC71" s="351"/>
    </row>
    <row r="72" spans="1:29" ht="15">
      <c r="A72" s="375"/>
      <c r="B72" s="380"/>
      <c r="C72" s="389">
        <v>100</v>
      </c>
      <c r="D72" s="389">
        <f>C72-$K22</f>
        <v>100</v>
      </c>
      <c r="E72" s="389">
        <f>D72-$K22</f>
        <v>100</v>
      </c>
      <c r="F72" s="389">
        <f>E72-$K22</f>
        <v>100</v>
      </c>
      <c r="G72" s="389">
        <f>F72-$K22</f>
        <v>100</v>
      </c>
      <c r="H72" s="389"/>
      <c r="I72" s="389"/>
      <c r="J72" s="389"/>
      <c r="K72" s="389"/>
      <c r="L72" s="389"/>
      <c r="M72" s="466"/>
      <c r="N72" s="450"/>
      <c r="O72" s="450"/>
      <c r="P72" s="448"/>
      <c r="Q72" s="437"/>
      <c r="R72" s="351"/>
      <c r="S72" s="351"/>
      <c r="T72" s="351"/>
      <c r="U72" s="351"/>
      <c r="V72" s="351"/>
      <c r="W72" s="351"/>
      <c r="X72" s="351"/>
      <c r="Y72" s="351"/>
      <c r="Z72" s="351"/>
      <c r="AA72" s="351"/>
      <c r="AB72" s="351"/>
      <c r="AC72" s="351"/>
    </row>
    <row r="73" spans="1:29" s="210" customFormat="1" ht="15">
      <c r="A73" s="498"/>
      <c r="B73" s="378">
        <f>B23</f>
        <v>111</v>
      </c>
      <c r="C73" s="382"/>
      <c r="D73" s="382"/>
      <c r="E73" s="382"/>
      <c r="F73" s="382"/>
      <c r="G73" s="385"/>
      <c r="H73" s="385"/>
      <c r="I73" s="385"/>
      <c r="J73" s="385"/>
      <c r="K73" s="385"/>
      <c r="L73" s="507"/>
      <c r="M73" s="508"/>
      <c r="N73" s="442"/>
      <c r="O73" s="442"/>
      <c r="P73" s="448"/>
      <c r="Q73" s="437"/>
      <c r="R73" s="484"/>
      <c r="S73" s="484"/>
      <c r="T73" s="484"/>
      <c r="U73" s="484"/>
      <c r="V73" s="484"/>
      <c r="W73" s="484"/>
      <c r="X73" s="484"/>
      <c r="Y73" s="484"/>
      <c r="Z73" s="484"/>
      <c r="AA73" s="484"/>
      <c r="AB73" s="484"/>
      <c r="AC73" s="484"/>
    </row>
    <row r="74" spans="1:29" s="210" customFormat="1" ht="15">
      <c r="A74" s="498"/>
      <c r="B74" s="380"/>
      <c r="C74" s="383"/>
      <c r="D74" s="377"/>
      <c r="E74" s="377"/>
      <c r="F74" s="377"/>
      <c r="G74" s="377"/>
      <c r="H74" s="377"/>
      <c r="I74" s="377"/>
      <c r="J74" s="377"/>
      <c r="K74" s="377"/>
      <c r="L74" s="377"/>
      <c r="M74" s="449"/>
      <c r="N74" s="450"/>
      <c r="O74" s="450"/>
      <c r="P74" s="448"/>
      <c r="Q74" s="437"/>
      <c r="R74" s="484"/>
      <c r="S74" s="484"/>
      <c r="T74" s="484"/>
      <c r="U74" s="484"/>
      <c r="V74" s="484"/>
      <c r="W74" s="484"/>
      <c r="X74" s="484"/>
      <c r="Y74" s="484"/>
      <c r="Z74" s="484"/>
      <c r="AA74" s="484"/>
      <c r="AB74" s="484"/>
      <c r="AC74" s="484"/>
    </row>
    <row r="75" spans="1:29" s="210" customFormat="1" ht="15">
      <c r="A75" s="498"/>
      <c r="B75" s="378">
        <f>B24</f>
        <v>111</v>
      </c>
      <c r="C75" s="382"/>
      <c r="D75" s="382"/>
      <c r="E75" s="382"/>
      <c r="F75" s="382"/>
      <c r="G75" s="385"/>
      <c r="H75" s="385"/>
      <c r="I75" s="385"/>
      <c r="J75" s="385"/>
      <c r="K75" s="385"/>
      <c r="L75" s="385"/>
      <c r="M75" s="508"/>
      <c r="N75" s="442"/>
      <c r="O75" s="442"/>
      <c r="P75" s="448"/>
      <c r="Q75" s="437"/>
      <c r="R75" s="484"/>
      <c r="S75" s="484"/>
      <c r="T75" s="484"/>
      <c r="U75" s="484"/>
      <c r="V75" s="484"/>
      <c r="W75" s="484"/>
      <c r="X75" s="484"/>
      <c r="Y75" s="484"/>
      <c r="Z75" s="484"/>
      <c r="AA75" s="484"/>
      <c r="AB75" s="484"/>
      <c r="AC75" s="484"/>
    </row>
    <row r="76" spans="1:29" s="210" customFormat="1" ht="15">
      <c r="A76" s="498"/>
      <c r="B76" s="380"/>
      <c r="C76" s="383"/>
      <c r="D76" s="377"/>
      <c r="E76" s="377"/>
      <c r="F76" s="377"/>
      <c r="G76" s="377"/>
      <c r="H76" s="377"/>
      <c r="I76" s="377"/>
      <c r="J76" s="377"/>
      <c r="K76" s="377"/>
      <c r="L76" s="377"/>
      <c r="M76" s="449"/>
      <c r="N76" s="450"/>
      <c r="O76" s="450"/>
      <c r="P76" s="448"/>
      <c r="Q76" s="437"/>
      <c r="R76" s="484"/>
      <c r="S76" s="484"/>
      <c r="T76" s="484"/>
      <c r="U76" s="484"/>
      <c r="V76" s="484"/>
      <c r="W76" s="484"/>
      <c r="X76" s="484"/>
      <c r="Y76" s="484"/>
      <c r="Z76" s="484"/>
      <c r="AA76" s="484"/>
      <c r="AB76" s="484"/>
      <c r="AC76" s="484"/>
    </row>
    <row r="77" spans="1:29" s="212" customFormat="1" ht="15">
      <c r="A77" s="384"/>
      <c r="B77" s="378">
        <f>B25</f>
        <v>111</v>
      </c>
      <c r="C77" s="385"/>
      <c r="D77" s="385"/>
      <c r="E77" s="385"/>
      <c r="F77" s="385"/>
      <c r="G77" s="385"/>
      <c r="H77" s="386"/>
      <c r="I77" s="386"/>
      <c r="J77" s="386"/>
      <c r="K77" s="386"/>
      <c r="L77" s="457"/>
      <c r="M77" s="458"/>
      <c r="N77" s="459"/>
      <c r="O77" s="459"/>
      <c r="P77" s="460"/>
      <c r="Q77" s="485"/>
      <c r="R77" s="486"/>
      <c r="S77" s="486"/>
      <c r="T77" s="486"/>
      <c r="U77" s="486"/>
      <c r="V77" s="486"/>
      <c r="W77" s="486"/>
      <c r="X77" s="486"/>
      <c r="Y77" s="486"/>
      <c r="Z77" s="486"/>
      <c r="AA77" s="486"/>
      <c r="AB77" s="486"/>
      <c r="AC77" s="486"/>
    </row>
    <row r="78" spans="1:29" s="212" customFormat="1" ht="15">
      <c r="A78" s="384"/>
      <c r="B78" s="380"/>
      <c r="C78" s="383"/>
      <c r="D78" s="383"/>
      <c r="E78" s="383"/>
      <c r="F78" s="383"/>
      <c r="G78" s="377"/>
      <c r="H78" s="377"/>
      <c r="I78" s="377"/>
      <c r="J78" s="377"/>
      <c r="K78" s="377"/>
      <c r="L78" s="377"/>
      <c r="M78" s="449"/>
      <c r="N78" s="459"/>
      <c r="O78" s="459"/>
      <c r="P78" s="460"/>
      <c r="Q78" s="485"/>
      <c r="R78" s="486"/>
      <c r="S78" s="486"/>
      <c r="T78" s="486"/>
      <c r="U78" s="486"/>
      <c r="V78" s="486"/>
      <c r="W78" s="486"/>
      <c r="X78" s="486"/>
      <c r="Y78" s="486"/>
      <c r="Z78" s="486"/>
      <c r="AA78" s="486"/>
      <c r="AB78" s="486"/>
      <c r="AC78" s="486"/>
    </row>
    <row r="79" spans="1:29" ht="27">
      <c r="A79" s="371" t="s">
        <v>1108</v>
      </c>
      <c r="B79" s="372" t="s">
        <v>2471</v>
      </c>
      <c r="C79" s="373">
        <f>C26</f>
        <v>0</v>
      </c>
      <c r="D79" s="374"/>
      <c r="E79" s="374"/>
      <c r="F79" s="374"/>
      <c r="G79" s="374"/>
      <c r="H79" s="374"/>
      <c r="I79" s="374"/>
      <c r="J79" s="374"/>
      <c r="K79" s="444"/>
      <c r="L79" s="445"/>
      <c r="M79" s="446"/>
      <c r="N79" s="447"/>
      <c r="O79" s="447"/>
      <c r="P79" s="448"/>
      <c r="Q79" s="437"/>
      <c r="R79" s="351"/>
      <c r="S79" s="351"/>
      <c r="T79" s="351"/>
      <c r="U79" s="351"/>
      <c r="V79" s="351"/>
      <c r="W79" s="351"/>
      <c r="X79" s="351"/>
      <c r="Y79" s="351"/>
      <c r="Z79" s="351"/>
      <c r="AA79" s="351"/>
      <c r="AB79" s="351"/>
      <c r="AC79" s="351"/>
    </row>
    <row r="80" spans="1:29" ht="15">
      <c r="A80" s="375"/>
      <c r="B80" s="380"/>
      <c r="C80" s="389">
        <v>100</v>
      </c>
      <c r="D80" s="389">
        <f t="shared" ref="D80:M80" si="14">C80-$K26</f>
        <v>100</v>
      </c>
      <c r="E80" s="389">
        <f t="shared" si="14"/>
        <v>100</v>
      </c>
      <c r="F80" s="389">
        <f t="shared" si="14"/>
        <v>100</v>
      </c>
      <c r="G80" s="389">
        <f t="shared" si="14"/>
        <v>100</v>
      </c>
      <c r="H80" s="389">
        <f t="shared" si="14"/>
        <v>100</v>
      </c>
      <c r="I80" s="389">
        <f t="shared" si="14"/>
        <v>100</v>
      </c>
      <c r="J80" s="389">
        <f t="shared" si="14"/>
        <v>100</v>
      </c>
      <c r="K80" s="389">
        <f t="shared" si="14"/>
        <v>100</v>
      </c>
      <c r="L80" s="389">
        <f t="shared" si="14"/>
        <v>100</v>
      </c>
      <c r="M80" s="466">
        <f t="shared" si="14"/>
        <v>100</v>
      </c>
      <c r="N80" s="450"/>
      <c r="O80" s="450"/>
      <c r="P80" s="448"/>
      <c r="Q80" s="437"/>
      <c r="R80" s="351"/>
      <c r="S80" s="351"/>
      <c r="T80" s="351"/>
      <c r="U80" s="351"/>
      <c r="V80" s="351"/>
      <c r="W80" s="351"/>
      <c r="X80" s="351"/>
      <c r="Y80" s="351"/>
      <c r="Z80" s="351"/>
      <c r="AA80" s="351"/>
      <c r="AB80" s="351"/>
      <c r="AC80" s="351"/>
    </row>
    <row r="81" spans="1:29" ht="15">
      <c r="A81" s="375"/>
      <c r="B81" s="378" t="s">
        <v>2464</v>
      </c>
      <c r="C81" s="545"/>
      <c r="D81" s="545"/>
      <c r="E81" s="545"/>
      <c r="F81" s="545"/>
      <c r="G81" s="545"/>
      <c r="H81" s="545"/>
      <c r="I81" s="545"/>
      <c r="J81" s="545"/>
      <c r="K81" s="546"/>
      <c r="L81" s="547"/>
      <c r="M81" s="548"/>
      <c r="N81" s="442"/>
      <c r="O81" s="442"/>
      <c r="P81" s="448"/>
      <c r="Q81" s="437"/>
      <c r="R81" s="351"/>
      <c r="S81" s="351"/>
      <c r="T81" s="351"/>
      <c r="U81" s="351"/>
      <c r="V81" s="351"/>
      <c r="W81" s="351"/>
      <c r="X81" s="351"/>
      <c r="Y81" s="351"/>
      <c r="Z81" s="351"/>
      <c r="AA81" s="351"/>
      <c r="AB81" s="351"/>
      <c r="AC81" s="351"/>
    </row>
    <row r="82" spans="1:29" s="212" customFormat="1" ht="15">
      <c r="A82" s="384"/>
      <c r="B82" s="380"/>
      <c r="C82" s="383"/>
      <c r="D82" s="377"/>
      <c r="E82" s="377"/>
      <c r="F82" s="377"/>
      <c r="G82" s="377"/>
      <c r="H82" s="377"/>
      <c r="I82" s="377"/>
      <c r="J82" s="377"/>
      <c r="K82" s="377"/>
      <c r="L82" s="377"/>
      <c r="M82" s="449"/>
      <c r="N82" s="450"/>
      <c r="O82" s="450"/>
      <c r="P82" s="460"/>
      <c r="Q82" s="485"/>
      <c r="R82" s="486"/>
      <c r="S82" s="486"/>
      <c r="T82" s="486"/>
      <c r="U82" s="486"/>
      <c r="V82" s="486"/>
      <c r="W82" s="486"/>
      <c r="X82" s="486"/>
      <c r="Y82" s="486"/>
      <c r="Z82" s="486"/>
      <c r="AA82" s="486"/>
      <c r="AB82" s="486"/>
      <c r="AC82" s="486"/>
    </row>
    <row r="83" spans="1:29">
      <c r="A83" s="501"/>
      <c r="B83" s="378" t="s">
        <v>2419</v>
      </c>
      <c r="C83" s="385"/>
      <c r="D83" s="385"/>
      <c r="E83" s="379"/>
      <c r="F83" s="379"/>
      <c r="G83" s="379"/>
      <c r="H83" s="379"/>
      <c r="I83" s="379"/>
      <c r="J83" s="379"/>
      <c r="K83" s="451"/>
      <c r="L83" s="452"/>
      <c r="M83" s="453"/>
      <c r="N83" s="447"/>
      <c r="O83" s="447"/>
      <c r="P83" s="448"/>
      <c r="Q83" s="437"/>
      <c r="R83" s="351"/>
      <c r="S83" s="351"/>
      <c r="T83" s="351"/>
      <c r="U83" s="351"/>
      <c r="V83" s="351"/>
      <c r="W83" s="351"/>
      <c r="X83" s="351"/>
      <c r="Y83" s="351"/>
      <c r="Z83" s="351"/>
      <c r="AA83" s="351"/>
      <c r="AB83" s="351"/>
      <c r="AC83" s="351"/>
    </row>
    <row r="84" spans="1:29" ht="15">
      <c r="A84" s="375"/>
      <c r="B84" s="380"/>
      <c r="C84" s="389">
        <v>100</v>
      </c>
      <c r="D84" s="389">
        <f t="shared" ref="D84:M84" si="15">C84-$K28</f>
        <v>100</v>
      </c>
      <c r="E84" s="389">
        <f t="shared" si="15"/>
        <v>100</v>
      </c>
      <c r="F84" s="389">
        <f t="shared" si="15"/>
        <v>100</v>
      </c>
      <c r="G84" s="389">
        <f t="shared" si="15"/>
        <v>100</v>
      </c>
      <c r="H84" s="389">
        <f t="shared" si="15"/>
        <v>100</v>
      </c>
      <c r="I84" s="389">
        <f t="shared" si="15"/>
        <v>100</v>
      </c>
      <c r="J84" s="389">
        <f t="shared" si="15"/>
        <v>100</v>
      </c>
      <c r="K84" s="389">
        <f t="shared" si="15"/>
        <v>100</v>
      </c>
      <c r="L84" s="389">
        <f t="shared" si="15"/>
        <v>100</v>
      </c>
      <c r="M84" s="466">
        <f t="shared" si="15"/>
        <v>100</v>
      </c>
      <c r="N84" s="450"/>
      <c r="O84" s="450"/>
      <c r="P84" s="448"/>
      <c r="Q84" s="437"/>
      <c r="R84" s="351"/>
      <c r="S84" s="351"/>
      <c r="T84" s="351"/>
      <c r="U84" s="351"/>
      <c r="V84" s="351"/>
      <c r="W84" s="351"/>
      <c r="X84" s="351"/>
      <c r="Y84" s="351"/>
      <c r="Z84" s="351"/>
      <c r="AA84" s="351"/>
      <c r="AB84" s="351"/>
      <c r="AC84" s="351"/>
    </row>
    <row r="85" spans="1:29">
      <c r="A85" s="501"/>
      <c r="B85" s="378" t="s">
        <v>2465</v>
      </c>
      <c r="C85" s="391" t="str">
        <f>C86&amp;"(含)"&amp;"-"&amp;D86</f>
        <v>0.5(含)-0.6</v>
      </c>
      <c r="D85" s="391" t="str">
        <f>D86&amp;"(含)"&amp;"-"&amp;E86</f>
        <v>0.6(含)-0.7</v>
      </c>
      <c r="E85" s="391" t="str">
        <f>E86&amp;"(含)"&amp;"-"&amp;F86</f>
        <v>0.7(含)-0.8</v>
      </c>
      <c r="F85" s="391" t="str">
        <f>F86&amp;"(含)"&amp;"-"&amp;G86</f>
        <v>0.8(含)-0.9</v>
      </c>
      <c r="G85" s="391" t="str">
        <f>G86&amp;"(含)"&amp;"-"&amp;ROUND(H86,0)</f>
        <v>0.9(含)-1</v>
      </c>
      <c r="H85" s="391"/>
      <c r="I85" s="379"/>
      <c r="J85" s="379"/>
      <c r="K85" s="451"/>
      <c r="L85" s="452"/>
      <c r="M85" s="453"/>
      <c r="N85" s="447"/>
      <c r="O85" s="447"/>
      <c r="P85" s="448"/>
      <c r="Q85" s="437"/>
      <c r="R85" s="351"/>
      <c r="S85" s="351"/>
      <c r="T85" s="351"/>
      <c r="U85" s="351"/>
      <c r="V85" s="351"/>
      <c r="W85" s="351"/>
      <c r="X85" s="351"/>
      <c r="Y85" s="351"/>
      <c r="Z85" s="351"/>
      <c r="AA85" s="351"/>
      <c r="AB85" s="351"/>
      <c r="AC85" s="351"/>
    </row>
    <row r="86" spans="1:29">
      <c r="A86" s="501"/>
      <c r="B86" s="497"/>
      <c r="C86" s="499">
        <v>0.5</v>
      </c>
      <c r="D86" s="499">
        <v>0.6</v>
      </c>
      <c r="E86" s="499">
        <v>0.7</v>
      </c>
      <c r="F86" s="499">
        <v>0.8</v>
      </c>
      <c r="G86" s="499">
        <v>0.9</v>
      </c>
      <c r="H86" s="499">
        <v>1.0001</v>
      </c>
      <c r="I86" s="549"/>
      <c r="J86" s="549"/>
      <c r="K86" s="550"/>
      <c r="L86" s="551"/>
      <c r="M86" s="552"/>
      <c r="N86" s="447"/>
      <c r="O86" s="447"/>
      <c r="P86" s="448"/>
      <c r="Q86" s="437"/>
      <c r="R86" s="351"/>
      <c r="S86" s="351"/>
      <c r="T86" s="351"/>
      <c r="U86" s="351"/>
      <c r="V86" s="351"/>
      <c r="W86" s="351"/>
      <c r="X86" s="351"/>
      <c r="Y86" s="351"/>
      <c r="Z86" s="351"/>
      <c r="AA86" s="351"/>
      <c r="AB86" s="351"/>
      <c r="AC86" s="351"/>
    </row>
    <row r="87" spans="1:29" ht="15">
      <c r="A87" s="375"/>
      <c r="B87" s="380"/>
      <c r="C87" s="500">
        <v>100</v>
      </c>
      <c r="D87" s="389">
        <f>C87+$K$29</f>
        <v>100</v>
      </c>
      <c r="E87" s="389">
        <f t="shared" ref="E87:M87" si="16">D87+$K$29</f>
        <v>100</v>
      </c>
      <c r="F87" s="389">
        <f t="shared" si="16"/>
        <v>100</v>
      </c>
      <c r="G87" s="389">
        <f t="shared" si="16"/>
        <v>100</v>
      </c>
      <c r="H87" s="389">
        <f t="shared" si="16"/>
        <v>100</v>
      </c>
      <c r="I87" s="389">
        <f t="shared" si="16"/>
        <v>100</v>
      </c>
      <c r="J87" s="389">
        <f t="shared" si="16"/>
        <v>100</v>
      </c>
      <c r="K87" s="389">
        <f t="shared" si="16"/>
        <v>100</v>
      </c>
      <c r="L87" s="389">
        <f t="shared" si="16"/>
        <v>100</v>
      </c>
      <c r="M87" s="389">
        <f t="shared" si="16"/>
        <v>100</v>
      </c>
      <c r="N87" s="450"/>
      <c r="O87" s="450"/>
      <c r="P87" s="448"/>
      <c r="Q87" s="437"/>
      <c r="R87" s="351"/>
      <c r="S87" s="351"/>
      <c r="T87" s="351"/>
      <c r="U87" s="351"/>
      <c r="V87" s="351"/>
      <c r="W87" s="351"/>
      <c r="X87" s="351"/>
      <c r="Y87" s="351"/>
      <c r="Z87" s="351"/>
      <c r="AA87" s="351"/>
      <c r="AB87" s="351"/>
      <c r="AC87" s="351"/>
    </row>
    <row r="88" spans="1:29">
      <c r="A88" s="501"/>
      <c r="B88" s="497" t="s">
        <v>2466</v>
      </c>
      <c r="C88" s="374"/>
      <c r="D88" s="374"/>
      <c r="E88" s="374"/>
      <c r="F88" s="374"/>
      <c r="G88" s="374"/>
      <c r="H88" s="374"/>
      <c r="I88" s="374"/>
      <c r="J88" s="374"/>
      <c r="K88" s="444"/>
      <c r="L88" s="445"/>
      <c r="M88" s="446"/>
      <c r="N88" s="447"/>
      <c r="O88" s="447"/>
      <c r="P88" s="448"/>
      <c r="Q88" s="437"/>
      <c r="R88" s="351"/>
      <c r="S88" s="351"/>
      <c r="T88" s="351"/>
      <c r="U88" s="351"/>
      <c r="V88" s="351"/>
      <c r="W88" s="351"/>
      <c r="X88" s="351"/>
      <c r="Y88" s="351"/>
      <c r="Z88" s="351"/>
      <c r="AA88" s="351"/>
      <c r="AB88" s="351"/>
      <c r="AC88" s="351"/>
    </row>
    <row r="89" spans="1:29" ht="15">
      <c r="A89" s="375"/>
      <c r="B89" s="380"/>
      <c r="C89" s="500">
        <v>100</v>
      </c>
      <c r="D89" s="389">
        <f t="shared" ref="D89:M89" si="17">C89+$K30</f>
        <v>100</v>
      </c>
      <c r="E89" s="389">
        <f t="shared" si="17"/>
        <v>100</v>
      </c>
      <c r="F89" s="389">
        <f t="shared" si="17"/>
        <v>100</v>
      </c>
      <c r="G89" s="389">
        <f t="shared" si="17"/>
        <v>100</v>
      </c>
      <c r="H89" s="389">
        <f t="shared" si="17"/>
        <v>100</v>
      </c>
      <c r="I89" s="389">
        <f t="shared" si="17"/>
        <v>100</v>
      </c>
      <c r="J89" s="389">
        <f t="shared" si="17"/>
        <v>100</v>
      </c>
      <c r="K89" s="389">
        <f t="shared" si="17"/>
        <v>100</v>
      </c>
      <c r="L89" s="389">
        <f t="shared" si="17"/>
        <v>100</v>
      </c>
      <c r="M89" s="389">
        <f t="shared" si="17"/>
        <v>100</v>
      </c>
      <c r="N89" s="450"/>
      <c r="O89" s="450"/>
      <c r="P89" s="448"/>
      <c r="Q89" s="437"/>
      <c r="R89" s="351"/>
      <c r="S89" s="351"/>
      <c r="T89" s="351"/>
      <c r="U89" s="351"/>
      <c r="V89" s="351"/>
      <c r="W89" s="351"/>
      <c r="X89" s="351"/>
      <c r="Y89" s="351"/>
      <c r="Z89" s="351"/>
      <c r="AA89" s="351"/>
      <c r="AB89" s="351"/>
      <c r="AC89" s="351"/>
    </row>
    <row r="90" spans="1:29" s="212" customFormat="1">
      <c r="A90" s="503"/>
      <c r="B90" s="378" t="s">
        <v>2467</v>
      </c>
      <c r="C90" s="391" t="str">
        <f>C91&amp;"(含)"&amp;"-"&amp;D91</f>
        <v>(含)-</v>
      </c>
      <c r="D90" s="391" t="str">
        <f t="shared" ref="D90:L90" si="18">D91&amp;"(含)"&amp;"-"&amp;E91</f>
        <v>(含)-</v>
      </c>
      <c r="E90" s="391" t="str">
        <f t="shared" si="18"/>
        <v>(含)-</v>
      </c>
      <c r="F90" s="391" t="str">
        <f t="shared" si="18"/>
        <v>(含)-</v>
      </c>
      <c r="G90" s="391" t="str">
        <f t="shared" si="18"/>
        <v>(含)-</v>
      </c>
      <c r="H90" s="391" t="str">
        <f t="shared" si="18"/>
        <v>(含)-</v>
      </c>
      <c r="I90" s="391" t="str">
        <f t="shared" si="18"/>
        <v>(含)-</v>
      </c>
      <c r="J90" s="391" t="str">
        <f t="shared" si="18"/>
        <v>(含)-</v>
      </c>
      <c r="K90" s="391" t="str">
        <f t="shared" si="18"/>
        <v>(含)-</v>
      </c>
      <c r="L90" s="391" t="str">
        <f t="shared" si="18"/>
        <v>(含)-</v>
      </c>
      <c r="M90" s="512" t="str">
        <f>M91&amp;"(含)"&amp;"-"&amp;P91</f>
        <v>(含)-</v>
      </c>
      <c r="N90" s="459"/>
      <c r="O90" s="459"/>
      <c r="P90" s="460"/>
      <c r="Q90" s="485"/>
      <c r="R90" s="486"/>
      <c r="S90" s="486"/>
      <c r="T90" s="486"/>
      <c r="U90" s="486"/>
      <c r="V90" s="486"/>
      <c r="W90" s="486"/>
      <c r="X90" s="486"/>
      <c r="Y90" s="486"/>
      <c r="Z90" s="486"/>
      <c r="AA90" s="486"/>
      <c r="AB90" s="486"/>
      <c r="AC90" s="486"/>
    </row>
    <row r="91" spans="1:29" s="212" customFormat="1">
      <c r="A91" s="503"/>
      <c r="B91" s="497"/>
      <c r="C91" s="502"/>
      <c r="D91" s="502"/>
      <c r="E91" s="502"/>
      <c r="F91" s="502"/>
      <c r="G91" s="502"/>
      <c r="H91" s="502"/>
      <c r="I91" s="502"/>
      <c r="J91" s="513"/>
      <c r="K91" s="513"/>
      <c r="L91" s="514"/>
      <c r="M91" s="515"/>
      <c r="N91" s="459"/>
      <c r="O91" s="459"/>
      <c r="P91" s="460"/>
      <c r="Q91" s="485"/>
      <c r="R91" s="486"/>
      <c r="S91" s="486"/>
      <c r="T91" s="486"/>
      <c r="U91" s="486"/>
      <c r="V91" s="486"/>
      <c r="W91" s="486"/>
      <c r="X91" s="486"/>
      <c r="Y91" s="486"/>
      <c r="Z91" s="486"/>
      <c r="AA91" s="486"/>
      <c r="AB91" s="486"/>
      <c r="AC91" s="486"/>
    </row>
    <row r="92" spans="1:29" s="212" customFormat="1" ht="15">
      <c r="A92" s="384"/>
      <c r="B92" s="380"/>
      <c r="C92" s="383"/>
      <c r="D92" s="377"/>
      <c r="E92" s="377"/>
      <c r="F92" s="377"/>
      <c r="G92" s="377"/>
      <c r="H92" s="377"/>
      <c r="I92" s="377"/>
      <c r="J92" s="377"/>
      <c r="K92" s="377"/>
      <c r="L92" s="377"/>
      <c r="M92" s="449"/>
      <c r="N92" s="459"/>
      <c r="O92" s="459"/>
      <c r="P92" s="460"/>
      <c r="Q92" s="485"/>
      <c r="R92" s="486"/>
      <c r="S92" s="486"/>
      <c r="T92" s="486"/>
      <c r="U92" s="486"/>
      <c r="V92" s="486"/>
      <c r="W92" s="486"/>
      <c r="X92" s="486"/>
      <c r="Y92" s="486"/>
      <c r="Z92" s="486"/>
      <c r="AA92" s="486"/>
      <c r="AB92" s="486"/>
      <c r="AC92" s="486"/>
    </row>
    <row r="93" spans="1:29">
      <c r="A93" s="501"/>
      <c r="B93" s="378" t="s">
        <v>2468</v>
      </c>
      <c r="C93" s="385"/>
      <c r="D93" s="385"/>
      <c r="E93" s="379"/>
      <c r="F93" s="379"/>
      <c r="G93" s="379"/>
      <c r="H93" s="379"/>
      <c r="I93" s="379"/>
      <c r="J93" s="379"/>
      <c r="K93" s="451"/>
      <c r="L93" s="452"/>
      <c r="M93" s="453"/>
      <c r="N93" s="447"/>
      <c r="O93" s="447"/>
      <c r="P93" s="448"/>
      <c r="Q93" s="437"/>
      <c r="R93" s="351"/>
      <c r="S93" s="351"/>
      <c r="T93" s="351"/>
      <c r="U93" s="351"/>
      <c r="V93" s="351"/>
      <c r="W93" s="351"/>
      <c r="X93" s="351"/>
      <c r="Y93" s="351"/>
      <c r="Z93" s="351"/>
      <c r="AA93" s="351"/>
      <c r="AB93" s="351"/>
      <c r="AC93" s="351"/>
    </row>
    <row r="94" spans="1:29" ht="15">
      <c r="A94" s="375"/>
      <c r="B94" s="380"/>
      <c r="C94" s="389">
        <v>100</v>
      </c>
      <c r="D94" s="389">
        <f t="shared" ref="D94:M94" si="19">C94-$K32</f>
        <v>100</v>
      </c>
      <c r="E94" s="389">
        <f t="shared" si="19"/>
        <v>100</v>
      </c>
      <c r="F94" s="389">
        <f t="shared" si="19"/>
        <v>100</v>
      </c>
      <c r="G94" s="389">
        <f t="shared" si="19"/>
        <v>100</v>
      </c>
      <c r="H94" s="389">
        <f t="shared" si="19"/>
        <v>100</v>
      </c>
      <c r="I94" s="389">
        <f t="shared" si="19"/>
        <v>100</v>
      </c>
      <c r="J94" s="389">
        <f t="shared" si="19"/>
        <v>100</v>
      </c>
      <c r="K94" s="389">
        <f t="shared" si="19"/>
        <v>100</v>
      </c>
      <c r="L94" s="389">
        <f t="shared" si="19"/>
        <v>100</v>
      </c>
      <c r="M94" s="466">
        <f t="shared" si="19"/>
        <v>100</v>
      </c>
      <c r="N94" s="450"/>
      <c r="O94" s="450"/>
      <c r="P94" s="448"/>
      <c r="Q94" s="437"/>
      <c r="R94" s="351"/>
      <c r="S94" s="351"/>
      <c r="T94" s="351"/>
      <c r="U94" s="351"/>
      <c r="V94" s="351"/>
      <c r="W94" s="351"/>
      <c r="X94" s="351"/>
      <c r="Y94" s="351"/>
      <c r="Z94" s="351"/>
      <c r="AA94" s="351"/>
      <c r="AB94" s="351"/>
      <c r="AC94" s="351"/>
    </row>
    <row r="95" spans="1:29">
      <c r="A95" s="501"/>
      <c r="B95" s="378" t="s">
        <v>2469</v>
      </c>
      <c r="C95" s="374"/>
      <c r="D95" s="374"/>
      <c r="E95" s="374"/>
      <c r="F95" s="374"/>
      <c r="G95" s="374"/>
      <c r="H95" s="374"/>
      <c r="I95" s="374"/>
      <c r="J95" s="374"/>
      <c r="K95" s="444"/>
      <c r="L95" s="445"/>
      <c r="M95" s="446"/>
      <c r="N95" s="447"/>
      <c r="O95" s="447"/>
      <c r="P95" s="448"/>
      <c r="Q95" s="437"/>
      <c r="R95" s="351"/>
      <c r="S95" s="351"/>
      <c r="T95" s="351"/>
      <c r="U95" s="351"/>
      <c r="V95" s="351"/>
      <c r="W95" s="351"/>
      <c r="X95" s="351"/>
      <c r="Y95" s="351"/>
      <c r="Z95" s="351"/>
      <c r="AA95" s="351"/>
      <c r="AB95" s="351"/>
      <c r="AC95" s="351"/>
    </row>
    <row r="96" spans="1:29" ht="15">
      <c r="A96" s="375"/>
      <c r="B96" s="380"/>
      <c r="C96" s="389">
        <v>100</v>
      </c>
      <c r="D96" s="389">
        <f>C96-$K33</f>
        <v>100</v>
      </c>
      <c r="E96" s="389">
        <f>D96-$K33</f>
        <v>100</v>
      </c>
      <c r="F96" s="389">
        <f>E96-$K33</f>
        <v>100</v>
      </c>
      <c r="G96" s="389">
        <f>F96-$K33</f>
        <v>100</v>
      </c>
      <c r="H96" s="389"/>
      <c r="I96" s="389"/>
      <c r="J96" s="389"/>
      <c r="K96" s="389"/>
      <c r="L96" s="389"/>
      <c r="M96" s="466"/>
      <c r="N96" s="450"/>
      <c r="O96" s="450"/>
      <c r="P96" s="448"/>
      <c r="Q96" s="437"/>
      <c r="R96" s="351"/>
      <c r="S96" s="351"/>
      <c r="T96" s="351"/>
      <c r="U96" s="351"/>
      <c r="V96" s="351"/>
      <c r="W96" s="351"/>
      <c r="X96" s="351"/>
      <c r="Y96" s="351"/>
      <c r="Z96" s="351"/>
      <c r="AA96" s="351"/>
      <c r="AB96" s="351"/>
      <c r="AC96" s="351"/>
    </row>
    <row r="97" spans="1:29">
      <c r="A97" s="501"/>
      <c r="B97" s="504">
        <f>B34</f>
        <v>111</v>
      </c>
      <c r="C97" s="382"/>
      <c r="D97" s="382"/>
      <c r="E97" s="382"/>
      <c r="F97" s="382"/>
      <c r="G97" s="385"/>
      <c r="H97" s="386"/>
      <c r="I97" s="386"/>
      <c r="J97" s="386"/>
      <c r="K97" s="386"/>
      <c r="L97" s="457"/>
      <c r="M97" s="458"/>
      <c r="N97" s="450"/>
      <c r="O97" s="450"/>
      <c r="P97" s="516"/>
      <c r="Q97" s="519"/>
      <c r="R97" s="351"/>
      <c r="S97" s="351"/>
      <c r="T97" s="351"/>
      <c r="U97" s="351"/>
      <c r="V97" s="351"/>
      <c r="W97" s="351"/>
      <c r="X97" s="351"/>
      <c r="Y97" s="351"/>
      <c r="Z97" s="351"/>
      <c r="AA97" s="351"/>
      <c r="AB97" s="351"/>
      <c r="AC97" s="351"/>
    </row>
    <row r="98" spans="1:29" ht="15">
      <c r="A98" s="375"/>
      <c r="B98" s="380"/>
      <c r="C98" s="383"/>
      <c r="D98" s="377"/>
      <c r="E98" s="377"/>
      <c r="F98" s="377"/>
      <c r="G98" s="383"/>
      <c r="H98" s="387"/>
      <c r="I98" s="387"/>
      <c r="J98" s="387"/>
      <c r="K98" s="387"/>
      <c r="L98" s="387"/>
      <c r="M98" s="461"/>
      <c r="N98" s="450"/>
      <c r="O98" s="450"/>
      <c r="P98" s="448"/>
      <c r="Q98" s="437"/>
      <c r="R98" s="351"/>
      <c r="S98" s="351"/>
      <c r="T98" s="351"/>
      <c r="U98" s="351"/>
      <c r="V98" s="351"/>
      <c r="W98" s="351"/>
      <c r="X98" s="351"/>
      <c r="Y98" s="351"/>
      <c r="Z98" s="351"/>
      <c r="AA98" s="351"/>
      <c r="AB98" s="351"/>
      <c r="AC98" s="351"/>
    </row>
    <row r="99" spans="1:29" s="212" customFormat="1">
      <c r="A99" s="503"/>
      <c r="B99" s="378">
        <f>B35</f>
        <v>111</v>
      </c>
      <c r="C99" s="382"/>
      <c r="D99" s="382"/>
      <c r="E99" s="382"/>
      <c r="F99" s="382"/>
      <c r="G99" s="385"/>
      <c r="H99" s="386"/>
      <c r="I99" s="386"/>
      <c r="J99" s="386"/>
      <c r="K99" s="386"/>
      <c r="L99" s="457"/>
      <c r="M99" s="458"/>
      <c r="N99" s="459"/>
      <c r="O99" s="459"/>
      <c r="P99" s="460"/>
      <c r="Q99" s="485"/>
      <c r="R99" s="486"/>
      <c r="S99" s="486"/>
      <c r="T99" s="486"/>
      <c r="U99" s="486"/>
      <c r="V99" s="486"/>
      <c r="W99" s="486"/>
      <c r="X99" s="486"/>
      <c r="Y99" s="486"/>
      <c r="Z99" s="486"/>
      <c r="AA99" s="486"/>
      <c r="AB99" s="486"/>
      <c r="AC99" s="486"/>
    </row>
    <row r="100" spans="1:29" s="212" customFormat="1" ht="15">
      <c r="A100" s="384"/>
      <c r="B100" s="376"/>
      <c r="C100" s="383"/>
      <c r="D100" s="377"/>
      <c r="E100" s="377"/>
      <c r="F100" s="377"/>
      <c r="G100" s="383"/>
      <c r="H100" s="387"/>
      <c r="I100" s="387"/>
      <c r="J100" s="387"/>
      <c r="K100" s="387"/>
      <c r="L100" s="387"/>
      <c r="M100" s="461"/>
      <c r="N100" s="459"/>
      <c r="O100" s="459"/>
      <c r="P100" s="460"/>
      <c r="Q100" s="485"/>
      <c r="R100" s="486"/>
      <c r="S100" s="486"/>
      <c r="T100" s="486"/>
      <c r="U100" s="486"/>
      <c r="V100" s="486"/>
      <c r="W100" s="486"/>
      <c r="X100" s="486"/>
      <c r="Y100" s="486"/>
      <c r="Z100" s="486"/>
      <c r="AA100" s="486"/>
      <c r="AB100" s="486"/>
      <c r="AC100" s="486"/>
    </row>
    <row r="101" spans="1:29">
      <c r="A101" s="501"/>
      <c r="B101" s="378">
        <f>B36</f>
        <v>111</v>
      </c>
      <c r="C101" s="385"/>
      <c r="D101" s="385"/>
      <c r="E101" s="385"/>
      <c r="F101" s="385"/>
      <c r="G101" s="385"/>
      <c r="H101" s="386"/>
      <c r="I101" s="386"/>
      <c r="J101" s="386"/>
      <c r="K101" s="386"/>
      <c r="L101" s="457"/>
      <c r="M101" s="458"/>
      <c r="N101" s="447"/>
      <c r="O101" s="447"/>
      <c r="P101" s="448"/>
      <c r="Q101" s="437"/>
      <c r="R101" s="351"/>
      <c r="S101" s="351"/>
      <c r="T101" s="351"/>
      <c r="U101" s="351"/>
      <c r="V101" s="351"/>
      <c r="W101" s="351"/>
      <c r="X101" s="351"/>
      <c r="Y101" s="351"/>
      <c r="Z101" s="351"/>
      <c r="AA101" s="351"/>
      <c r="AB101" s="351"/>
      <c r="AC101" s="351"/>
    </row>
    <row r="102" spans="1:29" ht="15">
      <c r="A102" s="375"/>
      <c r="B102" s="380"/>
      <c r="C102" s="383"/>
      <c r="D102" s="383"/>
      <c r="E102" s="383"/>
      <c r="F102" s="383"/>
      <c r="G102" s="383"/>
      <c r="H102" s="387"/>
      <c r="I102" s="387"/>
      <c r="J102" s="387"/>
      <c r="K102" s="387"/>
      <c r="L102" s="387"/>
      <c r="M102" s="461"/>
      <c r="N102" s="450"/>
      <c r="O102" s="450"/>
      <c r="P102" s="448"/>
      <c r="Q102" s="437"/>
      <c r="R102" s="351"/>
      <c r="S102" s="351"/>
      <c r="T102" s="351"/>
      <c r="U102" s="351"/>
      <c r="V102" s="351"/>
      <c r="W102" s="351"/>
      <c r="X102" s="351"/>
      <c r="Y102" s="351"/>
      <c r="Z102" s="351"/>
      <c r="AA102" s="351"/>
      <c r="AB102" s="351"/>
      <c r="AC102" s="351"/>
    </row>
    <row r="103" spans="1:29">
      <c r="A103" s="505"/>
      <c r="B103" s="505"/>
      <c r="C103" s="505"/>
      <c r="D103" s="505"/>
      <c r="E103" s="505"/>
      <c r="F103" s="505"/>
      <c r="G103" s="505"/>
      <c r="H103" s="505"/>
      <c r="I103" s="505"/>
      <c r="J103" s="505"/>
      <c r="K103" s="517"/>
      <c r="L103" s="518"/>
      <c r="M103" s="505"/>
      <c r="N103" s="505"/>
      <c r="O103" s="505"/>
      <c r="P103" s="505"/>
      <c r="Q103" s="505"/>
      <c r="R103" s="505"/>
      <c r="S103" s="505"/>
      <c r="T103" s="505"/>
      <c r="U103" s="505"/>
      <c r="V103" s="505"/>
      <c r="W103" s="505"/>
      <c r="X103" s="505"/>
      <c r="Y103" s="505"/>
      <c r="Z103" s="505"/>
      <c r="AA103" s="505"/>
      <c r="AB103" s="505"/>
      <c r="AC103" s="505"/>
    </row>
    <row r="104" spans="1:29">
      <c r="A104" s="505"/>
      <c r="B104" s="505"/>
      <c r="C104" s="505"/>
      <c r="D104" s="505"/>
      <c r="E104" s="505"/>
      <c r="F104" s="505"/>
      <c r="G104" s="505"/>
      <c r="H104" s="505"/>
      <c r="I104" s="505"/>
      <c r="J104" s="505"/>
      <c r="K104" s="517"/>
      <c r="L104" s="518"/>
      <c r="M104" s="505"/>
      <c r="N104" s="505"/>
      <c r="O104" s="505"/>
      <c r="P104" s="505"/>
      <c r="Q104" s="505"/>
      <c r="R104" s="505"/>
      <c r="S104" s="505"/>
      <c r="T104" s="505"/>
      <c r="U104" s="505"/>
      <c r="V104" s="505"/>
      <c r="W104" s="505"/>
      <c r="X104" s="505"/>
      <c r="Y104" s="505"/>
      <c r="Z104" s="505"/>
      <c r="AA104" s="505"/>
      <c r="AB104" s="505"/>
      <c r="AC104" s="505"/>
    </row>
    <row r="105" spans="1:29">
      <c r="A105" s="505"/>
      <c r="B105" s="505"/>
      <c r="C105" s="505"/>
      <c r="D105" s="505"/>
      <c r="E105" s="505"/>
      <c r="F105" s="505"/>
      <c r="G105" s="505"/>
      <c r="H105" s="505"/>
      <c r="I105" s="505"/>
      <c r="J105" s="505"/>
      <c r="K105" s="517"/>
      <c r="L105" s="518"/>
      <c r="M105" s="505"/>
      <c r="N105" s="505"/>
      <c r="O105" s="505"/>
      <c r="P105" s="505"/>
      <c r="Q105" s="505"/>
      <c r="R105" s="505"/>
      <c r="S105" s="505"/>
      <c r="T105" s="505"/>
      <c r="U105" s="505"/>
      <c r="V105" s="505"/>
      <c r="W105" s="505"/>
      <c r="X105" s="505"/>
      <c r="Y105" s="505"/>
      <c r="Z105" s="505"/>
      <c r="AA105" s="505"/>
      <c r="AB105" s="505"/>
      <c r="AC105" s="505"/>
    </row>
    <row r="106" spans="1:29">
      <c r="A106" s="505"/>
      <c r="B106" s="505"/>
      <c r="C106" s="505"/>
      <c r="D106" s="505"/>
      <c r="E106" s="505"/>
      <c r="F106" s="505"/>
      <c r="G106" s="505"/>
      <c r="H106" s="505"/>
      <c r="I106" s="505"/>
      <c r="J106" s="505"/>
      <c r="K106" s="517"/>
      <c r="L106" s="518"/>
      <c r="M106" s="505"/>
      <c r="N106" s="505"/>
      <c r="O106" s="505"/>
      <c r="P106" s="505"/>
      <c r="Q106" s="505"/>
      <c r="R106" s="505"/>
      <c r="S106" s="505"/>
      <c r="T106" s="505"/>
      <c r="U106" s="505"/>
      <c r="V106" s="505"/>
      <c r="W106" s="505"/>
      <c r="X106" s="505"/>
      <c r="Y106" s="505"/>
      <c r="Z106" s="505"/>
      <c r="AA106" s="505"/>
      <c r="AB106" s="505"/>
      <c r="AC106" s="505"/>
    </row>
    <row r="107" spans="1:29">
      <c r="A107" s="505"/>
      <c r="B107" s="505"/>
      <c r="C107" s="505"/>
      <c r="D107" s="505"/>
      <c r="E107" s="505"/>
      <c r="F107" s="505"/>
      <c r="G107" s="505"/>
      <c r="H107" s="505"/>
      <c r="I107" s="505"/>
      <c r="J107" s="505"/>
      <c r="K107" s="517"/>
      <c r="L107" s="518"/>
      <c r="M107" s="505"/>
      <c r="N107" s="505"/>
      <c r="O107" s="505"/>
      <c r="P107" s="505"/>
      <c r="Q107" s="505"/>
      <c r="R107" s="505"/>
      <c r="S107" s="505"/>
      <c r="T107" s="505"/>
      <c r="U107" s="505"/>
      <c r="V107" s="505"/>
      <c r="W107" s="505"/>
      <c r="X107" s="505"/>
      <c r="Y107" s="505"/>
      <c r="Z107" s="505"/>
      <c r="AA107" s="505"/>
      <c r="AB107" s="505"/>
      <c r="AC107" s="505"/>
    </row>
    <row r="108" spans="1:29">
      <c r="A108" s="505"/>
      <c r="B108" s="505"/>
      <c r="C108" s="505"/>
      <c r="D108" s="505"/>
      <c r="E108" s="505"/>
      <c r="F108" s="505"/>
      <c r="G108" s="505"/>
      <c r="H108" s="505"/>
      <c r="I108" s="505"/>
      <c r="J108" s="505"/>
      <c r="K108" s="517"/>
      <c r="L108" s="518"/>
      <c r="M108" s="505"/>
      <c r="N108" s="505"/>
      <c r="O108" s="505"/>
      <c r="P108" s="505"/>
      <c r="Q108" s="505"/>
      <c r="R108" s="505"/>
      <c r="S108" s="505"/>
      <c r="T108" s="505"/>
      <c r="U108" s="505"/>
      <c r="V108" s="505"/>
      <c r="W108" s="505"/>
      <c r="X108" s="505"/>
      <c r="Y108" s="505"/>
      <c r="Z108" s="505"/>
      <c r="AA108" s="505"/>
      <c r="AB108" s="505"/>
      <c r="AC108" s="505"/>
    </row>
    <row r="109" spans="1:29">
      <c r="A109" s="505"/>
      <c r="B109" s="505"/>
      <c r="C109" s="505"/>
      <c r="D109" s="505"/>
      <c r="E109" s="505"/>
      <c r="F109" s="505"/>
      <c r="G109" s="505"/>
      <c r="H109" s="505"/>
      <c r="I109" s="505"/>
      <c r="J109" s="505"/>
      <c r="K109" s="517"/>
      <c r="L109" s="518"/>
      <c r="M109" s="505"/>
      <c r="N109" s="505"/>
      <c r="O109" s="505"/>
      <c r="P109" s="505"/>
      <c r="Q109" s="505"/>
      <c r="R109" s="505"/>
      <c r="S109" s="505"/>
      <c r="T109" s="505"/>
      <c r="U109" s="505"/>
      <c r="V109" s="505"/>
      <c r="W109" s="505"/>
      <c r="X109" s="505"/>
      <c r="Y109" s="505"/>
      <c r="Z109" s="505"/>
      <c r="AA109" s="505"/>
      <c r="AB109" s="505"/>
      <c r="AC109" s="505"/>
    </row>
    <row r="110" spans="1:29">
      <c r="A110" s="505"/>
      <c r="B110" s="505"/>
      <c r="C110" s="505"/>
      <c r="D110" s="505"/>
      <c r="E110" s="505"/>
      <c r="F110" s="505"/>
      <c r="G110" s="505"/>
      <c r="H110" s="505"/>
      <c r="I110" s="505"/>
      <c r="J110" s="505"/>
      <c r="K110" s="517"/>
      <c r="L110" s="518"/>
      <c r="M110" s="505"/>
      <c r="N110" s="505"/>
      <c r="O110" s="505"/>
      <c r="P110" s="505"/>
      <c r="Q110" s="505"/>
      <c r="R110" s="505"/>
      <c r="S110" s="505"/>
      <c r="T110" s="505"/>
      <c r="U110" s="505"/>
      <c r="V110" s="505"/>
      <c r="W110" s="505"/>
      <c r="X110" s="505"/>
      <c r="Y110" s="505"/>
      <c r="Z110" s="505"/>
      <c r="AA110" s="505"/>
      <c r="AB110" s="505"/>
      <c r="AC110" s="505"/>
    </row>
    <row r="111" spans="1:29">
      <c r="A111" s="505"/>
      <c r="B111" s="505"/>
      <c r="C111" s="505"/>
      <c r="D111" s="505"/>
      <c r="E111" s="505"/>
      <c r="F111" s="505"/>
      <c r="G111" s="505"/>
      <c r="H111" s="505"/>
      <c r="I111" s="505"/>
      <c r="J111" s="505"/>
      <c r="K111" s="517"/>
      <c r="L111" s="518"/>
      <c r="M111" s="505"/>
      <c r="N111" s="505"/>
      <c r="O111" s="505"/>
      <c r="P111" s="505"/>
      <c r="Q111" s="505"/>
      <c r="R111" s="505"/>
      <c r="S111" s="505"/>
      <c r="T111" s="505"/>
      <c r="U111" s="505"/>
      <c r="V111" s="505"/>
      <c r="W111" s="505"/>
      <c r="X111" s="505"/>
      <c r="Y111" s="505"/>
      <c r="Z111" s="505"/>
      <c r="AA111" s="505"/>
      <c r="AB111" s="505"/>
      <c r="AC111" s="505"/>
    </row>
    <row r="112" spans="1:29">
      <c r="A112" s="505"/>
      <c r="B112" s="505"/>
      <c r="C112" s="505"/>
      <c r="D112" s="505"/>
      <c r="E112" s="505"/>
      <c r="F112" s="505"/>
      <c r="G112" s="505"/>
      <c r="H112" s="505"/>
      <c r="I112" s="505"/>
      <c r="J112" s="505"/>
      <c r="K112" s="517"/>
      <c r="L112" s="518"/>
      <c r="M112" s="505"/>
      <c r="N112" s="505"/>
      <c r="O112" s="505"/>
      <c r="P112" s="505"/>
      <c r="Q112" s="505"/>
      <c r="R112" s="505"/>
      <c r="S112" s="505"/>
      <c r="T112" s="505"/>
      <c r="U112" s="505"/>
      <c r="V112" s="505"/>
      <c r="W112" s="505"/>
      <c r="X112" s="505"/>
      <c r="Y112" s="505"/>
      <c r="Z112" s="505"/>
      <c r="AA112" s="505"/>
      <c r="AB112" s="505"/>
      <c r="AC112" s="505"/>
    </row>
    <row r="113" spans="1:29">
      <c r="A113" s="505"/>
      <c r="B113" s="505"/>
      <c r="C113" s="505"/>
      <c r="D113" s="505"/>
      <c r="E113" s="505"/>
      <c r="F113" s="505"/>
      <c r="G113" s="505"/>
      <c r="H113" s="505"/>
      <c r="I113" s="505"/>
      <c r="J113" s="505"/>
      <c r="K113" s="517"/>
      <c r="L113" s="518"/>
      <c r="M113" s="505"/>
      <c r="N113" s="505"/>
      <c r="O113" s="505"/>
      <c r="P113" s="505"/>
      <c r="Q113" s="505"/>
      <c r="R113" s="505"/>
      <c r="S113" s="505"/>
      <c r="T113" s="505"/>
      <c r="U113" s="505"/>
      <c r="V113" s="505"/>
      <c r="W113" s="505"/>
      <c r="X113" s="505"/>
      <c r="Y113" s="505"/>
      <c r="Z113" s="505"/>
      <c r="AA113" s="505"/>
      <c r="AB113" s="505"/>
      <c r="AC113" s="505"/>
    </row>
    <row r="114" spans="1:29">
      <c r="A114" s="505"/>
      <c r="B114" s="505"/>
      <c r="C114" s="505"/>
      <c r="D114" s="505"/>
      <c r="E114" s="505"/>
      <c r="F114" s="505"/>
      <c r="G114" s="505"/>
      <c r="H114" s="505"/>
      <c r="I114" s="505"/>
      <c r="J114" s="505"/>
      <c r="K114" s="517"/>
      <c r="L114" s="518"/>
      <c r="M114" s="505"/>
      <c r="N114" s="505"/>
      <c r="O114" s="505"/>
      <c r="P114" s="505"/>
      <c r="Q114" s="505"/>
      <c r="R114" s="505"/>
      <c r="S114" s="505"/>
      <c r="T114" s="505"/>
      <c r="U114" s="505"/>
      <c r="V114" s="505"/>
      <c r="W114" s="505"/>
      <c r="X114" s="505"/>
      <c r="Y114" s="505"/>
      <c r="Z114" s="505"/>
      <c r="AA114" s="505"/>
      <c r="AB114" s="505"/>
      <c r="AC114" s="505"/>
    </row>
    <row r="115" spans="1:29">
      <c r="A115" s="505"/>
      <c r="B115" s="505"/>
      <c r="C115" s="505"/>
      <c r="D115" s="505"/>
      <c r="E115" s="505"/>
      <c r="F115" s="505"/>
      <c r="G115" s="505"/>
      <c r="H115" s="505"/>
      <c r="I115" s="505"/>
      <c r="J115" s="505"/>
      <c r="K115" s="517"/>
      <c r="L115" s="518"/>
      <c r="M115" s="505"/>
      <c r="N115" s="505"/>
      <c r="O115" s="505"/>
      <c r="P115" s="505"/>
      <c r="Q115" s="505"/>
      <c r="R115" s="505"/>
      <c r="S115" s="505"/>
      <c r="T115" s="505"/>
      <c r="U115" s="505"/>
      <c r="V115" s="505"/>
      <c r="W115" s="505"/>
      <c r="X115" s="505"/>
      <c r="Y115" s="505"/>
      <c r="Z115" s="505"/>
      <c r="AA115" s="505"/>
      <c r="AB115" s="505"/>
      <c r="AC115" s="505"/>
    </row>
    <row r="116" spans="1:29">
      <c r="A116" s="505"/>
      <c r="B116" s="505"/>
      <c r="C116" s="505"/>
      <c r="D116" s="505"/>
      <c r="E116" s="505"/>
      <c r="F116" s="505"/>
      <c r="G116" s="505"/>
      <c r="H116" s="505"/>
      <c r="I116" s="505"/>
      <c r="J116" s="505"/>
      <c r="K116" s="517"/>
      <c r="L116" s="518"/>
      <c r="M116" s="505"/>
      <c r="N116" s="505"/>
      <c r="O116" s="505"/>
      <c r="P116" s="505"/>
      <c r="Q116" s="505"/>
      <c r="R116" s="505"/>
      <c r="S116" s="505"/>
      <c r="T116" s="505"/>
      <c r="U116" s="505"/>
      <c r="V116" s="505"/>
      <c r="W116" s="505"/>
      <c r="X116" s="505"/>
      <c r="Y116" s="505"/>
      <c r="Z116" s="505"/>
      <c r="AA116" s="505"/>
      <c r="AB116" s="505"/>
      <c r="AC116" s="505"/>
    </row>
    <row r="117" spans="1:29">
      <c r="A117" s="505"/>
      <c r="B117" s="505"/>
      <c r="C117" s="505"/>
      <c r="D117" s="505"/>
      <c r="E117" s="505"/>
      <c r="F117" s="505"/>
      <c r="G117" s="505"/>
      <c r="H117" s="505"/>
      <c r="I117" s="505"/>
      <c r="J117" s="505"/>
      <c r="K117" s="517"/>
      <c r="L117" s="518"/>
      <c r="M117" s="505"/>
      <c r="N117" s="505"/>
      <c r="O117" s="505"/>
      <c r="P117" s="505"/>
      <c r="Q117" s="505"/>
      <c r="R117" s="505"/>
      <c r="S117" s="505"/>
      <c r="T117" s="505"/>
      <c r="U117" s="505"/>
      <c r="V117" s="505"/>
      <c r="W117" s="505"/>
      <c r="X117" s="505"/>
      <c r="Y117" s="505"/>
      <c r="Z117" s="505"/>
      <c r="AA117" s="505"/>
      <c r="AB117" s="505"/>
      <c r="AC117" s="505"/>
    </row>
    <row r="118" spans="1:29">
      <c r="A118" s="505"/>
      <c r="B118" s="505"/>
      <c r="C118" s="505"/>
      <c r="D118" s="505"/>
      <c r="E118" s="505"/>
      <c r="F118" s="505"/>
      <c r="G118" s="505"/>
      <c r="H118" s="505"/>
      <c r="I118" s="505"/>
      <c r="J118" s="505"/>
      <c r="K118" s="517"/>
      <c r="L118" s="518"/>
      <c r="M118" s="505"/>
      <c r="N118" s="505"/>
      <c r="O118" s="505"/>
      <c r="P118" s="505"/>
      <c r="Q118" s="505"/>
      <c r="R118" s="505"/>
      <c r="S118" s="505"/>
      <c r="T118" s="505"/>
      <c r="U118" s="505"/>
      <c r="V118" s="505"/>
      <c r="W118" s="505"/>
      <c r="X118" s="505"/>
      <c r="Y118" s="505"/>
      <c r="Z118" s="505"/>
      <c r="AA118" s="505"/>
      <c r="AB118" s="505"/>
      <c r="AC118" s="505"/>
    </row>
    <row r="119" spans="1:29">
      <c r="A119" s="505"/>
      <c r="B119" s="505"/>
      <c r="C119" s="505"/>
      <c r="D119" s="505"/>
      <c r="E119" s="505"/>
      <c r="F119" s="505"/>
      <c r="G119" s="505"/>
      <c r="H119" s="505"/>
      <c r="I119" s="505"/>
      <c r="J119" s="505"/>
      <c r="K119" s="517"/>
      <c r="L119" s="518"/>
      <c r="M119" s="505"/>
      <c r="N119" s="505"/>
      <c r="O119" s="505"/>
      <c r="P119" s="505"/>
      <c r="Q119" s="505"/>
      <c r="R119" s="505"/>
      <c r="S119" s="505"/>
      <c r="T119" s="505"/>
      <c r="U119" s="505"/>
      <c r="V119" s="505"/>
      <c r="W119" s="505"/>
      <c r="X119" s="505"/>
      <c r="Y119" s="505"/>
      <c r="Z119" s="505"/>
      <c r="AA119" s="505"/>
      <c r="AB119" s="505"/>
      <c r="AC119" s="505"/>
    </row>
    <row r="120" spans="1:29">
      <c r="A120" s="505"/>
      <c r="B120" s="505"/>
      <c r="C120" s="505"/>
      <c r="D120" s="505"/>
      <c r="E120" s="505"/>
      <c r="F120" s="505"/>
      <c r="G120" s="505"/>
      <c r="H120" s="505"/>
      <c r="I120" s="505"/>
      <c r="J120" s="505"/>
      <c r="K120" s="517"/>
      <c r="L120" s="518"/>
      <c r="M120" s="505"/>
      <c r="N120" s="505"/>
      <c r="O120" s="505"/>
      <c r="P120" s="505"/>
      <c r="Q120" s="505"/>
      <c r="R120" s="505"/>
      <c r="S120" s="505"/>
      <c r="T120" s="505"/>
      <c r="U120" s="505"/>
      <c r="V120" s="505"/>
      <c r="W120" s="505"/>
      <c r="X120" s="505"/>
      <c r="Y120" s="505"/>
      <c r="Z120" s="505"/>
      <c r="AA120" s="505"/>
      <c r="AB120" s="505"/>
      <c r="AC120" s="505"/>
    </row>
    <row r="121" spans="1:29">
      <c r="A121" s="505"/>
      <c r="B121" s="505"/>
      <c r="C121" s="505"/>
      <c r="D121" s="505"/>
      <c r="E121" s="505"/>
      <c r="F121" s="505"/>
      <c r="G121" s="505"/>
      <c r="H121" s="505"/>
      <c r="I121" s="505"/>
      <c r="J121" s="505"/>
      <c r="K121" s="517"/>
      <c r="L121" s="518"/>
      <c r="M121" s="505"/>
      <c r="N121" s="505"/>
      <c r="O121" s="505"/>
      <c r="P121" s="505"/>
      <c r="Q121" s="505"/>
      <c r="R121" s="505"/>
      <c r="S121" s="505"/>
      <c r="T121" s="505"/>
      <c r="U121" s="505"/>
      <c r="V121" s="505"/>
      <c r="W121" s="505"/>
      <c r="X121" s="505"/>
      <c r="Y121" s="505"/>
      <c r="Z121" s="505"/>
      <c r="AA121" s="505"/>
      <c r="AB121" s="505"/>
      <c r="AC121" s="505"/>
    </row>
    <row r="122" spans="1:29">
      <c r="A122" s="505"/>
      <c r="B122" s="505"/>
      <c r="C122" s="505"/>
      <c r="D122" s="505"/>
      <c r="E122" s="505"/>
      <c r="F122" s="505"/>
      <c r="G122" s="505"/>
      <c r="H122" s="505"/>
      <c r="I122" s="505"/>
      <c r="J122" s="505"/>
      <c r="K122" s="517"/>
      <c r="L122" s="518"/>
      <c r="M122" s="505"/>
      <c r="N122" s="505"/>
      <c r="O122" s="505"/>
      <c r="P122" s="505"/>
      <c r="Q122" s="505"/>
      <c r="R122" s="505"/>
      <c r="S122" s="505"/>
      <c r="T122" s="505"/>
      <c r="U122" s="505"/>
      <c r="V122" s="505"/>
      <c r="W122" s="505"/>
      <c r="X122" s="505"/>
      <c r="Y122" s="505"/>
      <c r="Z122" s="505"/>
      <c r="AA122" s="505"/>
      <c r="AB122" s="505"/>
      <c r="AC122" s="505"/>
    </row>
    <row r="123" spans="1:29">
      <c r="A123" s="505"/>
      <c r="B123" s="505"/>
      <c r="C123" s="505"/>
      <c r="D123" s="505"/>
      <c r="E123" s="505"/>
      <c r="F123" s="505"/>
      <c r="G123" s="505"/>
      <c r="H123" s="505"/>
      <c r="I123" s="505"/>
      <c r="J123" s="505"/>
      <c r="K123" s="517"/>
      <c r="L123" s="518"/>
      <c r="M123" s="505"/>
      <c r="N123" s="505"/>
      <c r="O123" s="505"/>
      <c r="P123" s="505"/>
      <c r="Q123" s="505"/>
      <c r="R123" s="505"/>
      <c r="S123" s="505"/>
      <c r="T123" s="505"/>
      <c r="U123" s="505"/>
      <c r="V123" s="505"/>
      <c r="W123" s="505"/>
      <c r="X123" s="505"/>
      <c r="Y123" s="505"/>
      <c r="Z123" s="505"/>
      <c r="AA123" s="505"/>
      <c r="AB123" s="505"/>
      <c r="AC123" s="505"/>
    </row>
    <row r="124" spans="1:29">
      <c r="A124" s="505"/>
      <c r="B124" s="505"/>
      <c r="C124" s="505"/>
      <c r="D124" s="505"/>
      <c r="E124" s="505"/>
      <c r="F124" s="505"/>
      <c r="G124" s="505"/>
      <c r="H124" s="505"/>
      <c r="I124" s="505"/>
      <c r="J124" s="505"/>
      <c r="K124" s="517"/>
      <c r="L124" s="518"/>
      <c r="M124" s="505"/>
      <c r="N124" s="505"/>
      <c r="O124" s="505"/>
      <c r="P124" s="505"/>
      <c r="Q124" s="505"/>
      <c r="R124" s="505"/>
      <c r="S124" s="505"/>
      <c r="T124" s="505"/>
      <c r="U124" s="505"/>
      <c r="V124" s="505"/>
      <c r="W124" s="505"/>
      <c r="X124" s="505"/>
      <c r="Y124" s="505"/>
      <c r="Z124" s="505"/>
      <c r="AA124" s="505"/>
      <c r="AB124" s="505"/>
      <c r="AC124" s="505"/>
    </row>
    <row r="125" spans="1:29">
      <c r="A125" s="505"/>
      <c r="B125" s="505"/>
      <c r="C125" s="505"/>
      <c r="D125" s="505"/>
      <c r="E125" s="505"/>
      <c r="F125" s="505"/>
      <c r="G125" s="505"/>
      <c r="H125" s="505"/>
      <c r="I125" s="505"/>
      <c r="J125" s="505"/>
      <c r="K125" s="517"/>
      <c r="L125" s="518"/>
      <c r="M125" s="505"/>
      <c r="N125" s="505"/>
      <c r="O125" s="505"/>
      <c r="P125" s="505"/>
      <c r="Q125" s="505"/>
      <c r="R125" s="505"/>
      <c r="S125" s="505"/>
      <c r="T125" s="505"/>
      <c r="U125" s="505"/>
      <c r="V125" s="505"/>
      <c r="W125" s="505"/>
      <c r="X125" s="505"/>
      <c r="Y125" s="505"/>
      <c r="Z125" s="505"/>
      <c r="AA125" s="505"/>
      <c r="AB125" s="505"/>
      <c r="AC125" s="505"/>
    </row>
    <row r="126" spans="1:29">
      <c r="A126" s="505"/>
      <c r="B126" s="505"/>
      <c r="C126" s="505"/>
      <c r="D126" s="505"/>
      <c r="E126" s="505"/>
      <c r="F126" s="505"/>
      <c r="G126" s="505"/>
      <c r="H126" s="505"/>
      <c r="I126" s="505"/>
      <c r="J126" s="505"/>
      <c r="K126" s="517"/>
      <c r="L126" s="518"/>
      <c r="M126" s="505"/>
      <c r="N126" s="505"/>
      <c r="O126" s="505"/>
      <c r="P126" s="505"/>
      <c r="Q126" s="505"/>
      <c r="R126" s="505"/>
      <c r="S126" s="505"/>
      <c r="T126" s="505"/>
      <c r="U126" s="505"/>
      <c r="V126" s="505"/>
      <c r="W126" s="505"/>
      <c r="X126" s="505"/>
      <c r="Y126" s="505"/>
      <c r="Z126" s="505"/>
      <c r="AA126" s="505"/>
      <c r="AB126" s="505"/>
      <c r="AC126" s="505"/>
    </row>
    <row r="127" spans="1:29">
      <c r="A127" s="505"/>
      <c r="B127" s="505"/>
      <c r="C127" s="505"/>
      <c r="D127" s="505"/>
      <c r="E127" s="505"/>
      <c r="F127" s="505"/>
      <c r="G127" s="505"/>
      <c r="H127" s="505"/>
      <c r="I127" s="505"/>
      <c r="J127" s="505"/>
      <c r="K127" s="517"/>
      <c r="L127" s="518"/>
      <c r="M127" s="505"/>
      <c r="N127" s="505"/>
      <c r="O127" s="505"/>
      <c r="P127" s="505"/>
      <c r="Q127" s="505"/>
      <c r="R127" s="505"/>
      <c r="S127" s="505"/>
      <c r="T127" s="505"/>
      <c r="U127" s="505"/>
      <c r="V127" s="505"/>
      <c r="W127" s="505"/>
      <c r="X127" s="505"/>
      <c r="Y127" s="505"/>
      <c r="Z127" s="505"/>
      <c r="AA127" s="505"/>
      <c r="AB127" s="505"/>
      <c r="AC127" s="505"/>
    </row>
    <row r="128" spans="1:29">
      <c r="A128" s="505"/>
      <c r="B128" s="505"/>
      <c r="C128" s="505"/>
      <c r="D128" s="505"/>
      <c r="E128" s="505"/>
      <c r="F128" s="505"/>
      <c r="G128" s="505"/>
      <c r="H128" s="505"/>
      <c r="I128" s="505"/>
      <c r="J128" s="505"/>
      <c r="K128" s="517"/>
      <c r="L128" s="518"/>
      <c r="M128" s="505"/>
      <c r="N128" s="505"/>
      <c r="O128" s="505"/>
      <c r="P128" s="505"/>
      <c r="Q128" s="505"/>
      <c r="R128" s="505"/>
      <c r="S128" s="505"/>
      <c r="T128" s="505"/>
      <c r="U128" s="505"/>
      <c r="V128" s="505"/>
      <c r="W128" s="505"/>
      <c r="X128" s="505"/>
      <c r="Y128" s="505"/>
      <c r="Z128" s="505"/>
      <c r="AA128" s="505"/>
      <c r="AB128" s="505"/>
      <c r="AC128" s="505"/>
    </row>
    <row r="129" spans="1:29">
      <c r="A129" s="505"/>
      <c r="B129" s="505"/>
      <c r="C129" s="505"/>
      <c r="D129" s="505"/>
      <c r="E129" s="505"/>
      <c r="F129" s="505"/>
      <c r="G129" s="505"/>
      <c r="H129" s="505"/>
      <c r="I129" s="505"/>
      <c r="J129" s="505"/>
      <c r="K129" s="517"/>
      <c r="L129" s="518"/>
      <c r="M129" s="505"/>
      <c r="N129" s="505"/>
      <c r="O129" s="505"/>
      <c r="P129" s="505"/>
      <c r="Q129" s="505"/>
      <c r="R129" s="505"/>
      <c r="S129" s="505"/>
      <c r="T129" s="505"/>
      <c r="U129" s="505"/>
      <c r="V129" s="505"/>
      <c r="W129" s="505"/>
      <c r="X129" s="505"/>
      <c r="Y129" s="505"/>
      <c r="Z129" s="505"/>
      <c r="AA129" s="505"/>
      <c r="AB129" s="505"/>
      <c r="AC129" s="505"/>
    </row>
    <row r="130" spans="1:29">
      <c r="A130" s="505"/>
      <c r="B130" s="505"/>
      <c r="C130" s="505"/>
      <c r="D130" s="505"/>
      <c r="E130" s="505"/>
      <c r="F130" s="505"/>
      <c r="G130" s="505"/>
      <c r="H130" s="505"/>
      <c r="I130" s="505"/>
      <c r="J130" s="505"/>
      <c r="K130" s="517"/>
      <c r="L130" s="518"/>
      <c r="M130" s="505"/>
      <c r="N130" s="505"/>
      <c r="O130" s="505"/>
      <c r="P130" s="505"/>
      <c r="Q130" s="505"/>
      <c r="R130" s="505"/>
      <c r="S130" s="505"/>
      <c r="T130" s="505"/>
      <c r="U130" s="505"/>
      <c r="V130" s="505"/>
      <c r="W130" s="505"/>
      <c r="X130" s="505"/>
      <c r="Y130" s="505"/>
      <c r="Z130" s="505"/>
      <c r="AA130" s="505"/>
      <c r="AB130" s="505"/>
      <c r="AC130" s="505"/>
    </row>
    <row r="131" spans="1:29">
      <c r="A131" s="505"/>
      <c r="B131" s="505"/>
      <c r="C131" s="505"/>
      <c r="D131" s="505"/>
      <c r="E131" s="505"/>
      <c r="F131" s="505"/>
      <c r="G131" s="505"/>
      <c r="H131" s="505"/>
      <c r="I131" s="505"/>
      <c r="J131" s="505"/>
      <c r="K131" s="517"/>
      <c r="L131" s="518"/>
      <c r="M131" s="505"/>
      <c r="N131" s="505"/>
      <c r="O131" s="505"/>
      <c r="P131" s="505"/>
      <c r="Q131" s="505"/>
      <c r="R131" s="505"/>
      <c r="S131" s="505"/>
      <c r="T131" s="505"/>
      <c r="U131" s="505"/>
      <c r="V131" s="505"/>
      <c r="W131" s="505"/>
      <c r="X131" s="505"/>
      <c r="Y131" s="505"/>
      <c r="Z131" s="505"/>
      <c r="AA131" s="505"/>
      <c r="AB131" s="505"/>
      <c r="AC131" s="505"/>
    </row>
    <row r="132" spans="1:29">
      <c r="A132" s="505"/>
      <c r="B132" s="505"/>
      <c r="C132" s="505"/>
      <c r="D132" s="505"/>
      <c r="E132" s="505"/>
      <c r="F132" s="505"/>
      <c r="G132" s="505"/>
      <c r="H132" s="505"/>
      <c r="I132" s="505"/>
      <c r="J132" s="505"/>
      <c r="K132" s="517"/>
      <c r="L132" s="518"/>
      <c r="M132" s="505"/>
      <c r="N132" s="505"/>
      <c r="O132" s="505"/>
      <c r="P132" s="505"/>
      <c r="Q132" s="505"/>
      <c r="R132" s="505"/>
      <c r="S132" s="505"/>
      <c r="T132" s="505"/>
      <c r="U132" s="505"/>
      <c r="V132" s="505"/>
      <c r="W132" s="505"/>
      <c r="X132" s="505"/>
      <c r="Y132" s="505"/>
      <c r="Z132" s="505"/>
      <c r="AA132" s="505"/>
      <c r="AB132" s="505"/>
      <c r="AC132" s="505"/>
    </row>
    <row r="133" spans="1:29">
      <c r="A133" s="505"/>
      <c r="B133" s="505"/>
      <c r="C133" s="505"/>
      <c r="D133" s="505"/>
      <c r="E133" s="505"/>
      <c r="F133" s="505"/>
      <c r="G133" s="505"/>
      <c r="H133" s="505"/>
      <c r="I133" s="505"/>
      <c r="J133" s="505"/>
      <c r="K133" s="517"/>
      <c r="L133" s="518"/>
      <c r="M133" s="505"/>
      <c r="N133" s="505"/>
      <c r="O133" s="505"/>
      <c r="P133" s="505"/>
      <c r="Q133" s="505"/>
      <c r="R133" s="505"/>
      <c r="S133" s="505"/>
      <c r="T133" s="505"/>
      <c r="U133" s="505"/>
      <c r="V133" s="505"/>
      <c r="W133" s="505"/>
      <c r="X133" s="505"/>
      <c r="Y133" s="505"/>
      <c r="Z133" s="505"/>
      <c r="AA133" s="505"/>
      <c r="AB133" s="505"/>
      <c r="AC133" s="505"/>
    </row>
    <row r="134" spans="1:29">
      <c r="A134" s="505"/>
      <c r="B134" s="505"/>
      <c r="C134" s="505"/>
      <c r="D134" s="505"/>
      <c r="E134" s="505"/>
      <c r="F134" s="505"/>
      <c r="G134" s="505"/>
      <c r="H134" s="505"/>
      <c r="I134" s="505"/>
      <c r="J134" s="505"/>
      <c r="K134" s="517"/>
      <c r="L134" s="518"/>
      <c r="M134" s="505"/>
      <c r="N134" s="505"/>
      <c r="O134" s="505"/>
      <c r="P134" s="505"/>
      <c r="Q134" s="505"/>
      <c r="R134" s="505"/>
      <c r="S134" s="505"/>
      <c r="T134" s="505"/>
      <c r="U134" s="505"/>
      <c r="V134" s="505"/>
      <c r="W134" s="505"/>
      <c r="X134" s="505"/>
      <c r="Y134" s="505"/>
      <c r="Z134" s="505"/>
      <c r="AA134" s="505"/>
      <c r="AB134" s="505"/>
      <c r="AC134" s="505"/>
    </row>
    <row r="135" spans="1:29">
      <c r="A135" s="505"/>
      <c r="B135" s="505"/>
      <c r="C135" s="505"/>
      <c r="D135" s="505"/>
      <c r="E135" s="505"/>
      <c r="F135" s="505"/>
      <c r="G135" s="505"/>
      <c r="H135" s="505"/>
      <c r="I135" s="505"/>
      <c r="J135" s="505"/>
      <c r="K135" s="517"/>
      <c r="L135" s="518"/>
      <c r="M135" s="505"/>
      <c r="N135" s="505"/>
      <c r="O135" s="505"/>
      <c r="P135" s="505"/>
      <c r="Q135" s="505"/>
      <c r="R135" s="505"/>
      <c r="S135" s="505"/>
      <c r="T135" s="505"/>
      <c r="U135" s="505"/>
      <c r="V135" s="505"/>
      <c r="W135" s="505"/>
      <c r="X135" s="505"/>
      <c r="Y135" s="505"/>
      <c r="Z135" s="505"/>
      <c r="AA135" s="505"/>
      <c r="AB135" s="505"/>
      <c r="AC135" s="505"/>
    </row>
    <row r="136" spans="1:29">
      <c r="A136" s="505"/>
      <c r="B136" s="505"/>
      <c r="C136" s="505"/>
      <c r="D136" s="505"/>
      <c r="E136" s="505"/>
      <c r="F136" s="505"/>
      <c r="G136" s="505"/>
      <c r="H136" s="505"/>
      <c r="I136" s="505"/>
      <c r="J136" s="505"/>
      <c r="K136" s="517"/>
      <c r="L136" s="518"/>
      <c r="M136" s="505"/>
      <c r="N136" s="505"/>
      <c r="O136" s="505"/>
      <c r="P136" s="505"/>
      <c r="Q136" s="505"/>
      <c r="R136" s="505"/>
      <c r="S136" s="505"/>
      <c r="T136" s="505"/>
      <c r="U136" s="505"/>
      <c r="V136" s="505"/>
      <c r="W136" s="505"/>
      <c r="X136" s="505"/>
      <c r="Y136" s="505"/>
      <c r="Z136" s="505"/>
      <c r="AA136" s="505"/>
      <c r="AB136" s="505"/>
      <c r="AC136" s="505"/>
    </row>
    <row r="137" spans="1:29">
      <c r="A137" s="505"/>
      <c r="B137" s="505"/>
      <c r="C137" s="505"/>
      <c r="D137" s="505"/>
      <c r="E137" s="505"/>
      <c r="F137" s="505"/>
      <c r="G137" s="505"/>
      <c r="H137" s="505"/>
      <c r="I137" s="505"/>
      <c r="J137" s="505"/>
      <c r="K137" s="517"/>
      <c r="L137" s="518"/>
      <c r="M137" s="505"/>
      <c r="N137" s="505"/>
      <c r="O137" s="505"/>
      <c r="P137" s="505"/>
      <c r="Q137" s="505"/>
      <c r="R137" s="505"/>
      <c r="S137" s="505"/>
      <c r="T137" s="505"/>
      <c r="U137" s="505"/>
      <c r="V137" s="505"/>
      <c r="W137" s="505"/>
      <c r="X137" s="505"/>
      <c r="Y137" s="505"/>
      <c r="Z137" s="505"/>
      <c r="AA137" s="505"/>
      <c r="AB137" s="505"/>
      <c r="AC137" s="505"/>
    </row>
    <row r="138" spans="1:29">
      <c r="A138" s="505"/>
      <c r="B138" s="505"/>
      <c r="C138" s="505"/>
      <c r="D138" s="505"/>
      <c r="E138" s="505"/>
      <c r="F138" s="505"/>
      <c r="G138" s="505"/>
      <c r="H138" s="505"/>
      <c r="I138" s="505"/>
      <c r="J138" s="505"/>
      <c r="K138" s="517"/>
      <c r="L138" s="518"/>
      <c r="M138" s="505"/>
      <c r="N138" s="505"/>
      <c r="O138" s="505"/>
      <c r="P138" s="505"/>
      <c r="Q138" s="505"/>
      <c r="R138" s="505"/>
      <c r="S138" s="505"/>
      <c r="T138" s="505"/>
      <c r="U138" s="505"/>
      <c r="V138" s="505"/>
      <c r="W138" s="505"/>
      <c r="X138" s="505"/>
      <c r="Y138" s="505"/>
      <c r="Z138" s="505"/>
      <c r="AA138" s="505"/>
      <c r="AB138" s="505"/>
      <c r="AC138" s="505"/>
    </row>
    <row r="139" spans="1:29">
      <c r="A139" s="505"/>
      <c r="B139" s="505"/>
      <c r="C139" s="505"/>
      <c r="D139" s="505"/>
      <c r="E139" s="505"/>
      <c r="F139" s="505"/>
      <c r="G139" s="505"/>
      <c r="H139" s="505"/>
      <c r="I139" s="505"/>
      <c r="J139" s="505"/>
      <c r="K139" s="517"/>
      <c r="L139" s="518"/>
      <c r="M139" s="505"/>
      <c r="N139" s="505"/>
      <c r="O139" s="505"/>
      <c r="P139" s="505"/>
      <c r="Q139" s="505"/>
      <c r="R139" s="505"/>
      <c r="S139" s="505"/>
      <c r="T139" s="505"/>
      <c r="U139" s="505"/>
      <c r="V139" s="505"/>
      <c r="W139" s="505"/>
      <c r="X139" s="505"/>
      <c r="Y139" s="505"/>
      <c r="Z139" s="505"/>
      <c r="AA139" s="505"/>
      <c r="AB139" s="505"/>
      <c r="AC139" s="505"/>
    </row>
    <row r="140" spans="1:29">
      <c r="A140" s="505"/>
      <c r="B140" s="505"/>
      <c r="C140" s="505"/>
      <c r="D140" s="505"/>
      <c r="E140" s="505"/>
      <c r="F140" s="505"/>
      <c r="G140" s="505"/>
      <c r="H140" s="505"/>
      <c r="I140" s="505"/>
      <c r="J140" s="505"/>
      <c r="K140" s="517"/>
      <c r="L140" s="518"/>
      <c r="M140" s="505"/>
      <c r="N140" s="505"/>
      <c r="O140" s="505"/>
      <c r="P140" s="505"/>
      <c r="Q140" s="505"/>
      <c r="R140" s="505"/>
      <c r="S140" s="505"/>
      <c r="T140" s="505"/>
      <c r="U140" s="505"/>
      <c r="V140" s="505"/>
      <c r="W140" s="505"/>
      <c r="X140" s="505"/>
      <c r="Y140" s="505"/>
      <c r="Z140" s="505"/>
      <c r="AA140" s="505"/>
      <c r="AB140" s="505"/>
      <c r="AC140" s="505"/>
    </row>
    <row r="141" spans="1:29">
      <c r="A141" s="505"/>
      <c r="B141" s="505"/>
      <c r="C141" s="505"/>
      <c r="D141" s="505"/>
      <c r="E141" s="505"/>
      <c r="F141" s="505"/>
      <c r="G141" s="505"/>
      <c r="H141" s="505"/>
      <c r="I141" s="505"/>
      <c r="J141" s="505"/>
      <c r="K141" s="517"/>
      <c r="L141" s="518"/>
      <c r="M141" s="505"/>
      <c r="N141" s="505"/>
      <c r="O141" s="505"/>
      <c r="P141" s="505"/>
      <c r="Q141" s="505"/>
      <c r="R141" s="505"/>
      <c r="S141" s="505"/>
      <c r="T141" s="505"/>
      <c r="U141" s="505"/>
      <c r="V141" s="505"/>
      <c r="W141" s="505"/>
      <c r="X141" s="505"/>
      <c r="Y141" s="505"/>
      <c r="Z141" s="505"/>
      <c r="AA141" s="505"/>
      <c r="AB141" s="505"/>
      <c r="AC141" s="505"/>
    </row>
    <row r="142" spans="1:29">
      <c r="A142" s="505"/>
      <c r="B142" s="505"/>
      <c r="C142" s="505"/>
      <c r="D142" s="505"/>
      <c r="E142" s="505"/>
      <c r="F142" s="505"/>
      <c r="G142" s="505"/>
      <c r="H142" s="505"/>
      <c r="I142" s="505"/>
      <c r="J142" s="505"/>
      <c r="K142" s="517"/>
      <c r="L142" s="518"/>
      <c r="M142" s="505"/>
      <c r="N142" s="505"/>
      <c r="O142" s="505"/>
      <c r="P142" s="505"/>
      <c r="Q142" s="505"/>
      <c r="R142" s="505"/>
      <c r="S142" s="505"/>
      <c r="T142" s="505"/>
      <c r="U142" s="505"/>
      <c r="V142" s="505"/>
      <c r="W142" s="505"/>
      <c r="X142" s="505"/>
      <c r="Y142" s="505"/>
      <c r="Z142" s="505"/>
      <c r="AA142" s="505"/>
      <c r="AB142" s="505"/>
      <c r="AC142" s="505"/>
    </row>
    <row r="143" spans="1:29">
      <c r="A143" s="505"/>
      <c r="B143" s="505"/>
      <c r="C143" s="505"/>
      <c r="D143" s="505"/>
      <c r="E143" s="505"/>
      <c r="F143" s="505"/>
      <c r="G143" s="505"/>
      <c r="H143" s="505"/>
      <c r="I143" s="505"/>
      <c r="J143" s="505"/>
      <c r="K143" s="517"/>
      <c r="L143" s="518"/>
      <c r="M143" s="505"/>
      <c r="N143" s="505"/>
      <c r="O143" s="505"/>
      <c r="P143" s="505"/>
      <c r="Q143" s="505"/>
      <c r="R143" s="505"/>
      <c r="S143" s="505"/>
      <c r="T143" s="505"/>
      <c r="U143" s="505"/>
      <c r="V143" s="505"/>
      <c r="W143" s="505"/>
      <c r="X143" s="505"/>
      <c r="Y143" s="505"/>
      <c r="Z143" s="505"/>
      <c r="AA143" s="505"/>
      <c r="AB143" s="505"/>
      <c r="AC143" s="505"/>
    </row>
    <row r="144" spans="1:29">
      <c r="A144" s="505"/>
      <c r="B144" s="505"/>
      <c r="C144" s="505"/>
      <c r="D144" s="505"/>
      <c r="E144" s="505"/>
      <c r="F144" s="505"/>
      <c r="G144" s="505"/>
      <c r="H144" s="505"/>
      <c r="I144" s="505"/>
      <c r="J144" s="505"/>
      <c r="K144" s="517"/>
      <c r="L144" s="518"/>
      <c r="M144" s="505"/>
      <c r="N144" s="505"/>
      <c r="O144" s="505"/>
      <c r="P144" s="505"/>
      <c r="Q144" s="505"/>
      <c r="R144" s="505"/>
      <c r="S144" s="505"/>
      <c r="T144" s="505"/>
      <c r="U144" s="505"/>
      <c r="V144" s="505"/>
      <c r="W144" s="505"/>
      <c r="X144" s="505"/>
      <c r="Y144" s="505"/>
      <c r="Z144" s="505"/>
      <c r="AA144" s="505"/>
      <c r="AB144" s="505"/>
      <c r="AC144" s="505"/>
    </row>
    <row r="145" spans="1:29">
      <c r="A145" s="505"/>
      <c r="B145" s="505"/>
      <c r="C145" s="505"/>
      <c r="D145" s="505"/>
      <c r="E145" s="505"/>
      <c r="F145" s="505"/>
      <c r="G145" s="505"/>
      <c r="H145" s="505"/>
      <c r="I145" s="505"/>
      <c r="J145" s="505"/>
      <c r="K145" s="517"/>
      <c r="L145" s="518"/>
      <c r="M145" s="505"/>
      <c r="N145" s="505"/>
      <c r="O145" s="505"/>
      <c r="P145" s="505"/>
      <c r="Q145" s="505"/>
      <c r="R145" s="505"/>
      <c r="S145" s="505"/>
      <c r="T145" s="505"/>
      <c r="U145" s="505"/>
      <c r="V145" s="505"/>
      <c r="W145" s="505"/>
      <c r="X145" s="505"/>
      <c r="Y145" s="505"/>
      <c r="Z145" s="505"/>
      <c r="AA145" s="505"/>
      <c r="AB145" s="505"/>
      <c r="AC145" s="505"/>
    </row>
    <row r="146" spans="1:29">
      <c r="A146" s="505"/>
      <c r="B146" s="505"/>
      <c r="C146" s="505"/>
      <c r="D146" s="505"/>
      <c r="E146" s="505"/>
      <c r="F146" s="505"/>
      <c r="G146" s="505"/>
      <c r="H146" s="505"/>
      <c r="I146" s="505"/>
      <c r="J146" s="505"/>
      <c r="K146" s="517"/>
      <c r="L146" s="518"/>
      <c r="M146" s="505"/>
      <c r="N146" s="505"/>
      <c r="O146" s="505"/>
      <c r="P146" s="505"/>
      <c r="Q146" s="505"/>
      <c r="R146" s="505"/>
      <c r="S146" s="505"/>
      <c r="T146" s="505"/>
      <c r="U146" s="505"/>
      <c r="V146" s="505"/>
      <c r="W146" s="505"/>
      <c r="X146" s="505"/>
      <c r="Y146" s="505"/>
      <c r="Z146" s="505"/>
      <c r="AA146" s="505"/>
      <c r="AB146" s="505"/>
      <c r="AC146" s="505"/>
    </row>
    <row r="147" spans="1:29">
      <c r="A147" s="505"/>
      <c r="B147" s="505"/>
      <c r="C147" s="505"/>
      <c r="D147" s="505"/>
      <c r="E147" s="505"/>
      <c r="F147" s="505"/>
      <c r="G147" s="505"/>
      <c r="H147" s="505"/>
      <c r="I147" s="505"/>
      <c r="J147" s="505"/>
      <c r="K147" s="517"/>
      <c r="L147" s="518"/>
      <c r="M147" s="505"/>
      <c r="N147" s="505"/>
      <c r="O147" s="505"/>
      <c r="P147" s="505"/>
      <c r="Q147" s="505"/>
      <c r="R147" s="505"/>
      <c r="S147" s="505"/>
      <c r="T147" s="505"/>
      <c r="U147" s="505"/>
      <c r="V147" s="505"/>
      <c r="W147" s="505"/>
      <c r="X147" s="505"/>
      <c r="Y147" s="505"/>
      <c r="Z147" s="505"/>
      <c r="AA147" s="505"/>
      <c r="AB147" s="505"/>
      <c r="AC147" s="505"/>
    </row>
    <row r="148" spans="1:29">
      <c r="A148" s="505"/>
      <c r="B148" s="505"/>
      <c r="C148" s="505"/>
      <c r="D148" s="505"/>
      <c r="E148" s="505"/>
      <c r="F148" s="505"/>
      <c r="G148" s="505"/>
      <c r="H148" s="505"/>
      <c r="I148" s="505"/>
      <c r="J148" s="505"/>
      <c r="K148" s="517"/>
      <c r="L148" s="518"/>
      <c r="M148" s="505"/>
      <c r="N148" s="505"/>
      <c r="O148" s="505"/>
      <c r="P148" s="505"/>
      <c r="Q148" s="505"/>
      <c r="R148" s="505"/>
      <c r="S148" s="505"/>
      <c r="T148" s="505"/>
      <c r="U148" s="505"/>
      <c r="V148" s="505"/>
      <c r="W148" s="505"/>
      <c r="X148" s="505"/>
      <c r="Y148" s="505"/>
      <c r="Z148" s="505"/>
      <c r="AA148" s="505"/>
      <c r="AB148" s="505"/>
      <c r="AC148" s="505"/>
    </row>
    <row r="149" spans="1:29">
      <c r="A149" s="505"/>
      <c r="B149" s="505"/>
      <c r="C149" s="505"/>
      <c r="D149" s="505"/>
      <c r="E149" s="505"/>
      <c r="F149" s="505"/>
      <c r="G149" s="505"/>
      <c r="H149" s="505"/>
      <c r="I149" s="505"/>
      <c r="J149" s="505"/>
      <c r="K149" s="517"/>
      <c r="L149" s="518"/>
      <c r="M149" s="505"/>
      <c r="N149" s="505"/>
      <c r="O149" s="505"/>
      <c r="P149" s="505"/>
      <c r="Q149" s="505"/>
      <c r="R149" s="505"/>
      <c r="S149" s="505"/>
      <c r="T149" s="505"/>
      <c r="U149" s="505"/>
      <c r="V149" s="505"/>
      <c r="W149" s="505"/>
      <c r="X149" s="505"/>
      <c r="Y149" s="505"/>
      <c r="Z149" s="505"/>
      <c r="AA149" s="505"/>
      <c r="AB149" s="505"/>
      <c r="AC149" s="505"/>
    </row>
    <row r="150" spans="1:29">
      <c r="A150" s="505"/>
      <c r="B150" s="505"/>
      <c r="C150" s="505"/>
      <c r="D150" s="505"/>
      <c r="E150" s="505"/>
      <c r="F150" s="505"/>
      <c r="G150" s="505"/>
      <c r="H150" s="505"/>
      <c r="I150" s="505"/>
      <c r="J150" s="505"/>
      <c r="K150" s="517"/>
      <c r="L150" s="518"/>
      <c r="M150" s="505"/>
      <c r="N150" s="505"/>
      <c r="O150" s="505"/>
      <c r="P150" s="505"/>
      <c r="Q150" s="505"/>
      <c r="R150" s="505"/>
      <c r="S150" s="505"/>
      <c r="T150" s="505"/>
      <c r="U150" s="505"/>
      <c r="V150" s="505"/>
      <c r="W150" s="505"/>
      <c r="X150" s="505"/>
      <c r="Y150" s="505"/>
      <c r="Z150" s="505"/>
      <c r="AA150" s="505"/>
      <c r="AB150" s="505"/>
      <c r="AC150" s="505"/>
    </row>
    <row r="151" spans="1:29">
      <c r="A151" s="505"/>
      <c r="B151" s="505"/>
      <c r="C151" s="505"/>
      <c r="D151" s="505"/>
      <c r="E151" s="505"/>
      <c r="F151" s="505"/>
      <c r="G151" s="505"/>
      <c r="H151" s="505"/>
      <c r="I151" s="505"/>
      <c r="J151" s="505"/>
      <c r="K151" s="517"/>
      <c r="L151" s="518"/>
      <c r="M151" s="505"/>
      <c r="N151" s="505"/>
      <c r="O151" s="505"/>
      <c r="P151" s="505"/>
      <c r="Q151" s="505"/>
      <c r="R151" s="505"/>
      <c r="S151" s="505"/>
      <c r="T151" s="505"/>
      <c r="U151" s="505"/>
      <c r="V151" s="505"/>
      <c r="W151" s="505"/>
      <c r="X151" s="505"/>
      <c r="Y151" s="505"/>
      <c r="Z151" s="505"/>
      <c r="AA151" s="505"/>
      <c r="AB151" s="505"/>
      <c r="AC151" s="505"/>
    </row>
    <row r="152" spans="1:29">
      <c r="A152" s="505"/>
      <c r="B152" s="505"/>
      <c r="C152" s="505"/>
      <c r="D152" s="505"/>
      <c r="E152" s="505"/>
      <c r="F152" s="505"/>
      <c r="G152" s="505"/>
      <c r="H152" s="505"/>
      <c r="I152" s="505"/>
      <c r="J152" s="505"/>
      <c r="K152" s="517"/>
      <c r="L152" s="518"/>
      <c r="M152" s="505"/>
      <c r="N152" s="505"/>
      <c r="O152" s="505"/>
      <c r="P152" s="505"/>
      <c r="Q152" s="505"/>
      <c r="R152" s="505"/>
      <c r="S152" s="505"/>
      <c r="T152" s="505"/>
      <c r="U152" s="505"/>
      <c r="V152" s="505"/>
      <c r="W152" s="505"/>
      <c r="X152" s="505"/>
      <c r="Y152" s="505"/>
      <c r="Z152" s="505"/>
      <c r="AA152" s="505"/>
      <c r="AB152" s="505"/>
      <c r="AC152" s="505"/>
    </row>
    <row r="153" spans="1:29">
      <c r="A153" s="505"/>
      <c r="B153" s="505"/>
      <c r="C153" s="505"/>
      <c r="D153" s="505"/>
      <c r="E153" s="505"/>
      <c r="F153" s="505"/>
      <c r="G153" s="505"/>
      <c r="H153" s="505"/>
      <c r="I153" s="505"/>
      <c r="J153" s="505"/>
      <c r="K153" s="517"/>
      <c r="L153" s="518"/>
      <c r="M153" s="505"/>
      <c r="N153" s="505"/>
      <c r="O153" s="505"/>
      <c r="P153" s="505"/>
      <c r="Q153" s="505"/>
      <c r="R153" s="505"/>
      <c r="S153" s="505"/>
      <c r="T153" s="505"/>
      <c r="U153" s="505"/>
      <c r="V153" s="505"/>
      <c r="W153" s="505"/>
      <c r="X153" s="505"/>
      <c r="Y153" s="505"/>
      <c r="Z153" s="505"/>
      <c r="AA153" s="505"/>
      <c r="AB153" s="505"/>
      <c r="AC153" s="505"/>
    </row>
    <row r="154" spans="1:29">
      <c r="A154" s="505"/>
      <c r="B154" s="505"/>
      <c r="C154" s="505"/>
      <c r="D154" s="505"/>
      <c r="E154" s="505"/>
      <c r="F154" s="505"/>
      <c r="G154" s="505"/>
      <c r="H154" s="505"/>
      <c r="I154" s="505"/>
      <c r="J154" s="505"/>
      <c r="K154" s="517"/>
      <c r="L154" s="518"/>
      <c r="M154" s="505"/>
      <c r="N154" s="505"/>
      <c r="O154" s="505"/>
      <c r="P154" s="505"/>
      <c r="Q154" s="505"/>
      <c r="R154" s="505"/>
      <c r="S154" s="505"/>
      <c r="T154" s="505"/>
      <c r="U154" s="505"/>
      <c r="V154" s="505"/>
      <c r="W154" s="505"/>
      <c r="X154" s="505"/>
      <c r="Y154" s="505"/>
      <c r="Z154" s="505"/>
      <c r="AA154" s="505"/>
      <c r="AB154" s="505"/>
      <c r="AC154" s="505"/>
    </row>
    <row r="155" spans="1:29">
      <c r="A155" s="505"/>
      <c r="B155" s="505"/>
      <c r="C155" s="505"/>
      <c r="D155" s="505"/>
      <c r="E155" s="505"/>
      <c r="F155" s="505"/>
      <c r="G155" s="505"/>
      <c r="H155" s="505"/>
      <c r="I155" s="505"/>
      <c r="J155" s="505"/>
      <c r="K155" s="517"/>
      <c r="L155" s="518"/>
      <c r="M155" s="505"/>
      <c r="N155" s="505"/>
      <c r="O155" s="505"/>
      <c r="P155" s="505"/>
      <c r="Q155" s="505"/>
      <c r="R155" s="505"/>
      <c r="S155" s="505"/>
      <c r="T155" s="505"/>
      <c r="U155" s="505"/>
      <c r="V155" s="505"/>
      <c r="W155" s="505"/>
      <c r="X155" s="505"/>
      <c r="Y155" s="505"/>
      <c r="Z155" s="505"/>
      <c r="AA155" s="505"/>
      <c r="AB155" s="505"/>
      <c r="AC155" s="505"/>
    </row>
    <row r="156" spans="1:29">
      <c r="A156" s="505"/>
      <c r="B156" s="505"/>
      <c r="C156" s="505"/>
      <c r="D156" s="505"/>
      <c r="E156" s="505"/>
      <c r="F156" s="505"/>
      <c r="G156" s="505"/>
      <c r="H156" s="505"/>
      <c r="I156" s="505"/>
      <c r="J156" s="505"/>
      <c r="K156" s="517"/>
      <c r="L156" s="518"/>
      <c r="M156" s="505"/>
      <c r="N156" s="505"/>
      <c r="O156" s="505"/>
      <c r="P156" s="505"/>
      <c r="Q156" s="505"/>
      <c r="R156" s="505"/>
      <c r="S156" s="505"/>
      <c r="T156" s="505"/>
      <c r="U156" s="505"/>
      <c r="V156" s="505"/>
      <c r="W156" s="505"/>
      <c r="X156" s="505"/>
      <c r="Y156" s="505"/>
      <c r="Z156" s="505"/>
      <c r="AA156" s="505"/>
      <c r="AB156" s="505"/>
      <c r="AC156" s="505"/>
    </row>
    <row r="157" spans="1:29">
      <c r="A157" s="505"/>
      <c r="B157" s="505"/>
      <c r="C157" s="505"/>
      <c r="D157" s="505"/>
      <c r="E157" s="505"/>
      <c r="F157" s="505"/>
      <c r="G157" s="505"/>
      <c r="H157" s="505"/>
      <c r="I157" s="505"/>
      <c r="J157" s="505"/>
      <c r="K157" s="517"/>
      <c r="L157" s="518"/>
      <c r="M157" s="505"/>
      <c r="N157" s="505"/>
      <c r="O157" s="505"/>
      <c r="P157" s="505"/>
      <c r="Q157" s="505"/>
      <c r="R157" s="505"/>
      <c r="S157" s="505"/>
      <c r="T157" s="505"/>
      <c r="U157" s="505"/>
      <c r="V157" s="505"/>
      <c r="W157" s="505"/>
      <c r="X157" s="505"/>
      <c r="Y157" s="505"/>
      <c r="Z157" s="505"/>
      <c r="AA157" s="505"/>
      <c r="AB157" s="505"/>
      <c r="AC157" s="505"/>
    </row>
    <row r="158" spans="1:29">
      <c r="A158" s="505"/>
      <c r="B158" s="505"/>
      <c r="C158" s="505"/>
      <c r="D158" s="505"/>
      <c r="E158" s="505"/>
      <c r="F158" s="505"/>
      <c r="G158" s="505"/>
      <c r="H158" s="505"/>
      <c r="I158" s="505"/>
      <c r="J158" s="505"/>
      <c r="K158" s="517"/>
      <c r="L158" s="518"/>
      <c r="M158" s="505"/>
      <c r="N158" s="505"/>
      <c r="O158" s="505"/>
      <c r="P158" s="505"/>
      <c r="Q158" s="505"/>
      <c r="R158" s="505"/>
      <c r="S158" s="505"/>
      <c r="T158" s="505"/>
      <c r="U158" s="505"/>
      <c r="V158" s="505"/>
      <c r="W158" s="505"/>
      <c r="X158" s="505"/>
      <c r="Y158" s="505"/>
      <c r="Z158" s="505"/>
      <c r="AA158" s="505"/>
      <c r="AB158" s="505"/>
      <c r="AC158" s="505"/>
    </row>
    <row r="159" spans="1:29">
      <c r="A159" s="505"/>
      <c r="B159" s="505"/>
      <c r="C159" s="505"/>
      <c r="D159" s="505"/>
      <c r="E159" s="505"/>
      <c r="F159" s="505"/>
      <c r="G159" s="505"/>
      <c r="H159" s="505"/>
      <c r="I159" s="505"/>
      <c r="J159" s="505"/>
      <c r="K159" s="517"/>
      <c r="L159" s="518"/>
      <c r="M159" s="505"/>
      <c r="N159" s="505"/>
      <c r="O159" s="505"/>
      <c r="P159" s="505"/>
      <c r="Q159" s="505"/>
      <c r="R159" s="505"/>
      <c r="S159" s="505"/>
      <c r="T159" s="505"/>
      <c r="U159" s="505"/>
      <c r="V159" s="505"/>
      <c r="W159" s="505"/>
      <c r="X159" s="505"/>
      <c r="Y159" s="505"/>
      <c r="Z159" s="505"/>
      <c r="AA159" s="505"/>
      <c r="AB159" s="505"/>
      <c r="AC159" s="505"/>
    </row>
    <row r="160" spans="1:29">
      <c r="A160" s="505"/>
      <c r="B160" s="505"/>
      <c r="C160" s="505"/>
      <c r="D160" s="505"/>
      <c r="E160" s="505"/>
      <c r="F160" s="505"/>
      <c r="G160" s="505"/>
      <c r="H160" s="505"/>
      <c r="I160" s="505"/>
      <c r="J160" s="505"/>
      <c r="K160" s="517"/>
      <c r="L160" s="518"/>
      <c r="M160" s="505"/>
      <c r="N160" s="505"/>
      <c r="O160" s="505"/>
      <c r="P160" s="505"/>
      <c r="Q160" s="505"/>
      <c r="R160" s="505"/>
      <c r="S160" s="505"/>
      <c r="T160" s="505"/>
      <c r="U160" s="505"/>
      <c r="V160" s="505"/>
      <c r="W160" s="505"/>
      <c r="X160" s="505"/>
      <c r="Y160" s="505"/>
      <c r="Z160" s="505"/>
      <c r="AA160" s="505"/>
      <c r="AB160" s="505"/>
      <c r="AC160" s="505"/>
    </row>
    <row r="161" spans="1:29">
      <c r="A161" s="505"/>
      <c r="B161" s="505"/>
      <c r="C161" s="505"/>
      <c r="D161" s="505"/>
      <c r="E161" s="505"/>
      <c r="F161" s="505"/>
      <c r="G161" s="505"/>
      <c r="H161" s="505"/>
      <c r="I161" s="505"/>
      <c r="J161" s="505"/>
      <c r="K161" s="517"/>
      <c r="L161" s="518"/>
      <c r="M161" s="505"/>
      <c r="N161" s="505"/>
      <c r="O161" s="505"/>
      <c r="P161" s="505"/>
      <c r="Q161" s="505"/>
      <c r="R161" s="505"/>
      <c r="S161" s="505"/>
      <c r="T161" s="505"/>
      <c r="U161" s="505"/>
      <c r="V161" s="505"/>
      <c r="W161" s="505"/>
      <c r="X161" s="505"/>
      <c r="Y161" s="505"/>
      <c r="Z161" s="505"/>
      <c r="AA161" s="505"/>
      <c r="AB161" s="505"/>
      <c r="AC161" s="505"/>
    </row>
    <row r="162" spans="1:29">
      <c r="A162" s="505"/>
      <c r="B162" s="505"/>
      <c r="C162" s="505"/>
      <c r="D162" s="505"/>
      <c r="E162" s="505"/>
      <c r="F162" s="505"/>
      <c r="G162" s="505"/>
      <c r="H162" s="505"/>
      <c r="I162" s="505"/>
      <c r="J162" s="505"/>
      <c r="K162" s="517"/>
      <c r="L162" s="518"/>
      <c r="M162" s="505"/>
      <c r="N162" s="505"/>
      <c r="O162" s="505"/>
      <c r="P162" s="505"/>
      <c r="Q162" s="505"/>
      <c r="R162" s="505"/>
      <c r="S162" s="505"/>
      <c r="T162" s="505"/>
      <c r="U162" s="505"/>
      <c r="V162" s="505"/>
      <c r="W162" s="505"/>
      <c r="X162" s="505"/>
      <c r="Y162" s="505"/>
      <c r="Z162" s="505"/>
      <c r="AA162" s="505"/>
      <c r="AB162" s="505"/>
      <c r="AC162" s="505"/>
    </row>
    <row r="163" spans="1:29">
      <c r="A163" s="505"/>
      <c r="B163" s="505"/>
      <c r="C163" s="505"/>
      <c r="D163" s="505"/>
      <c r="E163" s="505"/>
      <c r="F163" s="505"/>
      <c r="G163" s="505"/>
      <c r="H163" s="505"/>
      <c r="I163" s="505"/>
      <c r="J163" s="505"/>
      <c r="K163" s="517"/>
      <c r="L163" s="518"/>
      <c r="M163" s="505"/>
      <c r="N163" s="505"/>
      <c r="O163" s="505"/>
      <c r="P163" s="505"/>
      <c r="Q163" s="505"/>
      <c r="R163" s="505"/>
      <c r="S163" s="505"/>
      <c r="T163" s="505"/>
      <c r="U163" s="505"/>
      <c r="V163" s="505"/>
      <c r="W163" s="505"/>
      <c r="X163" s="505"/>
      <c r="Y163" s="505"/>
      <c r="Z163" s="505"/>
      <c r="AA163" s="505"/>
      <c r="AB163" s="505"/>
      <c r="AC163" s="505"/>
    </row>
    <row r="164" spans="1:29">
      <c r="A164" s="505"/>
      <c r="B164" s="505"/>
      <c r="C164" s="505"/>
      <c r="D164" s="505"/>
      <c r="E164" s="505"/>
      <c r="F164" s="505"/>
      <c r="G164" s="505"/>
      <c r="H164" s="505"/>
      <c r="I164" s="505"/>
      <c r="J164" s="505"/>
      <c r="K164" s="517"/>
      <c r="L164" s="518"/>
      <c r="M164" s="505"/>
      <c r="N164" s="505"/>
      <c r="O164" s="505"/>
      <c r="P164" s="505"/>
      <c r="Q164" s="505"/>
      <c r="R164" s="505"/>
      <c r="S164" s="505"/>
      <c r="T164" s="505"/>
      <c r="U164" s="505"/>
      <c r="V164" s="505"/>
      <c r="W164" s="505"/>
      <c r="X164" s="505"/>
      <c r="Y164" s="505"/>
      <c r="Z164" s="505"/>
      <c r="AA164" s="505"/>
      <c r="AB164" s="505"/>
      <c r="AC164" s="505"/>
    </row>
    <row r="165" spans="1:29">
      <c r="A165" s="505"/>
      <c r="B165" s="505"/>
      <c r="C165" s="505"/>
      <c r="D165" s="505"/>
      <c r="E165" s="505"/>
      <c r="F165" s="505"/>
      <c r="G165" s="505"/>
      <c r="H165" s="505"/>
      <c r="I165" s="505"/>
      <c r="J165" s="505"/>
      <c r="K165" s="517"/>
      <c r="L165" s="518"/>
      <c r="M165" s="505"/>
      <c r="N165" s="505"/>
      <c r="O165" s="505"/>
      <c r="P165" s="505"/>
      <c r="Q165" s="505"/>
      <c r="R165" s="505"/>
      <c r="S165" s="505"/>
      <c r="T165" s="505"/>
      <c r="U165" s="505"/>
      <c r="V165" s="505"/>
      <c r="W165" s="505"/>
      <c r="X165" s="505"/>
      <c r="Y165" s="505"/>
      <c r="Z165" s="505"/>
      <c r="AA165" s="505"/>
      <c r="AB165" s="505"/>
      <c r="AC165" s="505"/>
    </row>
    <row r="166" spans="1:29">
      <c r="A166" s="505"/>
      <c r="B166" s="505"/>
      <c r="C166" s="505"/>
      <c r="D166" s="505"/>
      <c r="E166" s="505"/>
      <c r="F166" s="505"/>
      <c r="G166" s="505"/>
      <c r="H166" s="505"/>
      <c r="I166" s="505"/>
      <c r="J166" s="505"/>
      <c r="K166" s="517"/>
      <c r="L166" s="518"/>
      <c r="M166" s="505"/>
      <c r="N166" s="505"/>
      <c r="O166" s="505"/>
      <c r="P166" s="505"/>
      <c r="Q166" s="505"/>
      <c r="R166" s="505"/>
      <c r="S166" s="505"/>
      <c r="T166" s="505"/>
      <c r="U166" s="505"/>
      <c r="V166" s="505"/>
      <c r="W166" s="505"/>
      <c r="X166" s="505"/>
      <c r="Y166" s="505"/>
      <c r="Z166" s="505"/>
      <c r="AA166" s="505"/>
      <c r="AB166" s="505"/>
      <c r="AC166" s="505"/>
    </row>
    <row r="167" spans="1:29">
      <c r="A167" s="505"/>
      <c r="B167" s="505"/>
      <c r="C167" s="505"/>
      <c r="D167" s="505"/>
      <c r="E167" s="505"/>
      <c r="F167" s="505"/>
      <c r="G167" s="505"/>
      <c r="H167" s="505"/>
      <c r="I167" s="505"/>
      <c r="J167" s="505"/>
      <c r="K167" s="517"/>
      <c r="L167" s="518"/>
      <c r="M167" s="505"/>
      <c r="N167" s="505"/>
      <c r="O167" s="505"/>
      <c r="P167" s="505"/>
      <c r="Q167" s="505"/>
      <c r="R167" s="505"/>
      <c r="S167" s="505"/>
      <c r="T167" s="505"/>
      <c r="U167" s="505"/>
      <c r="V167" s="505"/>
      <c r="W167" s="505"/>
      <c r="X167" s="505"/>
      <c r="Y167" s="505"/>
      <c r="Z167" s="505"/>
      <c r="AA167" s="505"/>
      <c r="AB167" s="505"/>
      <c r="AC167" s="505"/>
    </row>
    <row r="168" spans="1:29">
      <c r="A168" s="505"/>
      <c r="B168" s="505"/>
      <c r="C168" s="505"/>
      <c r="D168" s="505"/>
      <c r="E168" s="505"/>
      <c r="F168" s="505"/>
      <c r="G168" s="505"/>
      <c r="H168" s="505"/>
      <c r="I168" s="505"/>
      <c r="J168" s="505"/>
      <c r="K168" s="517"/>
      <c r="L168" s="518"/>
      <c r="M168" s="505"/>
      <c r="N168" s="505"/>
      <c r="O168" s="505"/>
      <c r="P168" s="505"/>
      <c r="Q168" s="505"/>
      <c r="R168" s="505"/>
      <c r="S168" s="505"/>
      <c r="T168" s="505"/>
      <c r="U168" s="505"/>
      <c r="V168" s="505"/>
      <c r="W168" s="505"/>
      <c r="X168" s="505"/>
      <c r="Y168" s="505"/>
      <c r="Z168" s="505"/>
      <c r="AA168" s="505"/>
      <c r="AB168" s="505"/>
      <c r="AC168" s="505"/>
    </row>
    <row r="169" spans="1:29">
      <c r="A169" s="505"/>
      <c r="B169" s="505"/>
      <c r="C169" s="505"/>
      <c r="D169" s="505"/>
      <c r="E169" s="505"/>
      <c r="F169" s="505"/>
      <c r="G169" s="505"/>
      <c r="H169" s="505"/>
      <c r="I169" s="505"/>
      <c r="J169" s="505"/>
      <c r="K169" s="517"/>
      <c r="L169" s="518"/>
      <c r="M169" s="505"/>
      <c r="N169" s="505"/>
      <c r="O169" s="505"/>
      <c r="P169" s="505"/>
      <c r="Q169" s="505"/>
      <c r="R169" s="505"/>
      <c r="S169" s="505"/>
      <c r="T169" s="505"/>
      <c r="U169" s="505"/>
      <c r="V169" s="505"/>
      <c r="W169" s="505"/>
      <c r="X169" s="505"/>
      <c r="Y169" s="505"/>
      <c r="Z169" s="505"/>
      <c r="AA169" s="505"/>
      <c r="AB169" s="505"/>
      <c r="AC169" s="505"/>
    </row>
    <row r="170" spans="1:29">
      <c r="A170" s="505"/>
      <c r="B170" s="505"/>
      <c r="C170" s="505"/>
      <c r="D170" s="505"/>
      <c r="E170" s="505"/>
      <c r="F170" s="505"/>
      <c r="G170" s="505"/>
      <c r="H170" s="505"/>
      <c r="I170" s="505"/>
      <c r="J170" s="505"/>
      <c r="K170" s="517"/>
      <c r="L170" s="518"/>
      <c r="M170" s="505"/>
      <c r="N170" s="505"/>
      <c r="O170" s="505"/>
      <c r="P170" s="505"/>
      <c r="Q170" s="505"/>
      <c r="R170" s="505"/>
      <c r="S170" s="505"/>
      <c r="T170" s="505"/>
      <c r="U170" s="505"/>
      <c r="V170" s="505"/>
      <c r="W170" s="505"/>
      <c r="X170" s="505"/>
      <c r="Y170" s="505"/>
      <c r="Z170" s="505"/>
      <c r="AA170" s="505"/>
      <c r="AB170" s="505"/>
      <c r="AC170" s="505"/>
    </row>
    <row r="171" spans="1:29">
      <c r="A171" s="505"/>
      <c r="B171" s="505"/>
      <c r="C171" s="505"/>
      <c r="D171" s="505"/>
      <c r="E171" s="505"/>
      <c r="F171" s="505"/>
      <c r="G171" s="505"/>
      <c r="H171" s="505"/>
      <c r="I171" s="505"/>
      <c r="J171" s="505"/>
      <c r="K171" s="517"/>
      <c r="L171" s="518"/>
      <c r="M171" s="505"/>
      <c r="N171" s="505"/>
      <c r="O171" s="505"/>
      <c r="P171" s="505"/>
      <c r="Q171" s="505"/>
      <c r="R171" s="505"/>
      <c r="S171" s="505"/>
      <c r="T171" s="505"/>
      <c r="U171" s="505"/>
      <c r="V171" s="505"/>
      <c r="W171" s="505"/>
      <c r="X171" s="505"/>
      <c r="Y171" s="505"/>
      <c r="Z171" s="505"/>
      <c r="AA171" s="505"/>
      <c r="AB171" s="505"/>
      <c r="AC171" s="505"/>
    </row>
    <row r="172" spans="1:29">
      <c r="A172" s="505"/>
      <c r="B172" s="505"/>
      <c r="C172" s="505"/>
      <c r="D172" s="505"/>
      <c r="E172" s="505"/>
      <c r="F172" s="505"/>
      <c r="G172" s="505"/>
      <c r="H172" s="505"/>
      <c r="I172" s="505"/>
      <c r="J172" s="505"/>
      <c r="K172" s="517"/>
      <c r="L172" s="518"/>
      <c r="M172" s="505"/>
      <c r="N172" s="505"/>
      <c r="O172" s="505"/>
      <c r="P172" s="505"/>
      <c r="Q172" s="505"/>
      <c r="R172" s="505"/>
      <c r="S172" s="505"/>
      <c r="T172" s="505"/>
      <c r="U172" s="505"/>
      <c r="V172" s="505"/>
      <c r="W172" s="505"/>
      <c r="X172" s="505"/>
      <c r="Y172" s="505"/>
      <c r="Z172" s="505"/>
      <c r="AA172" s="505"/>
      <c r="AB172" s="505"/>
      <c r="AC172" s="505"/>
    </row>
    <row r="173" spans="1:29">
      <c r="A173" s="505"/>
      <c r="B173" s="505"/>
      <c r="C173" s="505"/>
      <c r="D173" s="505"/>
      <c r="E173" s="505"/>
      <c r="F173" s="505"/>
      <c r="G173" s="505"/>
      <c r="H173" s="505"/>
      <c r="I173" s="505"/>
      <c r="J173" s="505"/>
      <c r="K173" s="517"/>
      <c r="L173" s="518"/>
      <c r="M173" s="505"/>
      <c r="N173" s="505"/>
      <c r="O173" s="505"/>
      <c r="P173" s="505"/>
      <c r="Q173" s="505"/>
      <c r="R173" s="505"/>
      <c r="S173" s="505"/>
      <c r="T173" s="505"/>
      <c r="U173" s="505"/>
      <c r="V173" s="505"/>
      <c r="W173" s="505"/>
      <c r="X173" s="505"/>
      <c r="Y173" s="505"/>
      <c r="Z173" s="505"/>
      <c r="AA173" s="505"/>
      <c r="AB173" s="505"/>
      <c r="AC173" s="505"/>
    </row>
    <row r="174" spans="1:29">
      <c r="A174" s="505"/>
      <c r="B174" s="505"/>
      <c r="C174" s="505"/>
      <c r="D174" s="505"/>
      <c r="E174" s="505"/>
      <c r="F174" s="505"/>
      <c r="G174" s="505"/>
      <c r="H174" s="505"/>
      <c r="I174" s="505"/>
      <c r="J174" s="505"/>
      <c r="K174" s="517"/>
      <c r="L174" s="518"/>
      <c r="M174" s="505"/>
      <c r="N174" s="505"/>
      <c r="O174" s="505"/>
      <c r="P174" s="505"/>
      <c r="Q174" s="505"/>
      <c r="R174" s="505"/>
      <c r="S174" s="505"/>
      <c r="T174" s="505"/>
      <c r="U174" s="505"/>
      <c r="V174" s="505"/>
      <c r="W174" s="505"/>
      <c r="X174" s="505"/>
      <c r="Y174" s="505"/>
      <c r="Z174" s="505"/>
      <c r="AA174" s="505"/>
      <c r="AB174" s="505"/>
      <c r="AC174" s="505"/>
    </row>
    <row r="175" spans="1:29">
      <c r="A175" s="505"/>
      <c r="B175" s="505"/>
      <c r="C175" s="505"/>
      <c r="D175" s="505"/>
      <c r="E175" s="505"/>
      <c r="F175" s="505"/>
      <c r="G175" s="505"/>
      <c r="H175" s="505"/>
      <c r="I175" s="505"/>
      <c r="J175" s="505"/>
      <c r="K175" s="517"/>
      <c r="L175" s="518"/>
      <c r="M175" s="505"/>
      <c r="N175" s="505"/>
      <c r="O175" s="505"/>
      <c r="P175" s="505"/>
      <c r="Q175" s="505"/>
      <c r="R175" s="505"/>
      <c r="S175" s="505"/>
      <c r="T175" s="505"/>
      <c r="U175" s="505"/>
      <c r="V175" s="505"/>
      <c r="W175" s="505"/>
      <c r="X175" s="505"/>
      <c r="Y175" s="505"/>
      <c r="Z175" s="505"/>
      <c r="AA175" s="505"/>
      <c r="AB175" s="505"/>
      <c r="AC175" s="505"/>
    </row>
    <row r="176" spans="1:29">
      <c r="A176" s="505"/>
      <c r="B176" s="505"/>
      <c r="C176" s="505"/>
      <c r="D176" s="505"/>
      <c r="E176" s="505"/>
      <c r="F176" s="505"/>
      <c r="G176" s="505"/>
      <c r="H176" s="505"/>
      <c r="I176" s="505"/>
      <c r="J176" s="505"/>
      <c r="K176" s="517"/>
      <c r="L176" s="518"/>
      <c r="M176" s="505"/>
      <c r="N176" s="505"/>
      <c r="O176" s="505"/>
      <c r="P176" s="505"/>
      <c r="Q176" s="505"/>
      <c r="R176" s="505"/>
      <c r="S176" s="505"/>
      <c r="T176" s="505"/>
      <c r="U176" s="505"/>
      <c r="V176" s="505"/>
      <c r="W176" s="505"/>
      <c r="X176" s="505"/>
      <c r="Y176" s="505"/>
      <c r="Z176" s="505"/>
      <c r="AA176" s="505"/>
      <c r="AB176" s="505"/>
      <c r="AC176" s="505"/>
    </row>
    <row r="177" spans="1:29">
      <c r="A177" s="505"/>
      <c r="B177" s="505"/>
      <c r="C177" s="505"/>
      <c r="D177" s="505"/>
      <c r="E177" s="505"/>
      <c r="F177" s="505"/>
      <c r="G177" s="505"/>
      <c r="H177" s="505"/>
      <c r="I177" s="505"/>
      <c r="J177" s="505"/>
      <c r="K177" s="517"/>
      <c r="L177" s="518"/>
      <c r="M177" s="505"/>
      <c r="N177" s="505"/>
      <c r="O177" s="505"/>
      <c r="P177" s="505"/>
      <c r="Q177" s="505"/>
      <c r="R177" s="505"/>
      <c r="S177" s="505"/>
      <c r="T177" s="505"/>
      <c r="U177" s="505"/>
      <c r="V177" s="505"/>
      <c r="W177" s="505"/>
      <c r="X177" s="505"/>
      <c r="Y177" s="505"/>
      <c r="Z177" s="505"/>
      <c r="AA177" s="505"/>
      <c r="AB177" s="505"/>
      <c r="AC177" s="505"/>
    </row>
    <row r="178" spans="1:29">
      <c r="A178" s="505"/>
      <c r="B178" s="505"/>
      <c r="C178" s="505"/>
      <c r="D178" s="505"/>
      <c r="E178" s="505"/>
      <c r="F178" s="505"/>
      <c r="G178" s="505"/>
      <c r="H178" s="505"/>
      <c r="I178" s="505"/>
      <c r="J178" s="505"/>
      <c r="K178" s="517"/>
      <c r="L178" s="518"/>
      <c r="M178" s="505"/>
      <c r="N178" s="505"/>
      <c r="O178" s="505"/>
      <c r="P178" s="505"/>
      <c r="Q178" s="505"/>
      <c r="R178" s="505"/>
      <c r="S178" s="505"/>
      <c r="T178" s="505"/>
      <c r="U178" s="505"/>
      <c r="V178" s="505"/>
      <c r="W178" s="505"/>
      <c r="X178" s="505"/>
      <c r="Y178" s="505"/>
      <c r="Z178" s="505"/>
      <c r="AA178" s="505"/>
      <c r="AB178" s="505"/>
      <c r="AC178" s="505"/>
    </row>
    <row r="179" spans="1:29">
      <c r="A179" s="505"/>
      <c r="B179" s="505"/>
      <c r="C179" s="505"/>
      <c r="D179" s="505"/>
      <c r="E179" s="505"/>
      <c r="F179" s="505"/>
      <c r="G179" s="505"/>
      <c r="H179" s="505"/>
      <c r="I179" s="505"/>
      <c r="J179" s="505"/>
      <c r="K179" s="517"/>
      <c r="L179" s="518"/>
      <c r="M179" s="505"/>
      <c r="N179" s="505"/>
      <c r="O179" s="505"/>
      <c r="P179" s="505"/>
      <c r="Q179" s="505"/>
      <c r="R179" s="505"/>
      <c r="S179" s="505"/>
      <c r="T179" s="505"/>
      <c r="U179" s="505"/>
      <c r="V179" s="505"/>
      <c r="W179" s="505"/>
      <c r="X179" s="505"/>
      <c r="Y179" s="505"/>
      <c r="Z179" s="505"/>
      <c r="AA179" s="505"/>
      <c r="AB179" s="505"/>
      <c r="AC179" s="505"/>
    </row>
    <row r="180" spans="1:29">
      <c r="A180" s="505"/>
      <c r="B180" s="505"/>
      <c r="C180" s="505"/>
      <c r="D180" s="505"/>
      <c r="E180" s="505"/>
      <c r="F180" s="505"/>
      <c r="G180" s="505"/>
      <c r="H180" s="505"/>
      <c r="I180" s="505"/>
      <c r="J180" s="505"/>
      <c r="K180" s="517"/>
      <c r="L180" s="518"/>
      <c r="M180" s="505"/>
      <c r="N180" s="505"/>
      <c r="O180" s="505"/>
      <c r="P180" s="505"/>
      <c r="Q180" s="505"/>
      <c r="R180" s="505"/>
      <c r="S180" s="505"/>
      <c r="T180" s="505"/>
      <c r="U180" s="505"/>
      <c r="V180" s="505"/>
      <c r="W180" s="505"/>
      <c r="X180" s="505"/>
      <c r="Y180" s="505"/>
      <c r="Z180" s="505"/>
      <c r="AA180" s="505"/>
      <c r="AB180" s="505"/>
      <c r="AC180" s="505"/>
    </row>
    <row r="181" spans="1:29">
      <c r="A181" s="505"/>
      <c r="B181" s="505"/>
      <c r="C181" s="505"/>
      <c r="D181" s="505"/>
      <c r="E181" s="505"/>
      <c r="F181" s="505"/>
      <c r="G181" s="505"/>
      <c r="H181" s="505"/>
      <c r="I181" s="505"/>
      <c r="J181" s="505"/>
      <c r="K181" s="517"/>
      <c r="L181" s="518"/>
      <c r="M181" s="505"/>
      <c r="N181" s="505"/>
      <c r="O181" s="505"/>
      <c r="P181" s="505"/>
      <c r="Q181" s="505"/>
      <c r="R181" s="505"/>
      <c r="S181" s="505"/>
      <c r="T181" s="505"/>
      <c r="U181" s="505"/>
      <c r="V181" s="505"/>
      <c r="W181" s="505"/>
      <c r="X181" s="505"/>
      <c r="Y181" s="505"/>
      <c r="Z181" s="505"/>
      <c r="AA181" s="505"/>
      <c r="AB181" s="505"/>
      <c r="AC181" s="505"/>
    </row>
    <row r="182" spans="1:29">
      <c r="A182" s="505"/>
      <c r="B182" s="505"/>
      <c r="C182" s="505"/>
      <c r="D182" s="505"/>
      <c r="E182" s="505"/>
      <c r="F182" s="505"/>
      <c r="G182" s="505"/>
      <c r="H182" s="505"/>
      <c r="I182" s="505"/>
      <c r="J182" s="505"/>
      <c r="K182" s="517"/>
      <c r="L182" s="518"/>
      <c r="M182" s="505"/>
      <c r="N182" s="505"/>
      <c r="O182" s="505"/>
      <c r="P182" s="505"/>
      <c r="Q182" s="505"/>
      <c r="R182" s="505"/>
      <c r="S182" s="505"/>
      <c r="T182" s="505"/>
      <c r="U182" s="505"/>
      <c r="V182" s="505"/>
      <c r="W182" s="505"/>
      <c r="X182" s="505"/>
      <c r="Y182" s="505"/>
      <c r="Z182" s="505"/>
      <c r="AA182" s="505"/>
      <c r="AB182" s="505"/>
      <c r="AC182" s="505"/>
    </row>
    <row r="183" spans="1:29">
      <c r="A183" s="505"/>
      <c r="B183" s="505"/>
      <c r="C183" s="505"/>
      <c r="D183" s="505"/>
      <c r="E183" s="505"/>
      <c r="F183" s="505"/>
      <c r="G183" s="505"/>
      <c r="H183" s="505"/>
      <c r="I183" s="505"/>
      <c r="J183" s="505"/>
      <c r="K183" s="517"/>
      <c r="L183" s="518"/>
      <c r="M183" s="505"/>
      <c r="N183" s="505"/>
      <c r="O183" s="505"/>
      <c r="P183" s="505"/>
      <c r="Q183" s="505"/>
      <c r="R183" s="505"/>
      <c r="S183" s="505"/>
      <c r="T183" s="505"/>
      <c r="U183" s="505"/>
      <c r="V183" s="505"/>
      <c r="W183" s="505"/>
      <c r="X183" s="505"/>
      <c r="Y183" s="505"/>
      <c r="Z183" s="505"/>
      <c r="AA183" s="505"/>
      <c r="AB183" s="505"/>
      <c r="AC183" s="505"/>
    </row>
    <row r="184" spans="1:29">
      <c r="A184" s="505"/>
      <c r="B184" s="505"/>
      <c r="C184" s="505"/>
      <c r="D184" s="505"/>
      <c r="E184" s="505"/>
      <c r="F184" s="505"/>
      <c r="G184" s="505"/>
      <c r="H184" s="505"/>
      <c r="I184" s="505"/>
      <c r="J184" s="505"/>
      <c r="K184" s="517"/>
      <c r="L184" s="518"/>
      <c r="M184" s="505"/>
      <c r="N184" s="505"/>
      <c r="O184" s="505"/>
      <c r="P184" s="505"/>
      <c r="Q184" s="505"/>
      <c r="R184" s="505"/>
      <c r="S184" s="505"/>
      <c r="T184" s="505"/>
      <c r="U184" s="505"/>
      <c r="V184" s="505"/>
      <c r="W184" s="505"/>
      <c r="X184" s="505"/>
      <c r="Y184" s="505"/>
      <c r="Z184" s="505"/>
      <c r="AA184" s="505"/>
      <c r="AB184" s="505"/>
      <c r="AC184" s="505"/>
    </row>
    <row r="185" spans="1:29">
      <c r="A185" s="505"/>
      <c r="B185" s="505"/>
      <c r="C185" s="505"/>
      <c r="D185" s="505"/>
      <c r="E185" s="505"/>
      <c r="F185" s="505"/>
      <c r="G185" s="505"/>
      <c r="H185" s="505"/>
      <c r="I185" s="505"/>
      <c r="J185" s="505"/>
      <c r="K185" s="517"/>
      <c r="L185" s="518"/>
      <c r="M185" s="505"/>
      <c r="N185" s="505"/>
      <c r="O185" s="505"/>
      <c r="P185" s="505"/>
      <c r="Q185" s="505"/>
      <c r="R185" s="505"/>
      <c r="S185" s="505"/>
      <c r="T185" s="505"/>
      <c r="U185" s="505"/>
      <c r="V185" s="505"/>
      <c r="W185" s="505"/>
      <c r="X185" s="505"/>
      <c r="Y185" s="505"/>
      <c r="Z185" s="505"/>
      <c r="AA185" s="505"/>
      <c r="AB185" s="505"/>
      <c r="AC185" s="505"/>
    </row>
    <row r="186" spans="1:29">
      <c r="A186" s="505"/>
      <c r="B186" s="505"/>
      <c r="C186" s="505"/>
      <c r="D186" s="505"/>
      <c r="E186" s="505"/>
      <c r="F186" s="505"/>
      <c r="G186" s="505"/>
      <c r="H186" s="505"/>
      <c r="I186" s="505"/>
      <c r="J186" s="505"/>
      <c r="K186" s="517"/>
      <c r="L186" s="518"/>
      <c r="M186" s="505"/>
      <c r="N186" s="505"/>
      <c r="O186" s="505"/>
      <c r="P186" s="505"/>
      <c r="Q186" s="505"/>
      <c r="R186" s="505"/>
      <c r="S186" s="505"/>
      <c r="T186" s="505"/>
      <c r="U186" s="505"/>
      <c r="V186" s="505"/>
      <c r="W186" s="505"/>
      <c r="X186" s="505"/>
      <c r="Y186" s="505"/>
      <c r="Z186" s="505"/>
      <c r="AA186" s="505"/>
      <c r="AB186" s="505"/>
      <c r="AC186" s="505"/>
    </row>
    <row r="187" spans="1:29">
      <c r="A187" s="505"/>
      <c r="B187" s="505"/>
      <c r="C187" s="505"/>
      <c r="D187" s="505"/>
      <c r="E187" s="505"/>
      <c r="F187" s="505"/>
      <c r="G187" s="505"/>
      <c r="H187" s="505"/>
      <c r="I187" s="505"/>
      <c r="J187" s="505"/>
      <c r="K187" s="517"/>
      <c r="L187" s="518"/>
      <c r="M187" s="505"/>
      <c r="N187" s="505"/>
      <c r="O187" s="505"/>
      <c r="P187" s="505"/>
      <c r="Q187" s="505"/>
      <c r="R187" s="505"/>
      <c r="S187" s="505"/>
      <c r="T187" s="505"/>
      <c r="U187" s="505"/>
      <c r="V187" s="505"/>
      <c r="W187" s="505"/>
      <c r="X187" s="505"/>
      <c r="Y187" s="505"/>
      <c r="Z187" s="505"/>
      <c r="AA187" s="505"/>
      <c r="AB187" s="505"/>
      <c r="AC187" s="505"/>
    </row>
    <row r="188" spans="1:29">
      <c r="A188" s="505"/>
      <c r="B188" s="505"/>
      <c r="C188" s="505"/>
      <c r="D188" s="505"/>
      <c r="E188" s="505"/>
      <c r="F188" s="505"/>
      <c r="G188" s="505"/>
      <c r="H188" s="505"/>
      <c r="I188" s="505"/>
      <c r="J188" s="505"/>
      <c r="K188" s="517"/>
      <c r="L188" s="518"/>
      <c r="M188" s="505"/>
      <c r="N188" s="505"/>
      <c r="O188" s="505"/>
      <c r="P188" s="505"/>
      <c r="Q188" s="505"/>
      <c r="R188" s="505"/>
      <c r="S188" s="505"/>
      <c r="T188" s="505"/>
      <c r="U188" s="505"/>
      <c r="V188" s="505"/>
      <c r="W188" s="505"/>
      <c r="X188" s="505"/>
      <c r="Y188" s="505"/>
      <c r="Z188" s="505"/>
      <c r="AA188" s="505"/>
      <c r="AB188" s="505"/>
      <c r="AC188" s="505"/>
    </row>
    <row r="189" spans="1:29">
      <c r="A189" s="505"/>
      <c r="B189" s="505"/>
      <c r="C189" s="505"/>
      <c r="D189" s="505"/>
      <c r="E189" s="505"/>
      <c r="F189" s="505"/>
      <c r="G189" s="505"/>
      <c r="H189" s="505"/>
      <c r="I189" s="505"/>
      <c r="J189" s="505"/>
      <c r="K189" s="517"/>
      <c r="L189" s="518"/>
      <c r="M189" s="505"/>
      <c r="N189" s="505"/>
      <c r="O189" s="505"/>
      <c r="P189" s="505"/>
      <c r="Q189" s="505"/>
      <c r="R189" s="505"/>
      <c r="S189" s="505"/>
      <c r="T189" s="505"/>
      <c r="U189" s="505"/>
      <c r="V189" s="505"/>
      <c r="W189" s="505"/>
      <c r="X189" s="505"/>
      <c r="Y189" s="505"/>
      <c r="Z189" s="505"/>
      <c r="AA189" s="505"/>
      <c r="AB189" s="505"/>
      <c r="AC189" s="505"/>
    </row>
    <row r="190" spans="1:29">
      <c r="A190" s="505"/>
      <c r="B190" s="505"/>
      <c r="C190" s="505"/>
      <c r="D190" s="505"/>
      <c r="E190" s="505"/>
      <c r="F190" s="505"/>
      <c r="G190" s="505"/>
      <c r="H190" s="505"/>
      <c r="I190" s="505"/>
      <c r="J190" s="505"/>
      <c r="K190" s="517"/>
      <c r="L190" s="518"/>
      <c r="M190" s="505"/>
      <c r="N190" s="505"/>
      <c r="O190" s="505"/>
      <c r="P190" s="505"/>
      <c r="Q190" s="505"/>
      <c r="R190" s="505"/>
      <c r="S190" s="505"/>
      <c r="T190" s="505"/>
      <c r="U190" s="505"/>
      <c r="V190" s="505"/>
      <c r="W190" s="505"/>
      <c r="X190" s="505"/>
      <c r="Y190" s="505"/>
      <c r="Z190" s="505"/>
      <c r="AA190" s="505"/>
      <c r="AB190" s="505"/>
      <c r="AC190" s="505"/>
    </row>
    <row r="191" spans="1:29">
      <c r="A191" s="505"/>
      <c r="B191" s="505"/>
      <c r="C191" s="505"/>
      <c r="D191" s="505"/>
      <c r="E191" s="505"/>
      <c r="F191" s="505"/>
      <c r="G191" s="505"/>
      <c r="H191" s="505"/>
      <c r="I191" s="505"/>
      <c r="J191" s="505"/>
      <c r="K191" s="517"/>
      <c r="L191" s="518"/>
      <c r="M191" s="505"/>
      <c r="N191" s="505"/>
      <c r="O191" s="505"/>
      <c r="P191" s="505"/>
      <c r="Q191" s="505"/>
      <c r="R191" s="505"/>
      <c r="S191" s="505"/>
      <c r="T191" s="505"/>
      <c r="U191" s="505"/>
      <c r="V191" s="505"/>
      <c r="W191" s="505"/>
      <c r="X191" s="505"/>
      <c r="Y191" s="505"/>
      <c r="Z191" s="505"/>
      <c r="AA191" s="505"/>
      <c r="AB191" s="505"/>
      <c r="AC191" s="505"/>
    </row>
    <row r="192" spans="1:29">
      <c r="A192" s="505"/>
      <c r="B192" s="505"/>
      <c r="C192" s="505"/>
      <c r="D192" s="505"/>
      <c r="E192" s="505"/>
      <c r="F192" s="505"/>
      <c r="G192" s="505"/>
      <c r="H192" s="505"/>
      <c r="I192" s="505"/>
      <c r="J192" s="505"/>
      <c r="K192" s="517"/>
      <c r="L192" s="518"/>
      <c r="M192" s="505"/>
      <c r="N192" s="505"/>
      <c r="O192" s="505"/>
      <c r="P192" s="505"/>
      <c r="Q192" s="505"/>
      <c r="R192" s="505"/>
      <c r="S192" s="505"/>
      <c r="T192" s="505"/>
      <c r="U192" s="505"/>
      <c r="V192" s="505"/>
      <c r="W192" s="505"/>
      <c r="X192" s="505"/>
      <c r="Y192" s="505"/>
      <c r="Z192" s="505"/>
      <c r="AA192" s="505"/>
      <c r="AB192" s="505"/>
      <c r="AC192" s="505"/>
    </row>
    <row r="193" spans="1:29">
      <c r="A193" s="505"/>
      <c r="B193" s="505"/>
      <c r="C193" s="505"/>
      <c r="D193" s="505"/>
      <c r="E193" s="505"/>
      <c r="F193" s="505"/>
      <c r="G193" s="505"/>
      <c r="H193" s="505"/>
      <c r="I193" s="505"/>
      <c r="J193" s="505"/>
      <c r="K193" s="517"/>
      <c r="L193" s="518"/>
      <c r="M193" s="505"/>
      <c r="N193" s="505"/>
      <c r="O193" s="505"/>
      <c r="P193" s="505"/>
      <c r="Q193" s="505"/>
      <c r="R193" s="505"/>
      <c r="S193" s="505"/>
      <c r="T193" s="505"/>
      <c r="U193" s="505"/>
      <c r="V193" s="505"/>
      <c r="W193" s="505"/>
      <c r="X193" s="505"/>
      <c r="Y193" s="505"/>
      <c r="Z193" s="505"/>
      <c r="AA193" s="505"/>
      <c r="AB193" s="505"/>
      <c r="AC193" s="505"/>
    </row>
    <row r="194" spans="1:29">
      <c r="A194" s="505"/>
      <c r="B194" s="505"/>
      <c r="C194" s="505"/>
      <c r="D194" s="505"/>
      <c r="E194" s="505"/>
      <c r="F194" s="505"/>
      <c r="G194" s="505"/>
      <c r="H194" s="505"/>
      <c r="I194" s="505"/>
      <c r="J194" s="505"/>
      <c r="K194" s="517"/>
      <c r="L194" s="518"/>
      <c r="M194" s="505"/>
      <c r="N194" s="505"/>
      <c r="O194" s="505"/>
      <c r="P194" s="505"/>
      <c r="Q194" s="505"/>
      <c r="R194" s="505"/>
      <c r="S194" s="505"/>
      <c r="T194" s="505"/>
      <c r="U194" s="505"/>
      <c r="V194" s="505"/>
      <c r="W194" s="505"/>
      <c r="X194" s="505"/>
      <c r="Y194" s="505"/>
      <c r="Z194" s="505"/>
      <c r="AA194" s="505"/>
      <c r="AB194" s="505"/>
      <c r="AC194" s="505"/>
    </row>
    <row r="195" spans="1:29">
      <c r="A195" s="505"/>
      <c r="B195" s="505"/>
      <c r="C195" s="505"/>
      <c r="D195" s="505"/>
      <c r="E195" s="505"/>
      <c r="F195" s="505"/>
      <c r="G195" s="505"/>
      <c r="H195" s="505"/>
      <c r="I195" s="505"/>
      <c r="J195" s="505"/>
      <c r="K195" s="517"/>
      <c r="L195" s="518"/>
      <c r="M195" s="505"/>
      <c r="N195" s="505"/>
      <c r="O195" s="505"/>
      <c r="P195" s="505"/>
      <c r="Q195" s="505"/>
      <c r="R195" s="505"/>
      <c r="S195" s="505"/>
      <c r="T195" s="505"/>
      <c r="U195" s="505"/>
      <c r="V195" s="505"/>
      <c r="W195" s="505"/>
      <c r="X195" s="505"/>
      <c r="Y195" s="505"/>
      <c r="Z195" s="505"/>
      <c r="AA195" s="505"/>
      <c r="AB195" s="505"/>
      <c r="AC195" s="505"/>
    </row>
    <row r="196" spans="1:29">
      <c r="A196" s="505"/>
      <c r="B196" s="505"/>
      <c r="C196" s="505"/>
      <c r="D196" s="505"/>
      <c r="E196" s="505"/>
      <c r="F196" s="505"/>
      <c r="G196" s="505"/>
      <c r="H196" s="505"/>
      <c r="I196" s="505"/>
      <c r="J196" s="505"/>
      <c r="K196" s="517"/>
      <c r="L196" s="518"/>
      <c r="M196" s="505"/>
      <c r="N196" s="505"/>
      <c r="O196" s="505"/>
      <c r="P196" s="505"/>
      <c r="Q196" s="505"/>
      <c r="R196" s="505"/>
      <c r="S196" s="505"/>
      <c r="T196" s="505"/>
      <c r="U196" s="505"/>
      <c r="V196" s="505"/>
      <c r="W196" s="505"/>
      <c r="X196" s="505"/>
      <c r="Y196" s="505"/>
      <c r="Z196" s="505"/>
      <c r="AA196" s="505"/>
      <c r="AB196" s="505"/>
      <c r="AC196" s="505"/>
    </row>
    <row r="197" spans="1:29">
      <c r="A197" s="505"/>
      <c r="B197" s="505"/>
      <c r="C197" s="505"/>
      <c r="D197" s="505"/>
      <c r="E197" s="505"/>
      <c r="F197" s="505"/>
      <c r="G197" s="505"/>
      <c r="H197" s="505"/>
      <c r="I197" s="505"/>
      <c r="J197" s="505"/>
      <c r="K197" s="517"/>
      <c r="L197" s="518"/>
      <c r="M197" s="505"/>
      <c r="N197" s="505"/>
      <c r="O197" s="505"/>
      <c r="P197" s="505"/>
      <c r="Q197" s="505"/>
      <c r="R197" s="505"/>
      <c r="S197" s="505"/>
      <c r="T197" s="505"/>
      <c r="U197" s="505"/>
      <c r="V197" s="505"/>
      <c r="W197" s="505"/>
      <c r="X197" s="505"/>
      <c r="Y197" s="505"/>
      <c r="Z197" s="505"/>
      <c r="AA197" s="505"/>
      <c r="AB197" s="505"/>
      <c r="AC197" s="505"/>
    </row>
    <row r="198" spans="1:29">
      <c r="A198" s="505"/>
      <c r="B198" s="505"/>
      <c r="C198" s="505"/>
      <c r="D198" s="505"/>
      <c r="E198" s="505"/>
      <c r="F198" s="505"/>
      <c r="G198" s="505"/>
      <c r="H198" s="505"/>
      <c r="I198" s="505"/>
      <c r="J198" s="505"/>
      <c r="K198" s="517"/>
      <c r="L198" s="518"/>
      <c r="M198" s="505"/>
      <c r="N198" s="505"/>
      <c r="O198" s="505"/>
      <c r="P198" s="505"/>
      <c r="Q198" s="505"/>
      <c r="R198" s="505"/>
      <c r="S198" s="505"/>
      <c r="T198" s="505"/>
      <c r="U198" s="505"/>
      <c r="V198" s="505"/>
      <c r="W198" s="505"/>
      <c r="X198" s="505"/>
      <c r="Y198" s="505"/>
      <c r="Z198" s="505"/>
      <c r="AA198" s="505"/>
      <c r="AB198" s="505"/>
      <c r="AC198" s="505"/>
    </row>
    <row r="199" spans="1:29">
      <c r="A199" s="505"/>
      <c r="B199" s="505"/>
      <c r="C199" s="505"/>
      <c r="D199" s="505"/>
      <c r="E199" s="505"/>
      <c r="F199" s="505"/>
      <c r="G199" s="505"/>
      <c r="H199" s="505"/>
      <c r="I199" s="505"/>
      <c r="J199" s="505"/>
      <c r="K199" s="517"/>
      <c r="L199" s="518"/>
      <c r="M199" s="505"/>
      <c r="N199" s="505"/>
      <c r="O199" s="505"/>
      <c r="P199" s="505"/>
      <c r="Q199" s="505"/>
      <c r="R199" s="505"/>
      <c r="S199" s="505"/>
      <c r="T199" s="505"/>
      <c r="U199" s="505"/>
      <c r="V199" s="505"/>
      <c r="W199" s="505"/>
      <c r="X199" s="505"/>
      <c r="Y199" s="505"/>
      <c r="Z199" s="505"/>
      <c r="AA199" s="505"/>
      <c r="AB199" s="505"/>
      <c r="AC199" s="505"/>
    </row>
    <row r="200" spans="1:29">
      <c r="A200" s="505"/>
      <c r="B200" s="505"/>
      <c r="C200" s="505"/>
      <c r="D200" s="505"/>
      <c r="E200" s="505"/>
      <c r="F200" s="505"/>
      <c r="G200" s="505"/>
      <c r="H200" s="505"/>
      <c r="I200" s="505"/>
      <c r="J200" s="505"/>
      <c r="K200" s="517"/>
      <c r="L200" s="518"/>
      <c r="M200" s="505"/>
      <c r="N200" s="505"/>
      <c r="O200" s="505"/>
      <c r="P200" s="505"/>
      <c r="Q200" s="505"/>
      <c r="R200" s="505"/>
      <c r="S200" s="505"/>
      <c r="T200" s="505"/>
      <c r="U200" s="505"/>
      <c r="V200" s="505"/>
      <c r="W200" s="505"/>
      <c r="X200" s="505"/>
      <c r="Y200" s="505"/>
      <c r="Z200" s="505"/>
      <c r="AA200" s="505"/>
      <c r="AB200" s="505"/>
      <c r="AC200" s="505"/>
    </row>
    <row r="201" spans="1:29">
      <c r="A201" s="505"/>
      <c r="B201" s="505"/>
      <c r="C201" s="505"/>
      <c r="D201" s="505"/>
      <c r="E201" s="505"/>
      <c r="F201" s="505"/>
      <c r="G201" s="505"/>
      <c r="H201" s="505"/>
      <c r="I201" s="505"/>
      <c r="J201" s="505"/>
      <c r="K201" s="517"/>
      <c r="L201" s="518"/>
      <c r="M201" s="505"/>
      <c r="N201" s="505"/>
      <c r="O201" s="505"/>
      <c r="P201" s="505"/>
      <c r="Q201" s="505"/>
      <c r="R201" s="505"/>
      <c r="S201" s="505"/>
      <c r="T201" s="505"/>
      <c r="U201" s="505"/>
      <c r="V201" s="505"/>
      <c r="W201" s="505"/>
      <c r="X201" s="505"/>
      <c r="Y201" s="505"/>
      <c r="Z201" s="505"/>
      <c r="AA201" s="505"/>
      <c r="AB201" s="505"/>
      <c r="AC201" s="505"/>
    </row>
    <row r="202" spans="1:29">
      <c r="A202" s="505"/>
      <c r="B202" s="505"/>
      <c r="C202" s="505"/>
      <c r="D202" s="505"/>
      <c r="E202" s="505"/>
      <c r="F202" s="505"/>
      <c r="G202" s="505"/>
      <c r="H202" s="505"/>
      <c r="I202" s="505"/>
      <c r="J202" s="505"/>
      <c r="K202" s="517"/>
      <c r="L202" s="518"/>
      <c r="M202" s="505"/>
      <c r="N202" s="505"/>
      <c r="O202" s="505"/>
      <c r="P202" s="505"/>
      <c r="Q202" s="505"/>
      <c r="R202" s="505"/>
      <c r="S202" s="505"/>
      <c r="T202" s="505"/>
      <c r="U202" s="505"/>
      <c r="V202" s="505"/>
      <c r="W202" s="505"/>
      <c r="X202" s="505"/>
      <c r="Y202" s="505"/>
      <c r="Z202" s="505"/>
      <c r="AA202" s="505"/>
      <c r="AB202" s="505"/>
      <c r="AC202" s="505"/>
    </row>
    <row r="203" spans="1:29">
      <c r="A203" s="505"/>
      <c r="B203" s="505"/>
      <c r="C203" s="505"/>
      <c r="D203" s="505"/>
      <c r="E203" s="505"/>
      <c r="F203" s="505"/>
      <c r="G203" s="505"/>
      <c r="H203" s="505"/>
      <c r="I203" s="505"/>
      <c r="J203" s="505"/>
      <c r="K203" s="517"/>
      <c r="L203" s="518"/>
      <c r="M203" s="505"/>
      <c r="N203" s="505"/>
      <c r="O203" s="505"/>
      <c r="P203" s="505"/>
      <c r="Q203" s="505"/>
      <c r="R203" s="505"/>
      <c r="S203" s="505"/>
      <c r="T203" s="505"/>
      <c r="U203" s="505"/>
      <c r="V203" s="505"/>
      <c r="W203" s="505"/>
      <c r="X203" s="505"/>
      <c r="Y203" s="505"/>
      <c r="Z203" s="505"/>
      <c r="AA203" s="505"/>
      <c r="AB203" s="505"/>
      <c r="AC203" s="505"/>
    </row>
    <row r="204" spans="1:29">
      <c r="A204" s="505"/>
      <c r="B204" s="505"/>
      <c r="C204" s="505"/>
      <c r="D204" s="505"/>
      <c r="E204" s="505"/>
      <c r="F204" s="505"/>
      <c r="G204" s="505"/>
      <c r="H204" s="505"/>
      <c r="I204" s="505"/>
      <c r="J204" s="505"/>
      <c r="K204" s="517"/>
      <c r="L204" s="518"/>
      <c r="M204" s="505"/>
      <c r="N204" s="505"/>
      <c r="O204" s="505"/>
      <c r="P204" s="505"/>
      <c r="Q204" s="505"/>
      <c r="R204" s="505"/>
      <c r="S204" s="505"/>
      <c r="T204" s="505"/>
      <c r="U204" s="505"/>
      <c r="V204" s="505"/>
      <c r="W204" s="505"/>
      <c r="X204" s="505"/>
      <c r="Y204" s="505"/>
      <c r="Z204" s="505"/>
      <c r="AA204" s="505"/>
      <c r="AB204" s="505"/>
      <c r="AC204" s="505"/>
    </row>
    <row r="205" spans="1:29">
      <c r="A205" s="505"/>
      <c r="B205" s="505"/>
      <c r="C205" s="505"/>
      <c r="D205" s="505"/>
      <c r="E205" s="505"/>
      <c r="F205" s="505"/>
      <c r="G205" s="505"/>
      <c r="H205" s="505"/>
      <c r="I205" s="505"/>
      <c r="J205" s="505"/>
      <c r="K205" s="517"/>
      <c r="L205" s="518"/>
      <c r="M205" s="505"/>
      <c r="N205" s="505"/>
      <c r="O205" s="505"/>
      <c r="P205" s="505"/>
      <c r="Q205" s="505"/>
      <c r="R205" s="505"/>
      <c r="S205" s="505"/>
      <c r="T205" s="505"/>
      <c r="U205" s="505"/>
      <c r="V205" s="505"/>
      <c r="W205" s="505"/>
      <c r="X205" s="505"/>
      <c r="Y205" s="505"/>
      <c r="Z205" s="505"/>
      <c r="AA205" s="505"/>
      <c r="AB205" s="505"/>
      <c r="AC205" s="505"/>
    </row>
    <row r="206" spans="1:29">
      <c r="A206" s="505"/>
      <c r="B206" s="505"/>
      <c r="C206" s="505"/>
      <c r="D206" s="505"/>
      <c r="E206" s="505"/>
      <c r="F206" s="505"/>
      <c r="G206" s="505"/>
      <c r="H206" s="505"/>
      <c r="I206" s="505"/>
      <c r="J206" s="505"/>
      <c r="K206" s="517"/>
      <c r="L206" s="518"/>
      <c r="M206" s="505"/>
      <c r="N206" s="505"/>
      <c r="O206" s="505"/>
      <c r="P206" s="505"/>
      <c r="Q206" s="505"/>
      <c r="R206" s="505"/>
      <c r="S206" s="505"/>
      <c r="T206" s="505"/>
      <c r="U206" s="505"/>
      <c r="V206" s="505"/>
      <c r="W206" s="505"/>
      <c r="X206" s="505"/>
      <c r="Y206" s="505"/>
      <c r="Z206" s="505"/>
      <c r="AA206" s="505"/>
      <c r="AB206" s="505"/>
      <c r="AC206" s="505"/>
    </row>
    <row r="207" spans="1:29">
      <c r="A207" s="505"/>
      <c r="B207" s="505"/>
      <c r="C207" s="505"/>
      <c r="D207" s="505"/>
      <c r="E207" s="505"/>
      <c r="F207" s="505"/>
      <c r="G207" s="505"/>
      <c r="H207" s="505"/>
      <c r="I207" s="505"/>
      <c r="J207" s="505"/>
      <c r="K207" s="517"/>
      <c r="L207" s="518"/>
      <c r="M207" s="505"/>
      <c r="N207" s="505"/>
      <c r="O207" s="505"/>
      <c r="P207" s="505"/>
      <c r="Q207" s="505"/>
      <c r="R207" s="505"/>
      <c r="S207" s="505"/>
      <c r="T207" s="505"/>
      <c r="U207" s="505"/>
      <c r="V207" s="505"/>
      <c r="W207" s="505"/>
      <c r="X207" s="505"/>
      <c r="Y207" s="505"/>
      <c r="Z207" s="505"/>
      <c r="AA207" s="505"/>
      <c r="AB207" s="505"/>
      <c r="AC207" s="505"/>
    </row>
    <row r="208" spans="1:29">
      <c r="A208" s="505"/>
      <c r="B208" s="505"/>
      <c r="C208" s="505"/>
      <c r="D208" s="505"/>
      <c r="E208" s="505"/>
      <c r="F208" s="505"/>
      <c r="G208" s="505"/>
      <c r="H208" s="505"/>
      <c r="I208" s="505"/>
      <c r="J208" s="505"/>
      <c r="K208" s="517"/>
      <c r="L208" s="518"/>
      <c r="M208" s="505"/>
      <c r="N208" s="505"/>
      <c r="O208" s="505"/>
      <c r="P208" s="505"/>
      <c r="Q208" s="505"/>
      <c r="R208" s="505"/>
      <c r="S208" s="505"/>
      <c r="T208" s="505"/>
      <c r="U208" s="505"/>
      <c r="V208" s="505"/>
      <c r="W208" s="505"/>
      <c r="X208" s="505"/>
      <c r="Y208" s="505"/>
      <c r="Z208" s="505"/>
      <c r="AA208" s="505"/>
      <c r="AB208" s="505"/>
      <c r="AC208" s="505"/>
    </row>
    <row r="209" spans="1:29">
      <c r="A209" s="505"/>
      <c r="B209" s="505"/>
      <c r="C209" s="505"/>
      <c r="D209" s="505"/>
      <c r="E209" s="505"/>
      <c r="F209" s="505"/>
      <c r="G209" s="505"/>
      <c r="H209" s="505"/>
      <c r="I209" s="505"/>
      <c r="J209" s="505"/>
      <c r="K209" s="517"/>
      <c r="L209" s="518"/>
      <c r="M209" s="505"/>
      <c r="N209" s="505"/>
      <c r="O209" s="505"/>
      <c r="P209" s="505"/>
      <c r="Q209" s="505"/>
      <c r="R209" s="505"/>
      <c r="S209" s="505"/>
      <c r="T209" s="505"/>
      <c r="U209" s="505"/>
      <c r="V209" s="505"/>
      <c r="W209" s="505"/>
      <c r="X209" s="505"/>
      <c r="Y209" s="505"/>
      <c r="Z209" s="505"/>
      <c r="AA209" s="505"/>
      <c r="AB209" s="505"/>
      <c r="AC209" s="505"/>
    </row>
    <row r="210" spans="1:29">
      <c r="A210" s="505"/>
      <c r="B210" s="505"/>
      <c r="C210" s="505"/>
      <c r="D210" s="505"/>
      <c r="E210" s="505"/>
      <c r="F210" s="505"/>
      <c r="G210" s="505"/>
      <c r="H210" s="505"/>
      <c r="I210" s="505"/>
      <c r="J210" s="505"/>
      <c r="K210" s="517"/>
      <c r="L210" s="518"/>
      <c r="M210" s="505"/>
      <c r="N210" s="505"/>
      <c r="O210" s="505"/>
      <c r="P210" s="505"/>
      <c r="Q210" s="505"/>
      <c r="R210" s="505"/>
      <c r="S210" s="505"/>
      <c r="T210" s="505"/>
      <c r="U210" s="505"/>
      <c r="V210" s="505"/>
      <c r="W210" s="505"/>
      <c r="X210" s="505"/>
      <c r="Y210" s="505"/>
      <c r="Z210" s="505"/>
      <c r="AA210" s="505"/>
      <c r="AB210" s="505"/>
      <c r="AC210" s="505"/>
    </row>
    <row r="211" spans="1:29">
      <c r="A211" s="505"/>
      <c r="B211" s="505"/>
      <c r="C211" s="505"/>
      <c r="D211" s="505"/>
      <c r="E211" s="505"/>
      <c r="F211" s="505"/>
      <c r="G211" s="505"/>
      <c r="H211" s="505"/>
      <c r="I211" s="505"/>
      <c r="J211" s="505"/>
      <c r="K211" s="517"/>
      <c r="L211" s="518"/>
      <c r="M211" s="505"/>
      <c r="N211" s="505"/>
      <c r="O211" s="505"/>
      <c r="P211" s="505"/>
      <c r="Q211" s="505"/>
      <c r="R211" s="505"/>
      <c r="S211" s="505"/>
      <c r="T211" s="505"/>
      <c r="U211" s="505"/>
      <c r="V211" s="505"/>
      <c r="W211" s="505"/>
      <c r="X211" s="505"/>
      <c r="Y211" s="505"/>
      <c r="Z211" s="505"/>
      <c r="AA211" s="505"/>
      <c r="AB211" s="505"/>
      <c r="AC211" s="505"/>
    </row>
    <row r="212" spans="1:29">
      <c r="A212" s="505"/>
      <c r="B212" s="505"/>
      <c r="C212" s="505"/>
      <c r="D212" s="505"/>
      <c r="E212" s="505"/>
      <c r="F212" s="505"/>
      <c r="G212" s="505"/>
      <c r="H212" s="505"/>
      <c r="I212" s="505"/>
      <c r="J212" s="505"/>
      <c r="K212" s="517"/>
      <c r="L212" s="518"/>
      <c r="M212" s="505"/>
      <c r="N212" s="505"/>
      <c r="O212" s="505"/>
      <c r="P212" s="505"/>
      <c r="Q212" s="505"/>
      <c r="R212" s="505"/>
      <c r="S212" s="505"/>
      <c r="T212" s="505"/>
      <c r="U212" s="505"/>
      <c r="V212" s="505"/>
      <c r="W212" s="505"/>
      <c r="X212" s="505"/>
      <c r="Y212" s="505"/>
      <c r="Z212" s="505"/>
      <c r="AA212" s="505"/>
      <c r="AB212" s="505"/>
      <c r="AC212" s="505"/>
    </row>
    <row r="213" spans="1:29">
      <c r="A213" s="505"/>
      <c r="B213" s="505"/>
      <c r="C213" s="505"/>
      <c r="D213" s="505"/>
      <c r="E213" s="505"/>
      <c r="F213" s="505"/>
      <c r="G213" s="505"/>
      <c r="H213" s="505"/>
      <c r="I213" s="505"/>
      <c r="J213" s="505"/>
      <c r="K213" s="517"/>
      <c r="L213" s="518"/>
      <c r="M213" s="505"/>
      <c r="N213" s="505"/>
      <c r="O213" s="505"/>
      <c r="P213" s="505"/>
      <c r="Q213" s="505"/>
      <c r="R213" s="505"/>
      <c r="S213" s="505"/>
      <c r="T213" s="505"/>
      <c r="U213" s="505"/>
      <c r="V213" s="505"/>
      <c r="W213" s="505"/>
      <c r="X213" s="505"/>
      <c r="Y213" s="505"/>
      <c r="Z213" s="505"/>
      <c r="AA213" s="505"/>
      <c r="AB213" s="505"/>
      <c r="AC213" s="505"/>
    </row>
    <row r="214" spans="1:29">
      <c r="A214" s="505"/>
      <c r="B214" s="505"/>
      <c r="C214" s="505"/>
      <c r="D214" s="505"/>
      <c r="E214" s="505"/>
      <c r="F214" s="505"/>
      <c r="G214" s="505"/>
      <c r="H214" s="505"/>
      <c r="I214" s="505"/>
      <c r="J214" s="505"/>
      <c r="K214" s="517"/>
      <c r="L214" s="518"/>
      <c r="M214" s="505"/>
      <c r="N214" s="505"/>
      <c r="O214" s="505"/>
      <c r="P214" s="505"/>
      <c r="Q214" s="505"/>
      <c r="R214" s="505"/>
      <c r="S214" s="505"/>
      <c r="T214" s="505"/>
      <c r="U214" s="505"/>
      <c r="V214" s="505"/>
      <c r="W214" s="505"/>
      <c r="X214" s="505"/>
      <c r="Y214" s="505"/>
      <c r="Z214" s="505"/>
      <c r="AA214" s="505"/>
      <c r="AB214" s="505"/>
      <c r="AC214" s="505"/>
    </row>
    <row r="215" spans="1:29">
      <c r="A215" s="505"/>
      <c r="B215" s="505"/>
      <c r="C215" s="505"/>
      <c r="D215" s="505"/>
      <c r="E215" s="505"/>
      <c r="F215" s="505"/>
      <c r="G215" s="505"/>
      <c r="H215" s="505"/>
      <c r="I215" s="505"/>
      <c r="J215" s="505"/>
      <c r="K215" s="517"/>
      <c r="L215" s="518"/>
      <c r="M215" s="505"/>
      <c r="N215" s="505"/>
      <c r="O215" s="505"/>
      <c r="P215" s="505"/>
      <c r="Q215" s="505"/>
      <c r="R215" s="505"/>
      <c r="S215" s="505"/>
      <c r="T215" s="505"/>
      <c r="U215" s="505"/>
      <c r="V215" s="505"/>
      <c r="W215" s="505"/>
      <c r="X215" s="505"/>
      <c r="Y215" s="505"/>
      <c r="Z215" s="505"/>
      <c r="AA215" s="505"/>
      <c r="AB215" s="505"/>
      <c r="AC215" s="505"/>
    </row>
    <row r="216" spans="1:29">
      <c r="A216" s="505"/>
      <c r="B216" s="505"/>
      <c r="C216" s="505"/>
      <c r="D216" s="505"/>
      <c r="E216" s="505"/>
      <c r="F216" s="505"/>
      <c r="G216" s="505"/>
      <c r="H216" s="505"/>
      <c r="I216" s="505"/>
      <c r="J216" s="505"/>
      <c r="K216" s="517"/>
      <c r="L216" s="518"/>
      <c r="M216" s="505"/>
      <c r="N216" s="505"/>
      <c r="O216" s="505"/>
      <c r="P216" s="505"/>
      <c r="Q216" s="505"/>
      <c r="R216" s="505"/>
      <c r="S216" s="505"/>
      <c r="T216" s="505"/>
      <c r="U216" s="505"/>
      <c r="V216" s="505"/>
      <c r="W216" s="505"/>
      <c r="X216" s="505"/>
      <c r="Y216" s="505"/>
      <c r="Z216" s="505"/>
      <c r="AA216" s="505"/>
      <c r="AB216" s="505"/>
      <c r="AC216" s="505"/>
    </row>
    <row r="217" spans="1:29">
      <c r="A217" s="505"/>
      <c r="B217" s="505"/>
      <c r="C217" s="505"/>
      <c r="D217" s="505"/>
      <c r="E217" s="505"/>
      <c r="F217" s="505"/>
      <c r="G217" s="505"/>
      <c r="H217" s="505"/>
      <c r="I217" s="505"/>
      <c r="J217" s="505"/>
      <c r="K217" s="517"/>
      <c r="L217" s="518"/>
      <c r="M217" s="505"/>
      <c r="N217" s="505"/>
      <c r="O217" s="505"/>
      <c r="P217" s="505"/>
      <c r="Q217" s="505"/>
      <c r="R217" s="505"/>
      <c r="S217" s="505"/>
      <c r="T217" s="505"/>
      <c r="U217" s="505"/>
      <c r="V217" s="505"/>
      <c r="W217" s="505"/>
      <c r="X217" s="505"/>
      <c r="Y217" s="505"/>
      <c r="Z217" s="505"/>
      <c r="AA217" s="505"/>
      <c r="AB217" s="505"/>
      <c r="AC217" s="505"/>
    </row>
    <row r="218" spans="1:29">
      <c r="A218" s="505"/>
      <c r="B218" s="505"/>
      <c r="C218" s="505"/>
      <c r="D218" s="505"/>
      <c r="E218" s="505"/>
      <c r="F218" s="505"/>
      <c r="G218" s="505"/>
      <c r="H218" s="505"/>
      <c r="I218" s="505"/>
      <c r="J218" s="505"/>
      <c r="K218" s="517"/>
      <c r="L218" s="518"/>
      <c r="M218" s="505"/>
      <c r="N218" s="505"/>
      <c r="O218" s="505"/>
      <c r="P218" s="505"/>
      <c r="Q218" s="505"/>
      <c r="R218" s="505"/>
      <c r="S218" s="505"/>
      <c r="T218" s="505"/>
      <c r="U218" s="505"/>
      <c r="V218" s="505"/>
      <c r="W218" s="505"/>
      <c r="X218" s="505"/>
      <c r="Y218" s="505"/>
      <c r="Z218" s="505"/>
      <c r="AA218" s="505"/>
      <c r="AB218" s="505"/>
      <c r="AC218" s="505"/>
    </row>
    <row r="219" spans="1:29">
      <c r="A219" s="505"/>
      <c r="B219" s="505"/>
      <c r="C219" s="505"/>
      <c r="D219" s="505"/>
      <c r="E219" s="505"/>
      <c r="F219" s="505"/>
      <c r="G219" s="505"/>
      <c r="H219" s="505"/>
      <c r="I219" s="505"/>
      <c r="J219" s="505"/>
      <c r="K219" s="517"/>
      <c r="L219" s="518"/>
      <c r="M219" s="505"/>
      <c r="N219" s="505"/>
      <c r="O219" s="505"/>
      <c r="P219" s="505"/>
      <c r="Q219" s="505"/>
      <c r="R219" s="505"/>
      <c r="S219" s="505"/>
      <c r="T219" s="505"/>
      <c r="U219" s="505"/>
      <c r="V219" s="505"/>
      <c r="W219" s="505"/>
      <c r="X219" s="505"/>
      <c r="Y219" s="505"/>
      <c r="Z219" s="505"/>
      <c r="AA219" s="505"/>
      <c r="AB219" s="505"/>
      <c r="AC219" s="505"/>
    </row>
    <row r="220" spans="1:29">
      <c r="A220" s="505"/>
      <c r="B220" s="505"/>
      <c r="C220" s="505"/>
      <c r="D220" s="505"/>
      <c r="E220" s="505"/>
      <c r="F220" s="505"/>
      <c r="G220" s="505"/>
      <c r="H220" s="505"/>
      <c r="I220" s="505"/>
      <c r="J220" s="505"/>
      <c r="K220" s="517"/>
      <c r="L220" s="518"/>
      <c r="M220" s="505"/>
      <c r="N220" s="505"/>
      <c r="O220" s="505"/>
      <c r="P220" s="505"/>
      <c r="Q220" s="505"/>
      <c r="R220" s="505"/>
      <c r="S220" s="505"/>
      <c r="T220" s="505"/>
      <c r="U220" s="505"/>
      <c r="V220" s="505"/>
      <c r="W220" s="505"/>
      <c r="X220" s="505"/>
      <c r="Y220" s="505"/>
      <c r="Z220" s="505"/>
      <c r="AA220" s="505"/>
      <c r="AB220" s="505"/>
      <c r="AC220" s="505"/>
    </row>
    <row r="221" spans="1:29">
      <c r="A221" s="505"/>
      <c r="B221" s="505"/>
      <c r="C221" s="505"/>
      <c r="D221" s="505"/>
      <c r="E221" s="505"/>
      <c r="F221" s="505"/>
      <c r="G221" s="505"/>
      <c r="H221" s="505"/>
      <c r="I221" s="505"/>
      <c r="J221" s="505"/>
      <c r="K221" s="517"/>
      <c r="L221" s="518"/>
      <c r="M221" s="505"/>
      <c r="N221" s="505"/>
      <c r="O221" s="505"/>
      <c r="P221" s="505"/>
      <c r="Q221" s="505"/>
      <c r="R221" s="505"/>
      <c r="S221" s="505"/>
      <c r="T221" s="505"/>
      <c r="U221" s="505"/>
      <c r="V221" s="505"/>
      <c r="W221" s="505"/>
      <c r="X221" s="505"/>
      <c r="Y221" s="505"/>
      <c r="Z221" s="505"/>
      <c r="AA221" s="505"/>
      <c r="AB221" s="505"/>
      <c r="AC221" s="505"/>
    </row>
    <row r="222" spans="1:29">
      <c r="A222" s="505"/>
      <c r="B222" s="505"/>
      <c r="C222" s="505"/>
      <c r="D222" s="505"/>
      <c r="E222" s="505"/>
      <c r="F222" s="505"/>
      <c r="G222" s="505"/>
      <c r="H222" s="505"/>
      <c r="I222" s="505"/>
      <c r="J222" s="505"/>
      <c r="K222" s="517"/>
      <c r="L222" s="518"/>
      <c r="M222" s="505"/>
      <c r="N222" s="505"/>
      <c r="O222" s="505"/>
      <c r="P222" s="505"/>
      <c r="Q222" s="505"/>
      <c r="R222" s="505"/>
      <c r="S222" s="505"/>
      <c r="T222" s="505"/>
      <c r="U222" s="505"/>
      <c r="V222" s="505"/>
      <c r="W222" s="505"/>
      <c r="X222" s="505"/>
      <c r="Y222" s="505"/>
      <c r="Z222" s="505"/>
      <c r="AA222" s="505"/>
      <c r="AB222" s="505"/>
      <c r="AC222" s="505"/>
    </row>
    <row r="223" spans="1:29">
      <c r="A223" s="505"/>
      <c r="B223" s="505"/>
      <c r="C223" s="505"/>
      <c r="D223" s="505"/>
      <c r="E223" s="505"/>
      <c r="F223" s="505"/>
      <c r="G223" s="505"/>
      <c r="H223" s="505"/>
      <c r="I223" s="505"/>
      <c r="J223" s="505"/>
      <c r="K223" s="517"/>
      <c r="L223" s="518"/>
      <c r="M223" s="505"/>
      <c r="N223" s="505"/>
      <c r="O223" s="505"/>
      <c r="P223" s="505"/>
      <c r="Q223" s="505"/>
      <c r="R223" s="505"/>
      <c r="S223" s="505"/>
      <c r="T223" s="505"/>
      <c r="U223" s="505"/>
      <c r="V223" s="505"/>
      <c r="W223" s="505"/>
      <c r="X223" s="505"/>
      <c r="Y223" s="505"/>
      <c r="Z223" s="505"/>
      <c r="AA223" s="505"/>
      <c r="AB223" s="505"/>
      <c r="AC223" s="505"/>
    </row>
    <row r="224" spans="1:29">
      <c r="A224" s="505"/>
      <c r="B224" s="505"/>
      <c r="C224" s="505"/>
      <c r="D224" s="505"/>
      <c r="E224" s="505"/>
      <c r="F224" s="505"/>
      <c r="G224" s="505"/>
      <c r="H224" s="505"/>
      <c r="I224" s="505"/>
      <c r="J224" s="505"/>
      <c r="K224" s="517"/>
      <c r="L224" s="518"/>
      <c r="M224" s="505"/>
      <c r="N224" s="505"/>
      <c r="O224" s="505"/>
      <c r="P224" s="505"/>
      <c r="Q224" s="505"/>
      <c r="R224" s="505"/>
      <c r="S224" s="505"/>
      <c r="T224" s="505"/>
      <c r="U224" s="505"/>
      <c r="V224" s="505"/>
      <c r="W224" s="505"/>
      <c r="X224" s="505"/>
      <c r="Y224" s="505"/>
      <c r="Z224" s="505"/>
      <c r="AA224" s="505"/>
      <c r="AB224" s="505"/>
      <c r="AC224" s="505"/>
    </row>
    <row r="225" spans="1:29">
      <c r="A225" s="505"/>
      <c r="B225" s="505"/>
      <c r="C225" s="505"/>
      <c r="D225" s="505"/>
      <c r="E225" s="505"/>
      <c r="F225" s="505"/>
      <c r="G225" s="505"/>
      <c r="H225" s="505"/>
      <c r="I225" s="505"/>
      <c r="J225" s="505"/>
      <c r="K225" s="517"/>
      <c r="L225" s="518"/>
      <c r="M225" s="505"/>
      <c r="N225" s="505"/>
      <c r="O225" s="505"/>
      <c r="P225" s="505"/>
      <c r="Q225" s="505"/>
      <c r="R225" s="505"/>
      <c r="S225" s="505"/>
      <c r="T225" s="505"/>
      <c r="U225" s="505"/>
      <c r="V225" s="505"/>
      <c r="W225" s="505"/>
      <c r="X225" s="505"/>
      <c r="Y225" s="505"/>
      <c r="Z225" s="505"/>
      <c r="AA225" s="505"/>
      <c r="AB225" s="505"/>
      <c r="AC225" s="505"/>
    </row>
    <row r="226" spans="1:29">
      <c r="A226" s="505"/>
      <c r="B226" s="505"/>
      <c r="C226" s="505"/>
      <c r="D226" s="505"/>
      <c r="E226" s="505"/>
      <c r="F226" s="505"/>
      <c r="G226" s="505"/>
      <c r="H226" s="505"/>
      <c r="I226" s="505"/>
      <c r="J226" s="505"/>
      <c r="K226" s="517"/>
      <c r="L226" s="518"/>
      <c r="M226" s="505"/>
      <c r="N226" s="505"/>
      <c r="O226" s="505"/>
      <c r="P226" s="505"/>
      <c r="Q226" s="505"/>
      <c r="R226" s="505"/>
      <c r="S226" s="505"/>
      <c r="T226" s="505"/>
      <c r="U226" s="505"/>
      <c r="V226" s="505"/>
      <c r="W226" s="505"/>
      <c r="X226" s="505"/>
      <c r="Y226" s="505"/>
      <c r="Z226" s="505"/>
      <c r="AA226" s="505"/>
      <c r="AB226" s="505"/>
      <c r="AC226" s="505"/>
    </row>
    <row r="227" spans="1:29">
      <c r="A227" s="505"/>
      <c r="B227" s="505"/>
      <c r="C227" s="505"/>
      <c r="D227" s="505"/>
      <c r="E227" s="505"/>
      <c r="F227" s="505"/>
      <c r="G227" s="505"/>
      <c r="H227" s="505"/>
      <c r="I227" s="505"/>
      <c r="J227" s="505"/>
      <c r="K227" s="517"/>
      <c r="L227" s="518"/>
      <c r="M227" s="505"/>
      <c r="N227" s="505"/>
      <c r="O227" s="505"/>
      <c r="P227" s="505"/>
      <c r="Q227" s="505"/>
      <c r="R227" s="505"/>
      <c r="S227" s="505"/>
      <c r="T227" s="505"/>
      <c r="U227" s="505"/>
      <c r="V227" s="505"/>
      <c r="W227" s="505"/>
      <c r="X227" s="505"/>
      <c r="Y227" s="505"/>
      <c r="Z227" s="505"/>
      <c r="AA227" s="505"/>
      <c r="AB227" s="505"/>
      <c r="AC227" s="505"/>
    </row>
    <row r="228" spans="1:29">
      <c r="A228" s="505"/>
      <c r="B228" s="505"/>
      <c r="C228" s="505"/>
      <c r="D228" s="505"/>
      <c r="E228" s="505"/>
      <c r="F228" s="505"/>
      <c r="G228" s="505"/>
      <c r="H228" s="505"/>
      <c r="I228" s="505"/>
      <c r="J228" s="505"/>
      <c r="K228" s="517"/>
      <c r="L228" s="518"/>
      <c r="M228" s="505"/>
      <c r="N228" s="505"/>
      <c r="O228" s="505"/>
      <c r="P228" s="505"/>
      <c r="Q228" s="505"/>
      <c r="R228" s="505"/>
      <c r="S228" s="505"/>
      <c r="T228" s="505"/>
      <c r="U228" s="505"/>
      <c r="V228" s="505"/>
      <c r="W228" s="505"/>
      <c r="X228" s="505"/>
      <c r="Y228" s="505"/>
      <c r="Z228" s="505"/>
      <c r="AA228" s="505"/>
      <c r="AB228" s="505"/>
      <c r="AC228" s="505"/>
    </row>
    <row r="229" spans="1:29">
      <c r="A229" s="505"/>
      <c r="B229" s="505"/>
      <c r="C229" s="505"/>
      <c r="D229" s="505"/>
      <c r="E229" s="505"/>
      <c r="F229" s="505"/>
      <c r="G229" s="505"/>
      <c r="H229" s="505"/>
      <c r="I229" s="505"/>
      <c r="J229" s="505"/>
      <c r="K229" s="517"/>
      <c r="L229" s="518"/>
      <c r="M229" s="505"/>
      <c r="N229" s="505"/>
      <c r="O229" s="505"/>
      <c r="P229" s="505"/>
      <c r="Q229" s="505"/>
      <c r="R229" s="505"/>
      <c r="S229" s="505"/>
      <c r="T229" s="505"/>
      <c r="U229" s="505"/>
      <c r="V229" s="505"/>
      <c r="W229" s="505"/>
      <c r="X229" s="505"/>
      <c r="Y229" s="505"/>
      <c r="Z229" s="505"/>
      <c r="AA229" s="505"/>
      <c r="AB229" s="505"/>
      <c r="AC229" s="505"/>
    </row>
    <row r="230" spans="1:29">
      <c r="A230" s="505"/>
      <c r="B230" s="505"/>
      <c r="C230" s="505"/>
      <c r="D230" s="505"/>
      <c r="E230" s="505"/>
      <c r="F230" s="505"/>
      <c r="G230" s="505"/>
      <c r="H230" s="505"/>
      <c r="I230" s="505"/>
      <c r="J230" s="505"/>
      <c r="K230" s="517"/>
      <c r="L230" s="518"/>
      <c r="M230" s="505"/>
      <c r="N230" s="505"/>
      <c r="O230" s="505"/>
      <c r="P230" s="505"/>
      <c r="Q230" s="505"/>
      <c r="R230" s="505"/>
      <c r="S230" s="505"/>
      <c r="T230" s="505"/>
      <c r="U230" s="505"/>
      <c r="V230" s="505"/>
      <c r="W230" s="505"/>
      <c r="X230" s="505"/>
      <c r="Y230" s="505"/>
      <c r="Z230" s="505"/>
      <c r="AA230" s="505"/>
      <c r="AB230" s="505"/>
      <c r="AC230" s="505"/>
    </row>
    <row r="231" spans="1:29">
      <c r="A231" s="505"/>
      <c r="B231" s="505"/>
      <c r="C231" s="505"/>
      <c r="D231" s="505"/>
      <c r="E231" s="505"/>
      <c r="F231" s="505"/>
      <c r="G231" s="505"/>
      <c r="H231" s="505"/>
      <c r="I231" s="505"/>
      <c r="J231" s="505"/>
      <c r="K231" s="517"/>
      <c r="L231" s="518"/>
      <c r="M231" s="505"/>
      <c r="N231" s="505"/>
      <c r="O231" s="505"/>
      <c r="P231" s="505"/>
      <c r="Q231" s="505"/>
      <c r="R231" s="505"/>
      <c r="S231" s="505"/>
      <c r="T231" s="505"/>
      <c r="U231" s="505"/>
      <c r="V231" s="505"/>
      <c r="W231" s="505"/>
      <c r="X231" s="505"/>
      <c r="Y231" s="505"/>
      <c r="Z231" s="505"/>
      <c r="AA231" s="505"/>
      <c r="AB231" s="505"/>
      <c r="AC231" s="505"/>
    </row>
    <row r="232" spans="1:29">
      <c r="A232" s="505"/>
      <c r="B232" s="505"/>
      <c r="C232" s="505"/>
      <c r="D232" s="505"/>
      <c r="E232" s="505"/>
      <c r="F232" s="505"/>
      <c r="G232" s="505"/>
      <c r="H232" s="505"/>
      <c r="I232" s="505"/>
      <c r="J232" s="505"/>
      <c r="K232" s="517"/>
      <c r="L232" s="518"/>
      <c r="M232" s="505"/>
      <c r="N232" s="505"/>
      <c r="O232" s="505"/>
      <c r="P232" s="505"/>
      <c r="Q232" s="505"/>
      <c r="R232" s="505"/>
      <c r="S232" s="505"/>
      <c r="T232" s="505"/>
      <c r="U232" s="505"/>
      <c r="V232" s="505"/>
      <c r="W232" s="505"/>
      <c r="X232" s="505"/>
      <c r="Y232" s="505"/>
      <c r="Z232" s="505"/>
      <c r="AA232" s="505"/>
      <c r="AB232" s="505"/>
      <c r="AC232" s="505"/>
    </row>
    <row r="233" spans="1:29">
      <c r="A233" s="505"/>
      <c r="B233" s="505"/>
      <c r="C233" s="505"/>
      <c r="D233" s="505"/>
      <c r="E233" s="505"/>
      <c r="F233" s="505"/>
      <c r="G233" s="505"/>
      <c r="H233" s="505"/>
      <c r="I233" s="505"/>
      <c r="J233" s="505"/>
      <c r="K233" s="517"/>
      <c r="L233" s="518"/>
      <c r="M233" s="505"/>
      <c r="N233" s="505"/>
      <c r="O233" s="505"/>
      <c r="P233" s="505"/>
      <c r="Q233" s="505"/>
      <c r="R233" s="505"/>
      <c r="S233" s="505"/>
      <c r="T233" s="505"/>
      <c r="U233" s="505"/>
      <c r="V233" s="505"/>
      <c r="W233" s="505"/>
      <c r="X233" s="505"/>
      <c r="Y233" s="505"/>
      <c r="Z233" s="505"/>
      <c r="AA233" s="505"/>
      <c r="AB233" s="505"/>
      <c r="AC233" s="505"/>
    </row>
    <row r="234" spans="1:29">
      <c r="A234" s="505"/>
      <c r="B234" s="505"/>
      <c r="C234" s="505"/>
      <c r="D234" s="505"/>
      <c r="E234" s="505"/>
      <c r="F234" s="505"/>
      <c r="G234" s="505"/>
      <c r="H234" s="505"/>
      <c r="I234" s="505"/>
      <c r="J234" s="505"/>
      <c r="K234" s="517"/>
      <c r="L234" s="518"/>
      <c r="M234" s="505"/>
      <c r="N234" s="505"/>
      <c r="O234" s="505"/>
      <c r="P234" s="505"/>
      <c r="Q234" s="505"/>
      <c r="R234" s="505"/>
      <c r="S234" s="505"/>
      <c r="T234" s="505"/>
      <c r="U234" s="505"/>
      <c r="V234" s="505"/>
      <c r="W234" s="505"/>
      <c r="X234" s="505"/>
      <c r="Y234" s="505"/>
      <c r="Z234" s="505"/>
      <c r="AA234" s="505"/>
      <c r="AB234" s="505"/>
      <c r="AC234" s="505"/>
    </row>
    <row r="235" spans="1:29">
      <c r="A235" s="505"/>
      <c r="B235" s="505"/>
      <c r="C235" s="505"/>
      <c r="D235" s="505"/>
      <c r="E235" s="505"/>
      <c r="F235" s="505"/>
      <c r="G235" s="505"/>
      <c r="H235" s="505"/>
      <c r="I235" s="505"/>
      <c r="J235" s="505"/>
      <c r="K235" s="517"/>
      <c r="L235" s="518"/>
      <c r="M235" s="505"/>
      <c r="N235" s="505"/>
      <c r="O235" s="505"/>
      <c r="P235" s="505"/>
      <c r="Q235" s="505"/>
      <c r="R235" s="505"/>
      <c r="S235" s="505"/>
      <c r="T235" s="505"/>
      <c r="U235" s="505"/>
      <c r="V235" s="505"/>
      <c r="W235" s="505"/>
      <c r="X235" s="505"/>
      <c r="Y235" s="505"/>
      <c r="Z235" s="505"/>
      <c r="AA235" s="505"/>
      <c r="AB235" s="505"/>
      <c r="AC235" s="50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54" type="noConversion"/>
  <conditionalFormatting sqref="F38">
    <cfRule type="expression" dxfId="36" priority="4">
      <formula>$D$38="简单平均"</formula>
    </cfRule>
  </conditionalFormatting>
  <conditionalFormatting sqref="H38">
    <cfRule type="expression" dxfId="35" priority="3">
      <formula>$D$38="简单平均"</formula>
    </cfRule>
  </conditionalFormatting>
  <conditionalFormatting sqref="J38">
    <cfRule type="expression" dxfId="34" priority="2">
      <formula>$D$38="简单平均"</formula>
    </cfRule>
  </conditionalFormatting>
  <conditionalFormatting sqref="E42">
    <cfRule type="expression" dxfId="33" priority="13" stopIfTrue="1">
      <formula>$F$42="超过30%"</formula>
    </cfRule>
  </conditionalFormatting>
  <conditionalFormatting sqref="G42">
    <cfRule type="expression" dxfId="32" priority="9" stopIfTrue="1">
      <formula>$H$52+$H$42="超过30%"</formula>
    </cfRule>
  </conditionalFormatting>
  <conditionalFormatting sqref="I42">
    <cfRule type="expression" dxfId="31" priority="7" stopIfTrue="1">
      <formula>$J$52+$J$42="超过30%"</formula>
    </cfRule>
  </conditionalFormatting>
  <conditionalFormatting sqref="E43">
    <cfRule type="expression" dxfId="30" priority="11" stopIfTrue="1">
      <formula>$F$43="超过20%"</formula>
    </cfRule>
  </conditionalFormatting>
  <conditionalFormatting sqref="G43">
    <cfRule type="expression" dxfId="29" priority="8" stopIfTrue="1">
      <formula>$H$43="超过20%"</formula>
    </cfRule>
  </conditionalFormatting>
  <conditionalFormatting sqref="I43">
    <cfRule type="expression" dxfId="28" priority="6" stopIfTrue="1">
      <formula>$J$53+$J$43="超过20%"</formula>
    </cfRule>
  </conditionalFormatting>
  <conditionalFormatting sqref="E44">
    <cfRule type="expression" dxfId="27" priority="10" stopIfTrue="1">
      <formula>$F$44="超过30%"</formula>
    </cfRule>
  </conditionalFormatting>
  <conditionalFormatting sqref="F44">
    <cfRule type="containsText" dxfId="26" priority="15" stopIfTrue="1" operator="containsText" text="超过">
      <formula>NOT(ISERROR(SEARCH("超过",F44)))</formula>
    </cfRule>
  </conditionalFormatting>
  <conditionalFormatting sqref="G44">
    <cfRule type="expression" dxfId="25" priority="12" stopIfTrue="1">
      <formula>$H$54+$H$44="超过30%"</formula>
    </cfRule>
  </conditionalFormatting>
  <conditionalFormatting sqref="H44">
    <cfRule type="containsText" dxfId="24" priority="16" stopIfTrue="1" operator="containsText" text="超过">
      <formula>NOT(ISERROR(SEARCH("超过",H44)))</formula>
    </cfRule>
  </conditionalFormatting>
  <conditionalFormatting sqref="I44">
    <cfRule type="expression" dxfId="23" priority="5" stopIfTrue="1">
      <formula>$J$44="超过30%"</formula>
    </cfRule>
  </conditionalFormatting>
  <conditionalFormatting sqref="J44">
    <cfRule type="containsText" dxfId="22" priority="17" stopIfTrue="1" operator="containsText" text="超过">
      <formula>NOT(ISERROR(SEARCH("超过",J44)))</formula>
    </cfRule>
  </conditionalFormatting>
  <conditionalFormatting sqref="F7:F36 H7:H36 J7:J36">
    <cfRule type="cellIs" dxfId="21" priority="1" operator="notEqual">
      <formula>100</formula>
    </cfRule>
  </conditionalFormatting>
  <conditionalFormatting sqref="F42 H42 J42">
    <cfRule type="containsText" dxfId="20" priority="18" stopIfTrue="1" operator="containsText" text="超过">
      <formula>NOT(ISERROR(SEARCH("超过",F42)))</formula>
    </cfRule>
  </conditionalFormatting>
  <conditionalFormatting sqref="F43 H43 J43">
    <cfRule type="containsText" dxfId="19" priority="14" stopIfTrue="1" operator="containsText" text="超过">
      <formula>NOT(ISERROR(SEARCH("超过",F43)))</formula>
    </cfRule>
  </conditionalFormatting>
  <dataValidations count="17">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workbookViewId="0">
      <selection activeCell="A30" sqref="A30"/>
    </sheetView>
  </sheetViews>
  <sheetFormatPr defaultColWidth="9" defaultRowHeight="13.5"/>
  <cols>
    <col min="1" max="1" width="84" style="3597" customWidth="1"/>
    <col min="2" max="2" width="9" style="3597"/>
    <col min="3" max="4" width="9.625" style="3597" customWidth="1"/>
    <col min="5" max="16384" width="9" style="3597"/>
  </cols>
  <sheetData>
    <row r="1" spans="1:4" ht="22.5">
      <c r="A1" s="3598" t="s">
        <v>82</v>
      </c>
    </row>
    <row r="2" spans="1:4">
      <c r="A2" s="3599"/>
    </row>
    <row r="3" spans="1:4" ht="18.75">
      <c r="A3" s="3600" t="str">
        <f>项目基本情况!B5&amp;"："</f>
        <v>：</v>
      </c>
    </row>
    <row r="4" spans="1:4" ht="18.75">
      <c r="A4" s="3601" t="str">
        <f>"受贵公司委托，我公司对"&amp;项目基本情况!K2&amp;项目基本情况!B9&amp;"进行了预评估。"</f>
        <v>受贵公司委托，我公司对出让国有建设用地使用权抵押价格进行了预评估。</v>
      </c>
    </row>
    <row r="5" spans="1:4" ht="18.75">
      <c r="A5" s="3602" t="s">
        <v>83</v>
      </c>
    </row>
    <row r="6" spans="1:4" ht="75">
      <c r="A6" s="3601"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200000平方米。根据《建设工程规划许可证》[]、《出让合同》[]，估价对象规划建筑面积为74800平方米。</v>
      </c>
    </row>
    <row r="7" spans="1:4" ht="93.75">
      <c r="A7" s="3603" t="s">
        <v>95</v>
      </c>
    </row>
    <row r="8" spans="1:4" ht="18.75">
      <c r="A8" s="3602" t="s">
        <v>85</v>
      </c>
    </row>
    <row r="9" spans="1:4" ht="56.25">
      <c r="A9" s="3604"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3600" t="s">
        <v>86</v>
      </c>
    </row>
    <row r="11" spans="1:4" ht="18.75">
      <c r="A11" s="3605" t="str">
        <f>TEXT(项目基本情况!D3,"yyyy年m月d日;;")&amp;IF(项目基本情况!B3=项目基本情况!D3,"（评估专业人员勘察现场之日）","")</f>
        <v>2023年11月30日</v>
      </c>
    </row>
    <row r="12" spans="1:4" ht="18.75">
      <c r="A12" s="3600" t="s">
        <v>87</v>
      </c>
    </row>
    <row r="13" spans="1:4" ht="18.75">
      <c r="A13" s="3601" t="s">
        <v>96</v>
      </c>
    </row>
    <row r="14" spans="1:4" ht="18.75">
      <c r="A14" s="3601" t="str">
        <f>"根据"&amp;项目基本情况!F12&amp;"，本次评估估价对象证载（地类）用途为"&amp;项目基本情况!B12&amp;"。"</f>
        <v>根据《国有土地使用证》[]，本次评估估价对象证载（地类）用途为。</v>
      </c>
      <c r="C14" s="3606"/>
      <c r="D14" s="3607"/>
    </row>
    <row r="15" spans="1:4" ht="18.75">
      <c r="A15" s="360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606"/>
      <c r="D15" s="3607"/>
    </row>
    <row r="16" spans="1:4" ht="18.75">
      <c r="A16" s="3601" t="s">
        <v>89</v>
      </c>
    </row>
    <row r="17" spans="1:1" ht="56.25">
      <c r="A17" s="360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3601"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3601" t="s">
        <v>90</v>
      </c>
    </row>
    <row r="20" spans="1:1" ht="56.25">
      <c r="A20" s="360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根据《国有土地使用证》[]，估价对象（分摊）出让国有建设用地使用权面积为200000平方米。根据《建设工程规划许可证》[]、《出让合同》[]，估价对象规划建筑面积为74800平方米。</v>
      </c>
    </row>
    <row r="21" spans="1:1" ht="93.75">
      <c r="A21" s="3609"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3601" t="s">
        <v>91</v>
      </c>
    </row>
    <row r="23" spans="1:1" ht="18.75">
      <c r="A23" s="3610" t="s">
        <v>97</v>
      </c>
    </row>
    <row r="24" spans="1:1" ht="18.75">
      <c r="A24" s="3601" t="s">
        <v>92</v>
      </c>
    </row>
    <row r="25" spans="1:1" ht="75">
      <c r="A25" s="3601" t="str">
        <f>定义!C53</f>
        <v>本次估价的“出让国有建设用地使用权价格”是指在估价对象土地所有权为国家所有，使用权性质为出让，在公开市场条件下、于估价期日2023年11月30日，在规划利用条件下、设定土地开发程度为红线外“七通”、宗地内场地，设定用途为，剩余土地使用年限为的出让国有建设用地使用权价格。</v>
      </c>
    </row>
    <row r="26" spans="1:1" ht="37.5">
      <c r="A26" s="3601"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3601"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3601"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3600" t="s">
        <v>93</v>
      </c>
    </row>
    <row r="30" spans="1:1" ht="75">
      <c r="A30" s="360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611"/>
    </row>
    <row r="32" spans="1:1" ht="18.75">
      <c r="A32" s="3612" t="s">
        <v>94</v>
      </c>
    </row>
  </sheetData>
  <sheetProtection formatCells="0" formatRows="0" insertRows="0" deleteRows="0"/>
  <phoneticPr fontId="254"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T45" sqref="T45"/>
    </sheetView>
  </sheetViews>
  <sheetFormatPr defaultColWidth="9" defaultRowHeight="14.25"/>
  <cols>
    <col min="1" max="1" width="10.5" style="215" customWidth="1"/>
    <col min="2" max="2" width="15.75" style="215" customWidth="1"/>
    <col min="3" max="3" width="14.375" style="215" customWidth="1"/>
    <col min="4" max="4" width="12.25" style="215" customWidth="1"/>
    <col min="5" max="5" width="14.375" style="215" customWidth="1"/>
    <col min="6" max="6" width="12.25" style="215" customWidth="1"/>
    <col min="7" max="7" width="14.5" style="215" customWidth="1"/>
    <col min="8" max="8" width="12.25" style="215" customWidth="1"/>
    <col min="9" max="9" width="14.5" style="215" customWidth="1"/>
    <col min="10" max="10" width="12.25" style="215" customWidth="1"/>
    <col min="11" max="11" width="12.25" style="216" customWidth="1"/>
    <col min="12" max="12" width="12.25" style="217" customWidth="1"/>
    <col min="13" max="15" width="12.25" style="215" customWidth="1"/>
    <col min="16" max="16" width="4.75" style="215" customWidth="1"/>
    <col min="17" max="17" width="19.5" style="215" customWidth="1"/>
    <col min="18" max="22" width="6.125" style="215" customWidth="1"/>
    <col min="23" max="23" width="5.75" style="215" customWidth="1"/>
    <col min="24" max="24" width="4.25" style="215" customWidth="1"/>
    <col min="25" max="25" width="3.5" style="215" customWidth="1"/>
    <col min="26" max="26" width="19.75" style="215" customWidth="1"/>
    <col min="27" max="28" width="9.375" style="215" customWidth="1"/>
    <col min="29" max="16384" width="9" style="215"/>
  </cols>
  <sheetData>
    <row r="1" spans="1:29" s="209" customFormat="1" ht="28.5" customHeight="1">
      <c r="A1" s="218" t="s">
        <v>2406</v>
      </c>
      <c r="B1" s="219"/>
      <c r="C1" s="220" t="s">
        <v>2408</v>
      </c>
      <c r="D1" s="221"/>
      <c r="E1" s="222"/>
      <c r="F1" s="223"/>
      <c r="G1" s="224" t="s">
        <v>2409</v>
      </c>
      <c r="H1" s="222"/>
      <c r="I1" s="222"/>
      <c r="J1" s="222"/>
      <c r="K1" s="393"/>
      <c r="L1" s="394"/>
      <c r="M1" s="395"/>
      <c r="N1" s="395"/>
      <c r="O1" s="395"/>
      <c r="P1" s="396"/>
      <c r="Q1" s="396"/>
      <c r="R1" s="396"/>
      <c r="S1" s="396"/>
      <c r="T1" s="396"/>
      <c r="U1" s="396"/>
      <c r="V1" s="396"/>
      <c r="W1" s="396"/>
      <c r="X1" s="396"/>
      <c r="Y1" s="396"/>
      <c r="Z1" s="396"/>
      <c r="AA1" s="396"/>
      <c r="AB1" s="396"/>
      <c r="AC1" s="488"/>
    </row>
    <row r="2" spans="1:29" s="209" customFormat="1" ht="28.5" customHeight="1">
      <c r="A2" s="225" t="s">
        <v>945</v>
      </c>
      <c r="B2" s="226" t="e">
        <f>ROUND(B3*D3/10000,0)</f>
        <v>#DIV/0!</v>
      </c>
      <c r="C2" s="227"/>
      <c r="D2" s="227"/>
      <c r="E2" s="228"/>
      <c r="F2" s="229"/>
      <c r="G2" s="228"/>
      <c r="H2" s="228"/>
      <c r="I2" s="228"/>
      <c r="J2" s="228"/>
      <c r="K2" s="397"/>
      <c r="L2" s="398"/>
      <c r="M2" s="396"/>
      <c r="N2" s="396"/>
      <c r="O2" s="396"/>
      <c r="P2" s="396"/>
      <c r="Q2" s="396"/>
      <c r="R2" s="396"/>
      <c r="S2" s="396"/>
      <c r="T2" s="396"/>
      <c r="U2" s="396"/>
      <c r="V2" s="396"/>
      <c r="W2" s="396"/>
      <c r="X2" s="396"/>
      <c r="Y2" s="396"/>
      <c r="Z2" s="396"/>
      <c r="AA2" s="396"/>
      <c r="AB2" s="396"/>
      <c r="AC2" s="488"/>
    </row>
    <row r="3" spans="1:29" s="209" customFormat="1" ht="28.5" customHeight="1">
      <c r="A3" s="230" t="s">
        <v>2219</v>
      </c>
      <c r="B3" s="231" t="e">
        <f>C37</f>
        <v>#DIV/0!</v>
      </c>
      <c r="C3" s="232" t="s">
        <v>2410</v>
      </c>
      <c r="D3" s="233">
        <f>SUMIF('数据-汇总表'!$C19:$C33,D1,'数据-汇总表'!$E19:$E33)</f>
        <v>0</v>
      </c>
      <c r="E3" s="228"/>
      <c r="F3" s="229"/>
      <c r="G3" s="228"/>
      <c r="H3" s="228"/>
      <c r="I3" s="228"/>
      <c r="J3" s="228"/>
      <c r="K3" s="397"/>
      <c r="L3" s="398"/>
      <c r="M3" s="396"/>
      <c r="N3" s="396"/>
      <c r="O3" s="396"/>
      <c r="P3" s="396"/>
      <c r="Q3" s="396"/>
      <c r="R3" s="396"/>
      <c r="S3" s="396"/>
      <c r="T3" s="396"/>
      <c r="U3" s="396"/>
      <c r="V3" s="396"/>
      <c r="W3" s="396"/>
      <c r="X3" s="396"/>
      <c r="Y3" s="396"/>
      <c r="Z3" s="396"/>
      <c r="AA3" s="396"/>
      <c r="AB3" s="489"/>
      <c r="AC3" s="490"/>
    </row>
    <row r="4" spans="1:29" ht="15">
      <c r="A4" s="234" t="s">
        <v>1030</v>
      </c>
      <c r="B4" s="235"/>
      <c r="C4" s="3823" t="s">
        <v>1031</v>
      </c>
      <c r="D4" s="3824"/>
      <c r="E4" s="3863" t="s">
        <v>1032</v>
      </c>
      <c r="F4" s="3864"/>
      <c r="G4" s="3823" t="s">
        <v>1033</v>
      </c>
      <c r="H4" s="3824"/>
      <c r="I4" s="3823" t="s">
        <v>1034</v>
      </c>
      <c r="J4" s="3824"/>
      <c r="K4" s="399" t="s">
        <v>1035</v>
      </c>
      <c r="L4" s="400"/>
      <c r="M4" s="401"/>
      <c r="N4" s="401"/>
      <c r="O4" s="401"/>
      <c r="P4" s="3847" t="s">
        <v>1036</v>
      </c>
      <c r="Q4" s="3848"/>
      <c r="R4" s="3853" t="s">
        <v>1032</v>
      </c>
      <c r="S4" s="3854"/>
      <c r="T4" s="3853" t="s">
        <v>1033</v>
      </c>
      <c r="U4" s="3854"/>
      <c r="V4" s="3835" t="s">
        <v>1034</v>
      </c>
      <c r="W4" s="3835"/>
      <c r="X4" s="471"/>
      <c r="Y4" s="3853" t="s">
        <v>1036</v>
      </c>
      <c r="Z4" s="3854"/>
      <c r="AA4" s="3844" t="s">
        <v>1032</v>
      </c>
      <c r="AB4" s="3845" t="s">
        <v>1033</v>
      </c>
      <c r="AC4" s="3844" t="s">
        <v>1034</v>
      </c>
    </row>
    <row r="5" spans="1:29" ht="15">
      <c r="A5" s="236"/>
      <c r="B5" s="237"/>
      <c r="C5" s="3825" t="s">
        <v>1037</v>
      </c>
      <c r="D5" s="3826"/>
      <c r="E5" s="3865" t="s">
        <v>1038</v>
      </c>
      <c r="F5" s="3866"/>
      <c r="G5" s="3825" t="s">
        <v>1039</v>
      </c>
      <c r="H5" s="3826"/>
      <c r="I5" s="3825" t="s">
        <v>1040</v>
      </c>
      <c r="J5" s="3826"/>
      <c r="K5" s="399"/>
      <c r="L5" s="400"/>
      <c r="M5" s="401"/>
      <c r="N5" s="401"/>
      <c r="O5" s="401"/>
      <c r="P5" s="3849"/>
      <c r="Q5" s="3850"/>
      <c r="R5" s="3855"/>
      <c r="S5" s="3856"/>
      <c r="T5" s="3855"/>
      <c r="U5" s="3856"/>
      <c r="V5" s="3835"/>
      <c r="W5" s="3835"/>
      <c r="X5" s="471"/>
      <c r="Y5" s="3855"/>
      <c r="Z5" s="3856"/>
      <c r="AA5" s="3845"/>
      <c r="AB5" s="3845"/>
      <c r="AC5" s="3845"/>
    </row>
    <row r="6" spans="1:29" ht="15">
      <c r="A6" s="238"/>
      <c r="B6" s="239"/>
      <c r="C6" s="3829" t="s">
        <v>1041</v>
      </c>
      <c r="D6" s="3830"/>
      <c r="E6" s="3867" t="s">
        <v>1041</v>
      </c>
      <c r="F6" s="3868"/>
      <c r="G6" s="3829" t="s">
        <v>1041</v>
      </c>
      <c r="H6" s="3830"/>
      <c r="I6" s="3829" t="s">
        <v>1041</v>
      </c>
      <c r="J6" s="3830"/>
      <c r="K6" s="399" t="s">
        <v>1042</v>
      </c>
      <c r="L6" s="400"/>
      <c r="M6" s="401"/>
      <c r="N6" s="401"/>
      <c r="O6" s="401"/>
      <c r="P6" s="3851"/>
      <c r="Q6" s="3852"/>
      <c r="R6" s="3855"/>
      <c r="S6" s="3856"/>
      <c r="T6" s="3857"/>
      <c r="U6" s="3858"/>
      <c r="V6" s="3835"/>
      <c r="W6" s="3835"/>
      <c r="X6" s="471"/>
      <c r="Y6" s="3857"/>
      <c r="Z6" s="3858"/>
      <c r="AA6" s="3846"/>
      <c r="AB6" s="3846"/>
      <c r="AC6" s="3846"/>
    </row>
    <row r="7" spans="1:29" s="210" customFormat="1" ht="15">
      <c r="A7" s="240"/>
      <c r="B7" s="241" t="s">
        <v>1043</v>
      </c>
      <c r="C7" s="242">
        <f>'数据-取费表'!B2</f>
        <v>45260</v>
      </c>
      <c r="D7" s="243">
        <v>100</v>
      </c>
      <c r="E7" s="244"/>
      <c r="F7" s="245">
        <f>SUMIF(46:46,YEAR(E7)&amp;"-"&amp;MONTH(E7),47:47)</f>
        <v>0</v>
      </c>
      <c r="G7" s="246"/>
      <c r="H7" s="243">
        <f>SUMIF(46:46,YEAR(G7)&amp;"-"&amp;MONTH(G7),47:47)</f>
        <v>0</v>
      </c>
      <c r="I7" s="246"/>
      <c r="J7" s="243">
        <f>SUMIF(46:46,YEAR(I7)&amp;"-"&amp;MONTH(I7),47:47)</f>
        <v>0</v>
      </c>
      <c r="K7" s="402"/>
      <c r="L7" s="403"/>
      <c r="M7" s="404"/>
      <c r="N7" s="404"/>
      <c r="O7" s="404"/>
      <c r="P7" s="3831" t="s">
        <v>1044</v>
      </c>
      <c r="Q7" s="3832"/>
      <c r="R7" s="472" t="s">
        <v>1045</v>
      </c>
      <c r="S7" s="473">
        <f t="shared" ref="S7:S14" si="0">F7</f>
        <v>0</v>
      </c>
      <c r="T7" s="472" t="s">
        <v>1045</v>
      </c>
      <c r="U7" s="473">
        <f t="shared" ref="U7:U14" si="1">H7</f>
        <v>0</v>
      </c>
      <c r="V7" s="472" t="s">
        <v>1045</v>
      </c>
      <c r="W7" s="473">
        <f t="shared" ref="W7:W14" si="2">J7</f>
        <v>0</v>
      </c>
      <c r="X7" s="474"/>
      <c r="Y7" s="3831" t="s">
        <v>1044</v>
      </c>
      <c r="Z7" s="3833"/>
      <c r="AA7" s="491" t="e">
        <f>D7/F7</f>
        <v>#DIV/0!</v>
      </c>
      <c r="AB7" s="491" t="e">
        <f>D7/H7</f>
        <v>#DIV/0!</v>
      </c>
      <c r="AC7" s="491" t="e">
        <f>D7/J7</f>
        <v>#DIV/0!</v>
      </c>
    </row>
    <row r="8" spans="1:29" s="210" customFormat="1" ht="15">
      <c r="A8" s="247"/>
      <c r="B8" s="248" t="s">
        <v>1046</v>
      </c>
      <c r="C8" s="249" t="s">
        <v>1047</v>
      </c>
      <c r="D8" s="243">
        <v>100</v>
      </c>
      <c r="E8" s="249"/>
      <c r="F8" s="245">
        <f>SUMIF(49:49,E8,50:50)-SUMIF(49:49,C8,50:50)+100</f>
        <v>0</v>
      </c>
      <c r="G8" s="249"/>
      <c r="H8" s="243">
        <f>SUMIF(49:49,G8,50:50)-SUMIF(49:49,C8,50:50)+100</f>
        <v>0</v>
      </c>
      <c r="I8" s="249"/>
      <c r="J8" s="243">
        <f>SUMIF(49:49,I8,50:50)-SUMIF(49:49,C8,50:50)+100</f>
        <v>0</v>
      </c>
      <c r="K8" s="402"/>
      <c r="L8" s="403"/>
      <c r="M8" s="404"/>
      <c r="N8" s="404"/>
      <c r="O8" s="404"/>
      <c r="P8" s="3831" t="s">
        <v>1048</v>
      </c>
      <c r="Q8" s="3833"/>
      <c r="R8" s="472" t="s">
        <v>1045</v>
      </c>
      <c r="S8" s="473">
        <f t="shared" si="0"/>
        <v>0</v>
      </c>
      <c r="T8" s="472" t="s">
        <v>1045</v>
      </c>
      <c r="U8" s="473">
        <f t="shared" si="1"/>
        <v>0</v>
      </c>
      <c r="V8" s="472" t="s">
        <v>1045</v>
      </c>
      <c r="W8" s="473">
        <f t="shared" si="2"/>
        <v>0</v>
      </c>
      <c r="X8" s="474"/>
      <c r="Y8" s="3831" t="s">
        <v>1048</v>
      </c>
      <c r="Z8" s="3833"/>
      <c r="AA8" s="491" t="e">
        <f t="shared" ref="AA8:AA34" si="3">D8/F8</f>
        <v>#DIV/0!</v>
      </c>
      <c r="AB8" s="491" t="e">
        <f t="shared" ref="AB8:AB34" si="4">D8/H8</f>
        <v>#DIV/0!</v>
      </c>
      <c r="AC8" s="491" t="e">
        <f t="shared" ref="AC8:AC34" si="5">D8/J8</f>
        <v>#DIV/0!</v>
      </c>
    </row>
    <row r="9" spans="1:29" s="210" customFormat="1" ht="15">
      <c r="A9" s="250"/>
      <c r="B9" s="251" t="s">
        <v>1049</v>
      </c>
      <c r="C9" s="252"/>
      <c r="D9" s="253">
        <v>100</v>
      </c>
      <c r="E9" s="254"/>
      <c r="F9" s="253">
        <f>SUMIF(51:51,E9,52:52)-SUMIF(51:51,C9,52:52)+100</f>
        <v>100</v>
      </c>
      <c r="G9" s="254"/>
      <c r="H9" s="253">
        <f>SUMIF(51:51,G9,52:52)-SUMIF(51:51,C9,52:52)+100</f>
        <v>100</v>
      </c>
      <c r="I9" s="254"/>
      <c r="J9" s="253">
        <f>SUMIF(51:51,I9,52:52)-SUMIF(51:51,C9,52:52)+100</f>
        <v>100</v>
      </c>
      <c r="K9" s="402"/>
      <c r="L9" s="403"/>
      <c r="M9" s="404"/>
      <c r="N9" s="404"/>
      <c r="O9" s="405"/>
      <c r="P9" s="3834" t="s">
        <v>1050</v>
      </c>
      <c r="Q9" s="475" t="str">
        <f t="shared" ref="Q9:Q14" si="6">B9</f>
        <v>用途</v>
      </c>
      <c r="R9" s="472" t="s">
        <v>1045</v>
      </c>
      <c r="S9" s="473">
        <f t="shared" si="0"/>
        <v>100</v>
      </c>
      <c r="T9" s="472" t="s">
        <v>1045</v>
      </c>
      <c r="U9" s="473">
        <f t="shared" si="1"/>
        <v>100</v>
      </c>
      <c r="V9" s="472" t="s">
        <v>1045</v>
      </c>
      <c r="W9" s="473">
        <f t="shared" si="2"/>
        <v>100</v>
      </c>
      <c r="X9" s="474"/>
      <c r="Y9" s="3802" t="s">
        <v>1051</v>
      </c>
      <c r="Z9" s="492" t="str">
        <f t="shared" ref="Z9:Z14" si="7">Q9</f>
        <v>用途</v>
      </c>
      <c r="AA9" s="491">
        <f t="shared" si="3"/>
        <v>1</v>
      </c>
      <c r="AB9" s="491">
        <f t="shared" si="4"/>
        <v>1</v>
      </c>
      <c r="AC9" s="491">
        <f t="shared" si="5"/>
        <v>1</v>
      </c>
    </row>
    <row r="10" spans="1:29" s="211" customFormat="1" ht="27">
      <c r="A10" s="255"/>
      <c r="B10" s="248" t="s">
        <v>1052</v>
      </c>
      <c r="C10" s="256"/>
      <c r="D10" s="257">
        <v>100</v>
      </c>
      <c r="E10" s="256"/>
      <c r="F10" s="257">
        <f>SUMIF(53:53,E10,54:54)-SUMIF(53:53,C10,54:54)+100</f>
        <v>100</v>
      </c>
      <c r="G10" s="258"/>
      <c r="H10" s="257">
        <f>SUMIF(53:53,G10,54:54)-SUMIF(53:53,C10,54:54)+100</f>
        <v>100</v>
      </c>
      <c r="I10" s="256"/>
      <c r="J10" s="257">
        <f>SUMIF(53:53,I10,54:54)-SUMIF(53:53,C10,54:54)+100</f>
        <v>100</v>
      </c>
      <c r="K10" s="402"/>
      <c r="L10" s="407"/>
      <c r="M10" s="408"/>
      <c r="N10" s="408"/>
      <c r="O10" s="409"/>
      <c r="P10" s="3834"/>
      <c r="Q10" s="475" t="str">
        <f t="shared" si="6"/>
        <v>土地使用年限（年）</v>
      </c>
      <c r="R10" s="472" t="s">
        <v>1045</v>
      </c>
      <c r="S10" s="473">
        <f t="shared" si="0"/>
        <v>100</v>
      </c>
      <c r="T10" s="472" t="s">
        <v>1045</v>
      </c>
      <c r="U10" s="473">
        <f t="shared" si="1"/>
        <v>100</v>
      </c>
      <c r="V10" s="472" t="s">
        <v>1045</v>
      </c>
      <c r="W10" s="473">
        <f t="shared" si="2"/>
        <v>100</v>
      </c>
      <c r="X10" s="474"/>
      <c r="Y10" s="3802"/>
      <c r="Z10" s="492" t="str">
        <f t="shared" si="7"/>
        <v>土地使用年限（年）</v>
      </c>
      <c r="AA10" s="491">
        <f t="shared" si="3"/>
        <v>1</v>
      </c>
      <c r="AB10" s="491">
        <f t="shared" si="4"/>
        <v>1</v>
      </c>
      <c r="AC10" s="491">
        <f t="shared" si="5"/>
        <v>1</v>
      </c>
    </row>
    <row r="11" spans="1:29" ht="15">
      <c r="A11" s="259"/>
      <c r="B11" s="260">
        <v>111</v>
      </c>
      <c r="C11" s="261"/>
      <c r="D11" s="257">
        <v>100</v>
      </c>
      <c r="E11" s="262"/>
      <c r="F11" s="257">
        <f>SUMIF(55:55,E11,56:56)-SUMIF(55:55,C11,56:56)+100</f>
        <v>100</v>
      </c>
      <c r="G11" s="262"/>
      <c r="H11" s="257">
        <f>SUMIF(55:55,G11,56:56)-SUMIF(55:55,C11,56:56)+100</f>
        <v>100</v>
      </c>
      <c r="I11" s="262"/>
      <c r="J11" s="257">
        <f>SUMIF(55:55,I11,56:56)-SUMIF(55:55,C11,56:56)+100</f>
        <v>100</v>
      </c>
      <c r="K11" s="410"/>
      <c r="L11" s="411"/>
      <c r="M11" s="401"/>
      <c r="N11" s="401"/>
      <c r="O11" s="412"/>
      <c r="P11" s="3834"/>
      <c r="Q11" s="475">
        <f t="shared" si="6"/>
        <v>111</v>
      </c>
      <c r="R11" s="472" t="s">
        <v>1045</v>
      </c>
      <c r="S11" s="473">
        <f t="shared" si="0"/>
        <v>100</v>
      </c>
      <c r="T11" s="472" t="s">
        <v>1045</v>
      </c>
      <c r="U11" s="473">
        <f t="shared" si="1"/>
        <v>100</v>
      </c>
      <c r="V11" s="472" t="s">
        <v>1045</v>
      </c>
      <c r="W11" s="473">
        <f t="shared" si="2"/>
        <v>100</v>
      </c>
      <c r="X11" s="474"/>
      <c r="Y11" s="3802"/>
      <c r="Z11" s="492">
        <f t="shared" si="7"/>
        <v>111</v>
      </c>
      <c r="AA11" s="491">
        <f t="shared" si="3"/>
        <v>1</v>
      </c>
      <c r="AB11" s="491">
        <f t="shared" si="4"/>
        <v>1</v>
      </c>
      <c r="AC11" s="491">
        <f t="shared" si="5"/>
        <v>1</v>
      </c>
    </row>
    <row r="12" spans="1:29" s="210" customFormat="1" ht="15">
      <c r="A12" s="259"/>
      <c r="B12" s="260">
        <v>111</v>
      </c>
      <c r="C12" s="261"/>
      <c r="D12" s="263">
        <v>100</v>
      </c>
      <c r="E12" s="262"/>
      <c r="F12" s="257">
        <f>SUMIF(57:57,E12,58:58)-SUMIF(57:57,C12,58:58)+100</f>
        <v>100</v>
      </c>
      <c r="G12" s="262"/>
      <c r="H12" s="257">
        <f>SUMIF(57:57,G12,58:58)-SUMIF(57:57,C12,58:58)+100</f>
        <v>100</v>
      </c>
      <c r="I12" s="262"/>
      <c r="J12" s="257">
        <f>SUMIF(57:57,I12,58:58)-SUMIF(57:57,C12,58:58)+100</f>
        <v>100</v>
      </c>
      <c r="K12" s="410"/>
      <c r="L12" s="403"/>
      <c r="M12" s="404"/>
      <c r="N12" s="404"/>
      <c r="O12" s="405"/>
      <c r="P12" s="3834"/>
      <c r="Q12" s="475">
        <f t="shared" si="6"/>
        <v>111</v>
      </c>
      <c r="R12" s="472" t="s">
        <v>1045</v>
      </c>
      <c r="S12" s="473">
        <f t="shared" si="0"/>
        <v>100</v>
      </c>
      <c r="T12" s="472" t="s">
        <v>1045</v>
      </c>
      <c r="U12" s="473">
        <f t="shared" si="1"/>
        <v>100</v>
      </c>
      <c r="V12" s="472" t="s">
        <v>1045</v>
      </c>
      <c r="W12" s="473">
        <f t="shared" si="2"/>
        <v>100</v>
      </c>
      <c r="X12" s="474"/>
      <c r="Y12" s="3802"/>
      <c r="Z12" s="492">
        <f t="shared" si="7"/>
        <v>111</v>
      </c>
      <c r="AA12" s="491">
        <f t="shared" si="3"/>
        <v>1</v>
      </c>
      <c r="AB12" s="491">
        <f t="shared" si="4"/>
        <v>1</v>
      </c>
      <c r="AC12" s="491">
        <f t="shared" si="5"/>
        <v>1</v>
      </c>
    </row>
    <row r="13" spans="1:29" ht="15">
      <c r="A13" s="264"/>
      <c r="B13" s="265">
        <v>111</v>
      </c>
      <c r="C13" s="266"/>
      <c r="D13" s="267">
        <v>100</v>
      </c>
      <c r="E13" s="262"/>
      <c r="F13" s="257">
        <f>SUMIF(59:59,E13,60:60)-SUMIF(59:59,C13,60:60)+100</f>
        <v>100</v>
      </c>
      <c r="G13" s="262"/>
      <c r="H13" s="267">
        <f>SUMIF(59:59,G13,60:60)-SUMIF(59:59,C13,60:60)+100</f>
        <v>100</v>
      </c>
      <c r="I13" s="262"/>
      <c r="J13" s="267">
        <f>SUMIF(59:59,I13,60:60)-SUMIF(59:59,C13,60:60)+100</f>
        <v>100</v>
      </c>
      <c r="K13" s="410"/>
      <c r="L13" s="413"/>
      <c r="M13" s="401"/>
      <c r="N13" s="401"/>
      <c r="O13" s="412"/>
      <c r="P13" s="3834"/>
      <c r="Q13" s="475">
        <f t="shared" si="6"/>
        <v>111</v>
      </c>
      <c r="R13" s="472" t="s">
        <v>1045</v>
      </c>
      <c r="S13" s="473">
        <f t="shared" si="0"/>
        <v>100</v>
      </c>
      <c r="T13" s="472" t="s">
        <v>1045</v>
      </c>
      <c r="U13" s="473">
        <f t="shared" si="1"/>
        <v>100</v>
      </c>
      <c r="V13" s="472" t="s">
        <v>1045</v>
      </c>
      <c r="W13" s="473">
        <f t="shared" si="2"/>
        <v>100</v>
      </c>
      <c r="X13" s="474"/>
      <c r="Y13" s="3802"/>
      <c r="Z13" s="492">
        <f t="shared" si="7"/>
        <v>111</v>
      </c>
      <c r="AA13" s="491">
        <f t="shared" si="3"/>
        <v>1</v>
      </c>
      <c r="AB13" s="491">
        <f t="shared" si="4"/>
        <v>1</v>
      </c>
      <c r="AC13" s="491">
        <f t="shared" si="5"/>
        <v>1</v>
      </c>
    </row>
    <row r="14" spans="1:29" ht="85.5">
      <c r="A14" s="268" t="s">
        <v>1055</v>
      </c>
      <c r="B14" s="269" t="s">
        <v>227</v>
      </c>
      <c r="C14" s="270" t="str">
        <f>IF(B1="工业",估价对象房地状况!G4,估价对象房地状况!C6)</f>
        <v>估价对象周边道路状况、公共交通通达情况、停车便捷程度，综合评价交通便捷度较好</v>
      </c>
      <c r="D14" s="271">
        <v>100</v>
      </c>
      <c r="E14" s="272"/>
      <c r="F14" s="273">
        <f>SUMIF(61:61,E15,62:62)-SUMIF(61:61,C15,62:62)+100</f>
        <v>100</v>
      </c>
      <c r="G14" s="274"/>
      <c r="H14" s="271">
        <f>SUMIF(61:61,G15,62:62)-SUMIF(61:61,C15,62:62)+100</f>
        <v>100</v>
      </c>
      <c r="I14" s="272"/>
      <c r="J14" s="271">
        <f>SUMIF(61:61,I15,62:62)-SUMIF(61:61,C15,62:62)+100</f>
        <v>100</v>
      </c>
      <c r="K14" s="414"/>
      <c r="L14" s="413"/>
      <c r="M14" s="401"/>
      <c r="N14" s="401"/>
      <c r="O14" s="412"/>
      <c r="P14" s="3840" t="s">
        <v>1056</v>
      </c>
      <c r="Q14" s="406" t="str">
        <f t="shared" si="6"/>
        <v>交通便捷度</v>
      </c>
      <c r="R14" s="476" t="s">
        <v>1045</v>
      </c>
      <c r="S14" s="477">
        <f t="shared" si="0"/>
        <v>100</v>
      </c>
      <c r="T14" s="476" t="s">
        <v>1045</v>
      </c>
      <c r="U14" s="477">
        <f t="shared" si="1"/>
        <v>100</v>
      </c>
      <c r="V14" s="476" t="s">
        <v>1045</v>
      </c>
      <c r="W14" s="477">
        <f t="shared" si="2"/>
        <v>100</v>
      </c>
      <c r="X14" s="471"/>
      <c r="Y14" s="3840" t="s">
        <v>1056</v>
      </c>
      <c r="Z14" s="470" t="str">
        <f t="shared" si="7"/>
        <v>交通便捷度</v>
      </c>
      <c r="AA14" s="482">
        <f t="shared" si="3"/>
        <v>1</v>
      </c>
      <c r="AB14" s="482">
        <f t="shared" si="4"/>
        <v>1</v>
      </c>
      <c r="AC14" s="482">
        <f t="shared" si="5"/>
        <v>1</v>
      </c>
    </row>
    <row r="15" spans="1:29" ht="15">
      <c r="A15" s="275"/>
      <c r="B15" s="276"/>
      <c r="C15" s="277"/>
      <c r="D15" s="278"/>
      <c r="E15" s="277"/>
      <c r="F15" s="279"/>
      <c r="G15" s="277"/>
      <c r="H15" s="280"/>
      <c r="I15" s="277"/>
      <c r="J15" s="278"/>
      <c r="K15" s="415"/>
      <c r="L15" s="413"/>
      <c r="M15" s="401"/>
      <c r="N15" s="401"/>
      <c r="O15" s="412"/>
      <c r="P15" s="3841"/>
      <c r="Q15" s="406"/>
      <c r="R15" s="476"/>
      <c r="S15" s="477"/>
      <c r="T15" s="476"/>
      <c r="U15" s="477"/>
      <c r="V15" s="476"/>
      <c r="W15" s="477"/>
      <c r="X15" s="471"/>
      <c r="Y15" s="3841"/>
      <c r="Z15" s="470"/>
      <c r="AA15" s="482">
        <v>1</v>
      </c>
      <c r="AB15" s="482">
        <v>1</v>
      </c>
      <c r="AC15" s="482">
        <v>1</v>
      </c>
    </row>
    <row r="16" spans="1:29" ht="42.75">
      <c r="A16" s="275"/>
      <c r="B16" s="281" t="s">
        <v>229</v>
      </c>
      <c r="C16" s="282" t="str">
        <f>IF(B1="工业",估价对象房地状况!G5,估价对象房地状况!C7)</f>
        <v>估价对象所在区域公共配套设施齐备情况</v>
      </c>
      <c r="D16" s="283">
        <v>100</v>
      </c>
      <c r="E16" s="284"/>
      <c r="F16" s="285">
        <f>SUMIF(63:63,E17,64:64)-SUMIF(63:63,C17,64:64)+100</f>
        <v>100</v>
      </c>
      <c r="G16" s="286"/>
      <c r="H16" s="283">
        <f>SUMIF(63:63,G17,64:64)-SUMIF(63:63,C17,64:64)+100</f>
        <v>100</v>
      </c>
      <c r="I16" s="284"/>
      <c r="J16" s="283">
        <f>SUMIF(63:63,I17,64:64)-SUMIF(63:63,C17,64:64)+100</f>
        <v>100</v>
      </c>
      <c r="K16" s="414"/>
      <c r="L16" s="413"/>
      <c r="M16" s="401"/>
      <c r="N16" s="401"/>
      <c r="O16" s="412"/>
      <c r="P16" s="3841"/>
      <c r="Q16" s="406" t="str">
        <f>B16</f>
        <v>公共配套设施</v>
      </c>
      <c r="R16" s="476" t="s">
        <v>1045</v>
      </c>
      <c r="S16" s="477">
        <f>F16</f>
        <v>100</v>
      </c>
      <c r="T16" s="476" t="s">
        <v>1045</v>
      </c>
      <c r="U16" s="477">
        <f>H16</f>
        <v>100</v>
      </c>
      <c r="V16" s="476" t="s">
        <v>1045</v>
      </c>
      <c r="W16" s="477">
        <f>J16</f>
        <v>100</v>
      </c>
      <c r="X16" s="471"/>
      <c r="Y16" s="3841"/>
      <c r="Z16" s="470" t="str">
        <f>Q16</f>
        <v>公共配套设施</v>
      </c>
      <c r="AA16" s="482">
        <f t="shared" si="3"/>
        <v>1</v>
      </c>
      <c r="AB16" s="482">
        <f t="shared" si="4"/>
        <v>1</v>
      </c>
      <c r="AC16" s="482">
        <f t="shared" si="5"/>
        <v>1</v>
      </c>
    </row>
    <row r="17" spans="1:29" ht="15">
      <c r="A17" s="275"/>
      <c r="B17" s="287"/>
      <c r="C17" s="288"/>
      <c r="D17" s="278"/>
      <c r="E17" s="277"/>
      <c r="F17" s="279"/>
      <c r="G17" s="277"/>
      <c r="H17" s="278"/>
      <c r="I17" s="277"/>
      <c r="J17" s="278"/>
      <c r="K17" s="415"/>
      <c r="L17" s="413"/>
      <c r="M17" s="401"/>
      <c r="N17" s="401"/>
      <c r="O17" s="412"/>
      <c r="P17" s="3841"/>
      <c r="Q17" s="406"/>
      <c r="R17" s="476"/>
      <c r="S17" s="477"/>
      <c r="T17" s="476"/>
      <c r="U17" s="477"/>
      <c r="V17" s="476"/>
      <c r="W17" s="477"/>
      <c r="X17" s="471"/>
      <c r="Y17" s="3841"/>
      <c r="Z17" s="470"/>
      <c r="AA17" s="482">
        <v>1</v>
      </c>
      <c r="AB17" s="482">
        <v>1</v>
      </c>
      <c r="AC17" s="482">
        <v>1</v>
      </c>
    </row>
    <row r="18" spans="1:29" ht="28.5">
      <c r="A18" s="275"/>
      <c r="B18" s="289" t="s">
        <v>230</v>
      </c>
      <c r="C18" s="282" t="str">
        <f>IF(B1="工业",估价对象房地状况!G6,估价对象房地状况!C8)</f>
        <v>估价对象所在区域基础设施水平</v>
      </c>
      <c r="D18" s="280">
        <v>100</v>
      </c>
      <c r="E18" s="290"/>
      <c r="F18" s="291">
        <f>SUMIF(65:65,E19,66:66)-SUMIF(65:65,C19,66:66)+100</f>
        <v>100</v>
      </c>
      <c r="G18" s="292"/>
      <c r="H18" s="283">
        <f>SUMIF(65:65,G19,66:66)-SUMIF(65:65,C19,66:66)+100</f>
        <v>100</v>
      </c>
      <c r="I18" s="284"/>
      <c r="J18" s="283">
        <f>SUMIF(65:65,I19,66:66)-SUMIF(65:65,C19,66:66)+100</f>
        <v>100</v>
      </c>
      <c r="K18" s="414"/>
      <c r="L18" s="413"/>
      <c r="M18" s="401"/>
      <c r="N18" s="401"/>
      <c r="O18" s="412"/>
      <c r="P18" s="3841"/>
      <c r="Q18" s="406" t="str">
        <f>B18</f>
        <v>基础设施水平</v>
      </c>
      <c r="R18" s="476" t="s">
        <v>1045</v>
      </c>
      <c r="S18" s="477">
        <f>F18</f>
        <v>100</v>
      </c>
      <c r="T18" s="476" t="s">
        <v>1045</v>
      </c>
      <c r="U18" s="477">
        <f>H18</f>
        <v>100</v>
      </c>
      <c r="V18" s="476" t="s">
        <v>1045</v>
      </c>
      <c r="W18" s="477">
        <f>J18</f>
        <v>100</v>
      </c>
      <c r="X18" s="471"/>
      <c r="Y18" s="3841"/>
      <c r="Z18" s="470" t="str">
        <f>Q18</f>
        <v>基础设施水平</v>
      </c>
      <c r="AA18" s="482">
        <f>D18/F18</f>
        <v>1</v>
      </c>
      <c r="AB18" s="482">
        <f>D18/H18</f>
        <v>1</v>
      </c>
      <c r="AC18" s="482">
        <f>D18/J18</f>
        <v>1</v>
      </c>
    </row>
    <row r="19" spans="1:29" ht="15">
      <c r="A19" s="275"/>
      <c r="B19" s="293"/>
      <c r="C19" s="288"/>
      <c r="D19" s="280"/>
      <c r="E19" s="288"/>
      <c r="F19" s="291"/>
      <c r="G19" s="288"/>
      <c r="H19" s="278"/>
      <c r="I19" s="277"/>
      <c r="J19" s="278"/>
      <c r="K19" s="416"/>
      <c r="L19" s="413"/>
      <c r="M19" s="401"/>
      <c r="N19" s="401"/>
      <c r="O19" s="412"/>
      <c r="P19" s="3841"/>
      <c r="Q19" s="406"/>
      <c r="R19" s="476"/>
      <c r="S19" s="477"/>
      <c r="T19" s="476"/>
      <c r="U19" s="477"/>
      <c r="V19" s="476"/>
      <c r="W19" s="477"/>
      <c r="X19" s="471"/>
      <c r="Y19" s="3841"/>
      <c r="Z19" s="470"/>
      <c r="AA19" s="482">
        <v>1</v>
      </c>
      <c r="AB19" s="482">
        <v>1</v>
      </c>
      <c r="AC19" s="482">
        <v>1</v>
      </c>
    </row>
    <row r="20" spans="1:29" ht="57">
      <c r="A20" s="275"/>
      <c r="B20" s="294" t="s">
        <v>2411</v>
      </c>
      <c r="C20" s="282" t="str">
        <f>IF(B1="工业",估价对象房地状况!G7,估价对象房地状况!C9)</f>
        <v>区域自然环境：；人文环境；综合评价环境状况一般</v>
      </c>
      <c r="D20" s="283">
        <v>100</v>
      </c>
      <c r="E20" s="284"/>
      <c r="F20" s="285">
        <f>SUMIF(67:67,E21,68:68)-SUMIF(67:67,C21,68:68)+100</f>
        <v>100</v>
      </c>
      <c r="G20" s="286"/>
      <c r="H20" s="280">
        <f>SUMIF(67:67,G21,68:68)-SUMIF(67:67,C21,68:68)+100</f>
        <v>100</v>
      </c>
      <c r="I20" s="290"/>
      <c r="J20" s="280">
        <f>SUMIF(67:67,I21,68:68)-SUMIF(67:67,C21,68:68)+100</f>
        <v>100</v>
      </c>
      <c r="K20" s="414"/>
      <c r="L20" s="413"/>
      <c r="M20" s="401"/>
      <c r="N20" s="401"/>
      <c r="O20" s="412"/>
      <c r="P20" s="3841"/>
      <c r="Q20" s="406" t="str">
        <f>B20</f>
        <v>自然及人文环境</v>
      </c>
      <c r="R20" s="476" t="s">
        <v>1045</v>
      </c>
      <c r="S20" s="477">
        <f>F20</f>
        <v>100</v>
      </c>
      <c r="T20" s="476" t="s">
        <v>1045</v>
      </c>
      <c r="U20" s="477">
        <f>H20</f>
        <v>100</v>
      </c>
      <c r="V20" s="476" t="s">
        <v>1045</v>
      </c>
      <c r="W20" s="477">
        <f>J20</f>
        <v>100</v>
      </c>
      <c r="X20" s="471"/>
      <c r="Y20" s="3841"/>
      <c r="Z20" s="470" t="str">
        <f>Q20</f>
        <v>自然及人文环境</v>
      </c>
      <c r="AA20" s="482">
        <f t="shared" si="3"/>
        <v>1</v>
      </c>
      <c r="AB20" s="482">
        <f t="shared" si="4"/>
        <v>1</v>
      </c>
      <c r="AC20" s="482">
        <f t="shared" si="5"/>
        <v>1</v>
      </c>
    </row>
    <row r="21" spans="1:29" ht="15">
      <c r="A21" s="275"/>
      <c r="B21" s="295"/>
      <c r="C21" s="277"/>
      <c r="D21" s="278"/>
      <c r="E21" s="277"/>
      <c r="F21" s="279"/>
      <c r="G21" s="277"/>
      <c r="H21" s="278"/>
      <c r="I21" s="277"/>
      <c r="J21" s="278"/>
      <c r="K21" s="415"/>
      <c r="L21" s="413"/>
      <c r="M21" s="401"/>
      <c r="N21" s="401"/>
      <c r="O21" s="412"/>
      <c r="P21" s="3841"/>
      <c r="Q21" s="406"/>
      <c r="R21" s="476"/>
      <c r="S21" s="477"/>
      <c r="T21" s="476"/>
      <c r="U21" s="477"/>
      <c r="V21" s="476"/>
      <c r="W21" s="477"/>
      <c r="X21" s="471"/>
      <c r="Y21" s="3841"/>
      <c r="Z21" s="470"/>
      <c r="AA21" s="482">
        <v>1</v>
      </c>
      <c r="AB21" s="482">
        <v>1</v>
      </c>
      <c r="AC21" s="482">
        <v>1</v>
      </c>
    </row>
    <row r="22" spans="1:29" ht="15">
      <c r="A22" s="275"/>
      <c r="B22" s="294" t="s">
        <v>2449</v>
      </c>
      <c r="C22" s="296"/>
      <c r="D22" s="280">
        <v>100</v>
      </c>
      <c r="E22" s="296"/>
      <c r="F22" s="297">
        <f>SUMIF(69:69,E22,70:70)-SUMIF(69:69,C22,70:70)+100</f>
        <v>100</v>
      </c>
      <c r="G22" s="296"/>
      <c r="H22" s="267">
        <f>SUMIF(69:69,G22,70:70)-SUMIF(69:69,C22,70:70)+100</f>
        <v>100</v>
      </c>
      <c r="I22" s="296"/>
      <c r="J22" s="267">
        <f>SUMIF(69:69,I22,70:70)-SUMIF(69:69,C22,70:70)+100</f>
        <v>100</v>
      </c>
      <c r="K22" s="417"/>
      <c r="L22" s="413"/>
      <c r="M22" s="401"/>
      <c r="N22" s="401"/>
      <c r="O22" s="412"/>
      <c r="P22" s="3841"/>
      <c r="Q22" s="406" t="str">
        <f>B22</f>
        <v>楼层</v>
      </c>
      <c r="R22" s="476" t="s">
        <v>1045</v>
      </c>
      <c r="S22" s="477">
        <f>F22</f>
        <v>100</v>
      </c>
      <c r="T22" s="476" t="s">
        <v>1045</v>
      </c>
      <c r="U22" s="477">
        <f>H22</f>
        <v>100</v>
      </c>
      <c r="V22" s="476" t="s">
        <v>1045</v>
      </c>
      <c r="W22" s="477">
        <f>J22</f>
        <v>100</v>
      </c>
      <c r="X22" s="471"/>
      <c r="Y22" s="3841"/>
      <c r="Z22" s="470" t="str">
        <f>Q22</f>
        <v>楼层</v>
      </c>
      <c r="AA22" s="482">
        <f t="shared" si="3"/>
        <v>1</v>
      </c>
      <c r="AB22" s="482">
        <f t="shared" si="4"/>
        <v>1</v>
      </c>
      <c r="AC22" s="482">
        <f t="shared" si="5"/>
        <v>1</v>
      </c>
    </row>
    <row r="23" spans="1:29" ht="15">
      <c r="A23" s="236"/>
      <c r="B23" s="298">
        <v>111</v>
      </c>
      <c r="C23" s="261"/>
      <c r="D23" s="267">
        <v>100</v>
      </c>
      <c r="E23" s="266"/>
      <c r="F23" s="297">
        <f>SUMIF(71:71,E23,72:72)-SUMIF(71:71,C23,72:72)+100</f>
        <v>100</v>
      </c>
      <c r="G23" s="266"/>
      <c r="H23" s="267">
        <f>SUMIF(71:71,G23,72:72)-SUMIF(71:71,C23,72:72)+100</f>
        <v>100</v>
      </c>
      <c r="I23" s="266"/>
      <c r="J23" s="267">
        <f>SUMIF(71:71,I23,72:72)-SUMIF(71:71,C23,72:72)+100</f>
        <v>100</v>
      </c>
      <c r="K23" s="410"/>
      <c r="L23" s="413"/>
      <c r="M23" s="401"/>
      <c r="N23" s="401"/>
      <c r="O23" s="412"/>
      <c r="P23" s="3841"/>
      <c r="Q23" s="406">
        <f>B23</f>
        <v>111</v>
      </c>
      <c r="R23" s="476" t="s">
        <v>1045</v>
      </c>
      <c r="S23" s="477">
        <f>F23</f>
        <v>100</v>
      </c>
      <c r="T23" s="476" t="s">
        <v>1045</v>
      </c>
      <c r="U23" s="477">
        <f>H23</f>
        <v>100</v>
      </c>
      <c r="V23" s="476" t="s">
        <v>1045</v>
      </c>
      <c r="W23" s="477">
        <f>J23</f>
        <v>100</v>
      </c>
      <c r="X23" s="471"/>
      <c r="Y23" s="3841"/>
      <c r="Z23" s="470">
        <f>Q23</f>
        <v>111</v>
      </c>
      <c r="AA23" s="482">
        <f t="shared" si="3"/>
        <v>1</v>
      </c>
      <c r="AB23" s="482">
        <f t="shared" si="4"/>
        <v>1</v>
      </c>
      <c r="AC23" s="482">
        <f t="shared" si="5"/>
        <v>1</v>
      </c>
    </row>
    <row r="24" spans="1:29" ht="15">
      <c r="A24" s="275"/>
      <c r="B24" s="298">
        <v>111</v>
      </c>
      <c r="C24" s="261"/>
      <c r="D24" s="267">
        <v>100</v>
      </c>
      <c r="E24" s="266"/>
      <c r="F24" s="297">
        <f>SUMIF(73:73,E24,74:74)-SUMIF(73:73,C24,74:74)+100</f>
        <v>100</v>
      </c>
      <c r="G24" s="266"/>
      <c r="H24" s="267">
        <f>SUMIF(73:73,G24,74:74)-SUMIF(73:73,C24,74:74)+100</f>
        <v>100</v>
      </c>
      <c r="I24" s="266"/>
      <c r="J24" s="267">
        <f>SUMIF(73:73,I24,74:74)-SUMIF(73:73,C24,74:74)+100</f>
        <v>100</v>
      </c>
      <c r="K24" s="410"/>
      <c r="L24" s="413"/>
      <c r="M24" s="401"/>
      <c r="N24" s="401"/>
      <c r="O24" s="412"/>
      <c r="P24" s="3841"/>
      <c r="Q24" s="406">
        <f t="shared" ref="Q24:Q34" si="8">B24</f>
        <v>111</v>
      </c>
      <c r="R24" s="476" t="s">
        <v>1045</v>
      </c>
      <c r="S24" s="477">
        <f>F24</f>
        <v>100</v>
      </c>
      <c r="T24" s="476" t="s">
        <v>1045</v>
      </c>
      <c r="U24" s="477">
        <f>H24</f>
        <v>100</v>
      </c>
      <c r="V24" s="476" t="s">
        <v>1045</v>
      </c>
      <c r="W24" s="477">
        <f>J24</f>
        <v>100</v>
      </c>
      <c r="X24" s="471"/>
      <c r="Y24" s="3841"/>
      <c r="Z24" s="470">
        <f>Q24</f>
        <v>111</v>
      </c>
      <c r="AA24" s="482">
        <f t="shared" si="3"/>
        <v>1</v>
      </c>
      <c r="AB24" s="482">
        <f t="shared" si="4"/>
        <v>1</v>
      </c>
      <c r="AC24" s="482">
        <f t="shared" si="5"/>
        <v>1</v>
      </c>
    </row>
    <row r="25" spans="1:29" s="210" customFormat="1" ht="15">
      <c r="A25" s="299"/>
      <c r="B25" s="298">
        <v>111</v>
      </c>
      <c r="C25" s="300"/>
      <c r="D25" s="301">
        <v>100</v>
      </c>
      <c r="E25" s="300"/>
      <c r="F25" s="302">
        <f>SUMIF(75:75,E25,76:76)-SUMIF(75:75,C25,76:76)+100</f>
        <v>100</v>
      </c>
      <c r="G25" s="300"/>
      <c r="H25" s="301">
        <f>SUMIF(75:75,G25,76:76)-SUMIF(75:75,C25,76:76)+100</f>
        <v>100</v>
      </c>
      <c r="I25" s="300"/>
      <c r="J25" s="301">
        <f>SUMIF(75:75,I25,76:76)-SUMIF(75:75,C25,76:76)+100</f>
        <v>100</v>
      </c>
      <c r="K25" s="410"/>
      <c r="L25" s="403"/>
      <c r="M25" s="404"/>
      <c r="N25" s="404"/>
      <c r="O25" s="405"/>
      <c r="P25" s="3841"/>
      <c r="Q25" s="475">
        <f t="shared" si="8"/>
        <v>111</v>
      </c>
      <c r="R25" s="472" t="s">
        <v>1045</v>
      </c>
      <c r="S25" s="473">
        <f>F25</f>
        <v>100</v>
      </c>
      <c r="T25" s="472" t="s">
        <v>1045</v>
      </c>
      <c r="U25" s="473">
        <f>H25</f>
        <v>100</v>
      </c>
      <c r="V25" s="472" t="s">
        <v>1045</v>
      </c>
      <c r="W25" s="473">
        <f>J25</f>
        <v>100</v>
      </c>
      <c r="X25" s="474"/>
      <c r="Y25" s="3841"/>
      <c r="Z25" s="492">
        <f>Q25</f>
        <v>111</v>
      </c>
      <c r="AA25" s="482">
        <f t="shared" si="3"/>
        <v>1</v>
      </c>
      <c r="AB25" s="482">
        <f t="shared" si="4"/>
        <v>1</v>
      </c>
      <c r="AC25" s="482">
        <f t="shared" si="5"/>
        <v>1</v>
      </c>
    </row>
    <row r="26" spans="1:29" ht="15">
      <c r="A26" s="303" t="s">
        <v>1061</v>
      </c>
      <c r="B26" s="304" t="s">
        <v>2419</v>
      </c>
      <c r="C26" s="305"/>
      <c r="D26" s="306">
        <v>100</v>
      </c>
      <c r="E26" s="305"/>
      <c r="F26" s="307">
        <f>SUMIF(77:77,E26,78:78)-SUMIF(77:77,C26,78:78)+100</f>
        <v>100</v>
      </c>
      <c r="G26" s="305"/>
      <c r="H26" s="306">
        <f>SUMIF(77:77,G26,78:78)-SUMIF(77:77,C26,78:78)+100</f>
        <v>100</v>
      </c>
      <c r="I26" s="305"/>
      <c r="J26" s="306">
        <f>SUMIF(77:77,I26,78:78)-SUMIF(77:77,C26,78:78)+100</f>
        <v>100</v>
      </c>
      <c r="K26" s="417"/>
      <c r="L26" s="413"/>
      <c r="M26" s="401"/>
      <c r="N26" s="401"/>
      <c r="O26" s="412"/>
      <c r="P26" s="3842" t="s">
        <v>1060</v>
      </c>
      <c r="Q26" s="406" t="str">
        <f t="shared" si="8"/>
        <v>公共部分装修</v>
      </c>
      <c r="R26" s="476" t="s">
        <v>1045</v>
      </c>
      <c r="S26" s="477">
        <f t="shared" ref="S26:S34" si="9">F26</f>
        <v>100</v>
      </c>
      <c r="T26" s="476" t="s">
        <v>1045</v>
      </c>
      <c r="U26" s="477">
        <f t="shared" ref="U26:U34" si="10">H26</f>
        <v>100</v>
      </c>
      <c r="V26" s="476" t="s">
        <v>1045</v>
      </c>
      <c r="W26" s="477">
        <f t="shared" ref="W26:W34" si="11">J26</f>
        <v>100</v>
      </c>
      <c r="X26" s="471"/>
      <c r="Y26" s="3843" t="s">
        <v>1060</v>
      </c>
      <c r="Z26" s="470" t="str">
        <f t="shared" ref="Z26:Z34" si="12">Q26</f>
        <v>公共部分装修</v>
      </c>
      <c r="AA26" s="482">
        <f t="shared" si="3"/>
        <v>1</v>
      </c>
      <c r="AB26" s="482">
        <f t="shared" si="4"/>
        <v>1</v>
      </c>
      <c r="AC26" s="482">
        <f t="shared" si="5"/>
        <v>1</v>
      </c>
    </row>
    <row r="27" spans="1:29" s="212" customFormat="1" ht="15">
      <c r="A27" s="308"/>
      <c r="B27" s="309" t="s">
        <v>2465</v>
      </c>
      <c r="C27" s="310"/>
      <c r="D27" s="257">
        <v>100</v>
      </c>
      <c r="E27" s="311"/>
      <c r="F27" s="297" t="e">
        <f>LOOKUP(E27,80:80,81:81)-LOOKUP(C27,80:80,81:81)+100</f>
        <v>#N/A</v>
      </c>
      <c r="G27" s="312"/>
      <c r="H27" s="267" t="e">
        <f>LOOKUP(G27,80:80,81:81)-LOOKUP(C27,80:80,81:81)+100</f>
        <v>#N/A</v>
      </c>
      <c r="I27" s="312"/>
      <c r="J27" s="267" t="e">
        <f>LOOKUP(I27,80:80,81:81)-LOOKUP(C27,80:80,81:81)+100</f>
        <v>#N/A</v>
      </c>
      <c r="K27" s="417"/>
      <c r="L27" s="411"/>
      <c r="M27" s="418"/>
      <c r="N27" s="418"/>
      <c r="O27" s="419"/>
      <c r="P27" s="3843"/>
      <c r="Q27" s="478" t="str">
        <f t="shared" si="8"/>
        <v>成新率</v>
      </c>
      <c r="R27" s="479" t="s">
        <v>1045</v>
      </c>
      <c r="S27" s="480" t="e">
        <f t="shared" si="9"/>
        <v>#N/A</v>
      </c>
      <c r="T27" s="479" t="s">
        <v>1045</v>
      </c>
      <c r="U27" s="480" t="e">
        <f t="shared" si="10"/>
        <v>#N/A</v>
      </c>
      <c r="V27" s="479" t="s">
        <v>1045</v>
      </c>
      <c r="W27" s="480" t="e">
        <f t="shared" si="11"/>
        <v>#N/A</v>
      </c>
      <c r="X27" s="481"/>
      <c r="Y27" s="3843"/>
      <c r="Z27" s="493" t="str">
        <f t="shared" si="12"/>
        <v>成新率</v>
      </c>
      <c r="AA27" s="482" t="e">
        <f t="shared" si="3"/>
        <v>#N/A</v>
      </c>
      <c r="AB27" s="482" t="e">
        <f t="shared" si="4"/>
        <v>#N/A</v>
      </c>
      <c r="AC27" s="482" t="e">
        <f t="shared" si="5"/>
        <v>#N/A</v>
      </c>
    </row>
    <row r="28" spans="1:29" ht="15">
      <c r="A28" s="313"/>
      <c r="B28" s="309" t="s">
        <v>2466</v>
      </c>
      <c r="C28" s="314"/>
      <c r="D28" s="267">
        <v>100</v>
      </c>
      <c r="E28" s="314"/>
      <c r="F28" s="297">
        <f>SUMIF(82:82,E28,83:83)-SUMIF(82:82,C28,83:83)+100</f>
        <v>100</v>
      </c>
      <c r="G28" s="314"/>
      <c r="H28" s="267">
        <f>SUMIF(82:82,G28,83:83)-SUMIF(82:82,C28,83:83)+100</f>
        <v>100</v>
      </c>
      <c r="I28" s="314"/>
      <c r="J28" s="267">
        <f>SUMIF(82:82,I28,83:83)-SUMIF(82:82,C28,83:83)+100</f>
        <v>100</v>
      </c>
      <c r="K28" s="417"/>
      <c r="L28" s="413"/>
      <c r="M28" s="401"/>
      <c r="N28" s="401"/>
      <c r="O28" s="412"/>
      <c r="P28" s="3843"/>
      <c r="Q28" s="406" t="str">
        <f t="shared" si="8"/>
        <v>物业等级</v>
      </c>
      <c r="R28" s="476" t="s">
        <v>1045</v>
      </c>
      <c r="S28" s="477">
        <f t="shared" si="9"/>
        <v>100</v>
      </c>
      <c r="T28" s="476" t="s">
        <v>1045</v>
      </c>
      <c r="U28" s="477">
        <f t="shared" si="10"/>
        <v>100</v>
      </c>
      <c r="V28" s="476" t="s">
        <v>1045</v>
      </c>
      <c r="W28" s="477">
        <f t="shared" si="11"/>
        <v>100</v>
      </c>
      <c r="X28" s="471"/>
      <c r="Y28" s="3843"/>
      <c r="Z28" s="470" t="str">
        <f t="shared" si="12"/>
        <v>物业等级</v>
      </c>
      <c r="AA28" s="482">
        <f t="shared" si="3"/>
        <v>1</v>
      </c>
      <c r="AB28" s="482">
        <f t="shared" si="4"/>
        <v>1</v>
      </c>
      <c r="AC28" s="482">
        <f t="shared" si="5"/>
        <v>1</v>
      </c>
    </row>
    <row r="29" spans="1:29" ht="15">
      <c r="A29" s="313"/>
      <c r="B29" s="309" t="s">
        <v>2472</v>
      </c>
      <c r="C29" s="315"/>
      <c r="D29" s="267">
        <v>100</v>
      </c>
      <c r="E29" s="315"/>
      <c r="F29" s="297">
        <f>SUMIF(84:84,E29,85:85)-SUMIF(84:84,C29,85:85)+100</f>
        <v>100</v>
      </c>
      <c r="G29" s="315"/>
      <c r="H29" s="267">
        <f>SUMIF(84:84,G29,85:85)-SUMIF(84:84,C29,85:85)+100</f>
        <v>100</v>
      </c>
      <c r="I29" s="315"/>
      <c r="J29" s="267">
        <f>SUMIF(84:84,I29,85:85)-SUMIF(84:84,C29,85:85)+100</f>
        <v>100</v>
      </c>
      <c r="K29" s="417"/>
      <c r="L29" s="413"/>
      <c r="M29" s="401"/>
      <c r="N29" s="401"/>
      <c r="O29" s="412"/>
      <c r="P29" s="3843"/>
      <c r="Q29" s="406" t="str">
        <f t="shared" si="8"/>
        <v>有无电梯</v>
      </c>
      <c r="R29" s="476" t="s">
        <v>1045</v>
      </c>
      <c r="S29" s="477">
        <f t="shared" si="9"/>
        <v>100</v>
      </c>
      <c r="T29" s="476" t="s">
        <v>1045</v>
      </c>
      <c r="U29" s="477">
        <f t="shared" si="10"/>
        <v>100</v>
      </c>
      <c r="V29" s="476" t="s">
        <v>1045</v>
      </c>
      <c r="W29" s="477">
        <f t="shared" si="11"/>
        <v>100</v>
      </c>
      <c r="X29" s="471"/>
      <c r="Y29" s="3843"/>
      <c r="Z29" s="470" t="str">
        <f t="shared" si="12"/>
        <v>有无电梯</v>
      </c>
      <c r="AA29" s="482">
        <f t="shared" si="3"/>
        <v>1</v>
      </c>
      <c r="AB29" s="482">
        <f t="shared" si="4"/>
        <v>1</v>
      </c>
      <c r="AC29" s="482">
        <f t="shared" si="5"/>
        <v>1</v>
      </c>
    </row>
    <row r="30" spans="1:29" ht="15">
      <c r="A30" s="313"/>
      <c r="B30" s="309" t="s">
        <v>577</v>
      </c>
      <c r="C30" s="262"/>
      <c r="D30" s="267">
        <v>100</v>
      </c>
      <c r="E30" s="262"/>
      <c r="F30" s="297" t="e">
        <f>LOOKUP(E30,87:87,88:88)-LOOKUP(C30,87:87,88:88)+100</f>
        <v>#N/A</v>
      </c>
      <c r="G30" s="262"/>
      <c r="H30" s="267" t="e">
        <f>LOOKUP(G30,87:87,88:88)-LOOKUP(C30,87:87,88:88)+100</f>
        <v>#N/A</v>
      </c>
      <c r="I30" s="262"/>
      <c r="J30" s="267" t="e">
        <f>LOOKUP(I30,87:87,88:88)-LOOKUP(C30,87:87,88:88)+100</f>
        <v>#N/A</v>
      </c>
      <c r="K30" s="410"/>
      <c r="L30" s="413"/>
      <c r="M30" s="401"/>
      <c r="N30" s="401"/>
      <c r="O30" s="412"/>
      <c r="P30" s="3843"/>
      <c r="Q30" s="406" t="str">
        <f t="shared" si="8"/>
        <v>建筑面积</v>
      </c>
      <c r="R30" s="476" t="s">
        <v>1045</v>
      </c>
      <c r="S30" s="477" t="e">
        <f t="shared" si="9"/>
        <v>#N/A</v>
      </c>
      <c r="T30" s="476" t="s">
        <v>1045</v>
      </c>
      <c r="U30" s="477" t="e">
        <f t="shared" si="10"/>
        <v>#N/A</v>
      </c>
      <c r="V30" s="476" t="s">
        <v>1045</v>
      </c>
      <c r="W30" s="477" t="e">
        <f t="shared" si="11"/>
        <v>#N/A</v>
      </c>
      <c r="X30" s="471"/>
      <c r="Y30" s="3843"/>
      <c r="Z30" s="470" t="str">
        <f t="shared" si="12"/>
        <v>建筑面积</v>
      </c>
      <c r="AA30" s="482" t="e">
        <f t="shared" si="3"/>
        <v>#N/A</v>
      </c>
      <c r="AB30" s="482" t="e">
        <f t="shared" si="4"/>
        <v>#N/A</v>
      </c>
      <c r="AC30" s="482" t="e">
        <f t="shared" si="5"/>
        <v>#N/A</v>
      </c>
    </row>
    <row r="31" spans="1:29" s="210" customFormat="1" ht="15">
      <c r="A31" s="316"/>
      <c r="B31" s="309" t="s">
        <v>2473</v>
      </c>
      <c r="C31" s="315"/>
      <c r="D31" s="257">
        <v>100</v>
      </c>
      <c r="E31" s="315"/>
      <c r="F31" s="297">
        <f>SUMIF(89:89,E31,90:90)-SUMIF(89:89,C31,90:90)+100</f>
        <v>100</v>
      </c>
      <c r="G31" s="315"/>
      <c r="H31" s="267">
        <f>SUMIF(89:89,G31,90:90)-SUMIF(89:89,C31,90:90)+100</f>
        <v>100</v>
      </c>
      <c r="I31" s="315"/>
      <c r="J31" s="267">
        <f>SUMIF(89:89,I31,90:90)-SUMIF(89:89,C31,90:90)+100</f>
        <v>100</v>
      </c>
      <c r="K31" s="417"/>
      <c r="L31" s="403"/>
      <c r="M31" s="404"/>
      <c r="N31" s="404"/>
      <c r="O31" s="405"/>
      <c r="P31" s="3843"/>
      <c r="Q31" s="475" t="str">
        <f t="shared" si="8"/>
        <v>是否封闭</v>
      </c>
      <c r="R31" s="472" t="s">
        <v>1045</v>
      </c>
      <c r="S31" s="473">
        <f t="shared" si="9"/>
        <v>100</v>
      </c>
      <c r="T31" s="472" t="s">
        <v>1045</v>
      </c>
      <c r="U31" s="473">
        <f t="shared" si="10"/>
        <v>100</v>
      </c>
      <c r="V31" s="472" t="s">
        <v>1045</v>
      </c>
      <c r="W31" s="473">
        <f t="shared" si="11"/>
        <v>100</v>
      </c>
      <c r="X31" s="474"/>
      <c r="Y31" s="3843"/>
      <c r="Z31" s="492" t="str">
        <f t="shared" si="12"/>
        <v>是否封闭</v>
      </c>
      <c r="AA31" s="491">
        <f t="shared" si="3"/>
        <v>1</v>
      </c>
      <c r="AB31" s="491">
        <f t="shared" si="4"/>
        <v>1</v>
      </c>
      <c r="AC31" s="491">
        <f t="shared" si="5"/>
        <v>1</v>
      </c>
    </row>
    <row r="32" spans="1:29" ht="15">
      <c r="A32" s="313"/>
      <c r="B32" s="298">
        <v>111</v>
      </c>
      <c r="C32" s="261"/>
      <c r="D32" s="267">
        <v>100</v>
      </c>
      <c r="E32" s="262"/>
      <c r="F32" s="297">
        <f>SUMIF(91:91,E32,92:92)-SUMIF(91:91,C32,92:92)+100</f>
        <v>100</v>
      </c>
      <c r="G32" s="262"/>
      <c r="H32" s="267">
        <f>SUMIF(91:91,G32,92:92)-SUMIF(91:91,C32,92:92)+100</f>
        <v>100</v>
      </c>
      <c r="I32" s="262"/>
      <c r="J32" s="267">
        <f>SUMIF(91:91,I32,92:92)-SUMIF(91:91,C32,92:92)+100</f>
        <v>100</v>
      </c>
      <c r="K32" s="410"/>
      <c r="L32" s="413"/>
      <c r="M32" s="401"/>
      <c r="N32" s="401"/>
      <c r="O32" s="412"/>
      <c r="P32" s="3843" t="s">
        <v>1060</v>
      </c>
      <c r="Q32" s="406">
        <f t="shared" si="8"/>
        <v>111</v>
      </c>
      <c r="R32" s="476" t="s">
        <v>1045</v>
      </c>
      <c r="S32" s="477">
        <f t="shared" si="9"/>
        <v>100</v>
      </c>
      <c r="T32" s="476" t="s">
        <v>1045</v>
      </c>
      <c r="U32" s="477">
        <f t="shared" si="10"/>
        <v>100</v>
      </c>
      <c r="V32" s="476" t="s">
        <v>1045</v>
      </c>
      <c r="W32" s="477">
        <f t="shared" si="11"/>
        <v>100</v>
      </c>
      <c r="X32" s="471"/>
      <c r="Y32" s="3843" t="s">
        <v>1060</v>
      </c>
      <c r="Z32" s="470">
        <f t="shared" si="12"/>
        <v>111</v>
      </c>
      <c r="AA32" s="482">
        <f t="shared" si="3"/>
        <v>1</v>
      </c>
      <c r="AB32" s="482">
        <f t="shared" si="4"/>
        <v>1</v>
      </c>
      <c r="AC32" s="482">
        <f t="shared" si="5"/>
        <v>1</v>
      </c>
    </row>
    <row r="33" spans="1:29" ht="15">
      <c r="A33" s="313"/>
      <c r="B33" s="298">
        <v>111</v>
      </c>
      <c r="C33" s="261"/>
      <c r="D33" s="267">
        <v>100</v>
      </c>
      <c r="E33" s="262"/>
      <c r="F33" s="297">
        <f>SUMIF(93:93,E33,94:94)-SUMIF(93:93,C33,94:94)+100</f>
        <v>100</v>
      </c>
      <c r="G33" s="262"/>
      <c r="H33" s="267">
        <f>SUMIF(93:93,G33,94:94)-SUMIF(93:93,C33,94:94)+100</f>
        <v>100</v>
      </c>
      <c r="I33" s="262"/>
      <c r="J33" s="267">
        <f>SUMIF(93:93,I33,94:94)-SUMIF(93:93,C33,94:94)+100</f>
        <v>100</v>
      </c>
      <c r="K33" s="410"/>
      <c r="L33" s="413"/>
      <c r="M33" s="401"/>
      <c r="N33" s="401"/>
      <c r="O33" s="412"/>
      <c r="P33" s="3843"/>
      <c r="Q33" s="406">
        <f t="shared" si="8"/>
        <v>111</v>
      </c>
      <c r="R33" s="476" t="s">
        <v>1045</v>
      </c>
      <c r="S33" s="477">
        <f t="shared" si="9"/>
        <v>100</v>
      </c>
      <c r="T33" s="476" t="s">
        <v>1045</v>
      </c>
      <c r="U33" s="477">
        <f t="shared" si="10"/>
        <v>100</v>
      </c>
      <c r="V33" s="476" t="s">
        <v>1045</v>
      </c>
      <c r="W33" s="477">
        <f t="shared" si="11"/>
        <v>100</v>
      </c>
      <c r="X33" s="471"/>
      <c r="Y33" s="3843"/>
      <c r="Z33" s="470">
        <f t="shared" si="12"/>
        <v>111</v>
      </c>
      <c r="AA33" s="482">
        <f t="shared" si="3"/>
        <v>1</v>
      </c>
      <c r="AB33" s="482">
        <f t="shared" si="4"/>
        <v>1</v>
      </c>
      <c r="AC33" s="482">
        <f t="shared" si="5"/>
        <v>1</v>
      </c>
    </row>
    <row r="34" spans="1:29" ht="15">
      <c r="A34" s="317"/>
      <c r="B34" s="318">
        <v>111</v>
      </c>
      <c r="C34" s="319"/>
      <c r="D34" s="320">
        <v>100</v>
      </c>
      <c r="E34" s="321"/>
      <c r="F34" s="322">
        <f>SUMIF(95:95,E34,96:96)-SUMIF(95:95,C34,96:96)+100</f>
        <v>100</v>
      </c>
      <c r="G34" s="321"/>
      <c r="H34" s="320">
        <f>SUMIF(95:95,G34,96:96)-SUMIF(95:95,C34,96:96)+100</f>
        <v>100</v>
      </c>
      <c r="I34" s="321"/>
      <c r="J34" s="320">
        <f>SUMIF(95:95,I34,96:96)-SUMIF(95:95,C34,96:96)+100</f>
        <v>100</v>
      </c>
      <c r="K34" s="410"/>
      <c r="L34" s="413"/>
      <c r="M34" s="401"/>
      <c r="N34" s="401"/>
      <c r="O34" s="412"/>
      <c r="P34" s="3843"/>
      <c r="Q34" s="406">
        <f t="shared" si="8"/>
        <v>111</v>
      </c>
      <c r="R34" s="476" t="s">
        <v>1045</v>
      </c>
      <c r="S34" s="477">
        <f t="shared" si="9"/>
        <v>100</v>
      </c>
      <c r="T34" s="476" t="s">
        <v>1045</v>
      </c>
      <c r="U34" s="477">
        <f t="shared" si="10"/>
        <v>100</v>
      </c>
      <c r="V34" s="476" t="s">
        <v>1045</v>
      </c>
      <c r="W34" s="477">
        <f t="shared" si="11"/>
        <v>100</v>
      </c>
      <c r="X34" s="471"/>
      <c r="Y34" s="3843"/>
      <c r="Z34" s="470">
        <f t="shared" si="12"/>
        <v>111</v>
      </c>
      <c r="AA34" s="482">
        <f t="shared" si="3"/>
        <v>1</v>
      </c>
      <c r="AB34" s="482">
        <f t="shared" si="4"/>
        <v>1</v>
      </c>
      <c r="AC34" s="482">
        <f t="shared" si="5"/>
        <v>1</v>
      </c>
    </row>
    <row r="35" spans="1:29" ht="15">
      <c r="A35" s="323" t="s">
        <v>2426</v>
      </c>
      <c r="B35" s="324"/>
      <c r="C35" s="325" t="s">
        <v>138</v>
      </c>
      <c r="D35" s="326"/>
      <c r="E35" s="327"/>
      <c r="F35" s="328"/>
      <c r="G35" s="329"/>
      <c r="H35" s="330"/>
      <c r="I35" s="327"/>
      <c r="J35" s="330"/>
      <c r="K35" s="420"/>
      <c r="L35" s="421"/>
      <c r="M35" s="351"/>
      <c r="N35" s="401"/>
      <c r="O35" s="351"/>
      <c r="P35" s="3834" t="str">
        <f>A35</f>
        <v>成交单价（元/平方米）</v>
      </c>
      <c r="Q35" s="3834"/>
      <c r="R35" s="3949">
        <f>E35</f>
        <v>0</v>
      </c>
      <c r="S35" s="3949"/>
      <c r="T35" s="3949">
        <f>G35</f>
        <v>0</v>
      </c>
      <c r="U35" s="3949"/>
      <c r="V35" s="3949">
        <f>I35</f>
        <v>0</v>
      </c>
      <c r="W35" s="3949"/>
      <c r="X35" s="353"/>
      <c r="Y35" s="494"/>
      <c r="Z35" s="353"/>
      <c r="AA35" s="353"/>
      <c r="AB35" s="353"/>
      <c r="AC35" s="353"/>
    </row>
    <row r="36" spans="1:29" ht="15">
      <c r="A36" s="331" t="s">
        <v>1069</v>
      </c>
      <c r="B36" s="332"/>
      <c r="C36" s="333" t="e">
        <f>R37</f>
        <v>#DIV/0!</v>
      </c>
      <c r="D36" s="334" t="s">
        <v>2474</v>
      </c>
      <c r="E36" s="335" t="e">
        <f>R36</f>
        <v>#DIV/0!</v>
      </c>
      <c r="F36" s="336"/>
      <c r="G36" s="333" t="e">
        <f>T36</f>
        <v>#DIV/0!</v>
      </c>
      <c r="H36" s="336"/>
      <c r="I36" s="335" t="e">
        <f>V36</f>
        <v>#DIV/0!</v>
      </c>
      <c r="J36" s="336"/>
      <c r="K36" s="422">
        <f>F36+H36+J36</f>
        <v>0</v>
      </c>
      <c r="L36" s="421"/>
      <c r="M36" s="351"/>
      <c r="N36" s="401"/>
      <c r="O36" s="351"/>
      <c r="P36" s="3834" t="str">
        <f>A36</f>
        <v>比较价格（元/平方米）</v>
      </c>
      <c r="Q36" s="3834"/>
      <c r="R36" s="3949" t="e">
        <f>IF(F1="售价",ROUND(PRODUCT(R35,AA7:AA34),0),ROUND(PRODUCT(R35,AA7:AA34),1))</f>
        <v>#DIV/0!</v>
      </c>
      <c r="S36" s="3949"/>
      <c r="T36" s="3949" t="e">
        <f>IF(F1="售价",ROUND(PRODUCT(T35,AB7:AB34),0),ROUND(PRODUCT(T35,AB7:AB34),1))</f>
        <v>#DIV/0!</v>
      </c>
      <c r="U36" s="3949"/>
      <c r="V36" s="3949" t="e">
        <f>IF(F1="售价",ROUND(PRODUCT(V35,AC7:AC34),0),ROUND(PRODUCT(V35,AC7:AC34),1))</f>
        <v>#DIV/0!</v>
      </c>
      <c r="W36" s="3949"/>
      <c r="X36" s="353"/>
      <c r="Y36" s="353"/>
      <c r="Z36" s="353"/>
      <c r="AA36" s="353"/>
      <c r="AB36" s="353"/>
      <c r="AC36" s="353"/>
    </row>
    <row r="37" spans="1:29" ht="15">
      <c r="A37" s="337" t="s">
        <v>1071</v>
      </c>
      <c r="B37" s="338"/>
      <c r="C37" s="339" t="e">
        <f>R37</f>
        <v>#DIV/0!</v>
      </c>
      <c r="D37" s="339"/>
      <c r="E37" s="339"/>
      <c r="F37" s="339"/>
      <c r="G37" s="339"/>
      <c r="H37" s="339"/>
      <c r="I37" s="339"/>
      <c r="J37" s="339"/>
      <c r="K37" s="423"/>
      <c r="L37" s="421"/>
      <c r="M37" s="351"/>
      <c r="N37" s="351"/>
      <c r="O37" s="351"/>
      <c r="P37" s="3837" t="str">
        <f>A37</f>
        <v>估价对象XX用房的比较价格（楼面单价，元/平方米）</v>
      </c>
      <c r="Q37" s="3838"/>
      <c r="R37" s="3950" t="e">
        <f>IF(F1="售价",ROUND(IF(D36="简单平均",AVERAGE(R36:W36),R36*F36+T36*H36+V36*J36),0),ROUND(IF(D36="简单平均",AVERAGE(R36:V36),R36*F36+T36*H36+V36*J36),1))</f>
        <v>#DIV/0!</v>
      </c>
      <c r="S37" s="3950"/>
      <c r="T37" s="3950"/>
      <c r="U37" s="3950"/>
      <c r="V37" s="3950"/>
      <c r="W37" s="3950"/>
      <c r="X37" s="353"/>
      <c r="Y37" s="353"/>
      <c r="Z37" s="353"/>
      <c r="AA37" s="353"/>
      <c r="AB37" s="353"/>
      <c r="AC37" s="353"/>
    </row>
    <row r="38" spans="1:29">
      <c r="A38" s="340"/>
      <c r="B38" s="340"/>
      <c r="C38" s="340"/>
      <c r="D38" s="340"/>
      <c r="E38" s="340"/>
      <c r="F38" s="340"/>
      <c r="G38" s="341"/>
      <c r="H38" s="340"/>
      <c r="I38" s="340"/>
      <c r="J38" s="340"/>
      <c r="K38" s="425"/>
      <c r="L38" s="426"/>
      <c r="M38" s="351"/>
      <c r="N38" s="351"/>
      <c r="O38" s="351"/>
      <c r="P38" s="351"/>
      <c r="Q38" s="351"/>
      <c r="R38" s="351"/>
      <c r="S38" s="351"/>
      <c r="T38" s="351"/>
      <c r="U38" s="351"/>
      <c r="V38" s="351"/>
      <c r="W38" s="351"/>
      <c r="X38" s="351"/>
      <c r="Y38" s="351"/>
      <c r="Z38" s="351"/>
      <c r="AA38" s="351"/>
      <c r="AB38" s="351"/>
      <c r="AC38" s="351"/>
    </row>
    <row r="39" spans="1:29">
      <c r="A39" s="340"/>
      <c r="B39" s="340"/>
      <c r="C39" s="340"/>
      <c r="D39" s="340"/>
      <c r="E39" s="340"/>
      <c r="F39" s="340"/>
      <c r="G39" s="340"/>
      <c r="H39" s="340"/>
      <c r="I39" s="340"/>
      <c r="J39" s="340"/>
      <c r="K39" s="425"/>
      <c r="L39" s="426"/>
      <c r="M39" s="351"/>
      <c r="N39" s="351"/>
      <c r="O39" s="351"/>
      <c r="P39" s="351"/>
      <c r="Q39" s="351"/>
      <c r="R39" s="351"/>
      <c r="S39" s="351"/>
      <c r="T39" s="351"/>
      <c r="U39" s="351"/>
      <c r="V39" s="351"/>
      <c r="W39" s="351"/>
      <c r="X39" s="351"/>
      <c r="Y39" s="351"/>
      <c r="Z39" s="351"/>
      <c r="AA39" s="351"/>
      <c r="AB39" s="351"/>
      <c r="AC39" s="351"/>
    </row>
    <row r="40" spans="1:29" ht="13.5" customHeight="1">
      <c r="A40" s="340"/>
      <c r="B40" s="340"/>
      <c r="C40" s="342" t="s">
        <v>1072</v>
      </c>
      <c r="D40" s="343"/>
      <c r="E40" s="344" t="e">
        <f>IF(E35&lt;E36,E36/E35-1,E35/E36-1)</f>
        <v>#DIV/0!</v>
      </c>
      <c r="F40" s="345" t="e">
        <f>IF(OR(E40&gt;=0.3,E40&lt;=-0.3),"超过30%","")</f>
        <v>#DIV/0!</v>
      </c>
      <c r="G40" s="344" t="e">
        <f>IF(G35&lt;G36,G36/G35-1,G35/G36-1)</f>
        <v>#DIV/0!</v>
      </c>
      <c r="H40" s="345" t="e">
        <f>IF(OR(G40&gt;=0.3,G40&lt;=-0.3),"超过30%","")</f>
        <v>#DIV/0!</v>
      </c>
      <c r="I40" s="344" t="e">
        <f>IF(I35&lt;I36,I36/I35-1,I35/I36-1)</f>
        <v>#DIV/0!</v>
      </c>
      <c r="J40" s="345" t="e">
        <f>IF(OR(I40&gt;=0.3,I40&lt;=-0.3),"超过30%","")</f>
        <v>#DIV/0!</v>
      </c>
      <c r="K40" s="425"/>
      <c r="L40" s="426"/>
      <c r="M40" s="351"/>
      <c r="N40" s="351"/>
      <c r="O40" s="351"/>
      <c r="P40" s="351"/>
      <c r="Q40" s="351"/>
      <c r="R40" s="351"/>
      <c r="S40" s="351"/>
      <c r="T40" s="351"/>
      <c r="U40" s="351"/>
      <c r="V40" s="351"/>
      <c r="W40" s="351"/>
      <c r="X40" s="351"/>
      <c r="Y40" s="351"/>
      <c r="Z40" s="351"/>
      <c r="AA40" s="351"/>
      <c r="AB40" s="351"/>
      <c r="AC40" s="351"/>
    </row>
    <row r="41" spans="1:29" ht="13.5" customHeight="1">
      <c r="A41" s="340"/>
      <c r="B41" s="340"/>
      <c r="C41" s="342" t="s">
        <v>1073</v>
      </c>
      <c r="D41" s="346"/>
      <c r="E41" s="344" t="e">
        <f>IF(E36&lt;G36,G36/E36-1,E36/G36-1)</f>
        <v>#DIV/0!</v>
      </c>
      <c r="F41" s="345" t="e">
        <f>IF(OR(E41&gt;=0.2,E41&lt;=-0.2),"超过20%","")</f>
        <v>#DIV/0!</v>
      </c>
      <c r="G41" s="344" t="e">
        <f>IF(G36&lt;I36,I36/G36-1,G36/I36-1)</f>
        <v>#DIV/0!</v>
      </c>
      <c r="H41" s="345" t="e">
        <f>IF(OR(G41&gt;=0.2,G41&lt;=-0.2),"超过20%","")</f>
        <v>#DIV/0!</v>
      </c>
      <c r="I41" s="344" t="e">
        <f>IF(I36&lt;E36,E36/I36-1,I36/E36-1)</f>
        <v>#DIV/0!</v>
      </c>
      <c r="J41" s="345" t="e">
        <f>IF(OR(I41&gt;=0.2,I41&lt;=-0.2),"超过20%","")</f>
        <v>#DIV/0!</v>
      </c>
      <c r="K41" s="425"/>
      <c r="L41" s="426"/>
      <c r="M41" s="351"/>
      <c r="N41" s="351"/>
      <c r="O41" s="351"/>
      <c r="P41" s="351"/>
      <c r="Q41" s="351"/>
      <c r="R41" s="351"/>
      <c r="S41" s="351"/>
      <c r="T41" s="351"/>
      <c r="U41" s="351"/>
      <c r="V41" s="351"/>
      <c r="W41" s="351"/>
      <c r="X41" s="351"/>
      <c r="Y41" s="351"/>
      <c r="Z41" s="351"/>
      <c r="AA41" s="351"/>
      <c r="AB41" s="351"/>
      <c r="AC41" s="351"/>
    </row>
    <row r="42" spans="1:29" s="213" customFormat="1" ht="13.5" customHeight="1">
      <c r="A42" s="347"/>
      <c r="B42" s="347"/>
      <c r="C42" s="342" t="s">
        <v>1074</v>
      </c>
      <c r="D42" s="346"/>
      <c r="E42" s="344" t="e">
        <f>IF(E35&lt;G35,G35/E35-1,E35/G35-1)</f>
        <v>#DIV/0!</v>
      </c>
      <c r="F42" s="345" t="e">
        <f>IF(OR(E42&gt;=0.3,E42&lt;=-0.3),"超过30%","")</f>
        <v>#DIV/0!</v>
      </c>
      <c r="G42" s="344" t="e">
        <f>IF(G35&lt;I35,I35/G35-1,G35/I35-1)</f>
        <v>#DIV/0!</v>
      </c>
      <c r="H42" s="345" t="e">
        <f>IF(OR(G42&gt;=0.3,G42&lt;=-0.3),"超过30%","")</f>
        <v>#DIV/0!</v>
      </c>
      <c r="I42" s="344" t="e">
        <f>IF(I35&lt;E35,E35/I35-1,I35/E35-1)</f>
        <v>#DIV/0!</v>
      </c>
      <c r="J42" s="345" t="e">
        <f>IF(OR(I42&gt;=0.3,I42&lt;=-0.3),"超过30%","")</f>
        <v>#DIV/0!</v>
      </c>
      <c r="K42" s="427"/>
      <c r="L42" s="428"/>
      <c r="M42" s="348"/>
      <c r="N42" s="348"/>
      <c r="O42" s="348"/>
      <c r="P42" s="348"/>
      <c r="Q42" s="348"/>
      <c r="R42" s="348"/>
      <c r="S42" s="348"/>
      <c r="T42" s="348"/>
      <c r="U42" s="348"/>
      <c r="V42" s="348"/>
      <c r="W42" s="348"/>
      <c r="X42" s="348"/>
      <c r="Y42" s="348"/>
      <c r="Z42" s="348"/>
      <c r="AA42" s="348"/>
      <c r="AB42" s="348"/>
      <c r="AC42" s="348"/>
    </row>
    <row r="43" spans="1:29" s="213" customFormat="1">
      <c r="A43" s="348"/>
      <c r="B43" s="349"/>
      <c r="C43" s="350"/>
      <c r="D43" s="348"/>
      <c r="E43" s="348"/>
      <c r="F43" s="348"/>
      <c r="G43" s="348"/>
      <c r="H43" s="348"/>
      <c r="I43" s="348"/>
      <c r="J43" s="348"/>
      <c r="K43" s="429"/>
      <c r="L43" s="428"/>
      <c r="M43" s="348"/>
      <c r="N43" s="348"/>
      <c r="O43" s="348"/>
      <c r="P43" s="348"/>
      <c r="Q43" s="348"/>
      <c r="R43" s="348"/>
      <c r="S43" s="348"/>
      <c r="T43" s="348"/>
      <c r="U43" s="348"/>
      <c r="V43" s="348"/>
      <c r="W43" s="348"/>
      <c r="X43" s="348"/>
      <c r="Y43" s="348"/>
      <c r="Z43" s="348"/>
      <c r="AA43" s="348"/>
      <c r="AB43" s="348"/>
      <c r="AC43" s="348"/>
    </row>
    <row r="44" spans="1:29">
      <c r="A44" s="351"/>
      <c r="B44" s="349"/>
      <c r="C44" s="350"/>
      <c r="D44" s="351"/>
      <c r="E44" s="351"/>
      <c r="F44" s="351"/>
      <c r="G44" s="351"/>
      <c r="H44" s="351"/>
      <c r="I44" s="351"/>
      <c r="J44" s="351"/>
      <c r="K44" s="430"/>
      <c r="L44" s="426"/>
      <c r="M44" s="351"/>
      <c r="N44" s="351"/>
      <c r="O44" s="351"/>
      <c r="P44" s="351"/>
      <c r="Q44" s="351"/>
      <c r="R44" s="351"/>
      <c r="S44" s="351"/>
      <c r="T44" s="351"/>
      <c r="U44" s="351"/>
      <c r="V44" s="351"/>
      <c r="W44" s="351"/>
      <c r="X44" s="351"/>
      <c r="Y44" s="351"/>
      <c r="Z44" s="351"/>
      <c r="AA44" s="351"/>
      <c r="AB44" s="351"/>
      <c r="AC44" s="351"/>
    </row>
    <row r="45" spans="1:29" ht="21">
      <c r="A45" s="352" t="s">
        <v>1095</v>
      </c>
      <c r="B45" s="353"/>
      <c r="C45" s="354"/>
      <c r="D45" s="354"/>
      <c r="E45" s="354"/>
      <c r="F45" s="355"/>
      <c r="G45" s="355"/>
      <c r="H45" s="354"/>
      <c r="I45" s="354"/>
      <c r="J45" s="354"/>
      <c r="K45" s="431"/>
      <c r="L45" s="432"/>
      <c r="M45" s="354"/>
      <c r="N45" s="433"/>
      <c r="O45" s="433"/>
      <c r="P45" s="433"/>
      <c r="Q45" s="437"/>
      <c r="R45" s="351"/>
      <c r="S45" s="351"/>
      <c r="T45" s="351"/>
      <c r="U45" s="351"/>
      <c r="V45" s="351"/>
      <c r="W45" s="351"/>
      <c r="X45" s="351"/>
      <c r="Y45" s="351"/>
      <c r="Z45" s="351"/>
      <c r="AA45" s="351"/>
      <c r="AB45" s="351"/>
      <c r="AC45" s="351"/>
    </row>
    <row r="46" spans="1:29" s="214" customFormat="1" ht="15">
      <c r="A46" s="356" t="s">
        <v>1043</v>
      </c>
      <c r="B46" s="357"/>
      <c r="C46" s="358" t="str">
        <f>YEAR(C7)&amp;"-"&amp;MONTH(C7)</f>
        <v>2023-11</v>
      </c>
      <c r="D46" s="359">
        <f>EDATE(C46,-1)</f>
        <v>45200</v>
      </c>
      <c r="E46" s="359">
        <f t="shared" ref="E46:O46" si="13">EDATE(D46,-1)</f>
        <v>45170</v>
      </c>
      <c r="F46" s="359">
        <f t="shared" si="13"/>
        <v>45139</v>
      </c>
      <c r="G46" s="359">
        <f t="shared" si="13"/>
        <v>45108</v>
      </c>
      <c r="H46" s="359">
        <f t="shared" si="13"/>
        <v>45078</v>
      </c>
      <c r="I46" s="359">
        <f t="shared" si="13"/>
        <v>45047</v>
      </c>
      <c r="J46" s="359">
        <f t="shared" si="13"/>
        <v>45017</v>
      </c>
      <c r="K46" s="359">
        <f t="shared" si="13"/>
        <v>44986</v>
      </c>
      <c r="L46" s="359">
        <f t="shared" si="13"/>
        <v>44958</v>
      </c>
      <c r="M46" s="359">
        <f t="shared" si="13"/>
        <v>44927</v>
      </c>
      <c r="N46" s="359">
        <f t="shared" si="13"/>
        <v>44896</v>
      </c>
      <c r="O46" s="359">
        <f t="shared" si="13"/>
        <v>44866</v>
      </c>
      <c r="P46" s="434"/>
      <c r="Q46" s="483"/>
      <c r="R46" s="483"/>
      <c r="S46" s="483"/>
      <c r="T46" s="483"/>
      <c r="U46" s="483"/>
      <c r="V46" s="483"/>
      <c r="W46" s="483"/>
      <c r="X46" s="483"/>
      <c r="Y46" s="483"/>
      <c r="Z46" s="483"/>
      <c r="AA46" s="483"/>
      <c r="AB46" s="483"/>
      <c r="AC46" s="483"/>
    </row>
    <row r="47" spans="1:29" s="210" customFormat="1" ht="15">
      <c r="A47" s="360"/>
      <c r="B47" s="361"/>
      <c r="C47" s="362">
        <v>100</v>
      </c>
      <c r="D47" s="363"/>
      <c r="E47" s="363"/>
      <c r="F47" s="363"/>
      <c r="G47" s="363"/>
      <c r="H47" s="363"/>
      <c r="I47" s="363"/>
      <c r="J47" s="363"/>
      <c r="K47" s="363"/>
      <c r="L47" s="363"/>
      <c r="M47" s="435"/>
      <c r="N47" s="363"/>
      <c r="O47" s="436"/>
      <c r="P47" s="437"/>
      <c r="Q47" s="484"/>
      <c r="R47" s="484"/>
      <c r="S47" s="484"/>
      <c r="T47" s="484"/>
      <c r="U47" s="484"/>
      <c r="V47" s="484"/>
      <c r="W47" s="484"/>
      <c r="X47" s="484"/>
      <c r="Y47" s="484"/>
      <c r="Z47" s="484"/>
      <c r="AA47" s="484"/>
      <c r="AB47" s="484"/>
      <c r="AC47" s="484"/>
    </row>
    <row r="48" spans="1:29" s="210" customFormat="1" ht="15">
      <c r="A48" s="364" t="s">
        <v>1114</v>
      </c>
      <c r="B48" s="365"/>
      <c r="C48" s="366"/>
      <c r="D48" s="367"/>
      <c r="E48" s="367"/>
      <c r="F48" s="367"/>
      <c r="G48" s="367"/>
      <c r="H48" s="367"/>
      <c r="I48" s="367"/>
      <c r="J48" s="367"/>
      <c r="K48" s="367"/>
      <c r="L48" s="367"/>
      <c r="M48" s="438"/>
      <c r="N48" s="367"/>
      <c r="O48" s="439"/>
      <c r="P48" s="437"/>
      <c r="Q48" s="437"/>
      <c r="R48" s="484"/>
      <c r="S48" s="484"/>
      <c r="T48" s="484"/>
      <c r="U48" s="484"/>
      <c r="V48" s="484"/>
      <c r="W48" s="484"/>
      <c r="X48" s="484"/>
      <c r="Y48" s="484"/>
      <c r="Z48" s="484"/>
      <c r="AA48" s="484"/>
      <c r="AB48" s="484"/>
      <c r="AC48" s="484"/>
    </row>
    <row r="49" spans="1:29" s="210" customFormat="1" ht="15">
      <c r="A49" s="368" t="s">
        <v>1046</v>
      </c>
      <c r="B49" s="361"/>
      <c r="C49" s="369" t="s">
        <v>1047</v>
      </c>
      <c r="D49" s="370"/>
      <c r="E49" s="370"/>
      <c r="F49" s="370"/>
      <c r="G49" s="370"/>
      <c r="H49" s="370"/>
      <c r="I49" s="370"/>
      <c r="J49" s="370"/>
      <c r="K49" s="370"/>
      <c r="L49" s="440"/>
      <c r="M49" s="441"/>
      <c r="N49" s="442"/>
      <c r="O49" s="442"/>
      <c r="P49" s="443"/>
      <c r="Q49" s="437"/>
      <c r="R49" s="484"/>
      <c r="S49" s="484"/>
      <c r="T49" s="484"/>
      <c r="U49" s="484"/>
      <c r="V49" s="484"/>
      <c r="W49" s="484"/>
      <c r="X49" s="484"/>
      <c r="Y49" s="484"/>
      <c r="Z49" s="484"/>
      <c r="AA49" s="484"/>
      <c r="AB49" s="484"/>
      <c r="AC49" s="484"/>
    </row>
    <row r="50" spans="1:29" s="210" customFormat="1" ht="15">
      <c r="A50" s="368"/>
      <c r="B50" s="361"/>
      <c r="C50" s="362">
        <v>100</v>
      </c>
      <c r="D50" s="363"/>
      <c r="E50" s="363"/>
      <c r="F50" s="363"/>
      <c r="G50" s="363"/>
      <c r="H50" s="363"/>
      <c r="I50" s="363"/>
      <c r="J50" s="363"/>
      <c r="K50" s="363"/>
      <c r="L50" s="363"/>
      <c r="M50" s="436"/>
      <c r="N50" s="442"/>
      <c r="O50" s="442"/>
      <c r="P50" s="437"/>
      <c r="Q50" s="437"/>
      <c r="R50" s="484"/>
      <c r="S50" s="484"/>
      <c r="T50" s="484"/>
      <c r="U50" s="484"/>
      <c r="V50" s="484"/>
      <c r="W50" s="484"/>
      <c r="X50" s="484"/>
      <c r="Y50" s="484"/>
      <c r="Z50" s="484"/>
      <c r="AA50" s="484"/>
      <c r="AB50" s="484"/>
      <c r="AC50" s="484"/>
    </row>
    <row r="51" spans="1:29">
      <c r="A51" s="371" t="s">
        <v>1099</v>
      </c>
      <c r="B51" s="372" t="s">
        <v>1100</v>
      </c>
      <c r="C51" s="373">
        <f>C9</f>
        <v>0</v>
      </c>
      <c r="D51" s="374"/>
      <c r="E51" s="374"/>
      <c r="F51" s="374"/>
      <c r="G51" s="374"/>
      <c r="H51" s="374"/>
      <c r="I51" s="374"/>
      <c r="J51" s="374"/>
      <c r="K51" s="444"/>
      <c r="L51" s="445"/>
      <c r="M51" s="446"/>
      <c r="N51" s="447"/>
      <c r="O51" s="447"/>
      <c r="P51" s="448"/>
      <c r="Q51" s="437"/>
      <c r="R51" s="351"/>
      <c r="S51" s="351"/>
      <c r="T51" s="351"/>
      <c r="U51" s="351"/>
      <c r="V51" s="351"/>
      <c r="W51" s="351"/>
      <c r="X51" s="351"/>
      <c r="Y51" s="351"/>
      <c r="Z51" s="351"/>
      <c r="AA51" s="351"/>
      <c r="AB51" s="351"/>
      <c r="AC51" s="351"/>
    </row>
    <row r="52" spans="1:29" ht="15">
      <c r="A52" s="375"/>
      <c r="B52" s="376"/>
      <c r="C52" s="377">
        <v>100</v>
      </c>
      <c r="D52" s="377"/>
      <c r="E52" s="377"/>
      <c r="F52" s="377"/>
      <c r="G52" s="377"/>
      <c r="H52" s="377"/>
      <c r="I52" s="377"/>
      <c r="J52" s="377"/>
      <c r="K52" s="377"/>
      <c r="L52" s="377"/>
      <c r="M52" s="449"/>
      <c r="N52" s="450"/>
      <c r="O52" s="450"/>
      <c r="P52" s="448"/>
      <c r="Q52" s="437"/>
      <c r="R52" s="351"/>
      <c r="S52" s="351"/>
      <c r="T52" s="351"/>
      <c r="U52" s="351"/>
      <c r="V52" s="351"/>
      <c r="W52" s="351"/>
      <c r="X52" s="351"/>
      <c r="Y52" s="351"/>
      <c r="Z52" s="351"/>
      <c r="AA52" s="351"/>
      <c r="AB52" s="351"/>
      <c r="AC52" s="351"/>
    </row>
    <row r="53" spans="1:29" ht="27">
      <c r="A53" s="375"/>
      <c r="B53" s="378" t="s">
        <v>1101</v>
      </c>
      <c r="C53" s="379"/>
      <c r="D53" s="379"/>
      <c r="E53" s="379"/>
      <c r="F53" s="379"/>
      <c r="G53" s="379"/>
      <c r="H53" s="379"/>
      <c r="I53" s="379"/>
      <c r="J53" s="379"/>
      <c r="K53" s="451"/>
      <c r="L53" s="452"/>
      <c r="M53" s="453"/>
      <c r="N53" s="447"/>
      <c r="O53" s="447"/>
      <c r="P53" s="448"/>
      <c r="Q53" s="437"/>
      <c r="R53" s="351"/>
      <c r="S53" s="351"/>
      <c r="T53" s="351"/>
      <c r="U53" s="351"/>
      <c r="V53" s="351"/>
      <c r="W53" s="351"/>
      <c r="X53" s="351"/>
      <c r="Y53" s="351"/>
      <c r="Z53" s="351"/>
      <c r="AA53" s="351"/>
      <c r="AB53" s="351"/>
      <c r="AC53" s="351"/>
    </row>
    <row r="54" spans="1:29" ht="15">
      <c r="A54" s="375"/>
      <c r="B54" s="380"/>
      <c r="C54" s="377"/>
      <c r="D54" s="377"/>
      <c r="E54" s="377"/>
      <c r="F54" s="377"/>
      <c r="G54" s="377"/>
      <c r="H54" s="377"/>
      <c r="I54" s="377"/>
      <c r="J54" s="377"/>
      <c r="K54" s="377"/>
      <c r="L54" s="377"/>
      <c r="M54" s="449"/>
      <c r="N54" s="450"/>
      <c r="O54" s="450"/>
      <c r="P54" s="448"/>
      <c r="Q54" s="437"/>
      <c r="R54" s="351"/>
      <c r="S54" s="351"/>
      <c r="T54" s="351"/>
      <c r="U54" s="351"/>
      <c r="V54" s="351"/>
      <c r="W54" s="351"/>
      <c r="X54" s="351"/>
      <c r="Y54" s="351"/>
      <c r="Z54" s="351"/>
      <c r="AA54" s="351"/>
      <c r="AB54" s="351"/>
      <c r="AC54" s="351"/>
    </row>
    <row r="55" spans="1:29" ht="15">
      <c r="A55" s="375"/>
      <c r="B55" s="381">
        <f>B11</f>
        <v>111</v>
      </c>
      <c r="C55" s="382"/>
      <c r="D55" s="382"/>
      <c r="E55" s="382"/>
      <c r="F55" s="382"/>
      <c r="G55" s="382"/>
      <c r="H55" s="382"/>
      <c r="I55" s="382"/>
      <c r="J55" s="382"/>
      <c r="K55" s="454"/>
      <c r="L55" s="455"/>
      <c r="M55" s="456"/>
      <c r="N55" s="447"/>
      <c r="O55" s="447"/>
      <c r="P55" s="448"/>
      <c r="Q55" s="437"/>
      <c r="R55" s="351"/>
      <c r="S55" s="351"/>
      <c r="T55" s="351"/>
      <c r="U55" s="351"/>
      <c r="V55" s="351"/>
      <c r="W55" s="351"/>
      <c r="X55" s="351"/>
      <c r="Y55" s="351"/>
      <c r="Z55" s="351"/>
      <c r="AA55" s="351"/>
      <c r="AB55" s="351"/>
      <c r="AC55" s="351"/>
    </row>
    <row r="56" spans="1:29" ht="15">
      <c r="A56" s="375"/>
      <c r="B56" s="376"/>
      <c r="C56" s="383"/>
      <c r="D56" s="377"/>
      <c r="E56" s="377"/>
      <c r="F56" s="377"/>
      <c r="G56" s="377"/>
      <c r="H56" s="377"/>
      <c r="I56" s="377"/>
      <c r="J56" s="377"/>
      <c r="K56" s="377"/>
      <c r="L56" s="377"/>
      <c r="M56" s="449"/>
      <c r="N56" s="450"/>
      <c r="O56" s="450"/>
      <c r="P56" s="448"/>
      <c r="Q56" s="437"/>
      <c r="R56" s="351"/>
      <c r="S56" s="351"/>
      <c r="T56" s="351"/>
      <c r="U56" s="351"/>
      <c r="V56" s="351"/>
      <c r="W56" s="351"/>
      <c r="X56" s="351"/>
      <c r="Y56" s="351"/>
      <c r="Z56" s="351"/>
      <c r="AA56" s="351"/>
      <c r="AB56" s="351"/>
      <c r="AC56" s="351"/>
    </row>
    <row r="57" spans="1:29" s="212" customFormat="1" ht="15">
      <c r="A57" s="384"/>
      <c r="B57" s="378">
        <f>B12</f>
        <v>111</v>
      </c>
      <c r="C57" s="382"/>
      <c r="D57" s="382"/>
      <c r="E57" s="382"/>
      <c r="F57" s="382"/>
      <c r="G57" s="385"/>
      <c r="H57" s="386"/>
      <c r="I57" s="386"/>
      <c r="J57" s="386"/>
      <c r="K57" s="386"/>
      <c r="L57" s="457"/>
      <c r="M57" s="458"/>
      <c r="N57" s="459"/>
      <c r="O57" s="459"/>
      <c r="P57" s="460"/>
      <c r="Q57" s="485"/>
      <c r="R57" s="486"/>
      <c r="S57" s="486"/>
      <c r="T57" s="486"/>
      <c r="U57" s="486"/>
      <c r="V57" s="486"/>
      <c r="W57" s="486"/>
      <c r="X57" s="486"/>
      <c r="Y57" s="486"/>
      <c r="Z57" s="486"/>
      <c r="AA57" s="486"/>
      <c r="AB57" s="486"/>
      <c r="AC57" s="486"/>
    </row>
    <row r="58" spans="1:29" s="212" customFormat="1" ht="15">
      <c r="A58" s="384"/>
      <c r="B58" s="380"/>
      <c r="C58" s="383"/>
      <c r="D58" s="377"/>
      <c r="E58" s="377"/>
      <c r="F58" s="377"/>
      <c r="G58" s="377"/>
      <c r="H58" s="377"/>
      <c r="I58" s="377"/>
      <c r="J58" s="377"/>
      <c r="K58" s="377"/>
      <c r="L58" s="377"/>
      <c r="M58" s="449"/>
      <c r="N58" s="450"/>
      <c r="O58" s="450"/>
      <c r="P58" s="460"/>
      <c r="Q58" s="485"/>
      <c r="R58" s="486"/>
      <c r="S58" s="486"/>
      <c r="T58" s="486"/>
      <c r="U58" s="486"/>
      <c r="V58" s="486"/>
      <c r="W58" s="486"/>
      <c r="X58" s="486"/>
      <c r="Y58" s="486"/>
      <c r="Z58" s="486"/>
      <c r="AA58" s="486"/>
      <c r="AB58" s="486"/>
      <c r="AC58" s="486"/>
    </row>
    <row r="59" spans="1:29" s="212" customFormat="1" ht="15">
      <c r="A59" s="384"/>
      <c r="B59" s="378">
        <f>B13</f>
        <v>111</v>
      </c>
      <c r="C59" s="382"/>
      <c r="D59" s="382"/>
      <c r="E59" s="382"/>
      <c r="F59" s="382"/>
      <c r="G59" s="385"/>
      <c r="H59" s="386"/>
      <c r="I59" s="386"/>
      <c r="J59" s="386"/>
      <c r="K59" s="386"/>
      <c r="L59" s="457"/>
      <c r="M59" s="458"/>
      <c r="N59" s="459"/>
      <c r="O59" s="459"/>
      <c r="P59" s="418"/>
      <c r="Q59" s="487"/>
      <c r="R59" s="486"/>
      <c r="S59" s="486"/>
      <c r="T59" s="486"/>
      <c r="U59" s="486"/>
      <c r="V59" s="486"/>
      <c r="W59" s="486"/>
      <c r="X59" s="486"/>
      <c r="Y59" s="486"/>
      <c r="Z59" s="486"/>
      <c r="AA59" s="486"/>
      <c r="AB59" s="486"/>
      <c r="AC59" s="486"/>
    </row>
    <row r="60" spans="1:29" s="212" customFormat="1" ht="15">
      <c r="A60" s="384"/>
      <c r="B60" s="380"/>
      <c r="C60" s="383"/>
      <c r="D60" s="383"/>
      <c r="E60" s="383"/>
      <c r="F60" s="383"/>
      <c r="G60" s="383"/>
      <c r="H60" s="387"/>
      <c r="I60" s="387"/>
      <c r="J60" s="387"/>
      <c r="K60" s="387"/>
      <c r="L60" s="387"/>
      <c r="M60" s="461"/>
      <c r="N60" s="459"/>
      <c r="O60" s="459"/>
      <c r="P60" s="460"/>
      <c r="Q60" s="485"/>
      <c r="R60" s="486"/>
      <c r="S60" s="486"/>
      <c r="T60" s="486"/>
      <c r="U60" s="486"/>
      <c r="V60" s="486"/>
      <c r="W60" s="486"/>
      <c r="X60" s="486"/>
      <c r="Y60" s="486"/>
      <c r="Z60" s="486"/>
      <c r="AA60" s="486"/>
      <c r="AB60" s="486"/>
      <c r="AC60" s="486"/>
    </row>
    <row r="61" spans="1:29">
      <c r="A61" s="371" t="s">
        <v>1103</v>
      </c>
      <c r="B61" s="372" t="s">
        <v>227</v>
      </c>
      <c r="C61" s="388" t="s">
        <v>244</v>
      </c>
      <c r="D61" s="388" t="s">
        <v>256</v>
      </c>
      <c r="E61" s="388" t="s">
        <v>267</v>
      </c>
      <c r="F61" s="388" t="s">
        <v>277</v>
      </c>
      <c r="G61" s="388" t="s">
        <v>285</v>
      </c>
      <c r="H61" s="373"/>
      <c r="I61" s="373"/>
      <c r="J61" s="373"/>
      <c r="K61" s="462"/>
      <c r="L61" s="463"/>
      <c r="M61" s="464"/>
      <c r="N61" s="447"/>
      <c r="O61" s="447"/>
      <c r="P61" s="465"/>
      <c r="Q61" s="437"/>
      <c r="R61" s="351"/>
      <c r="S61" s="351"/>
      <c r="T61" s="351"/>
      <c r="U61" s="351"/>
      <c r="V61" s="351"/>
      <c r="W61" s="351"/>
      <c r="X61" s="351"/>
      <c r="Y61" s="351"/>
      <c r="Z61" s="351"/>
      <c r="AA61" s="351"/>
      <c r="AB61" s="351"/>
      <c r="AC61" s="351"/>
    </row>
    <row r="62" spans="1:29" ht="15">
      <c r="A62" s="375"/>
      <c r="B62" s="380"/>
      <c r="C62" s="389">
        <v>100</v>
      </c>
      <c r="D62" s="389">
        <f>C62-$K14</f>
        <v>100</v>
      </c>
      <c r="E62" s="389">
        <f>D62-$K14</f>
        <v>100</v>
      </c>
      <c r="F62" s="389">
        <f>E62-$K14</f>
        <v>100</v>
      </c>
      <c r="G62" s="389">
        <f>F62-$K14</f>
        <v>100</v>
      </c>
      <c r="H62" s="389"/>
      <c r="I62" s="389"/>
      <c r="J62" s="389"/>
      <c r="K62" s="389"/>
      <c r="L62" s="389"/>
      <c r="M62" s="466"/>
      <c r="N62" s="450"/>
      <c r="O62" s="450"/>
      <c r="P62" s="448"/>
      <c r="Q62" s="437"/>
      <c r="R62" s="351"/>
      <c r="S62" s="351"/>
      <c r="T62" s="351"/>
      <c r="U62" s="351"/>
      <c r="V62" s="351"/>
      <c r="W62" s="351"/>
      <c r="X62" s="351"/>
      <c r="Y62" s="351"/>
      <c r="Z62" s="351"/>
      <c r="AA62" s="351"/>
      <c r="AB62" s="351"/>
      <c r="AC62" s="351"/>
    </row>
    <row r="63" spans="1:29" ht="15">
      <c r="A63" s="375"/>
      <c r="B63" s="390" t="s">
        <v>229</v>
      </c>
      <c r="C63" s="391" t="s">
        <v>244</v>
      </c>
      <c r="D63" s="391" t="s">
        <v>256</v>
      </c>
      <c r="E63" s="391" t="s">
        <v>267</v>
      </c>
      <c r="F63" s="391" t="s">
        <v>277</v>
      </c>
      <c r="G63" s="391" t="s">
        <v>285</v>
      </c>
      <c r="H63" s="392"/>
      <c r="I63" s="392"/>
      <c r="J63" s="392"/>
      <c r="K63" s="467"/>
      <c r="L63" s="468"/>
      <c r="M63" s="469"/>
      <c r="N63" s="447"/>
      <c r="O63" s="447"/>
      <c r="P63" s="448"/>
      <c r="Q63" s="437"/>
      <c r="R63" s="351"/>
      <c r="S63" s="351"/>
      <c r="T63" s="351"/>
      <c r="U63" s="351"/>
      <c r="V63" s="351"/>
      <c r="W63" s="351"/>
      <c r="X63" s="351"/>
      <c r="Y63" s="351"/>
      <c r="Z63" s="351"/>
      <c r="AA63" s="351"/>
      <c r="AB63" s="351"/>
      <c r="AC63" s="351"/>
    </row>
    <row r="64" spans="1:29" ht="15">
      <c r="A64" s="375"/>
      <c r="B64" s="380"/>
      <c r="C64" s="389">
        <v>100</v>
      </c>
      <c r="D64" s="389">
        <f>C64-$K16</f>
        <v>100</v>
      </c>
      <c r="E64" s="389">
        <f>D64-$K16</f>
        <v>100</v>
      </c>
      <c r="F64" s="389">
        <f>E64-$K16</f>
        <v>100</v>
      </c>
      <c r="G64" s="389">
        <f>F64-$K16</f>
        <v>100</v>
      </c>
      <c r="H64" s="389"/>
      <c r="I64" s="389"/>
      <c r="J64" s="389"/>
      <c r="K64" s="389"/>
      <c r="L64" s="389"/>
      <c r="M64" s="466"/>
      <c r="N64" s="450"/>
      <c r="O64" s="450"/>
      <c r="P64" s="448"/>
      <c r="Q64" s="437"/>
      <c r="R64" s="351"/>
      <c r="S64" s="351"/>
      <c r="T64" s="351"/>
      <c r="U64" s="351"/>
      <c r="V64" s="351"/>
      <c r="W64" s="351"/>
      <c r="X64" s="351"/>
      <c r="Y64" s="351"/>
      <c r="Z64" s="351"/>
      <c r="AA64" s="351"/>
      <c r="AB64" s="351"/>
      <c r="AC64" s="351"/>
    </row>
    <row r="65" spans="1:29" ht="15">
      <c r="A65" s="375"/>
      <c r="B65" s="495" t="s">
        <v>230</v>
      </c>
      <c r="C65" s="496" t="s">
        <v>245</v>
      </c>
      <c r="D65" s="496" t="s">
        <v>257</v>
      </c>
      <c r="E65" s="496" t="s">
        <v>268</v>
      </c>
      <c r="F65" s="496" t="s">
        <v>278</v>
      </c>
      <c r="G65" s="496" t="s">
        <v>286</v>
      </c>
      <c r="H65" s="392"/>
      <c r="I65" s="392"/>
      <c r="J65" s="392"/>
      <c r="K65" s="392"/>
      <c r="L65" s="392"/>
      <c r="M65" s="506"/>
      <c r="N65" s="450"/>
      <c r="O65" s="450"/>
      <c r="P65" s="448"/>
      <c r="Q65" s="437"/>
      <c r="R65" s="351"/>
      <c r="S65" s="351"/>
      <c r="T65" s="351"/>
      <c r="U65" s="351"/>
      <c r="V65" s="351"/>
      <c r="W65" s="351"/>
      <c r="X65" s="351"/>
      <c r="Y65" s="351"/>
      <c r="Z65" s="351"/>
      <c r="AA65" s="351"/>
      <c r="AB65" s="351"/>
      <c r="AC65" s="351"/>
    </row>
    <row r="66" spans="1:29" ht="15">
      <c r="A66" s="375"/>
      <c r="B66" s="497"/>
      <c r="C66" s="389">
        <v>100</v>
      </c>
      <c r="D66" s="389">
        <f>C66-$K18</f>
        <v>100</v>
      </c>
      <c r="E66" s="389">
        <f>D66-$K18</f>
        <v>100</v>
      </c>
      <c r="F66" s="389">
        <f>E66-$K18</f>
        <v>100</v>
      </c>
      <c r="G66" s="389">
        <f>F66-$K18</f>
        <v>100</v>
      </c>
      <c r="H66" s="381"/>
      <c r="I66" s="381"/>
      <c r="J66" s="381"/>
      <c r="K66" s="381"/>
      <c r="L66" s="381"/>
      <c r="M66" s="280"/>
      <c r="N66" s="450"/>
      <c r="O66" s="450"/>
      <c r="P66" s="448"/>
      <c r="Q66" s="437"/>
      <c r="R66" s="351"/>
      <c r="S66" s="351"/>
      <c r="T66" s="351"/>
      <c r="U66" s="351"/>
      <c r="V66" s="351"/>
      <c r="W66" s="351"/>
      <c r="X66" s="351"/>
      <c r="Y66" s="351"/>
      <c r="Z66" s="351"/>
      <c r="AA66" s="351"/>
      <c r="AB66" s="351"/>
      <c r="AC66" s="351"/>
    </row>
    <row r="67" spans="1:29" ht="15">
      <c r="A67" s="375"/>
      <c r="B67" s="378" t="s">
        <v>2411</v>
      </c>
      <c r="C67" s="391" t="s">
        <v>244</v>
      </c>
      <c r="D67" s="391" t="s">
        <v>256</v>
      </c>
      <c r="E67" s="391" t="s">
        <v>267</v>
      </c>
      <c r="F67" s="391" t="s">
        <v>277</v>
      </c>
      <c r="G67" s="391" t="s">
        <v>285</v>
      </c>
      <c r="H67" s="392"/>
      <c r="I67" s="392"/>
      <c r="J67" s="392"/>
      <c r="K67" s="467"/>
      <c r="L67" s="468"/>
      <c r="M67" s="469"/>
      <c r="N67" s="447"/>
      <c r="O67" s="447"/>
      <c r="P67" s="448"/>
      <c r="Q67" s="437"/>
      <c r="R67" s="351"/>
      <c r="S67" s="351"/>
      <c r="T67" s="351"/>
      <c r="U67" s="351"/>
      <c r="V67" s="351"/>
      <c r="W67" s="351"/>
      <c r="X67" s="351"/>
      <c r="Y67" s="351"/>
      <c r="Z67" s="351"/>
      <c r="AA67" s="351"/>
      <c r="AB67" s="351"/>
      <c r="AC67" s="351"/>
    </row>
    <row r="68" spans="1:29" ht="15">
      <c r="A68" s="375"/>
      <c r="B68" s="380"/>
      <c r="C68" s="389">
        <v>100</v>
      </c>
      <c r="D68" s="389">
        <f>C68-$K20</f>
        <v>100</v>
      </c>
      <c r="E68" s="389">
        <f>D68-$K20</f>
        <v>100</v>
      </c>
      <c r="F68" s="389">
        <f>E68-$K20</f>
        <v>100</v>
      </c>
      <c r="G68" s="389">
        <f>F68-$K20</f>
        <v>100</v>
      </c>
      <c r="H68" s="389"/>
      <c r="I68" s="389"/>
      <c r="J68" s="389"/>
      <c r="K68" s="389"/>
      <c r="L68" s="389"/>
      <c r="M68" s="466"/>
      <c r="N68" s="450"/>
      <c r="O68" s="450"/>
      <c r="P68" s="448"/>
      <c r="Q68" s="437"/>
      <c r="R68" s="351"/>
      <c r="S68" s="351"/>
      <c r="T68" s="351"/>
      <c r="U68" s="351"/>
      <c r="V68" s="351"/>
      <c r="W68" s="351"/>
      <c r="X68" s="351"/>
      <c r="Y68" s="351"/>
      <c r="Z68" s="351"/>
      <c r="AA68" s="351"/>
      <c r="AB68" s="351"/>
      <c r="AC68" s="351"/>
    </row>
    <row r="69" spans="1:29" ht="15">
      <c r="A69" s="375"/>
      <c r="B69" s="378" t="s">
        <v>2449</v>
      </c>
      <c r="C69" s="385"/>
      <c r="D69" s="385"/>
      <c r="E69" s="385"/>
      <c r="F69" s="385"/>
      <c r="G69" s="385"/>
      <c r="H69" s="379"/>
      <c r="I69" s="379"/>
      <c r="J69" s="379"/>
      <c r="K69" s="451"/>
      <c r="L69" s="452"/>
      <c r="M69" s="453"/>
      <c r="N69" s="447"/>
      <c r="O69" s="447"/>
      <c r="P69" s="448"/>
      <c r="Q69" s="437"/>
      <c r="R69" s="351"/>
      <c r="S69" s="351"/>
      <c r="T69" s="351"/>
      <c r="U69" s="351"/>
      <c r="V69" s="351"/>
      <c r="W69" s="351"/>
      <c r="X69" s="351"/>
      <c r="Y69" s="351"/>
      <c r="Z69" s="351"/>
      <c r="AA69" s="351"/>
      <c r="AB69" s="351"/>
      <c r="AC69" s="351"/>
    </row>
    <row r="70" spans="1:29" ht="15">
      <c r="A70" s="375"/>
      <c r="B70" s="380"/>
      <c r="C70" s="389">
        <v>100</v>
      </c>
      <c r="D70" s="389">
        <f>C70-$K22</f>
        <v>100</v>
      </c>
      <c r="E70" s="389"/>
      <c r="F70" s="389"/>
      <c r="G70" s="389"/>
      <c r="H70" s="389"/>
      <c r="I70" s="389"/>
      <c r="J70" s="389"/>
      <c r="K70" s="389"/>
      <c r="L70" s="389"/>
      <c r="M70" s="466"/>
      <c r="N70" s="450"/>
      <c r="O70" s="450"/>
      <c r="P70" s="448"/>
      <c r="Q70" s="437"/>
      <c r="R70" s="351"/>
      <c r="S70" s="351"/>
      <c r="T70" s="351"/>
      <c r="U70" s="351"/>
      <c r="V70" s="351"/>
      <c r="W70" s="351"/>
      <c r="X70" s="351"/>
      <c r="Y70" s="351"/>
      <c r="Z70" s="351"/>
      <c r="AA70" s="351"/>
      <c r="AB70" s="351"/>
      <c r="AC70" s="351"/>
    </row>
    <row r="71" spans="1:29" s="210" customFormat="1" ht="15">
      <c r="A71" s="498"/>
      <c r="B71" s="378">
        <f>B23</f>
        <v>111</v>
      </c>
      <c r="C71" s="382"/>
      <c r="D71" s="382"/>
      <c r="E71" s="382"/>
      <c r="F71" s="382"/>
      <c r="G71" s="385"/>
      <c r="H71" s="385"/>
      <c r="I71" s="385"/>
      <c r="J71" s="385"/>
      <c r="K71" s="385"/>
      <c r="L71" s="507"/>
      <c r="M71" s="508"/>
      <c r="N71" s="442"/>
      <c r="O71" s="442"/>
      <c r="P71" s="448"/>
      <c r="Q71" s="437"/>
      <c r="R71" s="484"/>
      <c r="S71" s="484"/>
      <c r="T71" s="484"/>
      <c r="U71" s="484"/>
      <c r="V71" s="484"/>
      <c r="W71" s="484"/>
      <c r="X71" s="484"/>
      <c r="Y71" s="484"/>
      <c r="Z71" s="484"/>
      <c r="AA71" s="484"/>
      <c r="AB71" s="484"/>
      <c r="AC71" s="484"/>
    </row>
    <row r="72" spans="1:29" s="210" customFormat="1" ht="15">
      <c r="A72" s="498"/>
      <c r="B72" s="380"/>
      <c r="C72" s="383"/>
      <c r="D72" s="377"/>
      <c r="E72" s="377"/>
      <c r="F72" s="377"/>
      <c r="G72" s="377"/>
      <c r="H72" s="377"/>
      <c r="I72" s="377"/>
      <c r="J72" s="377"/>
      <c r="K72" s="377"/>
      <c r="L72" s="377"/>
      <c r="M72" s="449"/>
      <c r="N72" s="450"/>
      <c r="O72" s="450"/>
      <c r="P72" s="448"/>
      <c r="Q72" s="437"/>
      <c r="R72" s="484"/>
      <c r="S72" s="484"/>
      <c r="T72" s="484"/>
      <c r="U72" s="484"/>
      <c r="V72" s="484"/>
      <c r="W72" s="484"/>
      <c r="X72" s="484"/>
      <c r="Y72" s="484"/>
      <c r="Z72" s="484"/>
      <c r="AA72" s="484"/>
      <c r="AB72" s="484"/>
      <c r="AC72" s="484"/>
    </row>
    <row r="73" spans="1:29" s="210" customFormat="1" ht="15">
      <c r="A73" s="498"/>
      <c r="B73" s="378">
        <f>B24</f>
        <v>111</v>
      </c>
      <c r="C73" s="382"/>
      <c r="D73" s="382"/>
      <c r="E73" s="382"/>
      <c r="F73" s="382"/>
      <c r="G73" s="385"/>
      <c r="H73" s="385"/>
      <c r="I73" s="385"/>
      <c r="J73" s="385"/>
      <c r="K73" s="385"/>
      <c r="L73" s="385"/>
      <c r="M73" s="508"/>
      <c r="N73" s="442"/>
      <c r="O73" s="442"/>
      <c r="P73" s="448"/>
      <c r="Q73" s="437"/>
      <c r="R73" s="484"/>
      <c r="S73" s="484"/>
      <c r="T73" s="484"/>
      <c r="U73" s="484"/>
      <c r="V73" s="484"/>
      <c r="W73" s="484"/>
      <c r="X73" s="484"/>
      <c r="Y73" s="484"/>
      <c r="Z73" s="484"/>
      <c r="AA73" s="484"/>
      <c r="AB73" s="484"/>
      <c r="AC73" s="484"/>
    </row>
    <row r="74" spans="1:29" s="210" customFormat="1" ht="15">
      <c r="A74" s="498"/>
      <c r="B74" s="380"/>
      <c r="C74" s="383"/>
      <c r="D74" s="377"/>
      <c r="E74" s="377"/>
      <c r="F74" s="377"/>
      <c r="G74" s="377"/>
      <c r="H74" s="377"/>
      <c r="I74" s="377"/>
      <c r="J74" s="377"/>
      <c r="K74" s="377"/>
      <c r="L74" s="377"/>
      <c r="M74" s="449"/>
      <c r="N74" s="450"/>
      <c r="O74" s="450"/>
      <c r="P74" s="448"/>
      <c r="Q74" s="437"/>
      <c r="R74" s="484"/>
      <c r="S74" s="484"/>
      <c r="T74" s="484"/>
      <c r="U74" s="484"/>
      <c r="V74" s="484"/>
      <c r="W74" s="484"/>
      <c r="X74" s="484"/>
      <c r="Y74" s="484"/>
      <c r="Z74" s="484"/>
      <c r="AA74" s="484"/>
      <c r="AB74" s="484"/>
      <c r="AC74" s="484"/>
    </row>
    <row r="75" spans="1:29" s="212" customFormat="1" ht="15">
      <c r="A75" s="384"/>
      <c r="B75" s="378">
        <f>B25</f>
        <v>111</v>
      </c>
      <c r="C75" s="382"/>
      <c r="D75" s="382"/>
      <c r="E75" s="382"/>
      <c r="F75" s="382"/>
      <c r="G75" s="385"/>
      <c r="H75" s="386"/>
      <c r="I75" s="386"/>
      <c r="J75" s="386"/>
      <c r="K75" s="386"/>
      <c r="L75" s="457"/>
      <c r="M75" s="458"/>
      <c r="N75" s="459"/>
      <c r="O75" s="459"/>
      <c r="P75" s="460"/>
      <c r="Q75" s="485"/>
      <c r="R75" s="486"/>
      <c r="S75" s="486"/>
      <c r="T75" s="486"/>
      <c r="U75" s="486"/>
      <c r="V75" s="486"/>
      <c r="W75" s="486"/>
      <c r="X75" s="486"/>
      <c r="Y75" s="486"/>
      <c r="Z75" s="486"/>
      <c r="AA75" s="486"/>
      <c r="AB75" s="486"/>
      <c r="AC75" s="486"/>
    </row>
    <row r="76" spans="1:29" s="212" customFormat="1" ht="15">
      <c r="A76" s="384"/>
      <c r="B76" s="380"/>
      <c r="C76" s="383"/>
      <c r="D76" s="383"/>
      <c r="E76" s="383"/>
      <c r="F76" s="383"/>
      <c r="G76" s="377"/>
      <c r="H76" s="377"/>
      <c r="I76" s="377"/>
      <c r="J76" s="377"/>
      <c r="K76" s="377"/>
      <c r="L76" s="377"/>
      <c r="M76" s="449"/>
      <c r="N76" s="459"/>
      <c r="O76" s="459"/>
      <c r="P76" s="460"/>
      <c r="Q76" s="485"/>
      <c r="R76" s="486"/>
      <c r="S76" s="486"/>
      <c r="T76" s="486"/>
      <c r="U76" s="486"/>
      <c r="V76" s="486"/>
      <c r="W76" s="486"/>
      <c r="X76" s="486"/>
      <c r="Y76" s="486"/>
      <c r="Z76" s="486"/>
      <c r="AA76" s="486"/>
      <c r="AB76" s="486"/>
      <c r="AC76" s="486"/>
    </row>
    <row r="77" spans="1:29">
      <c r="A77" s="371" t="s">
        <v>1108</v>
      </c>
      <c r="B77" s="372" t="s">
        <v>2419</v>
      </c>
      <c r="C77" s="385"/>
      <c r="D77" s="385"/>
      <c r="E77" s="374"/>
      <c r="F77" s="374"/>
      <c r="G77" s="374"/>
      <c r="H77" s="374"/>
      <c r="I77" s="374"/>
      <c r="J77" s="374"/>
      <c r="K77" s="444"/>
      <c r="L77" s="445"/>
      <c r="M77" s="446"/>
      <c r="N77" s="447"/>
      <c r="O77" s="447"/>
      <c r="P77" s="448"/>
      <c r="Q77" s="437"/>
      <c r="R77" s="351"/>
      <c r="S77" s="351"/>
      <c r="T77" s="351"/>
      <c r="U77" s="351"/>
      <c r="V77" s="351"/>
      <c r="W77" s="351"/>
      <c r="X77" s="351"/>
      <c r="Y77" s="351"/>
      <c r="Z77" s="351"/>
      <c r="AA77" s="351"/>
      <c r="AB77" s="351"/>
      <c r="AC77" s="351"/>
    </row>
    <row r="78" spans="1:29" ht="15">
      <c r="A78" s="375"/>
      <c r="B78" s="380"/>
      <c r="C78" s="389">
        <v>100</v>
      </c>
      <c r="D78" s="389">
        <f t="shared" ref="D78:M78" si="14">C78-$K26</f>
        <v>100</v>
      </c>
      <c r="E78" s="389">
        <f t="shared" si="14"/>
        <v>100</v>
      </c>
      <c r="F78" s="389">
        <f t="shared" si="14"/>
        <v>100</v>
      </c>
      <c r="G78" s="389">
        <f t="shared" si="14"/>
        <v>100</v>
      </c>
      <c r="H78" s="389">
        <f t="shared" si="14"/>
        <v>100</v>
      </c>
      <c r="I78" s="389">
        <f t="shared" si="14"/>
        <v>100</v>
      </c>
      <c r="J78" s="389">
        <f t="shared" si="14"/>
        <v>100</v>
      </c>
      <c r="K78" s="389">
        <f t="shared" si="14"/>
        <v>100</v>
      </c>
      <c r="L78" s="389">
        <f t="shared" si="14"/>
        <v>100</v>
      </c>
      <c r="M78" s="466">
        <f t="shared" si="14"/>
        <v>100</v>
      </c>
      <c r="N78" s="450"/>
      <c r="O78" s="450"/>
      <c r="P78" s="448"/>
      <c r="Q78" s="437"/>
      <c r="R78" s="351"/>
      <c r="S78" s="351"/>
      <c r="T78" s="351"/>
      <c r="U78" s="351"/>
      <c r="V78" s="351"/>
      <c r="W78" s="351"/>
      <c r="X78" s="351"/>
      <c r="Y78" s="351"/>
      <c r="Z78" s="351"/>
      <c r="AA78" s="351"/>
      <c r="AB78" s="351"/>
      <c r="AC78" s="351"/>
    </row>
    <row r="79" spans="1:29" ht="15">
      <c r="A79" s="375"/>
      <c r="B79" s="378" t="s">
        <v>2465</v>
      </c>
      <c r="C79" s="391" t="str">
        <f>C80&amp;"(含)"&amp;"-"&amp;D80</f>
        <v>0.5(含)-0.6</v>
      </c>
      <c r="D79" s="391" t="str">
        <f>D80&amp;"(含)"&amp;"-"&amp;E80</f>
        <v>0.6(含)-0.7</v>
      </c>
      <c r="E79" s="391" t="str">
        <f>E80&amp;"(含)"&amp;"-"&amp;F80</f>
        <v>0.7(含)-0.8</v>
      </c>
      <c r="F79" s="391" t="str">
        <f>F80&amp;"(含)"&amp;"-"&amp;G80</f>
        <v>0.8(含)-0.9</v>
      </c>
      <c r="G79" s="391" t="str">
        <f>G80&amp;"(含)"&amp;"-"&amp;ROUND(H80,0)</f>
        <v>0.9(含)-1</v>
      </c>
      <c r="H79" s="391"/>
      <c r="I79" s="392"/>
      <c r="J79" s="392"/>
      <c r="K79" s="467"/>
      <c r="L79" s="468"/>
      <c r="M79" s="469"/>
      <c r="N79" s="442"/>
      <c r="O79" s="442"/>
      <c r="P79" s="448"/>
      <c r="Q79" s="437"/>
      <c r="R79" s="351"/>
      <c r="S79" s="351"/>
      <c r="T79" s="351"/>
      <c r="U79" s="351"/>
      <c r="V79" s="351"/>
      <c r="W79" s="351"/>
      <c r="X79" s="351"/>
      <c r="Y79" s="351"/>
      <c r="Z79" s="351"/>
      <c r="AA79" s="351"/>
      <c r="AB79" s="351"/>
      <c r="AC79" s="351"/>
    </row>
    <row r="80" spans="1:29" ht="15">
      <c r="A80" s="375"/>
      <c r="B80" s="497"/>
      <c r="C80" s="499">
        <v>0.5</v>
      </c>
      <c r="D80" s="499">
        <v>0.6</v>
      </c>
      <c r="E80" s="499">
        <v>0.7</v>
      </c>
      <c r="F80" s="499">
        <v>0.8</v>
      </c>
      <c r="G80" s="499">
        <v>0.9</v>
      </c>
      <c r="H80" s="499">
        <v>1.0001</v>
      </c>
      <c r="I80" s="381"/>
      <c r="J80" s="381"/>
      <c r="K80" s="509"/>
      <c r="L80" s="510"/>
      <c r="M80" s="511"/>
      <c r="N80" s="442"/>
      <c r="O80" s="442"/>
      <c r="P80" s="448"/>
      <c r="Q80" s="437"/>
      <c r="R80" s="351"/>
      <c r="S80" s="351"/>
      <c r="T80" s="351"/>
      <c r="U80" s="351"/>
      <c r="V80" s="351"/>
      <c r="W80" s="351"/>
      <c r="X80" s="351"/>
      <c r="Y80" s="351"/>
      <c r="Z80" s="351"/>
      <c r="AA80" s="351"/>
      <c r="AB80" s="351"/>
      <c r="AC80" s="351"/>
    </row>
    <row r="81" spans="1:29" s="212" customFormat="1" ht="15">
      <c r="A81" s="384"/>
      <c r="B81" s="380"/>
      <c r="C81" s="500">
        <v>100</v>
      </c>
      <c r="D81" s="389">
        <f t="shared" ref="D81:M81" si="15">C81+$K27</f>
        <v>100</v>
      </c>
      <c r="E81" s="389">
        <f t="shared" si="15"/>
        <v>100</v>
      </c>
      <c r="F81" s="389">
        <f t="shared" si="15"/>
        <v>100</v>
      </c>
      <c r="G81" s="389">
        <f t="shared" si="15"/>
        <v>100</v>
      </c>
      <c r="H81" s="389">
        <f t="shared" si="15"/>
        <v>100</v>
      </c>
      <c r="I81" s="389">
        <f t="shared" si="15"/>
        <v>100</v>
      </c>
      <c r="J81" s="389">
        <f t="shared" si="15"/>
        <v>100</v>
      </c>
      <c r="K81" s="389">
        <f t="shared" si="15"/>
        <v>100</v>
      </c>
      <c r="L81" s="389">
        <f t="shared" si="15"/>
        <v>100</v>
      </c>
      <c r="M81" s="389">
        <f t="shared" si="15"/>
        <v>100</v>
      </c>
      <c r="N81" s="450"/>
      <c r="O81" s="450"/>
      <c r="P81" s="460"/>
      <c r="Q81" s="485"/>
      <c r="R81" s="486"/>
      <c r="S81" s="486"/>
      <c r="T81" s="486"/>
      <c r="U81" s="486"/>
      <c r="V81" s="486"/>
      <c r="W81" s="486"/>
      <c r="X81" s="486"/>
      <c r="Y81" s="486"/>
      <c r="Z81" s="486"/>
      <c r="AA81" s="486"/>
      <c r="AB81" s="486"/>
      <c r="AC81" s="486"/>
    </row>
    <row r="82" spans="1:29">
      <c r="A82" s="501"/>
      <c r="B82" s="497" t="s">
        <v>2466</v>
      </c>
      <c r="C82" s="385"/>
      <c r="D82" s="385"/>
      <c r="E82" s="379"/>
      <c r="F82" s="379"/>
      <c r="G82" s="379"/>
      <c r="H82" s="379"/>
      <c r="I82" s="379"/>
      <c r="J82" s="379"/>
      <c r="K82" s="451"/>
      <c r="L82" s="452"/>
      <c r="M82" s="453"/>
      <c r="N82" s="447"/>
      <c r="O82" s="447"/>
      <c r="P82" s="448"/>
      <c r="Q82" s="437"/>
      <c r="R82" s="351"/>
      <c r="S82" s="351"/>
      <c r="T82" s="351"/>
      <c r="U82" s="351"/>
      <c r="V82" s="351"/>
      <c r="W82" s="351"/>
      <c r="X82" s="351"/>
      <c r="Y82" s="351"/>
      <c r="Z82" s="351"/>
      <c r="AA82" s="351"/>
      <c r="AB82" s="351"/>
      <c r="AC82" s="351"/>
    </row>
    <row r="83" spans="1:29" ht="15">
      <c r="A83" s="375"/>
      <c r="B83" s="380"/>
      <c r="C83" s="389">
        <v>100</v>
      </c>
      <c r="D83" s="389">
        <f t="shared" ref="D83:M83" si="16">C83-$K28</f>
        <v>100</v>
      </c>
      <c r="E83" s="389">
        <f t="shared" si="16"/>
        <v>100</v>
      </c>
      <c r="F83" s="389">
        <f t="shared" si="16"/>
        <v>100</v>
      </c>
      <c r="G83" s="389">
        <f t="shared" si="16"/>
        <v>100</v>
      </c>
      <c r="H83" s="389">
        <f t="shared" si="16"/>
        <v>100</v>
      </c>
      <c r="I83" s="389">
        <f t="shared" si="16"/>
        <v>100</v>
      </c>
      <c r="J83" s="389">
        <f t="shared" si="16"/>
        <v>100</v>
      </c>
      <c r="K83" s="389">
        <f t="shared" si="16"/>
        <v>100</v>
      </c>
      <c r="L83" s="389">
        <f t="shared" si="16"/>
        <v>100</v>
      </c>
      <c r="M83" s="466">
        <f t="shared" si="16"/>
        <v>100</v>
      </c>
      <c r="N83" s="450"/>
      <c r="O83" s="450"/>
      <c r="P83" s="448"/>
      <c r="Q83" s="437"/>
      <c r="R83" s="351"/>
      <c r="S83" s="351"/>
      <c r="T83" s="351"/>
      <c r="U83" s="351"/>
      <c r="V83" s="351"/>
      <c r="W83" s="351"/>
      <c r="X83" s="351"/>
      <c r="Y83" s="351"/>
      <c r="Z83" s="351"/>
      <c r="AA83" s="351"/>
      <c r="AB83" s="351"/>
      <c r="AC83" s="351"/>
    </row>
    <row r="84" spans="1:29">
      <c r="A84" s="501"/>
      <c r="B84" s="378" t="s">
        <v>2472</v>
      </c>
      <c r="C84" s="385"/>
      <c r="D84" s="385"/>
      <c r="E84" s="385"/>
      <c r="F84" s="385"/>
      <c r="G84" s="385"/>
      <c r="H84" s="385"/>
      <c r="I84" s="379"/>
      <c r="J84" s="379"/>
      <c r="K84" s="451"/>
      <c r="L84" s="452"/>
      <c r="M84" s="453"/>
      <c r="N84" s="447"/>
      <c r="O84" s="447"/>
      <c r="P84" s="448"/>
      <c r="Q84" s="437"/>
      <c r="R84" s="351"/>
      <c r="S84" s="351"/>
      <c r="T84" s="351"/>
      <c r="U84" s="351"/>
      <c r="V84" s="351"/>
      <c r="W84" s="351"/>
      <c r="X84" s="351"/>
      <c r="Y84" s="351"/>
      <c r="Z84" s="351"/>
      <c r="AA84" s="351"/>
      <c r="AB84" s="351"/>
      <c r="AC84" s="351"/>
    </row>
    <row r="85" spans="1:29" ht="15">
      <c r="A85" s="375"/>
      <c r="B85" s="380"/>
      <c r="C85" s="500">
        <v>100</v>
      </c>
      <c r="D85" s="389">
        <f t="shared" ref="D85:M85" si="17">C85+$K29</f>
        <v>100</v>
      </c>
      <c r="E85" s="389">
        <f t="shared" si="17"/>
        <v>100</v>
      </c>
      <c r="F85" s="389">
        <f t="shared" si="17"/>
        <v>100</v>
      </c>
      <c r="G85" s="389">
        <f t="shared" si="17"/>
        <v>100</v>
      </c>
      <c r="H85" s="389">
        <f t="shared" si="17"/>
        <v>100</v>
      </c>
      <c r="I85" s="389">
        <f t="shared" si="17"/>
        <v>100</v>
      </c>
      <c r="J85" s="389">
        <f t="shared" si="17"/>
        <v>100</v>
      </c>
      <c r="K85" s="389">
        <f t="shared" si="17"/>
        <v>100</v>
      </c>
      <c r="L85" s="389">
        <f t="shared" si="17"/>
        <v>100</v>
      </c>
      <c r="M85" s="389">
        <f t="shared" si="17"/>
        <v>100</v>
      </c>
      <c r="N85" s="450"/>
      <c r="O85" s="450"/>
      <c r="P85" s="448"/>
      <c r="Q85" s="437"/>
      <c r="R85" s="351"/>
      <c r="S85" s="351"/>
      <c r="T85" s="351"/>
      <c r="U85" s="351"/>
      <c r="V85" s="351"/>
      <c r="W85" s="351"/>
      <c r="X85" s="351"/>
      <c r="Y85" s="351"/>
      <c r="Z85" s="351"/>
      <c r="AA85" s="351"/>
      <c r="AB85" s="351"/>
      <c r="AC85" s="351"/>
    </row>
    <row r="86" spans="1:29">
      <c r="A86" s="501"/>
      <c r="B86" s="497" t="s">
        <v>577</v>
      </c>
      <c r="C86" s="391" t="str">
        <f t="shared" ref="C86:L86" si="18">C87&amp;"(含)"&amp;"-"&amp;D87</f>
        <v>(含)-</v>
      </c>
      <c r="D86" s="391" t="str">
        <f t="shared" si="18"/>
        <v>(含)-</v>
      </c>
      <c r="E86" s="391" t="str">
        <f t="shared" si="18"/>
        <v>(含)-</v>
      </c>
      <c r="F86" s="391" t="str">
        <f t="shared" si="18"/>
        <v>(含)-</v>
      </c>
      <c r="G86" s="391" t="str">
        <f t="shared" si="18"/>
        <v>(含)-</v>
      </c>
      <c r="H86" s="391" t="str">
        <f t="shared" si="18"/>
        <v>(含)-</v>
      </c>
      <c r="I86" s="391" t="str">
        <f t="shared" si="18"/>
        <v>(含)-</v>
      </c>
      <c r="J86" s="391" t="str">
        <f t="shared" si="18"/>
        <v>(含)-</v>
      </c>
      <c r="K86" s="391" t="str">
        <f t="shared" si="18"/>
        <v>(含)-</v>
      </c>
      <c r="L86" s="391" t="str">
        <f t="shared" si="18"/>
        <v>(含)-</v>
      </c>
      <c r="M86" s="512" t="str">
        <f>M87&amp;"(含)"&amp;"-"&amp;P87</f>
        <v>(含)-</v>
      </c>
      <c r="N86" s="447"/>
      <c r="O86" s="447"/>
      <c r="P86" s="448"/>
      <c r="Q86" s="437"/>
      <c r="R86" s="351"/>
      <c r="S86" s="351"/>
      <c r="T86" s="351"/>
      <c r="U86" s="351"/>
      <c r="V86" s="351"/>
      <c r="W86" s="351"/>
      <c r="X86" s="351"/>
      <c r="Y86" s="351"/>
      <c r="Z86" s="351"/>
      <c r="AA86" s="351"/>
      <c r="AB86" s="351"/>
      <c r="AC86" s="351"/>
    </row>
    <row r="87" spans="1:29">
      <c r="A87" s="501"/>
      <c r="B87" s="497"/>
      <c r="C87" s="502"/>
      <c r="D87" s="502"/>
      <c r="E87" s="502"/>
      <c r="F87" s="502"/>
      <c r="G87" s="502"/>
      <c r="H87" s="502"/>
      <c r="I87" s="502"/>
      <c r="J87" s="513"/>
      <c r="K87" s="513"/>
      <c r="L87" s="514"/>
      <c r="M87" s="515"/>
      <c r="N87" s="447"/>
      <c r="O87" s="447"/>
      <c r="P87" s="448"/>
      <c r="Q87" s="437"/>
      <c r="R87" s="351"/>
      <c r="S87" s="351"/>
      <c r="T87" s="351"/>
      <c r="U87" s="351"/>
      <c r="V87" s="351"/>
      <c r="W87" s="351"/>
      <c r="X87" s="351"/>
      <c r="Y87" s="351"/>
      <c r="Z87" s="351"/>
      <c r="AA87" s="351"/>
      <c r="AB87" s="351"/>
      <c r="AC87" s="351"/>
    </row>
    <row r="88" spans="1:29" ht="15">
      <c r="A88" s="375"/>
      <c r="B88" s="380"/>
      <c r="C88" s="383"/>
      <c r="D88" s="377"/>
      <c r="E88" s="377"/>
      <c r="F88" s="377"/>
      <c r="G88" s="377"/>
      <c r="H88" s="377"/>
      <c r="I88" s="377"/>
      <c r="J88" s="377"/>
      <c r="K88" s="377"/>
      <c r="L88" s="377"/>
      <c r="M88" s="377"/>
      <c r="N88" s="450"/>
      <c r="O88" s="450"/>
      <c r="P88" s="448"/>
      <c r="Q88" s="437"/>
      <c r="R88" s="351"/>
      <c r="S88" s="351"/>
      <c r="T88" s="351"/>
      <c r="U88" s="351"/>
      <c r="V88" s="351"/>
      <c r="W88" s="351"/>
      <c r="X88" s="351"/>
      <c r="Y88" s="351"/>
      <c r="Z88" s="351"/>
      <c r="AA88" s="351"/>
      <c r="AB88" s="351"/>
      <c r="AC88" s="351"/>
    </row>
    <row r="89" spans="1:29" s="212" customFormat="1">
      <c r="A89" s="503"/>
      <c r="B89" s="378" t="s">
        <v>2473</v>
      </c>
      <c r="C89" s="385"/>
      <c r="D89" s="385"/>
      <c r="E89" s="385"/>
      <c r="F89" s="385"/>
      <c r="G89" s="385"/>
      <c r="H89" s="385"/>
      <c r="I89" s="385"/>
      <c r="J89" s="385"/>
      <c r="K89" s="385"/>
      <c r="L89" s="385"/>
      <c r="M89" s="508"/>
      <c r="N89" s="459"/>
      <c r="O89" s="459"/>
      <c r="P89" s="460"/>
      <c r="Q89" s="485"/>
      <c r="R89" s="486"/>
      <c r="S89" s="486"/>
      <c r="T89" s="486"/>
      <c r="U89" s="486"/>
      <c r="V89" s="486"/>
      <c r="W89" s="486"/>
      <c r="X89" s="486"/>
      <c r="Y89" s="486"/>
      <c r="Z89" s="486"/>
      <c r="AA89" s="486"/>
      <c r="AB89" s="486"/>
      <c r="AC89" s="486"/>
    </row>
    <row r="90" spans="1:29" s="212" customFormat="1" ht="15">
      <c r="A90" s="384"/>
      <c r="B90" s="380"/>
      <c r="C90" s="383"/>
      <c r="D90" s="377"/>
      <c r="E90" s="377"/>
      <c r="F90" s="377"/>
      <c r="G90" s="377"/>
      <c r="H90" s="377"/>
      <c r="I90" s="377"/>
      <c r="J90" s="377"/>
      <c r="K90" s="377"/>
      <c r="L90" s="377"/>
      <c r="M90" s="449"/>
      <c r="N90" s="459"/>
      <c r="O90" s="459"/>
      <c r="P90" s="460"/>
      <c r="Q90" s="485"/>
      <c r="R90" s="486"/>
      <c r="S90" s="486"/>
      <c r="T90" s="486"/>
      <c r="U90" s="486"/>
      <c r="V90" s="486"/>
      <c r="W90" s="486"/>
      <c r="X90" s="486"/>
      <c r="Y90" s="486"/>
      <c r="Z90" s="486"/>
      <c r="AA90" s="486"/>
      <c r="AB90" s="486"/>
      <c r="AC90" s="486"/>
    </row>
    <row r="91" spans="1:29">
      <c r="A91" s="501"/>
      <c r="B91" s="378">
        <f>B32</f>
        <v>111</v>
      </c>
      <c r="C91" s="382"/>
      <c r="D91" s="382"/>
      <c r="E91" s="382"/>
      <c r="F91" s="382"/>
      <c r="G91" s="385"/>
      <c r="H91" s="386"/>
      <c r="I91" s="386"/>
      <c r="J91" s="386"/>
      <c r="K91" s="386"/>
      <c r="L91" s="457"/>
      <c r="M91" s="458"/>
      <c r="N91" s="447"/>
      <c r="O91" s="447"/>
      <c r="P91" s="448"/>
      <c r="Q91" s="437"/>
      <c r="R91" s="351"/>
      <c r="S91" s="351"/>
      <c r="T91" s="351"/>
      <c r="U91" s="351"/>
      <c r="V91" s="351"/>
      <c r="W91" s="351"/>
      <c r="X91" s="351"/>
      <c r="Y91" s="351"/>
      <c r="Z91" s="351"/>
      <c r="AA91" s="351"/>
      <c r="AB91" s="351"/>
      <c r="AC91" s="351"/>
    </row>
    <row r="92" spans="1:29" ht="15">
      <c r="A92" s="375"/>
      <c r="B92" s="380"/>
      <c r="C92" s="383"/>
      <c r="D92" s="377"/>
      <c r="E92" s="377"/>
      <c r="F92" s="377"/>
      <c r="G92" s="383"/>
      <c r="H92" s="387"/>
      <c r="I92" s="387"/>
      <c r="J92" s="387"/>
      <c r="K92" s="387"/>
      <c r="L92" s="387"/>
      <c r="M92" s="461"/>
      <c r="N92" s="450"/>
      <c r="O92" s="450"/>
      <c r="P92" s="448"/>
      <c r="Q92" s="437"/>
      <c r="R92" s="351"/>
      <c r="S92" s="351"/>
      <c r="T92" s="351"/>
      <c r="U92" s="351"/>
      <c r="V92" s="351"/>
      <c r="W92" s="351"/>
      <c r="X92" s="351"/>
      <c r="Y92" s="351"/>
      <c r="Z92" s="351"/>
      <c r="AA92" s="351"/>
      <c r="AB92" s="351"/>
      <c r="AC92" s="351"/>
    </row>
    <row r="93" spans="1:29">
      <c r="A93" s="501"/>
      <c r="B93" s="378">
        <f>B33</f>
        <v>111</v>
      </c>
      <c r="C93" s="382"/>
      <c r="D93" s="382"/>
      <c r="E93" s="382"/>
      <c r="F93" s="382"/>
      <c r="G93" s="385"/>
      <c r="H93" s="386"/>
      <c r="I93" s="386"/>
      <c r="J93" s="386"/>
      <c r="K93" s="386"/>
      <c r="L93" s="457"/>
      <c r="M93" s="458"/>
      <c r="N93" s="447"/>
      <c r="O93" s="447"/>
      <c r="P93" s="448"/>
      <c r="Q93" s="437"/>
      <c r="R93" s="351"/>
      <c r="S93" s="351"/>
      <c r="T93" s="351"/>
      <c r="U93" s="351"/>
      <c r="V93" s="351"/>
      <c r="W93" s="351"/>
      <c r="X93" s="351"/>
      <c r="Y93" s="351"/>
      <c r="Z93" s="351"/>
      <c r="AA93" s="351"/>
      <c r="AB93" s="351"/>
      <c r="AC93" s="351"/>
    </row>
    <row r="94" spans="1:29" ht="15">
      <c r="A94" s="375"/>
      <c r="B94" s="380"/>
      <c r="C94" s="383"/>
      <c r="D94" s="377"/>
      <c r="E94" s="377"/>
      <c r="F94" s="377"/>
      <c r="G94" s="383"/>
      <c r="H94" s="387"/>
      <c r="I94" s="387"/>
      <c r="J94" s="387"/>
      <c r="K94" s="387"/>
      <c r="L94" s="387"/>
      <c r="M94" s="461"/>
      <c r="N94" s="450"/>
      <c r="O94" s="450"/>
      <c r="P94" s="448"/>
      <c r="Q94" s="437"/>
      <c r="R94" s="351"/>
      <c r="S94" s="351"/>
      <c r="T94" s="351"/>
      <c r="U94" s="351"/>
      <c r="V94" s="351"/>
      <c r="W94" s="351"/>
      <c r="X94" s="351"/>
      <c r="Y94" s="351"/>
      <c r="Z94" s="351"/>
      <c r="AA94" s="351"/>
      <c r="AB94" s="351"/>
      <c r="AC94" s="351"/>
    </row>
    <row r="95" spans="1:29">
      <c r="A95" s="501"/>
      <c r="B95" s="504">
        <f>B34</f>
        <v>111</v>
      </c>
      <c r="C95" s="382"/>
      <c r="D95" s="382"/>
      <c r="E95" s="382"/>
      <c r="F95" s="382"/>
      <c r="G95" s="385"/>
      <c r="H95" s="386"/>
      <c r="I95" s="386"/>
      <c r="J95" s="386"/>
      <c r="K95" s="386"/>
      <c r="L95" s="457"/>
      <c r="M95" s="458"/>
      <c r="N95" s="450"/>
      <c r="O95" s="450"/>
      <c r="P95" s="516"/>
      <c r="Q95" s="519"/>
      <c r="R95" s="351"/>
      <c r="S95" s="351"/>
      <c r="T95" s="351"/>
      <c r="U95" s="351"/>
      <c r="V95" s="351"/>
      <c r="W95" s="351"/>
      <c r="X95" s="351"/>
      <c r="Y95" s="351"/>
      <c r="Z95" s="351"/>
      <c r="AA95" s="351"/>
      <c r="AB95" s="351"/>
      <c r="AC95" s="351"/>
    </row>
    <row r="96" spans="1:29" ht="15">
      <c r="A96" s="375"/>
      <c r="B96" s="380"/>
      <c r="C96" s="383"/>
      <c r="D96" s="383"/>
      <c r="E96" s="383"/>
      <c r="F96" s="383"/>
      <c r="G96" s="383"/>
      <c r="H96" s="387"/>
      <c r="I96" s="387"/>
      <c r="J96" s="387"/>
      <c r="K96" s="387"/>
      <c r="L96" s="387"/>
      <c r="M96" s="461"/>
      <c r="N96" s="450"/>
      <c r="O96" s="450"/>
      <c r="P96" s="448"/>
      <c r="Q96" s="437"/>
      <c r="R96" s="351"/>
      <c r="S96" s="351"/>
      <c r="T96" s="351"/>
      <c r="U96" s="351"/>
      <c r="V96" s="351"/>
      <c r="W96" s="351"/>
      <c r="X96" s="351"/>
      <c r="Y96" s="351"/>
      <c r="Z96" s="351"/>
      <c r="AA96" s="351"/>
      <c r="AB96" s="351"/>
      <c r="AC96" s="351"/>
    </row>
    <row r="97" spans="1:29">
      <c r="A97" s="505"/>
      <c r="B97" s="505"/>
      <c r="C97" s="505"/>
      <c r="D97" s="505"/>
      <c r="E97" s="505"/>
      <c r="F97" s="505"/>
      <c r="G97" s="505"/>
      <c r="H97" s="505"/>
      <c r="I97" s="505"/>
      <c r="J97" s="505"/>
      <c r="K97" s="517"/>
      <c r="L97" s="518"/>
      <c r="M97" s="505"/>
      <c r="N97" s="505"/>
      <c r="O97" s="505"/>
      <c r="P97" s="505"/>
      <c r="Q97" s="505"/>
      <c r="R97" s="505"/>
      <c r="S97" s="505"/>
      <c r="T97" s="505"/>
      <c r="U97" s="505"/>
      <c r="V97" s="505"/>
      <c r="W97" s="505"/>
      <c r="X97" s="505"/>
      <c r="Y97" s="505"/>
      <c r="Z97" s="505"/>
      <c r="AA97" s="505"/>
      <c r="AB97" s="505"/>
      <c r="AC97" s="505"/>
    </row>
    <row r="98" spans="1:29">
      <c r="A98" s="505"/>
      <c r="B98" s="505"/>
      <c r="C98" s="505"/>
      <c r="D98" s="505"/>
      <c r="E98" s="505"/>
      <c r="F98" s="505"/>
      <c r="G98" s="505"/>
      <c r="H98" s="505"/>
      <c r="I98" s="505"/>
      <c r="J98" s="505"/>
      <c r="K98" s="517"/>
      <c r="L98" s="518"/>
      <c r="M98" s="505"/>
      <c r="N98" s="505"/>
      <c r="O98" s="505"/>
      <c r="P98" s="505"/>
      <c r="Q98" s="505"/>
      <c r="R98" s="505"/>
      <c r="S98" s="505"/>
      <c r="T98" s="505"/>
      <c r="U98" s="505"/>
      <c r="V98" s="505"/>
      <c r="W98" s="505"/>
      <c r="X98" s="505"/>
      <c r="Y98" s="505"/>
      <c r="Z98" s="505"/>
      <c r="AA98" s="505"/>
      <c r="AB98" s="505"/>
      <c r="AC98" s="505"/>
    </row>
    <row r="99" spans="1:29">
      <c r="A99" s="505"/>
      <c r="B99" s="505"/>
      <c r="C99" s="505"/>
      <c r="D99" s="505"/>
      <c r="E99" s="505"/>
      <c r="F99" s="505"/>
      <c r="G99" s="505"/>
      <c r="H99" s="505"/>
      <c r="I99" s="505"/>
      <c r="J99" s="505"/>
      <c r="K99" s="517"/>
      <c r="L99" s="518"/>
      <c r="M99" s="505"/>
      <c r="N99" s="505"/>
      <c r="O99" s="505"/>
      <c r="P99" s="505"/>
      <c r="Q99" s="505"/>
      <c r="R99" s="505"/>
      <c r="S99" s="505"/>
      <c r="T99" s="505"/>
      <c r="U99" s="505"/>
      <c r="V99" s="505"/>
      <c r="W99" s="505"/>
      <c r="X99" s="505"/>
      <c r="Y99" s="505"/>
      <c r="Z99" s="505"/>
      <c r="AA99" s="505"/>
      <c r="AB99" s="505"/>
      <c r="AC99" s="505"/>
    </row>
    <row r="100" spans="1:29">
      <c r="A100" s="505"/>
      <c r="B100" s="505"/>
      <c r="C100" s="505"/>
      <c r="D100" s="505"/>
      <c r="E100" s="505"/>
      <c r="F100" s="505"/>
      <c r="G100" s="505"/>
      <c r="H100" s="505"/>
      <c r="I100" s="505"/>
      <c r="J100" s="505"/>
      <c r="K100" s="517"/>
      <c r="L100" s="518"/>
      <c r="M100" s="505"/>
      <c r="N100" s="505"/>
      <c r="O100" s="505"/>
      <c r="P100" s="505"/>
      <c r="Q100" s="505"/>
      <c r="R100" s="505"/>
      <c r="S100" s="505"/>
      <c r="T100" s="505"/>
      <c r="U100" s="505"/>
      <c r="V100" s="505"/>
      <c r="W100" s="505"/>
      <c r="X100" s="505"/>
      <c r="Y100" s="505"/>
      <c r="Z100" s="505"/>
      <c r="AA100" s="505"/>
      <c r="AB100" s="505"/>
      <c r="AC100" s="505"/>
    </row>
    <row r="101" spans="1:29">
      <c r="A101" s="505"/>
      <c r="B101" s="505"/>
      <c r="C101" s="505"/>
      <c r="D101" s="505"/>
      <c r="E101" s="505"/>
      <c r="F101" s="505"/>
      <c r="G101" s="505"/>
      <c r="H101" s="505"/>
      <c r="I101" s="505"/>
      <c r="J101" s="505"/>
      <c r="K101" s="517"/>
      <c r="L101" s="518"/>
      <c r="M101" s="505"/>
      <c r="N101" s="505"/>
      <c r="O101" s="505"/>
      <c r="P101" s="505"/>
      <c r="Q101" s="505"/>
      <c r="R101" s="505"/>
      <c r="S101" s="505"/>
      <c r="T101" s="505"/>
      <c r="U101" s="505"/>
      <c r="V101" s="505"/>
      <c r="W101" s="505"/>
      <c r="X101" s="505"/>
      <c r="Y101" s="505"/>
      <c r="Z101" s="505"/>
      <c r="AA101" s="505"/>
      <c r="AB101" s="505"/>
      <c r="AC101" s="505"/>
    </row>
    <row r="102" spans="1:29">
      <c r="A102" s="505"/>
      <c r="B102" s="505"/>
      <c r="C102" s="505"/>
      <c r="D102" s="505"/>
      <c r="E102" s="505"/>
      <c r="F102" s="505"/>
      <c r="G102" s="505"/>
      <c r="H102" s="505"/>
      <c r="I102" s="505"/>
      <c r="J102" s="505"/>
      <c r="K102" s="517"/>
      <c r="L102" s="518"/>
      <c r="M102" s="505"/>
      <c r="N102" s="505"/>
      <c r="O102" s="505"/>
      <c r="P102" s="505"/>
      <c r="Q102" s="505"/>
      <c r="R102" s="505"/>
      <c r="S102" s="505"/>
      <c r="T102" s="505"/>
      <c r="U102" s="505"/>
      <c r="V102" s="505"/>
      <c r="W102" s="505"/>
      <c r="X102" s="505"/>
      <c r="Y102" s="505"/>
      <c r="Z102" s="505"/>
      <c r="AA102" s="505"/>
      <c r="AB102" s="505"/>
      <c r="AC102" s="505"/>
    </row>
    <row r="103" spans="1:29">
      <c r="A103" s="505"/>
      <c r="B103" s="505"/>
      <c r="C103" s="505"/>
      <c r="D103" s="505"/>
      <c r="E103" s="505"/>
      <c r="F103" s="505"/>
      <c r="G103" s="505"/>
      <c r="H103" s="505"/>
      <c r="I103" s="505"/>
      <c r="J103" s="505"/>
      <c r="K103" s="517"/>
      <c r="L103" s="518"/>
      <c r="M103" s="505"/>
      <c r="N103" s="505"/>
      <c r="O103" s="505"/>
      <c r="P103" s="505"/>
      <c r="Q103" s="505"/>
      <c r="R103" s="505"/>
      <c r="S103" s="505"/>
      <c r="T103" s="505"/>
      <c r="U103" s="505"/>
      <c r="V103" s="505"/>
      <c r="W103" s="505"/>
      <c r="X103" s="505"/>
      <c r="Y103" s="505"/>
      <c r="Z103" s="505"/>
      <c r="AA103" s="505"/>
      <c r="AB103" s="505"/>
      <c r="AC103" s="505"/>
    </row>
    <row r="104" spans="1:29">
      <c r="A104" s="505"/>
      <c r="B104" s="505"/>
      <c r="C104" s="505"/>
      <c r="D104" s="505"/>
      <c r="E104" s="505"/>
      <c r="F104" s="505"/>
      <c r="G104" s="505"/>
      <c r="H104" s="505"/>
      <c r="I104" s="505"/>
      <c r="J104" s="505"/>
      <c r="K104" s="517"/>
      <c r="L104" s="518"/>
      <c r="M104" s="505"/>
      <c r="N104" s="505"/>
      <c r="O104" s="505"/>
      <c r="P104" s="505"/>
      <c r="Q104" s="505"/>
      <c r="R104" s="505"/>
      <c r="S104" s="505"/>
      <c r="T104" s="505"/>
      <c r="U104" s="505"/>
      <c r="V104" s="505"/>
      <c r="W104" s="505"/>
      <c r="X104" s="505"/>
      <c r="Y104" s="505"/>
      <c r="Z104" s="505"/>
      <c r="AA104" s="505"/>
      <c r="AB104" s="505"/>
      <c r="AC104" s="505"/>
    </row>
    <row r="105" spans="1:29">
      <c r="A105" s="505"/>
      <c r="B105" s="505"/>
      <c r="C105" s="505"/>
      <c r="D105" s="505"/>
      <c r="E105" s="505"/>
      <c r="F105" s="505"/>
      <c r="G105" s="505"/>
      <c r="H105" s="505"/>
      <c r="I105" s="505"/>
      <c r="J105" s="505"/>
      <c r="K105" s="517"/>
      <c r="L105" s="518"/>
      <c r="M105" s="505"/>
      <c r="N105" s="505"/>
      <c r="O105" s="505"/>
      <c r="P105" s="505"/>
      <c r="Q105" s="505"/>
      <c r="R105" s="505"/>
      <c r="S105" s="505"/>
      <c r="T105" s="505"/>
      <c r="U105" s="505"/>
      <c r="V105" s="505"/>
      <c r="W105" s="505"/>
      <c r="X105" s="505"/>
      <c r="Y105" s="505"/>
      <c r="Z105" s="505"/>
      <c r="AA105" s="505"/>
      <c r="AB105" s="505"/>
      <c r="AC105" s="505"/>
    </row>
    <row r="106" spans="1:29">
      <c r="A106" s="505"/>
      <c r="B106" s="505"/>
      <c r="C106" s="505"/>
      <c r="D106" s="505"/>
      <c r="E106" s="505"/>
      <c r="F106" s="505"/>
      <c r="G106" s="505"/>
      <c r="H106" s="505"/>
      <c r="I106" s="505"/>
      <c r="J106" s="505"/>
      <c r="K106" s="517"/>
      <c r="L106" s="518"/>
      <c r="M106" s="505"/>
      <c r="N106" s="505"/>
      <c r="O106" s="505"/>
      <c r="P106" s="505"/>
      <c r="Q106" s="505"/>
      <c r="R106" s="505"/>
      <c r="S106" s="505"/>
      <c r="T106" s="505"/>
      <c r="U106" s="505"/>
      <c r="V106" s="505"/>
      <c r="W106" s="505"/>
      <c r="X106" s="505"/>
      <c r="Y106" s="505"/>
      <c r="Z106" s="505"/>
      <c r="AA106" s="505"/>
      <c r="AB106" s="505"/>
      <c r="AC106" s="505"/>
    </row>
    <row r="107" spans="1:29">
      <c r="A107" s="505"/>
      <c r="B107" s="505"/>
      <c r="C107" s="505"/>
      <c r="D107" s="505"/>
      <c r="E107" s="505"/>
      <c r="F107" s="505"/>
      <c r="G107" s="505"/>
      <c r="H107" s="505"/>
      <c r="I107" s="505"/>
      <c r="J107" s="505"/>
      <c r="K107" s="517"/>
      <c r="L107" s="518"/>
      <c r="M107" s="505"/>
      <c r="N107" s="505"/>
      <c r="O107" s="505"/>
      <c r="P107" s="505"/>
      <c r="Q107" s="505"/>
      <c r="R107" s="505"/>
      <c r="S107" s="505"/>
      <c r="T107" s="505"/>
      <c r="U107" s="505"/>
      <c r="V107" s="505"/>
      <c r="W107" s="505"/>
      <c r="X107" s="505"/>
      <c r="Y107" s="505"/>
      <c r="Z107" s="505"/>
      <c r="AA107" s="505"/>
      <c r="AB107" s="505"/>
      <c r="AC107" s="505"/>
    </row>
    <row r="108" spans="1:29">
      <c r="A108" s="505"/>
      <c r="B108" s="505"/>
      <c r="C108" s="505"/>
      <c r="D108" s="505"/>
      <c r="E108" s="505"/>
      <c r="F108" s="505"/>
      <c r="G108" s="505"/>
      <c r="H108" s="505"/>
      <c r="I108" s="505"/>
      <c r="J108" s="505"/>
      <c r="K108" s="517"/>
      <c r="L108" s="518"/>
      <c r="M108" s="505"/>
      <c r="N108" s="505"/>
      <c r="O108" s="505"/>
      <c r="P108" s="505"/>
      <c r="Q108" s="505"/>
      <c r="R108" s="505"/>
      <c r="S108" s="505"/>
      <c r="T108" s="505"/>
      <c r="U108" s="505"/>
      <c r="V108" s="505"/>
      <c r="W108" s="505"/>
      <c r="X108" s="505"/>
      <c r="Y108" s="505"/>
      <c r="Z108" s="505"/>
      <c r="AA108" s="505"/>
      <c r="AB108" s="505"/>
      <c r="AC108" s="505"/>
    </row>
    <row r="109" spans="1:29">
      <c r="A109" s="505"/>
      <c r="B109" s="505"/>
      <c r="C109" s="505"/>
      <c r="D109" s="505"/>
      <c r="E109" s="505"/>
      <c r="F109" s="505"/>
      <c r="G109" s="505"/>
      <c r="H109" s="505"/>
      <c r="I109" s="505"/>
      <c r="J109" s="505"/>
      <c r="K109" s="517"/>
      <c r="L109" s="518"/>
      <c r="M109" s="505"/>
      <c r="N109" s="505"/>
      <c r="O109" s="505"/>
      <c r="P109" s="505"/>
      <c r="Q109" s="505"/>
      <c r="R109" s="505"/>
      <c r="S109" s="505"/>
      <c r="T109" s="505"/>
      <c r="U109" s="505"/>
      <c r="V109" s="505"/>
      <c r="W109" s="505"/>
      <c r="X109" s="505"/>
      <c r="Y109" s="505"/>
      <c r="Z109" s="505"/>
      <c r="AA109" s="505"/>
      <c r="AB109" s="505"/>
      <c r="AC109" s="505"/>
    </row>
    <row r="110" spans="1:29">
      <c r="A110" s="505"/>
      <c r="B110" s="505"/>
      <c r="C110" s="505"/>
      <c r="D110" s="505"/>
      <c r="E110" s="505"/>
      <c r="F110" s="505"/>
      <c r="G110" s="505"/>
      <c r="H110" s="505"/>
      <c r="I110" s="505"/>
      <c r="J110" s="505"/>
      <c r="K110" s="517"/>
      <c r="L110" s="518"/>
      <c r="M110" s="505"/>
      <c r="N110" s="505"/>
      <c r="O110" s="505"/>
      <c r="P110" s="505"/>
      <c r="Q110" s="505"/>
      <c r="R110" s="505"/>
      <c r="S110" s="505"/>
      <c r="T110" s="505"/>
      <c r="U110" s="505"/>
      <c r="V110" s="505"/>
      <c r="W110" s="505"/>
      <c r="X110" s="505"/>
      <c r="Y110" s="505"/>
      <c r="Z110" s="505"/>
      <c r="AA110" s="505"/>
      <c r="AB110" s="505"/>
      <c r="AC110" s="505"/>
    </row>
    <row r="111" spans="1:29">
      <c r="A111" s="505"/>
      <c r="B111" s="505"/>
      <c r="C111" s="505"/>
      <c r="D111" s="505"/>
      <c r="E111" s="505"/>
      <c r="F111" s="505"/>
      <c r="G111" s="505"/>
      <c r="H111" s="505"/>
      <c r="I111" s="505"/>
      <c r="J111" s="505"/>
      <c r="K111" s="517"/>
      <c r="L111" s="518"/>
      <c r="M111" s="505"/>
      <c r="N111" s="505"/>
      <c r="O111" s="505"/>
      <c r="P111" s="505"/>
      <c r="Q111" s="505"/>
      <c r="R111" s="505"/>
      <c r="S111" s="505"/>
      <c r="T111" s="505"/>
      <c r="U111" s="505"/>
      <c r="V111" s="505"/>
      <c r="W111" s="505"/>
      <c r="X111" s="505"/>
      <c r="Y111" s="505"/>
      <c r="Z111" s="505"/>
      <c r="AA111" s="505"/>
      <c r="AB111" s="505"/>
      <c r="AC111" s="505"/>
    </row>
    <row r="112" spans="1:29">
      <c r="A112" s="505"/>
      <c r="B112" s="505"/>
      <c r="C112" s="505"/>
      <c r="D112" s="505"/>
      <c r="E112" s="505"/>
      <c r="F112" s="505"/>
      <c r="G112" s="505"/>
      <c r="H112" s="505"/>
      <c r="I112" s="505"/>
      <c r="J112" s="505"/>
      <c r="K112" s="517"/>
      <c r="L112" s="518"/>
      <c r="M112" s="505"/>
      <c r="N112" s="505"/>
      <c r="O112" s="505"/>
      <c r="P112" s="505"/>
      <c r="Q112" s="505"/>
      <c r="R112" s="505"/>
      <c r="S112" s="505"/>
      <c r="T112" s="505"/>
      <c r="U112" s="505"/>
      <c r="V112" s="505"/>
      <c r="W112" s="505"/>
      <c r="X112" s="505"/>
      <c r="Y112" s="505"/>
      <c r="Z112" s="505"/>
      <c r="AA112" s="505"/>
      <c r="AB112" s="505"/>
      <c r="AC112" s="505"/>
    </row>
    <row r="113" spans="1:29">
      <c r="A113" s="505"/>
      <c r="B113" s="505"/>
      <c r="C113" s="505"/>
      <c r="D113" s="505"/>
      <c r="E113" s="505"/>
      <c r="F113" s="505"/>
      <c r="G113" s="505"/>
      <c r="H113" s="505"/>
      <c r="I113" s="505"/>
      <c r="J113" s="505"/>
      <c r="K113" s="517"/>
      <c r="L113" s="518"/>
      <c r="M113" s="505"/>
      <c r="N113" s="505"/>
      <c r="O113" s="505"/>
      <c r="P113" s="505"/>
      <c r="Q113" s="505"/>
      <c r="R113" s="505"/>
      <c r="S113" s="505"/>
      <c r="T113" s="505"/>
      <c r="U113" s="505"/>
      <c r="V113" s="505"/>
      <c r="W113" s="505"/>
      <c r="X113" s="505"/>
      <c r="Y113" s="505"/>
      <c r="Z113" s="505"/>
      <c r="AA113" s="505"/>
      <c r="AB113" s="505"/>
      <c r="AC113" s="505"/>
    </row>
    <row r="114" spans="1:29">
      <c r="A114" s="505"/>
      <c r="B114" s="505"/>
      <c r="C114" s="505"/>
      <c r="D114" s="505"/>
      <c r="E114" s="505"/>
      <c r="F114" s="505"/>
      <c r="G114" s="505"/>
      <c r="H114" s="505"/>
      <c r="I114" s="505"/>
      <c r="J114" s="505"/>
      <c r="K114" s="517"/>
      <c r="L114" s="518"/>
      <c r="M114" s="505"/>
      <c r="N114" s="505"/>
      <c r="O114" s="505"/>
      <c r="P114" s="505"/>
      <c r="Q114" s="505"/>
      <c r="R114" s="505"/>
      <c r="S114" s="505"/>
      <c r="T114" s="505"/>
      <c r="U114" s="505"/>
      <c r="V114" s="505"/>
      <c r="W114" s="505"/>
      <c r="X114" s="505"/>
      <c r="Y114" s="505"/>
      <c r="Z114" s="505"/>
      <c r="AA114" s="505"/>
      <c r="AB114" s="505"/>
      <c r="AC114" s="505"/>
    </row>
    <row r="115" spans="1:29">
      <c r="A115" s="505"/>
      <c r="B115" s="505"/>
      <c r="C115" s="505"/>
      <c r="D115" s="505"/>
      <c r="E115" s="505"/>
      <c r="F115" s="505"/>
      <c r="G115" s="505"/>
      <c r="H115" s="505"/>
      <c r="I115" s="505"/>
      <c r="J115" s="505"/>
      <c r="K115" s="517"/>
      <c r="L115" s="518"/>
      <c r="M115" s="505"/>
      <c r="N115" s="505"/>
      <c r="O115" s="505"/>
      <c r="P115" s="505"/>
      <c r="Q115" s="505"/>
      <c r="R115" s="505"/>
      <c r="S115" s="505"/>
      <c r="T115" s="505"/>
      <c r="U115" s="505"/>
      <c r="V115" s="505"/>
      <c r="W115" s="505"/>
      <c r="X115" s="505"/>
      <c r="Y115" s="505"/>
      <c r="Z115" s="505"/>
      <c r="AA115" s="505"/>
      <c r="AB115" s="505"/>
      <c r="AC115" s="505"/>
    </row>
    <row r="116" spans="1:29">
      <c r="A116" s="505"/>
      <c r="B116" s="505"/>
      <c r="C116" s="505"/>
      <c r="D116" s="505"/>
      <c r="E116" s="505"/>
      <c r="F116" s="505"/>
      <c r="G116" s="505"/>
      <c r="H116" s="505"/>
      <c r="I116" s="505"/>
      <c r="J116" s="505"/>
      <c r="K116" s="517"/>
      <c r="L116" s="518"/>
      <c r="M116" s="505"/>
      <c r="N116" s="505"/>
      <c r="O116" s="505"/>
      <c r="P116" s="505"/>
      <c r="Q116" s="505"/>
      <c r="R116" s="505"/>
      <c r="S116" s="505"/>
      <c r="T116" s="505"/>
      <c r="U116" s="505"/>
      <c r="V116" s="505"/>
      <c r="W116" s="505"/>
      <c r="X116" s="505"/>
      <c r="Y116" s="505"/>
      <c r="Z116" s="505"/>
      <c r="AA116" s="505"/>
      <c r="AB116" s="505"/>
      <c r="AC116" s="505"/>
    </row>
    <row r="117" spans="1:29">
      <c r="A117" s="505"/>
      <c r="B117" s="505"/>
      <c r="C117" s="505"/>
      <c r="D117" s="505"/>
      <c r="E117" s="505"/>
      <c r="F117" s="505"/>
      <c r="G117" s="505"/>
      <c r="H117" s="505"/>
      <c r="I117" s="505"/>
      <c r="J117" s="505"/>
      <c r="K117" s="517"/>
      <c r="L117" s="518"/>
      <c r="M117" s="505"/>
      <c r="N117" s="505"/>
      <c r="O117" s="505"/>
      <c r="P117" s="505"/>
      <c r="Q117" s="505"/>
      <c r="R117" s="505"/>
      <c r="S117" s="505"/>
      <c r="T117" s="505"/>
      <c r="U117" s="505"/>
      <c r="V117" s="505"/>
      <c r="W117" s="505"/>
      <c r="X117" s="505"/>
      <c r="Y117" s="505"/>
      <c r="Z117" s="505"/>
      <c r="AA117" s="505"/>
      <c r="AB117" s="505"/>
      <c r="AC117" s="505"/>
    </row>
    <row r="118" spans="1:29">
      <c r="A118" s="505"/>
      <c r="B118" s="505"/>
      <c r="C118" s="505"/>
      <c r="D118" s="505"/>
      <c r="E118" s="505"/>
      <c r="F118" s="505"/>
      <c r="G118" s="505"/>
      <c r="H118" s="505"/>
      <c r="I118" s="505"/>
      <c r="J118" s="505"/>
      <c r="K118" s="517"/>
      <c r="L118" s="518"/>
      <c r="M118" s="505"/>
      <c r="N118" s="505"/>
      <c r="O118" s="505"/>
      <c r="P118" s="505"/>
      <c r="Q118" s="505"/>
      <c r="R118" s="505"/>
      <c r="S118" s="505"/>
      <c r="T118" s="505"/>
      <c r="U118" s="505"/>
      <c r="V118" s="505"/>
      <c r="W118" s="505"/>
      <c r="X118" s="505"/>
      <c r="Y118" s="505"/>
      <c r="Z118" s="505"/>
      <c r="AA118" s="505"/>
      <c r="AB118" s="505"/>
      <c r="AC118" s="505"/>
    </row>
    <row r="119" spans="1:29">
      <c r="A119" s="505"/>
      <c r="B119" s="505"/>
      <c r="C119" s="505"/>
      <c r="D119" s="505"/>
      <c r="E119" s="505"/>
      <c r="F119" s="505"/>
      <c r="G119" s="505"/>
      <c r="H119" s="505"/>
      <c r="I119" s="505"/>
      <c r="J119" s="505"/>
      <c r="K119" s="517"/>
      <c r="L119" s="518"/>
      <c r="M119" s="505"/>
      <c r="N119" s="505"/>
      <c r="O119" s="505"/>
      <c r="P119" s="505"/>
      <c r="Q119" s="505"/>
      <c r="R119" s="505"/>
      <c r="S119" s="505"/>
      <c r="T119" s="505"/>
      <c r="U119" s="505"/>
      <c r="V119" s="505"/>
      <c r="W119" s="505"/>
      <c r="X119" s="505"/>
      <c r="Y119" s="505"/>
      <c r="Z119" s="505"/>
      <c r="AA119" s="505"/>
      <c r="AB119" s="505"/>
      <c r="AC119" s="505"/>
    </row>
    <row r="120" spans="1:29">
      <c r="A120" s="505"/>
      <c r="B120" s="505"/>
      <c r="C120" s="505"/>
      <c r="D120" s="505"/>
      <c r="E120" s="505"/>
      <c r="F120" s="505"/>
      <c r="G120" s="505"/>
      <c r="H120" s="505"/>
      <c r="I120" s="505"/>
      <c r="J120" s="505"/>
      <c r="K120" s="517"/>
      <c r="L120" s="518"/>
      <c r="M120" s="505"/>
      <c r="N120" s="505"/>
      <c r="O120" s="505"/>
      <c r="P120" s="505"/>
      <c r="Q120" s="505"/>
      <c r="R120" s="505"/>
      <c r="S120" s="505"/>
      <c r="T120" s="505"/>
      <c r="U120" s="505"/>
      <c r="V120" s="505"/>
      <c r="W120" s="505"/>
      <c r="X120" s="505"/>
      <c r="Y120" s="505"/>
      <c r="Z120" s="505"/>
      <c r="AA120" s="505"/>
      <c r="AB120" s="505"/>
      <c r="AC120" s="505"/>
    </row>
    <row r="121" spans="1:29">
      <c r="A121" s="505"/>
      <c r="B121" s="505"/>
      <c r="C121" s="505"/>
      <c r="D121" s="505"/>
      <c r="E121" s="505"/>
      <c r="F121" s="505"/>
      <c r="G121" s="505"/>
      <c r="H121" s="505"/>
      <c r="I121" s="505"/>
      <c r="J121" s="505"/>
      <c r="K121" s="517"/>
      <c r="L121" s="518"/>
      <c r="M121" s="505"/>
      <c r="N121" s="505"/>
      <c r="O121" s="505"/>
      <c r="P121" s="505"/>
      <c r="Q121" s="505"/>
      <c r="R121" s="505"/>
      <c r="S121" s="505"/>
      <c r="T121" s="505"/>
      <c r="U121" s="505"/>
      <c r="V121" s="505"/>
      <c r="W121" s="505"/>
      <c r="X121" s="505"/>
      <c r="Y121" s="505"/>
      <c r="Z121" s="505"/>
      <c r="AA121" s="505"/>
      <c r="AB121" s="505"/>
      <c r="AC121" s="505"/>
    </row>
    <row r="122" spans="1:29">
      <c r="A122" s="505"/>
      <c r="B122" s="505"/>
      <c r="C122" s="505"/>
      <c r="D122" s="505"/>
      <c r="E122" s="505"/>
      <c r="F122" s="505"/>
      <c r="G122" s="505"/>
      <c r="H122" s="505"/>
      <c r="I122" s="505"/>
      <c r="J122" s="505"/>
      <c r="K122" s="517"/>
      <c r="L122" s="518"/>
      <c r="M122" s="505"/>
      <c r="N122" s="505"/>
      <c r="O122" s="505"/>
      <c r="P122" s="505"/>
      <c r="Q122" s="505"/>
      <c r="R122" s="505"/>
      <c r="S122" s="505"/>
      <c r="T122" s="505"/>
      <c r="U122" s="505"/>
      <c r="V122" s="505"/>
      <c r="W122" s="505"/>
      <c r="X122" s="505"/>
      <c r="Y122" s="505"/>
      <c r="Z122" s="505"/>
      <c r="AA122" s="505"/>
      <c r="AB122" s="505"/>
      <c r="AC122" s="505"/>
    </row>
    <row r="123" spans="1:29">
      <c r="A123" s="505"/>
      <c r="B123" s="505"/>
      <c r="C123" s="505"/>
      <c r="D123" s="505"/>
      <c r="E123" s="505"/>
      <c r="F123" s="505"/>
      <c r="G123" s="505"/>
      <c r="H123" s="505"/>
      <c r="I123" s="505"/>
      <c r="J123" s="505"/>
      <c r="K123" s="517"/>
      <c r="L123" s="518"/>
      <c r="M123" s="505"/>
      <c r="N123" s="505"/>
      <c r="O123" s="505"/>
      <c r="P123" s="505"/>
      <c r="Q123" s="505"/>
      <c r="R123" s="505"/>
      <c r="S123" s="505"/>
      <c r="T123" s="505"/>
      <c r="U123" s="505"/>
      <c r="V123" s="505"/>
      <c r="W123" s="505"/>
      <c r="X123" s="505"/>
      <c r="Y123" s="505"/>
      <c r="Z123" s="505"/>
      <c r="AA123" s="505"/>
      <c r="AB123" s="505"/>
      <c r="AC123" s="505"/>
    </row>
    <row r="124" spans="1:29">
      <c r="A124" s="505"/>
      <c r="B124" s="505"/>
      <c r="C124" s="505"/>
      <c r="D124" s="505"/>
      <c r="E124" s="505"/>
      <c r="F124" s="505"/>
      <c r="G124" s="505"/>
      <c r="H124" s="505"/>
      <c r="I124" s="505"/>
      <c r="J124" s="505"/>
      <c r="K124" s="517"/>
      <c r="L124" s="518"/>
      <c r="M124" s="505"/>
      <c r="N124" s="505"/>
      <c r="O124" s="505"/>
      <c r="P124" s="505"/>
      <c r="Q124" s="505"/>
      <c r="R124" s="505"/>
      <c r="S124" s="505"/>
      <c r="T124" s="505"/>
      <c r="U124" s="505"/>
      <c r="V124" s="505"/>
      <c r="W124" s="505"/>
      <c r="X124" s="505"/>
      <c r="Y124" s="505"/>
      <c r="Z124" s="505"/>
      <c r="AA124" s="505"/>
      <c r="AB124" s="505"/>
      <c r="AC124" s="505"/>
    </row>
    <row r="125" spans="1:29">
      <c r="A125" s="505"/>
      <c r="B125" s="505"/>
      <c r="C125" s="505"/>
      <c r="D125" s="505"/>
      <c r="E125" s="505"/>
      <c r="F125" s="505"/>
      <c r="G125" s="505"/>
      <c r="H125" s="505"/>
      <c r="I125" s="505"/>
      <c r="J125" s="505"/>
      <c r="K125" s="517"/>
      <c r="L125" s="518"/>
      <c r="M125" s="505"/>
      <c r="N125" s="505"/>
      <c r="O125" s="505"/>
      <c r="P125" s="505"/>
      <c r="Q125" s="505"/>
      <c r="R125" s="505"/>
      <c r="S125" s="505"/>
      <c r="T125" s="505"/>
      <c r="U125" s="505"/>
      <c r="V125" s="505"/>
      <c r="W125" s="505"/>
      <c r="X125" s="505"/>
      <c r="Y125" s="505"/>
      <c r="Z125" s="505"/>
      <c r="AA125" s="505"/>
      <c r="AB125" s="505"/>
      <c r="AC125" s="505"/>
    </row>
    <row r="126" spans="1:29">
      <c r="A126" s="505"/>
      <c r="B126" s="505"/>
      <c r="C126" s="505"/>
      <c r="D126" s="505"/>
      <c r="E126" s="505"/>
      <c r="F126" s="505"/>
      <c r="G126" s="505"/>
      <c r="H126" s="505"/>
      <c r="I126" s="505"/>
      <c r="J126" s="505"/>
      <c r="K126" s="517"/>
      <c r="L126" s="518"/>
      <c r="M126" s="505"/>
      <c r="N126" s="505"/>
      <c r="O126" s="505"/>
      <c r="P126" s="505"/>
      <c r="Q126" s="505"/>
      <c r="R126" s="505"/>
      <c r="S126" s="505"/>
      <c r="T126" s="505"/>
      <c r="U126" s="505"/>
      <c r="V126" s="505"/>
      <c r="W126" s="505"/>
      <c r="X126" s="505"/>
      <c r="Y126" s="505"/>
      <c r="Z126" s="505"/>
      <c r="AA126" s="505"/>
      <c r="AB126" s="505"/>
      <c r="AC126" s="505"/>
    </row>
    <row r="127" spans="1:29">
      <c r="A127" s="505"/>
      <c r="B127" s="505"/>
      <c r="C127" s="505"/>
      <c r="D127" s="505"/>
      <c r="E127" s="505"/>
      <c r="F127" s="505"/>
      <c r="G127" s="505"/>
      <c r="H127" s="505"/>
      <c r="I127" s="505"/>
      <c r="J127" s="505"/>
      <c r="K127" s="517"/>
      <c r="L127" s="518"/>
      <c r="M127" s="505"/>
      <c r="N127" s="505"/>
      <c r="O127" s="505"/>
      <c r="P127" s="505"/>
      <c r="Q127" s="505"/>
      <c r="R127" s="505"/>
      <c r="S127" s="505"/>
      <c r="T127" s="505"/>
      <c r="U127" s="505"/>
      <c r="V127" s="505"/>
      <c r="W127" s="505"/>
      <c r="X127" s="505"/>
      <c r="Y127" s="505"/>
      <c r="Z127" s="505"/>
      <c r="AA127" s="505"/>
      <c r="AB127" s="505"/>
      <c r="AC127" s="505"/>
    </row>
    <row r="128" spans="1:29">
      <c r="A128" s="505"/>
      <c r="B128" s="505"/>
      <c r="C128" s="505"/>
      <c r="D128" s="505"/>
      <c r="E128" s="505"/>
      <c r="F128" s="505"/>
      <c r="G128" s="505"/>
      <c r="H128" s="505"/>
      <c r="I128" s="505"/>
      <c r="J128" s="505"/>
      <c r="K128" s="517"/>
      <c r="L128" s="518"/>
      <c r="M128" s="505"/>
      <c r="N128" s="505"/>
      <c r="O128" s="505"/>
      <c r="P128" s="505"/>
      <c r="Q128" s="505"/>
      <c r="R128" s="505"/>
      <c r="S128" s="505"/>
      <c r="T128" s="505"/>
      <c r="U128" s="505"/>
      <c r="V128" s="505"/>
      <c r="W128" s="505"/>
      <c r="X128" s="505"/>
      <c r="Y128" s="505"/>
      <c r="Z128" s="505"/>
      <c r="AA128" s="505"/>
      <c r="AB128" s="505"/>
      <c r="AC128" s="505"/>
    </row>
    <row r="129" spans="1:29">
      <c r="A129" s="505"/>
      <c r="B129" s="505"/>
      <c r="C129" s="505"/>
      <c r="D129" s="505"/>
      <c r="E129" s="505"/>
      <c r="F129" s="505"/>
      <c r="G129" s="505"/>
      <c r="H129" s="505"/>
      <c r="I129" s="505"/>
      <c r="J129" s="505"/>
      <c r="K129" s="517"/>
      <c r="L129" s="518"/>
      <c r="M129" s="505"/>
      <c r="N129" s="505"/>
      <c r="O129" s="505"/>
      <c r="P129" s="505"/>
      <c r="Q129" s="505"/>
      <c r="R129" s="505"/>
      <c r="S129" s="505"/>
      <c r="T129" s="505"/>
      <c r="U129" s="505"/>
      <c r="V129" s="505"/>
      <c r="W129" s="505"/>
      <c r="X129" s="505"/>
      <c r="Y129" s="505"/>
      <c r="Z129" s="505"/>
      <c r="AA129" s="505"/>
      <c r="AB129" s="505"/>
      <c r="AC129" s="505"/>
    </row>
    <row r="130" spans="1:29">
      <c r="A130" s="505"/>
      <c r="B130" s="505"/>
      <c r="C130" s="505"/>
      <c r="D130" s="505"/>
      <c r="E130" s="505"/>
      <c r="F130" s="505"/>
      <c r="G130" s="505"/>
      <c r="H130" s="505"/>
      <c r="I130" s="505"/>
      <c r="J130" s="505"/>
      <c r="K130" s="517"/>
      <c r="L130" s="518"/>
      <c r="M130" s="505"/>
      <c r="N130" s="505"/>
      <c r="O130" s="505"/>
      <c r="P130" s="505"/>
      <c r="Q130" s="505"/>
      <c r="R130" s="505"/>
      <c r="S130" s="505"/>
      <c r="T130" s="505"/>
      <c r="U130" s="505"/>
      <c r="V130" s="505"/>
      <c r="W130" s="505"/>
      <c r="X130" s="505"/>
      <c r="Y130" s="505"/>
      <c r="Z130" s="505"/>
      <c r="AA130" s="505"/>
      <c r="AB130" s="505"/>
      <c r="AC130" s="505"/>
    </row>
    <row r="131" spans="1:29">
      <c r="A131" s="505"/>
      <c r="B131" s="505"/>
      <c r="C131" s="505"/>
      <c r="D131" s="505"/>
      <c r="E131" s="505"/>
      <c r="F131" s="505"/>
      <c r="G131" s="505"/>
      <c r="H131" s="505"/>
      <c r="I131" s="505"/>
      <c r="J131" s="505"/>
      <c r="K131" s="517"/>
      <c r="L131" s="518"/>
      <c r="M131" s="505"/>
      <c r="N131" s="505"/>
      <c r="O131" s="505"/>
      <c r="P131" s="505"/>
      <c r="Q131" s="505"/>
      <c r="R131" s="505"/>
      <c r="S131" s="505"/>
      <c r="T131" s="505"/>
      <c r="U131" s="505"/>
      <c r="V131" s="505"/>
      <c r="W131" s="505"/>
      <c r="X131" s="505"/>
      <c r="Y131" s="505"/>
      <c r="Z131" s="505"/>
      <c r="AA131" s="505"/>
      <c r="AB131" s="505"/>
      <c r="AC131" s="505"/>
    </row>
    <row r="132" spans="1:29">
      <c r="A132" s="505"/>
      <c r="B132" s="505"/>
      <c r="C132" s="505"/>
      <c r="D132" s="505"/>
      <c r="E132" s="505"/>
      <c r="F132" s="505"/>
      <c r="G132" s="505"/>
      <c r="H132" s="505"/>
      <c r="I132" s="505"/>
      <c r="J132" s="505"/>
      <c r="K132" s="517"/>
      <c r="L132" s="518"/>
      <c r="M132" s="505"/>
      <c r="N132" s="505"/>
      <c r="O132" s="505"/>
      <c r="P132" s="505"/>
      <c r="Q132" s="505"/>
      <c r="R132" s="505"/>
      <c r="S132" s="505"/>
      <c r="T132" s="505"/>
      <c r="U132" s="505"/>
      <c r="V132" s="505"/>
      <c r="W132" s="505"/>
      <c r="X132" s="505"/>
      <c r="Y132" s="505"/>
      <c r="Z132" s="505"/>
      <c r="AA132" s="505"/>
      <c r="AB132" s="505"/>
      <c r="AC132" s="505"/>
    </row>
    <row r="133" spans="1:29">
      <c r="A133" s="505"/>
      <c r="B133" s="505"/>
      <c r="C133" s="505"/>
      <c r="D133" s="505"/>
      <c r="E133" s="505"/>
      <c r="F133" s="505"/>
      <c r="G133" s="505"/>
      <c r="H133" s="505"/>
      <c r="I133" s="505"/>
      <c r="J133" s="505"/>
      <c r="K133" s="517"/>
      <c r="L133" s="518"/>
      <c r="M133" s="505"/>
      <c r="N133" s="505"/>
      <c r="O133" s="505"/>
      <c r="P133" s="505"/>
      <c r="Q133" s="505"/>
      <c r="R133" s="505"/>
      <c r="S133" s="505"/>
      <c r="T133" s="505"/>
      <c r="U133" s="505"/>
      <c r="V133" s="505"/>
      <c r="W133" s="505"/>
      <c r="X133" s="505"/>
      <c r="Y133" s="505"/>
      <c r="Z133" s="505"/>
      <c r="AA133" s="505"/>
      <c r="AB133" s="505"/>
      <c r="AC133" s="505"/>
    </row>
    <row r="134" spans="1:29">
      <c r="A134" s="505"/>
      <c r="B134" s="505"/>
      <c r="C134" s="505"/>
      <c r="D134" s="505"/>
      <c r="E134" s="505"/>
      <c r="F134" s="505"/>
      <c r="G134" s="505"/>
      <c r="H134" s="505"/>
      <c r="I134" s="505"/>
      <c r="J134" s="505"/>
      <c r="K134" s="517"/>
      <c r="L134" s="518"/>
      <c r="M134" s="505"/>
      <c r="N134" s="505"/>
      <c r="O134" s="505"/>
      <c r="P134" s="505"/>
      <c r="Q134" s="505"/>
      <c r="R134" s="505"/>
      <c r="S134" s="505"/>
      <c r="T134" s="505"/>
      <c r="U134" s="505"/>
      <c r="V134" s="505"/>
      <c r="W134" s="505"/>
      <c r="X134" s="505"/>
      <c r="Y134" s="505"/>
      <c r="Z134" s="505"/>
      <c r="AA134" s="505"/>
      <c r="AB134" s="505"/>
      <c r="AC134" s="505"/>
    </row>
    <row r="135" spans="1:29">
      <c r="A135" s="505"/>
      <c r="B135" s="505"/>
      <c r="C135" s="505"/>
      <c r="D135" s="505"/>
      <c r="E135" s="505"/>
      <c r="F135" s="505"/>
      <c r="G135" s="505"/>
      <c r="H135" s="505"/>
      <c r="I135" s="505"/>
      <c r="J135" s="505"/>
      <c r="K135" s="517"/>
      <c r="L135" s="518"/>
      <c r="M135" s="505"/>
      <c r="N135" s="505"/>
      <c r="O135" s="505"/>
      <c r="P135" s="505"/>
      <c r="Q135" s="505"/>
      <c r="R135" s="505"/>
      <c r="S135" s="505"/>
      <c r="T135" s="505"/>
      <c r="U135" s="505"/>
      <c r="V135" s="505"/>
      <c r="W135" s="505"/>
      <c r="X135" s="505"/>
      <c r="Y135" s="505"/>
      <c r="Z135" s="505"/>
      <c r="AA135" s="505"/>
      <c r="AB135" s="505"/>
      <c r="AC135" s="505"/>
    </row>
    <row r="136" spans="1:29">
      <c r="A136" s="505"/>
      <c r="B136" s="505"/>
      <c r="C136" s="505"/>
      <c r="D136" s="505"/>
      <c r="E136" s="505"/>
      <c r="F136" s="505"/>
      <c r="G136" s="505"/>
      <c r="H136" s="505"/>
      <c r="I136" s="505"/>
      <c r="J136" s="505"/>
      <c r="K136" s="517"/>
      <c r="L136" s="518"/>
      <c r="M136" s="505"/>
      <c r="N136" s="505"/>
      <c r="O136" s="505"/>
      <c r="P136" s="505"/>
      <c r="Q136" s="505"/>
      <c r="R136" s="505"/>
      <c r="S136" s="505"/>
      <c r="T136" s="505"/>
      <c r="U136" s="505"/>
      <c r="V136" s="505"/>
      <c r="W136" s="505"/>
      <c r="X136" s="505"/>
      <c r="Y136" s="505"/>
      <c r="Z136" s="505"/>
      <c r="AA136" s="505"/>
      <c r="AB136" s="505"/>
      <c r="AC136" s="505"/>
    </row>
    <row r="137" spans="1:29">
      <c r="A137" s="505"/>
      <c r="B137" s="505"/>
      <c r="C137" s="505"/>
      <c r="D137" s="505"/>
      <c r="E137" s="505"/>
      <c r="F137" s="505"/>
      <c r="G137" s="505"/>
      <c r="H137" s="505"/>
      <c r="I137" s="505"/>
      <c r="J137" s="505"/>
      <c r="K137" s="517"/>
      <c r="L137" s="518"/>
      <c r="M137" s="505"/>
      <c r="N137" s="505"/>
      <c r="O137" s="505"/>
      <c r="P137" s="505"/>
      <c r="Q137" s="505"/>
      <c r="R137" s="505"/>
      <c r="S137" s="505"/>
      <c r="T137" s="505"/>
      <c r="U137" s="505"/>
      <c r="V137" s="505"/>
      <c r="W137" s="505"/>
      <c r="X137" s="505"/>
      <c r="Y137" s="505"/>
      <c r="Z137" s="505"/>
      <c r="AA137" s="505"/>
      <c r="AB137" s="505"/>
      <c r="AC137" s="505"/>
    </row>
    <row r="138" spans="1:29">
      <c r="A138" s="505"/>
      <c r="B138" s="505"/>
      <c r="C138" s="505"/>
      <c r="D138" s="505"/>
      <c r="E138" s="505"/>
      <c r="F138" s="505"/>
      <c r="G138" s="505"/>
      <c r="H138" s="505"/>
      <c r="I138" s="505"/>
      <c r="J138" s="505"/>
      <c r="K138" s="517"/>
      <c r="L138" s="518"/>
      <c r="M138" s="505"/>
      <c r="N138" s="505"/>
      <c r="O138" s="505"/>
      <c r="P138" s="505"/>
      <c r="Q138" s="505"/>
      <c r="R138" s="505"/>
      <c r="S138" s="505"/>
      <c r="T138" s="505"/>
      <c r="U138" s="505"/>
      <c r="V138" s="505"/>
      <c r="W138" s="505"/>
      <c r="X138" s="505"/>
      <c r="Y138" s="505"/>
      <c r="Z138" s="505"/>
      <c r="AA138" s="505"/>
      <c r="AB138" s="505"/>
      <c r="AC138" s="505"/>
    </row>
    <row r="139" spans="1:29">
      <c r="A139" s="505"/>
      <c r="B139" s="505"/>
      <c r="C139" s="505"/>
      <c r="D139" s="505"/>
      <c r="E139" s="505"/>
      <c r="F139" s="505"/>
      <c r="G139" s="505"/>
      <c r="H139" s="505"/>
      <c r="I139" s="505"/>
      <c r="J139" s="505"/>
      <c r="K139" s="517"/>
      <c r="L139" s="518"/>
      <c r="M139" s="505"/>
      <c r="N139" s="505"/>
      <c r="O139" s="505"/>
      <c r="P139" s="505"/>
      <c r="Q139" s="505"/>
      <c r="R139" s="505"/>
      <c r="S139" s="505"/>
      <c r="T139" s="505"/>
      <c r="U139" s="505"/>
      <c r="V139" s="505"/>
      <c r="W139" s="505"/>
      <c r="X139" s="505"/>
      <c r="Y139" s="505"/>
      <c r="Z139" s="505"/>
      <c r="AA139" s="505"/>
      <c r="AB139" s="505"/>
      <c r="AC139" s="505"/>
    </row>
    <row r="140" spans="1:29">
      <c r="A140" s="505"/>
      <c r="B140" s="505"/>
      <c r="C140" s="505"/>
      <c r="D140" s="505"/>
      <c r="E140" s="505"/>
      <c r="F140" s="505"/>
      <c r="G140" s="505"/>
      <c r="H140" s="505"/>
      <c r="I140" s="505"/>
      <c r="J140" s="505"/>
      <c r="K140" s="517"/>
      <c r="L140" s="518"/>
      <c r="M140" s="505"/>
      <c r="N140" s="505"/>
      <c r="O140" s="505"/>
      <c r="P140" s="505"/>
      <c r="Q140" s="505"/>
      <c r="R140" s="505"/>
      <c r="S140" s="505"/>
      <c r="T140" s="505"/>
      <c r="U140" s="505"/>
      <c r="V140" s="505"/>
      <c r="W140" s="505"/>
      <c r="X140" s="505"/>
      <c r="Y140" s="505"/>
      <c r="Z140" s="505"/>
      <c r="AA140" s="505"/>
      <c r="AB140" s="505"/>
      <c r="AC140" s="505"/>
    </row>
    <row r="141" spans="1:29">
      <c r="A141" s="505"/>
      <c r="B141" s="505"/>
      <c r="C141" s="505"/>
      <c r="D141" s="505"/>
      <c r="E141" s="505"/>
      <c r="F141" s="505"/>
      <c r="G141" s="505"/>
      <c r="H141" s="505"/>
      <c r="I141" s="505"/>
      <c r="J141" s="505"/>
      <c r="K141" s="517"/>
      <c r="L141" s="518"/>
      <c r="M141" s="505"/>
      <c r="N141" s="505"/>
      <c r="O141" s="505"/>
      <c r="P141" s="505"/>
      <c r="Q141" s="505"/>
      <c r="R141" s="505"/>
      <c r="S141" s="505"/>
      <c r="T141" s="505"/>
      <c r="U141" s="505"/>
      <c r="V141" s="505"/>
      <c r="W141" s="505"/>
      <c r="X141" s="505"/>
      <c r="Y141" s="505"/>
      <c r="Z141" s="505"/>
      <c r="AA141" s="505"/>
      <c r="AB141" s="505"/>
      <c r="AC141" s="505"/>
    </row>
    <row r="142" spans="1:29">
      <c r="A142" s="505"/>
      <c r="B142" s="505"/>
      <c r="C142" s="505"/>
      <c r="D142" s="505"/>
      <c r="E142" s="505"/>
      <c r="F142" s="505"/>
      <c r="G142" s="505"/>
      <c r="H142" s="505"/>
      <c r="I142" s="505"/>
      <c r="J142" s="505"/>
      <c r="K142" s="517"/>
      <c r="L142" s="518"/>
      <c r="M142" s="505"/>
      <c r="N142" s="505"/>
      <c r="O142" s="505"/>
      <c r="P142" s="505"/>
      <c r="Q142" s="505"/>
      <c r="R142" s="505"/>
      <c r="S142" s="505"/>
      <c r="T142" s="505"/>
      <c r="U142" s="505"/>
      <c r="V142" s="505"/>
      <c r="W142" s="505"/>
      <c r="X142" s="505"/>
      <c r="Y142" s="505"/>
      <c r="Z142" s="505"/>
      <c r="AA142" s="505"/>
      <c r="AB142" s="505"/>
      <c r="AC142" s="505"/>
    </row>
    <row r="143" spans="1:29">
      <c r="A143" s="505"/>
      <c r="B143" s="505"/>
      <c r="C143" s="505"/>
      <c r="D143" s="505"/>
      <c r="E143" s="505"/>
      <c r="F143" s="505"/>
      <c r="G143" s="505"/>
      <c r="H143" s="505"/>
      <c r="I143" s="505"/>
      <c r="J143" s="505"/>
      <c r="K143" s="517"/>
      <c r="L143" s="518"/>
      <c r="M143" s="505"/>
      <c r="N143" s="505"/>
      <c r="O143" s="505"/>
      <c r="P143" s="505"/>
      <c r="Q143" s="505"/>
      <c r="R143" s="505"/>
      <c r="S143" s="505"/>
      <c r="T143" s="505"/>
      <c r="U143" s="505"/>
      <c r="V143" s="505"/>
      <c r="W143" s="505"/>
      <c r="X143" s="505"/>
      <c r="Y143" s="505"/>
      <c r="Z143" s="505"/>
      <c r="AA143" s="505"/>
      <c r="AB143" s="505"/>
      <c r="AC143" s="505"/>
    </row>
    <row r="144" spans="1:29">
      <c r="A144" s="505"/>
      <c r="B144" s="505"/>
      <c r="C144" s="505"/>
      <c r="D144" s="505"/>
      <c r="E144" s="505"/>
      <c r="F144" s="505"/>
      <c r="G144" s="505"/>
      <c r="H144" s="505"/>
      <c r="I144" s="505"/>
      <c r="J144" s="505"/>
      <c r="K144" s="517"/>
      <c r="L144" s="518"/>
      <c r="M144" s="505"/>
      <c r="N144" s="505"/>
      <c r="O144" s="505"/>
      <c r="P144" s="505"/>
      <c r="Q144" s="505"/>
      <c r="R144" s="505"/>
      <c r="S144" s="505"/>
      <c r="T144" s="505"/>
      <c r="U144" s="505"/>
      <c r="V144" s="505"/>
      <c r="W144" s="505"/>
      <c r="X144" s="505"/>
      <c r="Y144" s="505"/>
      <c r="Z144" s="505"/>
      <c r="AA144" s="505"/>
      <c r="AB144" s="505"/>
      <c r="AC144" s="505"/>
    </row>
    <row r="145" spans="1:29">
      <c r="A145" s="505"/>
      <c r="B145" s="505"/>
      <c r="C145" s="505"/>
      <c r="D145" s="505"/>
      <c r="E145" s="505"/>
      <c r="F145" s="505"/>
      <c r="G145" s="505"/>
      <c r="H145" s="505"/>
      <c r="I145" s="505"/>
      <c r="J145" s="505"/>
      <c r="K145" s="517"/>
      <c r="L145" s="518"/>
      <c r="M145" s="505"/>
      <c r="N145" s="505"/>
      <c r="O145" s="505"/>
      <c r="P145" s="505"/>
      <c r="Q145" s="505"/>
      <c r="R145" s="505"/>
      <c r="S145" s="505"/>
      <c r="T145" s="505"/>
      <c r="U145" s="505"/>
      <c r="V145" s="505"/>
      <c r="W145" s="505"/>
      <c r="X145" s="505"/>
      <c r="Y145" s="505"/>
      <c r="Z145" s="505"/>
      <c r="AA145" s="505"/>
      <c r="AB145" s="505"/>
      <c r="AC145" s="505"/>
    </row>
    <row r="146" spans="1:29">
      <c r="A146" s="505"/>
      <c r="B146" s="505"/>
      <c r="C146" s="505"/>
      <c r="D146" s="505"/>
      <c r="E146" s="505"/>
      <c r="F146" s="505"/>
      <c r="G146" s="505"/>
      <c r="H146" s="505"/>
      <c r="I146" s="505"/>
      <c r="J146" s="505"/>
      <c r="K146" s="517"/>
      <c r="L146" s="518"/>
      <c r="M146" s="505"/>
      <c r="N146" s="505"/>
      <c r="O146" s="505"/>
      <c r="P146" s="505"/>
      <c r="Q146" s="505"/>
      <c r="R146" s="505"/>
      <c r="S146" s="505"/>
      <c r="T146" s="505"/>
      <c r="U146" s="505"/>
      <c r="V146" s="505"/>
      <c r="W146" s="505"/>
      <c r="X146" s="505"/>
      <c r="Y146" s="505"/>
      <c r="Z146" s="505"/>
      <c r="AA146" s="505"/>
      <c r="AB146" s="505"/>
      <c r="AC146" s="505"/>
    </row>
    <row r="147" spans="1:29">
      <c r="A147" s="505"/>
      <c r="B147" s="505"/>
      <c r="C147" s="505"/>
      <c r="D147" s="505"/>
      <c r="E147" s="505"/>
      <c r="F147" s="505"/>
      <c r="G147" s="505"/>
      <c r="H147" s="505"/>
      <c r="I147" s="505"/>
      <c r="J147" s="505"/>
      <c r="K147" s="517"/>
      <c r="L147" s="518"/>
      <c r="M147" s="505"/>
      <c r="N147" s="505"/>
      <c r="O147" s="505"/>
      <c r="P147" s="505"/>
      <c r="Q147" s="505"/>
      <c r="R147" s="505"/>
      <c r="S147" s="505"/>
      <c r="T147" s="505"/>
      <c r="U147" s="505"/>
      <c r="V147" s="505"/>
      <c r="W147" s="505"/>
      <c r="X147" s="505"/>
      <c r="Y147" s="505"/>
      <c r="Z147" s="505"/>
      <c r="AA147" s="505"/>
      <c r="AB147" s="505"/>
      <c r="AC147" s="505"/>
    </row>
    <row r="148" spans="1:29">
      <c r="A148" s="505"/>
      <c r="B148" s="505"/>
      <c r="C148" s="505"/>
      <c r="D148" s="505"/>
      <c r="E148" s="505"/>
      <c r="F148" s="505"/>
      <c r="G148" s="505"/>
      <c r="H148" s="505"/>
      <c r="I148" s="505"/>
      <c r="J148" s="505"/>
      <c r="K148" s="517"/>
      <c r="L148" s="518"/>
      <c r="M148" s="505"/>
      <c r="N148" s="505"/>
      <c r="O148" s="505"/>
      <c r="P148" s="505"/>
      <c r="Q148" s="505"/>
      <c r="R148" s="505"/>
      <c r="S148" s="505"/>
      <c r="T148" s="505"/>
      <c r="U148" s="505"/>
      <c r="V148" s="505"/>
      <c r="W148" s="505"/>
      <c r="X148" s="505"/>
      <c r="Y148" s="505"/>
      <c r="Z148" s="505"/>
      <c r="AA148" s="505"/>
      <c r="AB148" s="505"/>
      <c r="AC148" s="505"/>
    </row>
    <row r="149" spans="1:29">
      <c r="A149" s="505"/>
      <c r="B149" s="505"/>
      <c r="C149" s="505"/>
      <c r="D149" s="505"/>
      <c r="E149" s="505"/>
      <c r="F149" s="505"/>
      <c r="G149" s="505"/>
      <c r="H149" s="505"/>
      <c r="I149" s="505"/>
      <c r="J149" s="505"/>
      <c r="K149" s="517"/>
      <c r="L149" s="518"/>
      <c r="M149" s="505"/>
      <c r="N149" s="505"/>
      <c r="O149" s="505"/>
      <c r="P149" s="505"/>
      <c r="Q149" s="505"/>
      <c r="R149" s="505"/>
      <c r="S149" s="505"/>
      <c r="T149" s="505"/>
      <c r="U149" s="505"/>
      <c r="V149" s="505"/>
      <c r="W149" s="505"/>
      <c r="X149" s="505"/>
      <c r="Y149" s="505"/>
      <c r="Z149" s="505"/>
      <c r="AA149" s="505"/>
      <c r="AB149" s="505"/>
      <c r="AC149" s="505"/>
    </row>
    <row r="150" spans="1:29">
      <c r="A150" s="505"/>
      <c r="B150" s="505"/>
      <c r="C150" s="505"/>
      <c r="D150" s="505"/>
      <c r="E150" s="505"/>
      <c r="F150" s="505"/>
      <c r="G150" s="505"/>
      <c r="H150" s="505"/>
      <c r="I150" s="505"/>
      <c r="J150" s="505"/>
      <c r="K150" s="517"/>
      <c r="L150" s="518"/>
      <c r="M150" s="505"/>
      <c r="N150" s="505"/>
      <c r="O150" s="505"/>
      <c r="P150" s="505"/>
      <c r="Q150" s="505"/>
      <c r="R150" s="505"/>
      <c r="S150" s="505"/>
      <c r="T150" s="505"/>
      <c r="U150" s="505"/>
      <c r="V150" s="505"/>
      <c r="W150" s="505"/>
      <c r="X150" s="505"/>
      <c r="Y150" s="505"/>
      <c r="Z150" s="505"/>
      <c r="AA150" s="505"/>
      <c r="AB150" s="505"/>
      <c r="AC150" s="505"/>
    </row>
    <row r="151" spans="1:29">
      <c r="A151" s="505"/>
      <c r="B151" s="505"/>
      <c r="C151" s="505"/>
      <c r="D151" s="505"/>
      <c r="E151" s="505"/>
      <c r="F151" s="505"/>
      <c r="G151" s="505"/>
      <c r="H151" s="505"/>
      <c r="I151" s="505"/>
      <c r="J151" s="505"/>
      <c r="K151" s="517"/>
      <c r="L151" s="518"/>
      <c r="M151" s="505"/>
      <c r="N151" s="505"/>
      <c r="O151" s="505"/>
      <c r="P151" s="505"/>
      <c r="Q151" s="505"/>
      <c r="R151" s="505"/>
      <c r="S151" s="505"/>
      <c r="T151" s="505"/>
      <c r="U151" s="505"/>
      <c r="V151" s="505"/>
      <c r="W151" s="505"/>
      <c r="X151" s="505"/>
      <c r="Y151" s="505"/>
      <c r="Z151" s="505"/>
      <c r="AA151" s="505"/>
      <c r="AB151" s="505"/>
      <c r="AC151" s="505"/>
    </row>
    <row r="152" spans="1:29">
      <c r="A152" s="505"/>
      <c r="B152" s="505"/>
      <c r="C152" s="505"/>
      <c r="D152" s="505"/>
      <c r="E152" s="505"/>
      <c r="F152" s="505"/>
      <c r="G152" s="505"/>
      <c r="H152" s="505"/>
      <c r="I152" s="505"/>
      <c r="J152" s="505"/>
      <c r="K152" s="517"/>
      <c r="L152" s="518"/>
      <c r="M152" s="505"/>
      <c r="N152" s="505"/>
      <c r="O152" s="505"/>
      <c r="P152" s="505"/>
      <c r="Q152" s="505"/>
      <c r="R152" s="505"/>
      <c r="S152" s="505"/>
      <c r="T152" s="505"/>
      <c r="U152" s="505"/>
      <c r="V152" s="505"/>
      <c r="W152" s="505"/>
      <c r="X152" s="505"/>
      <c r="Y152" s="505"/>
      <c r="Z152" s="505"/>
      <c r="AA152" s="505"/>
      <c r="AB152" s="505"/>
      <c r="AC152" s="505"/>
    </row>
    <row r="153" spans="1:29">
      <c r="A153" s="505"/>
      <c r="B153" s="505"/>
      <c r="C153" s="505"/>
      <c r="D153" s="505"/>
      <c r="E153" s="505"/>
      <c r="F153" s="505"/>
      <c r="G153" s="505"/>
      <c r="H153" s="505"/>
      <c r="I153" s="505"/>
      <c r="J153" s="505"/>
      <c r="K153" s="517"/>
      <c r="L153" s="518"/>
      <c r="M153" s="505"/>
      <c r="N153" s="505"/>
      <c r="O153" s="505"/>
      <c r="P153" s="505"/>
      <c r="Q153" s="505"/>
      <c r="R153" s="505"/>
      <c r="S153" s="505"/>
      <c r="T153" s="505"/>
      <c r="U153" s="505"/>
      <c r="V153" s="505"/>
      <c r="W153" s="505"/>
      <c r="X153" s="505"/>
      <c r="Y153" s="505"/>
      <c r="Z153" s="505"/>
      <c r="AA153" s="505"/>
      <c r="AB153" s="505"/>
      <c r="AC153" s="505"/>
    </row>
    <row r="154" spans="1:29">
      <c r="A154" s="505"/>
      <c r="B154" s="505"/>
      <c r="C154" s="505"/>
      <c r="D154" s="505"/>
      <c r="E154" s="505"/>
      <c r="F154" s="505"/>
      <c r="G154" s="505"/>
      <c r="H154" s="505"/>
      <c r="I154" s="505"/>
      <c r="J154" s="505"/>
      <c r="K154" s="517"/>
      <c r="L154" s="518"/>
      <c r="M154" s="505"/>
      <c r="N154" s="505"/>
      <c r="O154" s="505"/>
      <c r="P154" s="505"/>
      <c r="Q154" s="505"/>
      <c r="R154" s="505"/>
      <c r="S154" s="505"/>
      <c r="T154" s="505"/>
      <c r="U154" s="505"/>
      <c r="V154" s="505"/>
      <c r="W154" s="505"/>
      <c r="X154" s="505"/>
      <c r="Y154" s="505"/>
      <c r="Z154" s="505"/>
      <c r="AA154" s="505"/>
      <c r="AB154" s="505"/>
      <c r="AC154" s="505"/>
    </row>
    <row r="155" spans="1:29">
      <c r="A155" s="505"/>
      <c r="B155" s="505"/>
      <c r="C155" s="505"/>
      <c r="D155" s="505"/>
      <c r="E155" s="505"/>
      <c r="F155" s="505"/>
      <c r="G155" s="505"/>
      <c r="H155" s="505"/>
      <c r="I155" s="505"/>
      <c r="J155" s="505"/>
      <c r="K155" s="517"/>
      <c r="L155" s="518"/>
      <c r="M155" s="505"/>
      <c r="N155" s="505"/>
      <c r="O155" s="505"/>
      <c r="P155" s="505"/>
      <c r="Q155" s="505"/>
      <c r="R155" s="505"/>
      <c r="S155" s="505"/>
      <c r="T155" s="505"/>
      <c r="U155" s="505"/>
      <c r="V155" s="505"/>
      <c r="W155" s="505"/>
      <c r="X155" s="505"/>
      <c r="Y155" s="505"/>
      <c r="Z155" s="505"/>
      <c r="AA155" s="505"/>
      <c r="AB155" s="505"/>
      <c r="AC155" s="505"/>
    </row>
    <row r="156" spans="1:29">
      <c r="A156" s="505"/>
      <c r="B156" s="505"/>
      <c r="C156" s="505"/>
      <c r="D156" s="505"/>
      <c r="E156" s="505"/>
      <c r="F156" s="505"/>
      <c r="G156" s="505"/>
      <c r="H156" s="505"/>
      <c r="I156" s="505"/>
      <c r="J156" s="505"/>
      <c r="K156" s="517"/>
      <c r="L156" s="518"/>
      <c r="M156" s="505"/>
      <c r="N156" s="505"/>
      <c r="O156" s="505"/>
      <c r="P156" s="505"/>
      <c r="Q156" s="505"/>
      <c r="R156" s="505"/>
      <c r="S156" s="505"/>
      <c r="T156" s="505"/>
      <c r="U156" s="505"/>
      <c r="V156" s="505"/>
      <c r="W156" s="505"/>
      <c r="X156" s="505"/>
      <c r="Y156" s="505"/>
      <c r="Z156" s="505"/>
      <c r="AA156" s="505"/>
      <c r="AB156" s="505"/>
      <c r="AC156" s="505"/>
    </row>
    <row r="157" spans="1:29">
      <c r="A157" s="505"/>
      <c r="B157" s="505"/>
      <c r="C157" s="505"/>
      <c r="D157" s="505"/>
      <c r="E157" s="505"/>
      <c r="F157" s="505"/>
      <c r="G157" s="505"/>
      <c r="H157" s="505"/>
      <c r="I157" s="505"/>
      <c r="J157" s="505"/>
      <c r="K157" s="517"/>
      <c r="L157" s="518"/>
      <c r="M157" s="505"/>
      <c r="N157" s="505"/>
      <c r="O157" s="505"/>
      <c r="P157" s="505"/>
      <c r="Q157" s="505"/>
      <c r="R157" s="505"/>
      <c r="S157" s="505"/>
      <c r="T157" s="505"/>
      <c r="U157" s="505"/>
      <c r="V157" s="505"/>
      <c r="W157" s="505"/>
      <c r="X157" s="505"/>
      <c r="Y157" s="505"/>
      <c r="Z157" s="505"/>
      <c r="AA157" s="505"/>
      <c r="AB157" s="505"/>
      <c r="AC157" s="505"/>
    </row>
    <row r="158" spans="1:29">
      <c r="A158" s="505"/>
      <c r="B158" s="505"/>
      <c r="C158" s="505"/>
      <c r="D158" s="505"/>
      <c r="E158" s="505"/>
      <c r="F158" s="505"/>
      <c r="G158" s="505"/>
      <c r="H158" s="505"/>
      <c r="I158" s="505"/>
      <c r="J158" s="505"/>
      <c r="K158" s="517"/>
      <c r="L158" s="518"/>
      <c r="M158" s="505"/>
      <c r="N158" s="505"/>
      <c r="O158" s="505"/>
      <c r="P158" s="505"/>
      <c r="Q158" s="505"/>
      <c r="R158" s="505"/>
      <c r="S158" s="505"/>
      <c r="T158" s="505"/>
      <c r="U158" s="505"/>
      <c r="V158" s="505"/>
      <c r="W158" s="505"/>
      <c r="X158" s="505"/>
      <c r="Y158" s="505"/>
      <c r="Z158" s="505"/>
      <c r="AA158" s="505"/>
      <c r="AB158" s="505"/>
      <c r="AC158" s="505"/>
    </row>
    <row r="159" spans="1:29">
      <c r="A159" s="505"/>
      <c r="B159" s="505"/>
      <c r="C159" s="505"/>
      <c r="D159" s="505"/>
      <c r="E159" s="505"/>
      <c r="F159" s="505"/>
      <c r="G159" s="505"/>
      <c r="H159" s="505"/>
      <c r="I159" s="505"/>
      <c r="J159" s="505"/>
      <c r="K159" s="517"/>
      <c r="L159" s="518"/>
      <c r="M159" s="505"/>
      <c r="N159" s="505"/>
      <c r="O159" s="505"/>
      <c r="P159" s="505"/>
      <c r="Q159" s="505"/>
      <c r="R159" s="505"/>
      <c r="S159" s="505"/>
      <c r="T159" s="505"/>
      <c r="U159" s="505"/>
      <c r="V159" s="505"/>
      <c r="W159" s="505"/>
      <c r="X159" s="505"/>
      <c r="Y159" s="505"/>
      <c r="Z159" s="505"/>
      <c r="AA159" s="505"/>
      <c r="AB159" s="505"/>
      <c r="AC159" s="505"/>
    </row>
    <row r="160" spans="1:29">
      <c r="A160" s="505"/>
      <c r="B160" s="505"/>
      <c r="C160" s="505"/>
      <c r="D160" s="505"/>
      <c r="E160" s="505"/>
      <c r="F160" s="505"/>
      <c r="G160" s="505"/>
      <c r="H160" s="505"/>
      <c r="I160" s="505"/>
      <c r="J160" s="505"/>
      <c r="K160" s="517"/>
      <c r="L160" s="518"/>
      <c r="M160" s="505"/>
      <c r="N160" s="505"/>
      <c r="O160" s="505"/>
      <c r="P160" s="505"/>
      <c r="Q160" s="505"/>
      <c r="R160" s="505"/>
      <c r="S160" s="505"/>
      <c r="T160" s="505"/>
      <c r="U160" s="505"/>
      <c r="V160" s="505"/>
      <c r="W160" s="505"/>
      <c r="X160" s="505"/>
      <c r="Y160" s="505"/>
      <c r="Z160" s="505"/>
      <c r="AA160" s="505"/>
      <c r="AB160" s="505"/>
      <c r="AC160" s="505"/>
    </row>
    <row r="161" spans="1:29">
      <c r="A161" s="505"/>
      <c r="B161" s="505"/>
      <c r="C161" s="505"/>
      <c r="D161" s="505"/>
      <c r="E161" s="505"/>
      <c r="F161" s="505"/>
      <c r="G161" s="505"/>
      <c r="H161" s="505"/>
      <c r="I161" s="505"/>
      <c r="J161" s="505"/>
      <c r="K161" s="517"/>
      <c r="L161" s="518"/>
      <c r="M161" s="505"/>
      <c r="N161" s="505"/>
      <c r="O161" s="505"/>
      <c r="P161" s="505"/>
      <c r="Q161" s="505"/>
      <c r="R161" s="505"/>
      <c r="S161" s="505"/>
      <c r="T161" s="505"/>
      <c r="U161" s="505"/>
      <c r="V161" s="505"/>
      <c r="W161" s="505"/>
      <c r="X161" s="505"/>
      <c r="Y161" s="505"/>
      <c r="Z161" s="505"/>
      <c r="AA161" s="505"/>
      <c r="AB161" s="505"/>
      <c r="AC161" s="505"/>
    </row>
    <row r="162" spans="1:29">
      <c r="A162" s="505"/>
      <c r="B162" s="505"/>
      <c r="C162" s="505"/>
      <c r="D162" s="505"/>
      <c r="E162" s="505"/>
      <c r="F162" s="505"/>
      <c r="G162" s="505"/>
      <c r="H162" s="505"/>
      <c r="I162" s="505"/>
      <c r="J162" s="505"/>
      <c r="K162" s="517"/>
      <c r="L162" s="518"/>
      <c r="M162" s="505"/>
      <c r="N162" s="505"/>
      <c r="O162" s="505"/>
      <c r="P162" s="505"/>
      <c r="Q162" s="505"/>
      <c r="R162" s="505"/>
      <c r="S162" s="505"/>
      <c r="T162" s="505"/>
      <c r="U162" s="505"/>
      <c r="V162" s="505"/>
      <c r="W162" s="505"/>
      <c r="X162" s="505"/>
      <c r="Y162" s="505"/>
      <c r="Z162" s="505"/>
      <c r="AA162" s="505"/>
      <c r="AB162" s="505"/>
      <c r="AC162" s="505"/>
    </row>
    <row r="163" spans="1:29">
      <c r="A163" s="505"/>
      <c r="B163" s="505"/>
      <c r="C163" s="505"/>
      <c r="D163" s="505"/>
      <c r="E163" s="505"/>
      <c r="F163" s="505"/>
      <c r="G163" s="505"/>
      <c r="H163" s="505"/>
      <c r="I163" s="505"/>
      <c r="J163" s="505"/>
      <c r="K163" s="517"/>
      <c r="L163" s="518"/>
      <c r="M163" s="505"/>
      <c r="N163" s="505"/>
      <c r="O163" s="505"/>
      <c r="P163" s="505"/>
      <c r="Q163" s="505"/>
      <c r="R163" s="505"/>
      <c r="S163" s="505"/>
      <c r="T163" s="505"/>
      <c r="U163" s="505"/>
      <c r="V163" s="505"/>
      <c r="W163" s="505"/>
      <c r="X163" s="505"/>
      <c r="Y163" s="505"/>
      <c r="Z163" s="505"/>
      <c r="AA163" s="505"/>
      <c r="AB163" s="505"/>
      <c r="AC163" s="505"/>
    </row>
    <row r="164" spans="1:29">
      <c r="A164" s="505"/>
      <c r="B164" s="505"/>
      <c r="C164" s="505"/>
      <c r="D164" s="505"/>
      <c r="E164" s="505"/>
      <c r="F164" s="505"/>
      <c r="G164" s="505"/>
      <c r="H164" s="505"/>
      <c r="I164" s="505"/>
      <c r="J164" s="505"/>
      <c r="K164" s="517"/>
      <c r="L164" s="518"/>
      <c r="M164" s="505"/>
      <c r="N164" s="505"/>
      <c r="O164" s="505"/>
      <c r="P164" s="505"/>
      <c r="Q164" s="505"/>
      <c r="R164" s="505"/>
      <c r="S164" s="505"/>
      <c r="T164" s="505"/>
      <c r="U164" s="505"/>
      <c r="V164" s="505"/>
      <c r="W164" s="505"/>
      <c r="X164" s="505"/>
      <c r="Y164" s="505"/>
      <c r="Z164" s="505"/>
      <c r="AA164" s="505"/>
      <c r="AB164" s="505"/>
      <c r="AC164" s="505"/>
    </row>
    <row r="165" spans="1:29">
      <c r="A165" s="505"/>
      <c r="B165" s="505"/>
      <c r="C165" s="505"/>
      <c r="D165" s="505"/>
      <c r="E165" s="505"/>
      <c r="F165" s="505"/>
      <c r="G165" s="505"/>
      <c r="H165" s="505"/>
      <c r="I165" s="505"/>
      <c r="J165" s="505"/>
      <c r="K165" s="517"/>
      <c r="L165" s="518"/>
      <c r="M165" s="505"/>
      <c r="N165" s="505"/>
      <c r="O165" s="505"/>
      <c r="P165" s="505"/>
      <c r="Q165" s="505"/>
      <c r="R165" s="505"/>
      <c r="S165" s="505"/>
      <c r="T165" s="505"/>
      <c r="U165" s="505"/>
      <c r="V165" s="505"/>
      <c r="W165" s="505"/>
      <c r="X165" s="505"/>
      <c r="Y165" s="505"/>
      <c r="Z165" s="505"/>
      <c r="AA165" s="505"/>
      <c r="AB165" s="505"/>
      <c r="AC165" s="505"/>
    </row>
    <row r="166" spans="1:29">
      <c r="A166" s="505"/>
      <c r="B166" s="505"/>
      <c r="C166" s="505"/>
      <c r="D166" s="505"/>
      <c r="E166" s="505"/>
      <c r="F166" s="505"/>
      <c r="G166" s="505"/>
      <c r="H166" s="505"/>
      <c r="I166" s="505"/>
      <c r="J166" s="505"/>
      <c r="K166" s="517"/>
      <c r="L166" s="518"/>
      <c r="M166" s="505"/>
      <c r="N166" s="505"/>
      <c r="O166" s="505"/>
      <c r="P166" s="505"/>
      <c r="Q166" s="505"/>
      <c r="R166" s="505"/>
      <c r="S166" s="505"/>
      <c r="T166" s="505"/>
      <c r="U166" s="505"/>
      <c r="V166" s="505"/>
      <c r="W166" s="505"/>
      <c r="X166" s="505"/>
      <c r="Y166" s="505"/>
      <c r="Z166" s="505"/>
      <c r="AA166" s="505"/>
      <c r="AB166" s="505"/>
      <c r="AC166" s="505"/>
    </row>
    <row r="167" spans="1:29">
      <c r="A167" s="505"/>
      <c r="B167" s="505"/>
      <c r="C167" s="505"/>
      <c r="D167" s="505"/>
      <c r="E167" s="505"/>
      <c r="F167" s="505"/>
      <c r="G167" s="505"/>
      <c r="H167" s="505"/>
      <c r="I167" s="505"/>
      <c r="J167" s="505"/>
      <c r="K167" s="517"/>
      <c r="L167" s="518"/>
      <c r="M167" s="505"/>
      <c r="N167" s="505"/>
      <c r="O167" s="505"/>
      <c r="P167" s="505"/>
      <c r="Q167" s="505"/>
      <c r="R167" s="505"/>
      <c r="S167" s="505"/>
      <c r="T167" s="505"/>
      <c r="U167" s="505"/>
      <c r="V167" s="505"/>
      <c r="W167" s="505"/>
      <c r="X167" s="505"/>
      <c r="Y167" s="505"/>
      <c r="Z167" s="505"/>
      <c r="AA167" s="505"/>
      <c r="AB167" s="505"/>
      <c r="AC167" s="505"/>
    </row>
    <row r="168" spans="1:29">
      <c r="A168" s="505"/>
      <c r="B168" s="505"/>
      <c r="C168" s="505"/>
      <c r="D168" s="505"/>
      <c r="E168" s="505"/>
      <c r="F168" s="505"/>
      <c r="G168" s="505"/>
      <c r="H168" s="505"/>
      <c r="I168" s="505"/>
      <c r="J168" s="505"/>
      <c r="K168" s="517"/>
      <c r="L168" s="518"/>
      <c r="M168" s="505"/>
      <c r="N168" s="505"/>
      <c r="O168" s="505"/>
      <c r="P168" s="505"/>
      <c r="Q168" s="505"/>
      <c r="R168" s="505"/>
      <c r="S168" s="505"/>
      <c r="T168" s="505"/>
      <c r="U168" s="505"/>
      <c r="V168" s="505"/>
      <c r="W168" s="505"/>
      <c r="X168" s="505"/>
      <c r="Y168" s="505"/>
      <c r="Z168" s="505"/>
      <c r="AA168" s="505"/>
      <c r="AB168" s="505"/>
      <c r="AC168" s="505"/>
    </row>
    <row r="169" spans="1:29">
      <c r="A169" s="505"/>
      <c r="B169" s="505"/>
      <c r="C169" s="505"/>
      <c r="D169" s="505"/>
      <c r="E169" s="505"/>
      <c r="F169" s="505"/>
      <c r="G169" s="505"/>
      <c r="H169" s="505"/>
      <c r="I169" s="505"/>
      <c r="J169" s="505"/>
      <c r="K169" s="517"/>
      <c r="L169" s="518"/>
      <c r="M169" s="505"/>
      <c r="N169" s="505"/>
      <c r="O169" s="505"/>
      <c r="P169" s="505"/>
      <c r="Q169" s="505"/>
      <c r="R169" s="505"/>
      <c r="S169" s="505"/>
      <c r="T169" s="505"/>
      <c r="U169" s="505"/>
      <c r="V169" s="505"/>
      <c r="W169" s="505"/>
      <c r="X169" s="505"/>
      <c r="Y169" s="505"/>
      <c r="Z169" s="505"/>
      <c r="AA169" s="505"/>
      <c r="AB169" s="505"/>
      <c r="AC169" s="505"/>
    </row>
    <row r="170" spans="1:29">
      <c r="A170" s="505"/>
      <c r="B170" s="505"/>
      <c r="C170" s="505"/>
      <c r="D170" s="505"/>
      <c r="E170" s="505"/>
      <c r="F170" s="505"/>
      <c r="G170" s="505"/>
      <c r="H170" s="505"/>
      <c r="I170" s="505"/>
      <c r="J170" s="505"/>
      <c r="K170" s="517"/>
      <c r="L170" s="518"/>
      <c r="M170" s="505"/>
      <c r="N170" s="505"/>
      <c r="O170" s="505"/>
      <c r="P170" s="505"/>
      <c r="Q170" s="505"/>
      <c r="R170" s="505"/>
      <c r="S170" s="505"/>
      <c r="T170" s="505"/>
      <c r="U170" s="505"/>
      <c r="V170" s="505"/>
      <c r="W170" s="505"/>
      <c r="X170" s="505"/>
      <c r="Y170" s="505"/>
      <c r="Z170" s="505"/>
      <c r="AA170" s="505"/>
      <c r="AB170" s="505"/>
      <c r="AC170" s="505"/>
    </row>
    <row r="171" spans="1:29">
      <c r="A171" s="505"/>
      <c r="B171" s="505"/>
      <c r="C171" s="505"/>
      <c r="D171" s="505"/>
      <c r="E171" s="505"/>
      <c r="F171" s="505"/>
      <c r="G171" s="505"/>
      <c r="H171" s="505"/>
      <c r="I171" s="505"/>
      <c r="J171" s="505"/>
      <c r="K171" s="517"/>
      <c r="L171" s="518"/>
      <c r="M171" s="505"/>
      <c r="N171" s="505"/>
      <c r="O171" s="505"/>
      <c r="P171" s="505"/>
      <c r="Q171" s="505"/>
      <c r="R171" s="505"/>
      <c r="S171" s="505"/>
      <c r="T171" s="505"/>
      <c r="U171" s="505"/>
      <c r="V171" s="505"/>
      <c r="W171" s="505"/>
      <c r="X171" s="505"/>
      <c r="Y171" s="505"/>
      <c r="Z171" s="505"/>
      <c r="AA171" s="505"/>
      <c r="AB171" s="505"/>
      <c r="AC171" s="505"/>
    </row>
    <row r="172" spans="1:29">
      <c r="A172" s="505"/>
      <c r="B172" s="505"/>
      <c r="C172" s="505"/>
      <c r="D172" s="505"/>
      <c r="E172" s="505"/>
      <c r="F172" s="505"/>
      <c r="G172" s="505"/>
      <c r="H172" s="505"/>
      <c r="I172" s="505"/>
      <c r="J172" s="505"/>
      <c r="K172" s="517"/>
      <c r="L172" s="518"/>
      <c r="M172" s="505"/>
      <c r="N172" s="505"/>
      <c r="O172" s="505"/>
      <c r="P172" s="505"/>
      <c r="Q172" s="505"/>
      <c r="R172" s="505"/>
      <c r="S172" s="505"/>
      <c r="T172" s="505"/>
      <c r="U172" s="505"/>
      <c r="V172" s="505"/>
      <c r="W172" s="505"/>
      <c r="X172" s="505"/>
      <c r="Y172" s="505"/>
      <c r="Z172" s="505"/>
      <c r="AA172" s="505"/>
      <c r="AB172" s="505"/>
      <c r="AC172" s="505"/>
    </row>
    <row r="173" spans="1:29">
      <c r="A173" s="505"/>
      <c r="B173" s="505"/>
      <c r="C173" s="505"/>
      <c r="D173" s="505"/>
      <c r="E173" s="505"/>
      <c r="F173" s="505"/>
      <c r="G173" s="505"/>
      <c r="H173" s="505"/>
      <c r="I173" s="505"/>
      <c r="J173" s="505"/>
      <c r="K173" s="517"/>
      <c r="L173" s="518"/>
      <c r="M173" s="505"/>
      <c r="N173" s="505"/>
      <c r="O173" s="505"/>
      <c r="P173" s="505"/>
      <c r="Q173" s="505"/>
      <c r="R173" s="505"/>
      <c r="S173" s="505"/>
      <c r="T173" s="505"/>
      <c r="U173" s="505"/>
      <c r="V173" s="505"/>
      <c r="W173" s="505"/>
      <c r="X173" s="505"/>
      <c r="Y173" s="505"/>
      <c r="Z173" s="505"/>
      <c r="AA173" s="505"/>
      <c r="AB173" s="505"/>
      <c r="AC173" s="505"/>
    </row>
    <row r="174" spans="1:29">
      <c r="A174" s="505"/>
      <c r="B174" s="505"/>
      <c r="C174" s="505"/>
      <c r="D174" s="505"/>
      <c r="E174" s="505"/>
      <c r="F174" s="505"/>
      <c r="G174" s="505"/>
      <c r="H174" s="505"/>
      <c r="I174" s="505"/>
      <c r="J174" s="505"/>
      <c r="K174" s="517"/>
      <c r="L174" s="518"/>
      <c r="M174" s="505"/>
      <c r="N174" s="505"/>
      <c r="O174" s="505"/>
      <c r="P174" s="505"/>
      <c r="Q174" s="505"/>
      <c r="R174" s="505"/>
      <c r="S174" s="505"/>
      <c r="T174" s="505"/>
      <c r="U174" s="505"/>
      <c r="V174" s="505"/>
      <c r="W174" s="505"/>
      <c r="X174" s="505"/>
      <c r="Y174" s="505"/>
      <c r="Z174" s="505"/>
      <c r="AA174" s="505"/>
      <c r="AB174" s="505"/>
      <c r="AC174" s="505"/>
    </row>
    <row r="175" spans="1:29">
      <c r="A175" s="505"/>
      <c r="B175" s="505"/>
      <c r="C175" s="505"/>
      <c r="D175" s="505"/>
      <c r="E175" s="505"/>
      <c r="F175" s="505"/>
      <c r="G175" s="505"/>
      <c r="H175" s="505"/>
      <c r="I175" s="505"/>
      <c r="J175" s="505"/>
      <c r="K175" s="517"/>
      <c r="L175" s="518"/>
      <c r="M175" s="505"/>
      <c r="N175" s="505"/>
      <c r="O175" s="505"/>
      <c r="P175" s="505"/>
      <c r="Q175" s="505"/>
      <c r="R175" s="505"/>
      <c r="S175" s="505"/>
      <c r="T175" s="505"/>
      <c r="U175" s="505"/>
      <c r="V175" s="505"/>
      <c r="W175" s="505"/>
      <c r="X175" s="505"/>
      <c r="Y175" s="505"/>
      <c r="Z175" s="505"/>
      <c r="AA175" s="505"/>
      <c r="AB175" s="505"/>
      <c r="AC175" s="505"/>
    </row>
    <row r="176" spans="1:29">
      <c r="A176" s="505"/>
      <c r="B176" s="505"/>
      <c r="C176" s="505"/>
      <c r="D176" s="505"/>
      <c r="E176" s="505"/>
      <c r="F176" s="505"/>
      <c r="G176" s="505"/>
      <c r="H176" s="505"/>
      <c r="I176" s="505"/>
      <c r="J176" s="505"/>
      <c r="K176" s="517"/>
      <c r="L176" s="518"/>
      <c r="M176" s="505"/>
      <c r="N176" s="505"/>
      <c r="O176" s="505"/>
      <c r="P176" s="505"/>
      <c r="Q176" s="505"/>
      <c r="R176" s="505"/>
      <c r="S176" s="505"/>
      <c r="T176" s="505"/>
      <c r="U176" s="505"/>
      <c r="V176" s="505"/>
      <c r="W176" s="505"/>
      <c r="X176" s="505"/>
      <c r="Y176" s="505"/>
      <c r="Z176" s="505"/>
      <c r="AA176" s="505"/>
      <c r="AB176" s="505"/>
      <c r="AC176" s="505"/>
    </row>
    <row r="177" spans="1:29">
      <c r="A177" s="505"/>
      <c r="B177" s="505"/>
      <c r="C177" s="505"/>
      <c r="D177" s="505"/>
      <c r="E177" s="505"/>
      <c r="F177" s="505"/>
      <c r="G177" s="505"/>
      <c r="H177" s="505"/>
      <c r="I177" s="505"/>
      <c r="J177" s="505"/>
      <c r="K177" s="517"/>
      <c r="L177" s="518"/>
      <c r="M177" s="505"/>
      <c r="N177" s="505"/>
      <c r="O177" s="505"/>
      <c r="P177" s="505"/>
      <c r="Q177" s="505"/>
      <c r="R177" s="505"/>
      <c r="S177" s="505"/>
      <c r="T177" s="505"/>
      <c r="U177" s="505"/>
      <c r="V177" s="505"/>
      <c r="W177" s="505"/>
      <c r="X177" s="505"/>
      <c r="Y177" s="505"/>
      <c r="Z177" s="505"/>
      <c r="AA177" s="505"/>
      <c r="AB177" s="505"/>
      <c r="AC177" s="505"/>
    </row>
    <row r="178" spans="1:29">
      <c r="A178" s="505"/>
      <c r="B178" s="505"/>
      <c r="C178" s="505"/>
      <c r="D178" s="505"/>
      <c r="E178" s="505"/>
      <c r="F178" s="505"/>
      <c r="G178" s="505"/>
      <c r="H178" s="505"/>
      <c r="I178" s="505"/>
      <c r="J178" s="505"/>
      <c r="K178" s="517"/>
      <c r="L178" s="518"/>
      <c r="M178" s="505"/>
      <c r="N178" s="505"/>
      <c r="O178" s="505"/>
      <c r="P178" s="505"/>
      <c r="Q178" s="505"/>
      <c r="R178" s="505"/>
      <c r="S178" s="505"/>
      <c r="T178" s="505"/>
      <c r="U178" s="505"/>
      <c r="V178" s="505"/>
      <c r="W178" s="505"/>
      <c r="X178" s="505"/>
      <c r="Y178" s="505"/>
      <c r="Z178" s="505"/>
      <c r="AA178" s="505"/>
      <c r="AB178" s="505"/>
      <c r="AC178" s="505"/>
    </row>
    <row r="179" spans="1:29">
      <c r="A179" s="505"/>
      <c r="B179" s="505"/>
      <c r="C179" s="505"/>
      <c r="D179" s="505"/>
      <c r="E179" s="505"/>
      <c r="F179" s="505"/>
      <c r="G179" s="505"/>
      <c r="H179" s="505"/>
      <c r="I179" s="505"/>
      <c r="J179" s="505"/>
      <c r="K179" s="517"/>
      <c r="L179" s="518"/>
      <c r="M179" s="505"/>
      <c r="N179" s="505"/>
      <c r="O179" s="505"/>
      <c r="P179" s="505"/>
      <c r="Q179" s="505"/>
      <c r="R179" s="505"/>
      <c r="S179" s="505"/>
      <c r="T179" s="505"/>
      <c r="U179" s="505"/>
      <c r="V179" s="505"/>
      <c r="W179" s="505"/>
      <c r="X179" s="505"/>
      <c r="Y179" s="505"/>
      <c r="Z179" s="505"/>
      <c r="AA179" s="505"/>
      <c r="AB179" s="505"/>
      <c r="AC179" s="505"/>
    </row>
    <row r="180" spans="1:29">
      <c r="A180" s="505"/>
      <c r="B180" s="505"/>
      <c r="C180" s="505"/>
      <c r="D180" s="505"/>
      <c r="E180" s="505"/>
      <c r="F180" s="505"/>
      <c r="G180" s="505"/>
      <c r="H180" s="505"/>
      <c r="I180" s="505"/>
      <c r="J180" s="505"/>
      <c r="K180" s="517"/>
      <c r="L180" s="518"/>
      <c r="M180" s="505"/>
      <c r="N180" s="505"/>
      <c r="O180" s="505"/>
      <c r="P180" s="505"/>
      <c r="Q180" s="505"/>
      <c r="R180" s="505"/>
      <c r="S180" s="505"/>
      <c r="T180" s="505"/>
      <c r="U180" s="505"/>
      <c r="V180" s="505"/>
      <c r="W180" s="505"/>
      <c r="X180" s="505"/>
      <c r="Y180" s="505"/>
      <c r="Z180" s="505"/>
      <c r="AA180" s="505"/>
      <c r="AB180" s="505"/>
      <c r="AC180" s="505"/>
    </row>
    <row r="181" spans="1:29">
      <c r="A181" s="505"/>
      <c r="B181" s="505"/>
      <c r="C181" s="505"/>
      <c r="D181" s="505"/>
      <c r="E181" s="505"/>
      <c r="F181" s="505"/>
      <c r="G181" s="505"/>
      <c r="H181" s="505"/>
      <c r="I181" s="505"/>
      <c r="J181" s="505"/>
      <c r="K181" s="517"/>
      <c r="L181" s="518"/>
      <c r="M181" s="505"/>
      <c r="N181" s="505"/>
      <c r="O181" s="505"/>
      <c r="P181" s="505"/>
      <c r="Q181" s="505"/>
      <c r="R181" s="505"/>
      <c r="S181" s="505"/>
      <c r="T181" s="505"/>
      <c r="U181" s="505"/>
      <c r="V181" s="505"/>
      <c r="W181" s="505"/>
      <c r="X181" s="505"/>
      <c r="Y181" s="505"/>
      <c r="Z181" s="505"/>
      <c r="AA181" s="505"/>
      <c r="AB181" s="505"/>
      <c r="AC181" s="505"/>
    </row>
    <row r="182" spans="1:29">
      <c r="A182" s="505"/>
      <c r="B182" s="505"/>
      <c r="C182" s="505"/>
      <c r="D182" s="505"/>
      <c r="E182" s="505"/>
      <c r="F182" s="505"/>
      <c r="G182" s="505"/>
      <c r="H182" s="505"/>
      <c r="I182" s="505"/>
      <c r="J182" s="505"/>
      <c r="K182" s="517"/>
      <c r="L182" s="518"/>
      <c r="M182" s="505"/>
      <c r="N182" s="505"/>
      <c r="O182" s="505"/>
      <c r="P182" s="505"/>
      <c r="Q182" s="505"/>
      <c r="R182" s="505"/>
      <c r="S182" s="505"/>
      <c r="T182" s="505"/>
      <c r="U182" s="505"/>
      <c r="V182" s="505"/>
      <c r="W182" s="505"/>
      <c r="X182" s="505"/>
      <c r="Y182" s="505"/>
      <c r="Z182" s="505"/>
      <c r="AA182" s="505"/>
      <c r="AB182" s="505"/>
      <c r="AC182" s="505"/>
    </row>
    <row r="183" spans="1:29">
      <c r="A183" s="505"/>
      <c r="B183" s="505"/>
      <c r="C183" s="505"/>
      <c r="D183" s="505"/>
      <c r="E183" s="505"/>
      <c r="F183" s="505"/>
      <c r="G183" s="505"/>
      <c r="H183" s="505"/>
      <c r="I183" s="505"/>
      <c r="J183" s="505"/>
      <c r="K183" s="517"/>
      <c r="L183" s="518"/>
      <c r="M183" s="505"/>
      <c r="N183" s="505"/>
      <c r="O183" s="505"/>
      <c r="P183" s="505"/>
      <c r="Q183" s="505"/>
      <c r="R183" s="505"/>
      <c r="S183" s="505"/>
      <c r="T183" s="505"/>
      <c r="U183" s="505"/>
      <c r="V183" s="505"/>
      <c r="W183" s="505"/>
      <c r="X183" s="505"/>
      <c r="Y183" s="505"/>
      <c r="Z183" s="505"/>
      <c r="AA183" s="505"/>
      <c r="AB183" s="505"/>
      <c r="AC183" s="505"/>
    </row>
    <row r="184" spans="1:29">
      <c r="A184" s="505"/>
      <c r="B184" s="505"/>
      <c r="C184" s="505"/>
      <c r="D184" s="505"/>
      <c r="E184" s="505"/>
      <c r="F184" s="505"/>
      <c r="G184" s="505"/>
      <c r="H184" s="505"/>
      <c r="I184" s="505"/>
      <c r="J184" s="505"/>
      <c r="K184" s="517"/>
      <c r="L184" s="518"/>
      <c r="M184" s="505"/>
      <c r="N184" s="505"/>
      <c r="O184" s="505"/>
      <c r="P184" s="505"/>
      <c r="Q184" s="505"/>
      <c r="R184" s="505"/>
      <c r="S184" s="505"/>
      <c r="T184" s="505"/>
      <c r="U184" s="505"/>
      <c r="V184" s="505"/>
      <c r="W184" s="505"/>
      <c r="X184" s="505"/>
      <c r="Y184" s="505"/>
      <c r="Z184" s="505"/>
      <c r="AA184" s="505"/>
      <c r="AB184" s="505"/>
      <c r="AC184" s="505"/>
    </row>
    <row r="185" spans="1:29">
      <c r="A185" s="505"/>
      <c r="B185" s="505"/>
      <c r="C185" s="505"/>
      <c r="D185" s="505"/>
      <c r="E185" s="505"/>
      <c r="F185" s="505"/>
      <c r="G185" s="505"/>
      <c r="H185" s="505"/>
      <c r="I185" s="505"/>
      <c r="J185" s="505"/>
      <c r="K185" s="517"/>
      <c r="L185" s="518"/>
      <c r="M185" s="505"/>
      <c r="N185" s="505"/>
      <c r="O185" s="505"/>
      <c r="P185" s="505"/>
      <c r="Q185" s="505"/>
      <c r="R185" s="505"/>
      <c r="S185" s="505"/>
      <c r="T185" s="505"/>
      <c r="U185" s="505"/>
      <c r="V185" s="505"/>
      <c r="W185" s="505"/>
      <c r="X185" s="505"/>
      <c r="Y185" s="505"/>
      <c r="Z185" s="505"/>
      <c r="AA185" s="505"/>
      <c r="AB185" s="505"/>
      <c r="AC185" s="505"/>
    </row>
    <row r="186" spans="1:29">
      <c r="A186" s="505"/>
      <c r="B186" s="505"/>
      <c r="C186" s="505"/>
      <c r="D186" s="505"/>
      <c r="E186" s="505"/>
      <c r="F186" s="505"/>
      <c r="G186" s="505"/>
      <c r="H186" s="505"/>
      <c r="I186" s="505"/>
      <c r="J186" s="505"/>
      <c r="K186" s="517"/>
      <c r="L186" s="518"/>
      <c r="M186" s="505"/>
      <c r="N186" s="505"/>
      <c r="O186" s="505"/>
      <c r="P186" s="505"/>
      <c r="Q186" s="505"/>
      <c r="R186" s="505"/>
      <c r="S186" s="505"/>
      <c r="T186" s="505"/>
      <c r="U186" s="505"/>
      <c r="V186" s="505"/>
      <c r="W186" s="505"/>
      <c r="X186" s="505"/>
      <c r="Y186" s="505"/>
      <c r="Z186" s="505"/>
      <c r="AA186" s="505"/>
      <c r="AB186" s="505"/>
      <c r="AC186" s="505"/>
    </row>
    <row r="187" spans="1:29">
      <c r="A187" s="505"/>
      <c r="B187" s="505"/>
      <c r="C187" s="505"/>
      <c r="D187" s="505"/>
      <c r="E187" s="505"/>
      <c r="F187" s="505"/>
      <c r="G187" s="505"/>
      <c r="H187" s="505"/>
      <c r="I187" s="505"/>
      <c r="J187" s="505"/>
      <c r="K187" s="517"/>
      <c r="L187" s="518"/>
      <c r="M187" s="505"/>
      <c r="N187" s="505"/>
      <c r="O187" s="505"/>
      <c r="P187" s="505"/>
      <c r="Q187" s="505"/>
      <c r="R187" s="505"/>
      <c r="S187" s="505"/>
      <c r="T187" s="505"/>
      <c r="U187" s="505"/>
      <c r="V187" s="505"/>
      <c r="W187" s="505"/>
      <c r="X187" s="505"/>
      <c r="Y187" s="505"/>
      <c r="Z187" s="505"/>
      <c r="AA187" s="505"/>
      <c r="AB187" s="505"/>
      <c r="AC187" s="505"/>
    </row>
    <row r="188" spans="1:29">
      <c r="A188" s="505"/>
      <c r="B188" s="505"/>
      <c r="C188" s="505"/>
      <c r="D188" s="505"/>
      <c r="E188" s="505"/>
      <c r="F188" s="505"/>
      <c r="G188" s="505"/>
      <c r="H188" s="505"/>
      <c r="I188" s="505"/>
      <c r="J188" s="505"/>
      <c r="K188" s="517"/>
      <c r="L188" s="518"/>
      <c r="M188" s="505"/>
      <c r="N188" s="505"/>
      <c r="O188" s="505"/>
      <c r="P188" s="505"/>
      <c r="Q188" s="505"/>
      <c r="R188" s="505"/>
      <c r="S188" s="505"/>
      <c r="T188" s="505"/>
      <c r="U188" s="505"/>
      <c r="V188" s="505"/>
      <c r="W188" s="505"/>
      <c r="X188" s="505"/>
      <c r="Y188" s="505"/>
      <c r="Z188" s="505"/>
      <c r="AA188" s="505"/>
      <c r="AB188" s="505"/>
      <c r="AC188" s="505"/>
    </row>
    <row r="189" spans="1:29">
      <c r="A189" s="505"/>
      <c r="B189" s="505"/>
      <c r="C189" s="505"/>
      <c r="D189" s="505"/>
      <c r="E189" s="505"/>
      <c r="F189" s="505"/>
      <c r="G189" s="505"/>
      <c r="H189" s="505"/>
      <c r="I189" s="505"/>
      <c r="J189" s="505"/>
      <c r="K189" s="517"/>
      <c r="L189" s="518"/>
      <c r="M189" s="505"/>
      <c r="N189" s="505"/>
      <c r="O189" s="505"/>
      <c r="P189" s="505"/>
      <c r="Q189" s="505"/>
      <c r="R189" s="505"/>
      <c r="S189" s="505"/>
      <c r="T189" s="505"/>
      <c r="U189" s="505"/>
      <c r="V189" s="505"/>
      <c r="W189" s="505"/>
      <c r="X189" s="505"/>
      <c r="Y189" s="505"/>
      <c r="Z189" s="505"/>
      <c r="AA189" s="505"/>
      <c r="AB189" s="505"/>
      <c r="AC189" s="505"/>
    </row>
    <row r="190" spans="1:29">
      <c r="A190" s="505"/>
      <c r="B190" s="505"/>
      <c r="C190" s="505"/>
      <c r="D190" s="505"/>
      <c r="E190" s="505"/>
      <c r="F190" s="505"/>
      <c r="G190" s="505"/>
      <c r="H190" s="505"/>
      <c r="I190" s="505"/>
      <c r="J190" s="505"/>
      <c r="K190" s="517"/>
      <c r="L190" s="518"/>
      <c r="M190" s="505"/>
      <c r="N190" s="505"/>
      <c r="O190" s="505"/>
      <c r="P190" s="505"/>
      <c r="Q190" s="505"/>
      <c r="R190" s="505"/>
      <c r="S190" s="505"/>
      <c r="T190" s="505"/>
      <c r="U190" s="505"/>
      <c r="V190" s="505"/>
      <c r="W190" s="505"/>
      <c r="X190" s="505"/>
      <c r="Y190" s="505"/>
      <c r="Z190" s="505"/>
      <c r="AA190" s="505"/>
      <c r="AB190" s="505"/>
      <c r="AC190" s="505"/>
    </row>
    <row r="191" spans="1:29">
      <c r="A191" s="505"/>
      <c r="B191" s="505"/>
      <c r="C191" s="505"/>
      <c r="D191" s="505"/>
      <c r="E191" s="505"/>
      <c r="F191" s="505"/>
      <c r="G191" s="505"/>
      <c r="H191" s="505"/>
      <c r="I191" s="505"/>
      <c r="J191" s="505"/>
      <c r="K191" s="517"/>
      <c r="L191" s="518"/>
      <c r="M191" s="505"/>
      <c r="N191" s="505"/>
      <c r="O191" s="505"/>
      <c r="P191" s="505"/>
      <c r="Q191" s="505"/>
      <c r="R191" s="505"/>
      <c r="S191" s="505"/>
      <c r="T191" s="505"/>
      <c r="U191" s="505"/>
      <c r="V191" s="505"/>
      <c r="W191" s="505"/>
      <c r="X191" s="505"/>
      <c r="Y191" s="505"/>
      <c r="Z191" s="505"/>
      <c r="AA191" s="505"/>
      <c r="AB191" s="505"/>
      <c r="AC191" s="505"/>
    </row>
    <row r="192" spans="1:29">
      <c r="A192" s="505"/>
      <c r="B192" s="505"/>
      <c r="C192" s="505"/>
      <c r="D192" s="505"/>
      <c r="E192" s="505"/>
      <c r="F192" s="505"/>
      <c r="G192" s="505"/>
      <c r="H192" s="505"/>
      <c r="I192" s="505"/>
      <c r="J192" s="505"/>
      <c r="K192" s="517"/>
      <c r="L192" s="518"/>
      <c r="M192" s="505"/>
      <c r="N192" s="505"/>
      <c r="O192" s="505"/>
      <c r="P192" s="505"/>
      <c r="Q192" s="505"/>
      <c r="R192" s="505"/>
      <c r="S192" s="505"/>
      <c r="T192" s="505"/>
      <c r="U192" s="505"/>
      <c r="V192" s="505"/>
      <c r="W192" s="505"/>
      <c r="X192" s="505"/>
      <c r="Y192" s="505"/>
      <c r="Z192" s="505"/>
      <c r="AA192" s="505"/>
      <c r="AB192" s="505"/>
      <c r="AC192" s="505"/>
    </row>
    <row r="193" spans="1:29">
      <c r="A193" s="505"/>
      <c r="B193" s="505"/>
      <c r="C193" s="505"/>
      <c r="D193" s="505"/>
      <c r="E193" s="505"/>
      <c r="F193" s="505"/>
      <c r="G193" s="505"/>
      <c r="H193" s="505"/>
      <c r="I193" s="505"/>
      <c r="J193" s="505"/>
      <c r="K193" s="517"/>
      <c r="L193" s="518"/>
      <c r="M193" s="505"/>
      <c r="N193" s="505"/>
      <c r="O193" s="505"/>
      <c r="P193" s="505"/>
      <c r="Q193" s="505"/>
      <c r="R193" s="505"/>
      <c r="S193" s="505"/>
      <c r="T193" s="505"/>
      <c r="U193" s="505"/>
      <c r="V193" s="505"/>
      <c r="W193" s="505"/>
      <c r="X193" s="505"/>
      <c r="Y193" s="505"/>
      <c r="Z193" s="505"/>
      <c r="AA193" s="505"/>
      <c r="AB193" s="505"/>
      <c r="AC193" s="505"/>
    </row>
    <row r="194" spans="1:29">
      <c r="A194" s="505"/>
      <c r="B194" s="505"/>
      <c r="C194" s="505"/>
      <c r="D194" s="505"/>
      <c r="E194" s="505"/>
      <c r="F194" s="505"/>
      <c r="G194" s="505"/>
      <c r="H194" s="505"/>
      <c r="I194" s="505"/>
      <c r="J194" s="505"/>
      <c r="K194" s="517"/>
      <c r="L194" s="518"/>
      <c r="M194" s="505"/>
      <c r="N194" s="505"/>
      <c r="O194" s="505"/>
      <c r="P194" s="505"/>
      <c r="Q194" s="505"/>
      <c r="R194" s="505"/>
      <c r="S194" s="505"/>
      <c r="T194" s="505"/>
      <c r="U194" s="505"/>
      <c r="V194" s="505"/>
      <c r="W194" s="505"/>
      <c r="X194" s="505"/>
      <c r="Y194" s="505"/>
      <c r="Z194" s="505"/>
      <c r="AA194" s="505"/>
      <c r="AB194" s="505"/>
      <c r="AC194" s="505"/>
    </row>
    <row r="195" spans="1:29">
      <c r="A195" s="505"/>
      <c r="B195" s="505"/>
      <c r="C195" s="505"/>
      <c r="D195" s="505"/>
      <c r="E195" s="505"/>
      <c r="F195" s="505"/>
      <c r="G195" s="505"/>
      <c r="H195" s="505"/>
      <c r="I195" s="505"/>
      <c r="J195" s="505"/>
      <c r="K195" s="517"/>
      <c r="L195" s="518"/>
      <c r="M195" s="505"/>
      <c r="N195" s="505"/>
      <c r="O195" s="505"/>
      <c r="P195" s="505"/>
      <c r="Q195" s="505"/>
      <c r="R195" s="505"/>
      <c r="S195" s="505"/>
      <c r="T195" s="505"/>
      <c r="U195" s="505"/>
      <c r="V195" s="505"/>
      <c r="W195" s="505"/>
      <c r="X195" s="505"/>
      <c r="Y195" s="505"/>
      <c r="Z195" s="505"/>
      <c r="AA195" s="505"/>
      <c r="AB195" s="505"/>
      <c r="AC195" s="505"/>
    </row>
    <row r="196" spans="1:29">
      <c r="A196" s="505"/>
      <c r="B196" s="505"/>
      <c r="C196" s="505"/>
      <c r="D196" s="505"/>
      <c r="E196" s="505"/>
      <c r="F196" s="505"/>
      <c r="G196" s="505"/>
      <c r="H196" s="505"/>
      <c r="I196" s="505"/>
      <c r="J196" s="505"/>
      <c r="K196" s="517"/>
      <c r="L196" s="518"/>
      <c r="M196" s="505"/>
      <c r="N196" s="505"/>
      <c r="O196" s="505"/>
      <c r="P196" s="505"/>
      <c r="Q196" s="505"/>
      <c r="R196" s="505"/>
      <c r="S196" s="505"/>
      <c r="T196" s="505"/>
      <c r="U196" s="505"/>
      <c r="V196" s="505"/>
      <c r="W196" s="505"/>
      <c r="X196" s="505"/>
      <c r="Y196" s="505"/>
      <c r="Z196" s="505"/>
      <c r="AA196" s="505"/>
      <c r="AB196" s="505"/>
      <c r="AC196" s="505"/>
    </row>
    <row r="197" spans="1:29">
      <c r="A197" s="505"/>
      <c r="B197" s="505"/>
      <c r="C197" s="505"/>
      <c r="D197" s="505"/>
      <c r="E197" s="505"/>
      <c r="F197" s="505"/>
      <c r="G197" s="505"/>
      <c r="H197" s="505"/>
      <c r="I197" s="505"/>
      <c r="J197" s="505"/>
      <c r="K197" s="517"/>
      <c r="L197" s="518"/>
      <c r="M197" s="505"/>
      <c r="N197" s="505"/>
      <c r="O197" s="505"/>
      <c r="P197" s="505"/>
      <c r="Q197" s="505"/>
      <c r="R197" s="505"/>
      <c r="S197" s="505"/>
      <c r="T197" s="505"/>
      <c r="U197" s="505"/>
      <c r="V197" s="505"/>
      <c r="W197" s="505"/>
      <c r="X197" s="505"/>
      <c r="Y197" s="505"/>
      <c r="Z197" s="505"/>
      <c r="AA197" s="505"/>
      <c r="AB197" s="505"/>
      <c r="AC197" s="505"/>
    </row>
    <row r="198" spans="1:29">
      <c r="A198" s="505"/>
      <c r="B198" s="505"/>
      <c r="C198" s="505"/>
      <c r="D198" s="505"/>
      <c r="E198" s="505"/>
      <c r="F198" s="505"/>
      <c r="G198" s="505"/>
      <c r="H198" s="505"/>
      <c r="I198" s="505"/>
      <c r="J198" s="505"/>
      <c r="K198" s="517"/>
      <c r="L198" s="518"/>
      <c r="M198" s="505"/>
      <c r="N198" s="505"/>
      <c r="O198" s="505"/>
      <c r="P198" s="505"/>
      <c r="Q198" s="505"/>
      <c r="R198" s="505"/>
      <c r="S198" s="505"/>
      <c r="T198" s="505"/>
      <c r="U198" s="505"/>
      <c r="V198" s="505"/>
      <c r="W198" s="505"/>
      <c r="X198" s="505"/>
      <c r="Y198" s="505"/>
      <c r="Z198" s="505"/>
      <c r="AA198" s="505"/>
      <c r="AB198" s="505"/>
      <c r="AC198" s="505"/>
    </row>
    <row r="199" spans="1:29">
      <c r="A199" s="505"/>
      <c r="B199" s="505"/>
      <c r="C199" s="505"/>
      <c r="D199" s="505"/>
      <c r="E199" s="505"/>
      <c r="F199" s="505"/>
      <c r="G199" s="505"/>
      <c r="H199" s="505"/>
      <c r="I199" s="505"/>
      <c r="J199" s="505"/>
      <c r="K199" s="517"/>
      <c r="L199" s="518"/>
      <c r="M199" s="505"/>
      <c r="N199" s="505"/>
      <c r="O199" s="505"/>
      <c r="P199" s="505"/>
      <c r="Q199" s="505"/>
      <c r="R199" s="505"/>
      <c r="S199" s="505"/>
      <c r="T199" s="505"/>
      <c r="U199" s="505"/>
      <c r="V199" s="505"/>
      <c r="W199" s="505"/>
      <c r="X199" s="505"/>
      <c r="Y199" s="505"/>
      <c r="Z199" s="505"/>
      <c r="AA199" s="505"/>
      <c r="AB199" s="505"/>
      <c r="AC199" s="505"/>
    </row>
    <row r="200" spans="1:29">
      <c r="A200" s="505"/>
      <c r="B200" s="505"/>
      <c r="C200" s="505"/>
      <c r="D200" s="505"/>
      <c r="E200" s="505"/>
      <c r="F200" s="505"/>
      <c r="G200" s="505"/>
      <c r="H200" s="505"/>
      <c r="I200" s="505"/>
      <c r="J200" s="505"/>
      <c r="K200" s="517"/>
      <c r="L200" s="518"/>
      <c r="M200" s="505"/>
      <c r="N200" s="505"/>
      <c r="O200" s="505"/>
      <c r="P200" s="505"/>
      <c r="Q200" s="505"/>
      <c r="R200" s="505"/>
      <c r="S200" s="505"/>
      <c r="T200" s="505"/>
      <c r="U200" s="505"/>
      <c r="V200" s="505"/>
      <c r="W200" s="505"/>
      <c r="X200" s="505"/>
      <c r="Y200" s="505"/>
      <c r="Z200" s="505"/>
      <c r="AA200" s="505"/>
      <c r="AB200" s="505"/>
      <c r="AC200" s="505"/>
    </row>
    <row r="201" spans="1:29">
      <c r="A201" s="505"/>
      <c r="B201" s="505"/>
      <c r="C201" s="505"/>
      <c r="D201" s="505"/>
      <c r="E201" s="505"/>
      <c r="F201" s="505"/>
      <c r="G201" s="505"/>
      <c r="H201" s="505"/>
      <c r="I201" s="505"/>
      <c r="J201" s="505"/>
      <c r="K201" s="517"/>
      <c r="L201" s="518"/>
      <c r="M201" s="505"/>
      <c r="N201" s="505"/>
      <c r="O201" s="505"/>
      <c r="P201" s="505"/>
      <c r="Q201" s="505"/>
      <c r="R201" s="505"/>
      <c r="S201" s="505"/>
      <c r="T201" s="505"/>
      <c r="U201" s="505"/>
      <c r="V201" s="505"/>
      <c r="W201" s="505"/>
      <c r="X201" s="505"/>
      <c r="Y201" s="505"/>
      <c r="Z201" s="505"/>
      <c r="AA201" s="505"/>
      <c r="AB201" s="505"/>
      <c r="AC201" s="505"/>
    </row>
    <row r="202" spans="1:29">
      <c r="A202" s="505"/>
      <c r="B202" s="505"/>
      <c r="C202" s="505"/>
      <c r="D202" s="505"/>
      <c r="E202" s="505"/>
      <c r="F202" s="505"/>
      <c r="G202" s="505"/>
      <c r="H202" s="505"/>
      <c r="I202" s="505"/>
      <c r="J202" s="505"/>
      <c r="K202" s="517"/>
      <c r="L202" s="518"/>
      <c r="M202" s="505"/>
      <c r="N202" s="505"/>
      <c r="O202" s="505"/>
      <c r="P202" s="505"/>
      <c r="Q202" s="505"/>
      <c r="R202" s="505"/>
      <c r="S202" s="505"/>
      <c r="T202" s="505"/>
      <c r="U202" s="505"/>
      <c r="V202" s="505"/>
      <c r="W202" s="505"/>
      <c r="X202" s="505"/>
      <c r="Y202" s="505"/>
      <c r="Z202" s="505"/>
      <c r="AA202" s="505"/>
      <c r="AB202" s="505"/>
      <c r="AC202" s="505"/>
    </row>
    <row r="203" spans="1:29">
      <c r="A203" s="505"/>
      <c r="B203" s="505"/>
      <c r="C203" s="505"/>
      <c r="D203" s="505"/>
      <c r="E203" s="505"/>
      <c r="F203" s="505"/>
      <c r="G203" s="505"/>
      <c r="H203" s="505"/>
      <c r="I203" s="505"/>
      <c r="J203" s="505"/>
      <c r="K203" s="517"/>
      <c r="L203" s="518"/>
      <c r="M203" s="505"/>
      <c r="N203" s="505"/>
      <c r="O203" s="505"/>
      <c r="P203" s="505"/>
      <c r="Q203" s="505"/>
      <c r="R203" s="505"/>
      <c r="S203" s="505"/>
      <c r="T203" s="505"/>
      <c r="U203" s="505"/>
      <c r="V203" s="505"/>
      <c r="W203" s="505"/>
      <c r="X203" s="505"/>
      <c r="Y203" s="505"/>
      <c r="Z203" s="505"/>
      <c r="AA203" s="505"/>
      <c r="AB203" s="505"/>
      <c r="AC203" s="505"/>
    </row>
    <row r="204" spans="1:29">
      <c r="A204" s="505"/>
      <c r="B204" s="505"/>
      <c r="C204" s="505"/>
      <c r="D204" s="505"/>
      <c r="E204" s="505"/>
      <c r="F204" s="505"/>
      <c r="G204" s="505"/>
      <c r="H204" s="505"/>
      <c r="I204" s="505"/>
      <c r="J204" s="505"/>
      <c r="K204" s="517"/>
      <c r="L204" s="518"/>
      <c r="M204" s="505"/>
      <c r="N204" s="505"/>
      <c r="O204" s="505"/>
      <c r="P204" s="505"/>
      <c r="Q204" s="505"/>
      <c r="R204" s="505"/>
      <c r="S204" s="505"/>
      <c r="T204" s="505"/>
      <c r="U204" s="505"/>
      <c r="V204" s="505"/>
      <c r="W204" s="505"/>
      <c r="X204" s="505"/>
      <c r="Y204" s="505"/>
      <c r="Z204" s="505"/>
      <c r="AA204" s="505"/>
      <c r="AB204" s="505"/>
      <c r="AC204" s="505"/>
    </row>
    <row r="205" spans="1:29">
      <c r="A205" s="505"/>
      <c r="B205" s="505"/>
      <c r="C205" s="505"/>
      <c r="D205" s="505"/>
      <c r="E205" s="505"/>
      <c r="F205" s="505"/>
      <c r="G205" s="505"/>
      <c r="H205" s="505"/>
      <c r="I205" s="505"/>
      <c r="J205" s="505"/>
      <c r="K205" s="517"/>
      <c r="L205" s="518"/>
      <c r="M205" s="505"/>
      <c r="N205" s="505"/>
      <c r="O205" s="505"/>
      <c r="P205" s="505"/>
      <c r="Q205" s="505"/>
      <c r="R205" s="505"/>
      <c r="S205" s="505"/>
      <c r="T205" s="505"/>
      <c r="U205" s="505"/>
      <c r="V205" s="505"/>
      <c r="W205" s="505"/>
      <c r="X205" s="505"/>
      <c r="Y205" s="505"/>
      <c r="Z205" s="505"/>
      <c r="AA205" s="505"/>
      <c r="AB205" s="505"/>
      <c r="AC205" s="505"/>
    </row>
    <row r="206" spans="1:29">
      <c r="A206" s="505"/>
      <c r="B206" s="505"/>
      <c r="C206" s="505"/>
      <c r="D206" s="505"/>
      <c r="E206" s="505"/>
      <c r="F206" s="505"/>
      <c r="G206" s="505"/>
      <c r="H206" s="505"/>
      <c r="I206" s="505"/>
      <c r="J206" s="505"/>
      <c r="K206" s="517"/>
      <c r="L206" s="518"/>
      <c r="M206" s="505"/>
      <c r="N206" s="505"/>
      <c r="O206" s="505"/>
      <c r="P206" s="505"/>
      <c r="Q206" s="505"/>
      <c r="R206" s="505"/>
      <c r="S206" s="505"/>
      <c r="T206" s="505"/>
      <c r="U206" s="505"/>
      <c r="V206" s="505"/>
      <c r="W206" s="505"/>
      <c r="X206" s="505"/>
      <c r="Y206" s="505"/>
      <c r="Z206" s="505"/>
      <c r="AA206" s="505"/>
      <c r="AB206" s="505"/>
      <c r="AC206" s="505"/>
    </row>
    <row r="207" spans="1:29">
      <c r="A207" s="505"/>
      <c r="B207" s="505"/>
      <c r="C207" s="505"/>
      <c r="D207" s="505"/>
      <c r="E207" s="505"/>
      <c r="F207" s="505"/>
      <c r="G207" s="505"/>
      <c r="H207" s="505"/>
      <c r="I207" s="505"/>
      <c r="J207" s="505"/>
      <c r="K207" s="517"/>
      <c r="L207" s="518"/>
      <c r="M207" s="505"/>
      <c r="N207" s="505"/>
      <c r="O207" s="505"/>
      <c r="P207" s="505"/>
      <c r="Q207" s="505"/>
      <c r="R207" s="505"/>
      <c r="S207" s="505"/>
      <c r="T207" s="505"/>
      <c r="U207" s="505"/>
      <c r="V207" s="505"/>
      <c r="W207" s="505"/>
      <c r="X207" s="505"/>
      <c r="Y207" s="505"/>
      <c r="Z207" s="505"/>
      <c r="AA207" s="505"/>
      <c r="AB207" s="505"/>
      <c r="AC207" s="505"/>
    </row>
    <row r="208" spans="1:29">
      <c r="A208" s="505"/>
      <c r="B208" s="505"/>
      <c r="C208" s="505"/>
      <c r="D208" s="505"/>
      <c r="E208" s="505"/>
      <c r="F208" s="505"/>
      <c r="G208" s="505"/>
      <c r="H208" s="505"/>
      <c r="I208" s="505"/>
      <c r="J208" s="505"/>
      <c r="K208" s="517"/>
      <c r="L208" s="518"/>
      <c r="M208" s="505"/>
      <c r="N208" s="505"/>
      <c r="O208" s="505"/>
      <c r="P208" s="505"/>
      <c r="Q208" s="505"/>
      <c r="R208" s="505"/>
      <c r="S208" s="505"/>
      <c r="T208" s="505"/>
      <c r="U208" s="505"/>
      <c r="V208" s="505"/>
      <c r="W208" s="505"/>
      <c r="X208" s="505"/>
      <c r="Y208" s="505"/>
      <c r="Z208" s="505"/>
      <c r="AA208" s="505"/>
      <c r="AB208" s="505"/>
      <c r="AC208" s="505"/>
    </row>
    <row r="209" spans="1:29">
      <c r="A209" s="505"/>
      <c r="B209" s="505"/>
      <c r="C209" s="505"/>
      <c r="D209" s="505"/>
      <c r="E209" s="505"/>
      <c r="F209" s="505"/>
      <c r="G209" s="505"/>
      <c r="H209" s="505"/>
      <c r="I209" s="505"/>
      <c r="J209" s="505"/>
      <c r="K209" s="517"/>
      <c r="L209" s="518"/>
      <c r="M209" s="505"/>
      <c r="N209" s="505"/>
      <c r="O209" s="505"/>
      <c r="P209" s="505"/>
      <c r="Q209" s="505"/>
      <c r="R209" s="505"/>
      <c r="S209" s="505"/>
      <c r="T209" s="505"/>
      <c r="U209" s="505"/>
      <c r="V209" s="505"/>
      <c r="W209" s="505"/>
      <c r="X209" s="505"/>
      <c r="Y209" s="505"/>
      <c r="Z209" s="505"/>
      <c r="AA209" s="505"/>
      <c r="AB209" s="505"/>
      <c r="AC209" s="50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54" type="noConversion"/>
  <conditionalFormatting sqref="F36">
    <cfRule type="expression" dxfId="18" priority="4">
      <formula>$D$36="简单平均"</formula>
    </cfRule>
  </conditionalFormatting>
  <conditionalFormatting sqref="H36">
    <cfRule type="expression" dxfId="17" priority="3">
      <formula>$D$36="简单平均"</formula>
    </cfRule>
  </conditionalFormatting>
  <conditionalFormatting sqref="J36">
    <cfRule type="expression" dxfId="16" priority="2">
      <formula>$D$36="简单平均"</formula>
    </cfRule>
  </conditionalFormatting>
  <conditionalFormatting sqref="E40">
    <cfRule type="expression" dxfId="15" priority="13" stopIfTrue="1">
      <formula>$F$40="超过30%"</formula>
    </cfRule>
  </conditionalFormatting>
  <conditionalFormatting sqref="G40">
    <cfRule type="expression" dxfId="14" priority="9" stopIfTrue="1">
      <formula>$H$52+$H$40="超过30%"</formula>
    </cfRule>
  </conditionalFormatting>
  <conditionalFormatting sqref="I40">
    <cfRule type="expression" dxfId="13" priority="7" stopIfTrue="1">
      <formula>$J$40="超过30%"</formula>
    </cfRule>
  </conditionalFormatting>
  <conditionalFormatting sqref="E41">
    <cfRule type="expression" dxfId="12" priority="11" stopIfTrue="1">
      <formula>$F$41="超过20%"</formula>
    </cfRule>
  </conditionalFormatting>
  <conditionalFormatting sqref="G41">
    <cfRule type="expression" dxfId="11" priority="8" stopIfTrue="1">
      <formula>$H$53+$H$41="超过20%"</formula>
    </cfRule>
  </conditionalFormatting>
  <conditionalFormatting sqref="I41">
    <cfRule type="expression" dxfId="10" priority="6" stopIfTrue="1">
      <formula>$J$41="超过20%"</formula>
    </cfRule>
  </conditionalFormatting>
  <conditionalFormatting sqref="E42">
    <cfRule type="expression" dxfId="9" priority="10" stopIfTrue="1">
      <formula>$F$42="超过30%"</formula>
    </cfRule>
  </conditionalFormatting>
  <conditionalFormatting sqref="F42">
    <cfRule type="containsText" dxfId="8" priority="15" stopIfTrue="1" operator="containsText" text="超过">
      <formula>NOT(ISERROR(SEARCH("超过",F42)))</formula>
    </cfRule>
  </conditionalFormatting>
  <conditionalFormatting sqref="G42">
    <cfRule type="expression" dxfId="7" priority="12" stopIfTrue="1">
      <formula>$H$54+$H$42="超过30%"</formula>
    </cfRule>
  </conditionalFormatting>
  <conditionalFormatting sqref="H42">
    <cfRule type="containsText" dxfId="6" priority="16" stopIfTrue="1" operator="containsText" text="超过">
      <formula>NOT(ISERROR(SEARCH("超过",H42)))</formula>
    </cfRule>
  </conditionalFormatting>
  <conditionalFormatting sqref="I42">
    <cfRule type="expression" dxfId="5" priority="5" stopIfTrue="1">
      <formula>$J$42="超过30%"</formula>
    </cfRule>
  </conditionalFormatting>
  <conditionalFormatting sqref="J42">
    <cfRule type="containsText" dxfId="4" priority="17" stopIfTrue="1" operator="containsText" text="超过">
      <formula>NOT(ISERROR(SEARCH("超过",J42)))</formula>
    </cfRule>
  </conditionalFormatting>
  <conditionalFormatting sqref="F7:F34 H7:H34 J7:J34">
    <cfRule type="cellIs" dxfId="3" priority="1" operator="notEqual">
      <formula>100</formula>
    </cfRule>
  </conditionalFormatting>
  <conditionalFormatting sqref="F40 H40 J40">
    <cfRule type="containsText" dxfId="2" priority="18" stopIfTrue="1" operator="containsText" text="超过">
      <formula>NOT(ISERROR(SEARCH("超过",F40)))</formula>
    </cfRule>
  </conditionalFormatting>
  <conditionalFormatting sqref="F41 H41 J41">
    <cfRule type="containsText" dxfId="1" priority="14" stopIfTrue="1" operator="containsText" text="超过">
      <formula>NOT(ISERROR(SEARCH("超过",F41)))</formula>
    </cfRule>
  </conditionalFormatting>
  <dataValidations count="15">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pane="bottomLeft" activeCell="T45" sqref="T45"/>
    </sheetView>
  </sheetViews>
  <sheetFormatPr defaultColWidth="9" defaultRowHeight="12.75"/>
  <cols>
    <col min="1" max="1" width="11.5" style="92" customWidth="1"/>
    <col min="2" max="2" width="9.25" style="93" customWidth="1"/>
    <col min="3" max="3" width="5" style="93" customWidth="1"/>
    <col min="4" max="4" width="9" style="93"/>
    <col min="5" max="5" width="5" style="93" customWidth="1"/>
    <col min="6" max="6" width="9" style="93"/>
    <col min="7" max="7" width="5" style="93" customWidth="1"/>
    <col min="8" max="8" width="9" style="93"/>
    <col min="9" max="9" width="5" style="93" customWidth="1"/>
    <col min="10" max="10" width="9" style="93"/>
    <col min="11" max="11" width="5" style="93" customWidth="1"/>
    <col min="12" max="12" width="9" style="93"/>
    <col min="13" max="13" width="5" style="93" customWidth="1"/>
    <col min="14" max="14" width="9" style="93"/>
    <col min="15" max="15" width="5" style="93" customWidth="1"/>
    <col min="16" max="16" width="9" style="93"/>
    <col min="17" max="17" width="5" style="93" customWidth="1"/>
    <col min="18" max="18" width="9" style="94"/>
    <col min="19" max="19" width="9" style="92"/>
    <col min="20" max="35" width="9" style="86"/>
    <col min="36" max="16384" width="9" style="92"/>
  </cols>
  <sheetData>
    <row r="1" spans="1:45" s="86" customFormat="1" ht="14.25" customHeight="1">
      <c r="A1" s="95"/>
      <c r="B1" s="96" t="s">
        <v>2475</v>
      </c>
      <c r="C1" s="3956" t="s">
        <v>2476</v>
      </c>
      <c r="D1" s="3957"/>
      <c r="E1" s="3957"/>
      <c r="F1" s="3957"/>
      <c r="G1" s="3957"/>
      <c r="H1" s="3957"/>
      <c r="I1" s="3957"/>
      <c r="J1" s="3957"/>
      <c r="K1" s="3957"/>
      <c r="L1" s="3957"/>
      <c r="M1" s="3957"/>
      <c r="N1" s="3957"/>
      <c r="O1" s="3957"/>
      <c r="P1" s="3957"/>
      <c r="Q1" s="3957"/>
      <c r="R1" s="3957"/>
      <c r="S1" s="3958"/>
      <c r="T1" s="96" t="s">
        <v>2477</v>
      </c>
      <c r="U1" s="172"/>
      <c r="V1" s="172"/>
      <c r="W1" s="172"/>
      <c r="X1" s="172"/>
      <c r="Y1" s="172"/>
      <c r="Z1" s="172"/>
      <c r="AA1" s="172"/>
      <c r="AB1" s="172"/>
      <c r="AC1" s="172"/>
      <c r="AD1" s="172"/>
      <c r="AE1" s="172"/>
      <c r="AF1" s="172"/>
      <c r="AG1" s="172"/>
      <c r="AH1" s="172"/>
      <c r="AI1" s="172"/>
      <c r="AJ1" s="172"/>
      <c r="AK1" s="172"/>
      <c r="AL1" s="172"/>
      <c r="AM1" s="172"/>
      <c r="AN1" s="172"/>
      <c r="AO1" s="172"/>
      <c r="AP1" s="172"/>
      <c r="AQ1" s="172"/>
      <c r="AR1" s="172"/>
      <c r="AS1" s="172"/>
    </row>
    <row r="2" spans="1:45" s="87" customFormat="1">
      <c r="A2" s="97"/>
      <c r="B2" s="98" t="s">
        <v>2478</v>
      </c>
      <c r="C2" s="99" t="str">
        <f t="shared" ref="C2:L2" si="0">C3&amp;"(含)"&amp;"-"&amp;D3</f>
        <v>(含)-</v>
      </c>
      <c r="D2" s="100" t="str">
        <f t="shared" si="0"/>
        <v>(含)-</v>
      </c>
      <c r="E2" s="100" t="str">
        <f t="shared" si="0"/>
        <v>(含)-</v>
      </c>
      <c r="F2" s="100" t="str">
        <f t="shared" si="0"/>
        <v>(含)-</v>
      </c>
      <c r="G2" s="100" t="str">
        <f t="shared" si="0"/>
        <v>(含)-</v>
      </c>
      <c r="H2" s="100" t="str">
        <f t="shared" si="0"/>
        <v>(含)-</v>
      </c>
      <c r="I2" s="100" t="str">
        <f t="shared" si="0"/>
        <v>(含)-</v>
      </c>
      <c r="J2" s="100" t="str">
        <f t="shared" si="0"/>
        <v>(含)-</v>
      </c>
      <c r="K2" s="100" t="str">
        <f t="shared" si="0"/>
        <v>(含)-</v>
      </c>
      <c r="L2" s="100" t="str">
        <f t="shared" si="0"/>
        <v>(含)-</v>
      </c>
      <c r="M2" s="100" t="str">
        <f t="shared" ref="M2:R2" si="1">M3&amp;"(含)"&amp;"-"&amp;N3</f>
        <v>(含)-</v>
      </c>
      <c r="N2" s="100" t="str">
        <f t="shared" si="1"/>
        <v>(含)-</v>
      </c>
      <c r="O2" s="100" t="str">
        <f t="shared" si="1"/>
        <v>(含)-</v>
      </c>
      <c r="P2" s="100" t="str">
        <f t="shared" si="1"/>
        <v>(含)-</v>
      </c>
      <c r="Q2" s="100" t="str">
        <f t="shared" si="1"/>
        <v>(含)-</v>
      </c>
      <c r="R2" s="100" t="str">
        <f t="shared" si="1"/>
        <v>(含)-</v>
      </c>
      <c r="S2" s="173" t="str">
        <f>S3&amp;"(含)"&amp;"-"</f>
        <v>(含)-</v>
      </c>
      <c r="T2" s="174"/>
      <c r="U2" s="175"/>
      <c r="V2" s="175"/>
      <c r="W2" s="175"/>
      <c r="X2" s="175"/>
      <c r="Y2" s="175"/>
      <c r="Z2" s="175"/>
      <c r="AA2" s="175"/>
      <c r="AB2" s="175"/>
      <c r="AC2" s="175"/>
      <c r="AD2" s="175"/>
      <c r="AE2" s="175"/>
      <c r="AF2" s="175"/>
      <c r="AG2" s="175"/>
      <c r="AH2" s="175"/>
      <c r="AI2" s="175"/>
      <c r="AJ2" s="175"/>
      <c r="AK2" s="175"/>
      <c r="AL2" s="175"/>
      <c r="AM2" s="175"/>
      <c r="AN2" s="175"/>
      <c r="AO2" s="175"/>
      <c r="AP2" s="175"/>
      <c r="AQ2" s="175"/>
      <c r="AR2" s="175"/>
      <c r="AS2" s="175"/>
    </row>
    <row r="3" spans="1:45" s="88" customFormat="1">
      <c r="A3" s="101"/>
      <c r="B3" s="102"/>
      <c r="C3" s="103"/>
      <c r="D3" s="104"/>
      <c r="E3" s="104"/>
      <c r="F3" s="104"/>
      <c r="G3" s="104"/>
      <c r="H3" s="104"/>
      <c r="I3" s="104"/>
      <c r="J3" s="149"/>
      <c r="K3" s="149"/>
      <c r="L3" s="150"/>
      <c r="M3" s="151"/>
      <c r="N3" s="152"/>
      <c r="O3" s="104"/>
      <c r="P3" s="104"/>
      <c r="Q3" s="104"/>
      <c r="R3" s="104"/>
      <c r="S3" s="176"/>
      <c r="T3" s="177"/>
      <c r="U3" s="178"/>
      <c r="V3" s="178"/>
      <c r="W3" s="178"/>
      <c r="X3" s="178"/>
      <c r="Y3" s="178"/>
      <c r="Z3" s="178"/>
      <c r="AA3" s="178"/>
      <c r="AB3" s="178"/>
      <c r="AC3" s="178"/>
      <c r="AD3" s="178"/>
      <c r="AE3" s="178"/>
      <c r="AF3" s="178"/>
      <c r="AG3" s="178"/>
      <c r="AH3" s="178"/>
      <c r="AI3" s="178"/>
      <c r="AJ3" s="178"/>
      <c r="AK3" s="178"/>
      <c r="AL3" s="178"/>
      <c r="AM3" s="178"/>
      <c r="AN3" s="178"/>
      <c r="AO3" s="178"/>
      <c r="AP3" s="178"/>
      <c r="AQ3" s="178"/>
      <c r="AR3" s="178"/>
      <c r="AS3" s="178"/>
    </row>
    <row r="4" spans="1:45" s="88" customFormat="1">
      <c r="A4" s="105"/>
      <c r="B4" s="106"/>
      <c r="C4" s="107"/>
      <c r="D4" s="108"/>
      <c r="E4" s="108"/>
      <c r="F4" s="108"/>
      <c r="G4" s="108"/>
      <c r="H4" s="108"/>
      <c r="I4" s="108"/>
      <c r="J4" s="108"/>
      <c r="K4" s="108"/>
      <c r="L4" s="108"/>
      <c r="M4" s="153"/>
      <c r="N4" s="154"/>
      <c r="O4" s="108"/>
      <c r="P4" s="108"/>
      <c r="Q4" s="108"/>
      <c r="R4" s="108"/>
      <c r="S4" s="179"/>
      <c r="T4" s="180"/>
      <c r="U4" s="178"/>
      <c r="V4" s="178"/>
      <c r="W4" s="178"/>
      <c r="X4" s="178"/>
      <c r="Y4" s="178"/>
      <c r="Z4" s="178"/>
      <c r="AA4" s="178"/>
      <c r="AB4" s="178"/>
      <c r="AC4" s="178"/>
      <c r="AD4" s="178"/>
      <c r="AE4" s="178"/>
      <c r="AF4" s="178"/>
      <c r="AG4" s="178"/>
      <c r="AH4" s="178"/>
      <c r="AI4" s="178"/>
      <c r="AJ4" s="178"/>
      <c r="AK4" s="178"/>
      <c r="AL4" s="178"/>
      <c r="AM4" s="178"/>
      <c r="AN4" s="178"/>
      <c r="AO4" s="178"/>
      <c r="AP4" s="178"/>
      <c r="AQ4" s="178"/>
      <c r="AR4" s="178"/>
      <c r="AS4" s="178"/>
    </row>
    <row r="5" spans="1:45" s="89" customFormat="1">
      <c r="A5" s="109"/>
      <c r="B5" s="110" t="s">
        <v>2479</v>
      </c>
      <c r="C5" s="111"/>
      <c r="D5" s="112"/>
      <c r="E5" s="112"/>
      <c r="F5" s="112"/>
      <c r="G5" s="112"/>
      <c r="H5" s="112"/>
      <c r="I5" s="112"/>
      <c r="J5" s="112"/>
      <c r="K5" s="112"/>
      <c r="L5" s="155"/>
      <c r="M5" s="156"/>
      <c r="N5" s="156"/>
      <c r="O5" s="112"/>
      <c r="P5" s="112"/>
      <c r="Q5" s="112"/>
      <c r="R5" s="112"/>
      <c r="S5" s="181"/>
      <c r="T5" s="182"/>
      <c r="U5" s="183"/>
      <c r="V5" s="183"/>
      <c r="W5" s="183"/>
      <c r="X5" s="183"/>
      <c r="Y5" s="183"/>
      <c r="Z5" s="183"/>
      <c r="AA5" s="183"/>
      <c r="AB5" s="183"/>
      <c r="AC5" s="183"/>
      <c r="AD5" s="183"/>
      <c r="AE5" s="183"/>
      <c r="AF5" s="183"/>
      <c r="AG5" s="183"/>
      <c r="AH5" s="183"/>
      <c r="AI5" s="183"/>
      <c r="AJ5" s="183"/>
      <c r="AK5" s="183"/>
      <c r="AL5" s="183"/>
      <c r="AM5" s="183"/>
      <c r="AN5" s="183"/>
      <c r="AO5" s="183"/>
      <c r="AP5" s="183"/>
      <c r="AQ5" s="183"/>
      <c r="AR5" s="183"/>
      <c r="AS5" s="183"/>
    </row>
    <row r="6" spans="1:45" s="89" customFormat="1">
      <c r="A6" s="109"/>
      <c r="B6" s="113"/>
      <c r="C6" s="114">
        <v>100</v>
      </c>
      <c r="D6" s="115">
        <f>C6-$T5</f>
        <v>100</v>
      </c>
      <c r="E6" s="115">
        <f t="shared" ref="E6:S6" si="2">D6-$T5</f>
        <v>100</v>
      </c>
      <c r="F6" s="115">
        <f t="shared" si="2"/>
        <v>100</v>
      </c>
      <c r="G6" s="115">
        <f t="shared" si="2"/>
        <v>100</v>
      </c>
      <c r="H6" s="115">
        <f t="shared" si="2"/>
        <v>100</v>
      </c>
      <c r="I6" s="115">
        <f t="shared" si="2"/>
        <v>100</v>
      </c>
      <c r="J6" s="115">
        <f t="shared" si="2"/>
        <v>100</v>
      </c>
      <c r="K6" s="115">
        <f t="shared" si="2"/>
        <v>100</v>
      </c>
      <c r="L6" s="115">
        <f t="shared" si="2"/>
        <v>100</v>
      </c>
      <c r="M6" s="115">
        <f t="shared" si="2"/>
        <v>100</v>
      </c>
      <c r="N6" s="115">
        <f t="shared" si="2"/>
        <v>100</v>
      </c>
      <c r="O6" s="115">
        <f t="shared" si="2"/>
        <v>100</v>
      </c>
      <c r="P6" s="115">
        <f t="shared" si="2"/>
        <v>100</v>
      </c>
      <c r="Q6" s="115">
        <f t="shared" si="2"/>
        <v>100</v>
      </c>
      <c r="R6" s="115">
        <f t="shared" si="2"/>
        <v>100</v>
      </c>
      <c r="S6" s="115">
        <f t="shared" si="2"/>
        <v>100</v>
      </c>
      <c r="T6" s="184"/>
      <c r="U6" s="183"/>
      <c r="V6" s="183"/>
      <c r="W6" s="183"/>
      <c r="X6" s="183"/>
      <c r="Y6" s="183"/>
      <c r="Z6" s="183"/>
      <c r="AA6" s="183"/>
      <c r="AB6" s="183"/>
      <c r="AC6" s="183"/>
      <c r="AD6" s="183"/>
      <c r="AE6" s="183"/>
      <c r="AF6" s="183"/>
      <c r="AG6" s="183"/>
      <c r="AH6" s="183"/>
      <c r="AI6" s="183"/>
      <c r="AJ6" s="183"/>
      <c r="AK6" s="183"/>
      <c r="AL6" s="183"/>
      <c r="AM6" s="183"/>
      <c r="AN6" s="183"/>
      <c r="AO6" s="183"/>
      <c r="AP6" s="183"/>
      <c r="AQ6" s="183"/>
      <c r="AR6" s="183"/>
      <c r="AS6" s="183"/>
    </row>
    <row r="7" spans="1:45" s="89" customFormat="1">
      <c r="A7" s="109"/>
      <c r="B7" s="116" t="s">
        <v>2480</v>
      </c>
      <c r="C7" s="117"/>
      <c r="D7" s="118"/>
      <c r="E7" s="118"/>
      <c r="F7" s="118"/>
      <c r="G7" s="118"/>
      <c r="H7" s="118"/>
      <c r="I7" s="118"/>
      <c r="J7" s="118"/>
      <c r="K7" s="118"/>
      <c r="L7" s="118"/>
      <c r="M7" s="157"/>
      <c r="N7" s="158"/>
      <c r="O7" s="159"/>
      <c r="P7" s="160"/>
      <c r="Q7" s="185"/>
      <c r="R7" s="186"/>
      <c r="S7" s="187"/>
      <c r="T7" s="188"/>
      <c r="U7" s="183"/>
      <c r="V7" s="183"/>
      <c r="W7" s="183"/>
      <c r="X7" s="183"/>
      <c r="Y7" s="183"/>
      <c r="Z7" s="183"/>
      <c r="AA7" s="183"/>
      <c r="AB7" s="183"/>
      <c r="AC7" s="183"/>
      <c r="AD7" s="183"/>
      <c r="AE7" s="183"/>
      <c r="AF7" s="183"/>
      <c r="AG7" s="183"/>
      <c r="AH7" s="183"/>
      <c r="AI7" s="183"/>
      <c r="AJ7" s="183"/>
      <c r="AK7" s="183"/>
      <c r="AL7" s="183"/>
      <c r="AM7" s="183"/>
      <c r="AN7" s="183"/>
      <c r="AO7" s="183"/>
      <c r="AP7" s="183"/>
      <c r="AQ7" s="183"/>
      <c r="AR7" s="183"/>
      <c r="AS7" s="183"/>
    </row>
    <row r="8" spans="1:45" s="89" customFormat="1">
      <c r="A8" s="109"/>
      <c r="B8" s="113"/>
      <c r="C8" s="114">
        <v>100</v>
      </c>
      <c r="D8" s="115">
        <f>C8-$T7</f>
        <v>100</v>
      </c>
      <c r="E8" s="115">
        <f t="shared" ref="E8:S8" si="3">D8-$T7</f>
        <v>100</v>
      </c>
      <c r="F8" s="115">
        <f t="shared" si="3"/>
        <v>100</v>
      </c>
      <c r="G8" s="115">
        <f t="shared" si="3"/>
        <v>100</v>
      </c>
      <c r="H8" s="115">
        <f t="shared" si="3"/>
        <v>100</v>
      </c>
      <c r="I8" s="115">
        <f t="shared" si="3"/>
        <v>100</v>
      </c>
      <c r="J8" s="115">
        <f t="shared" si="3"/>
        <v>100</v>
      </c>
      <c r="K8" s="115">
        <f t="shared" si="3"/>
        <v>100</v>
      </c>
      <c r="L8" s="115">
        <f t="shared" si="3"/>
        <v>100</v>
      </c>
      <c r="M8" s="115">
        <f t="shared" si="3"/>
        <v>100</v>
      </c>
      <c r="N8" s="115">
        <f t="shared" si="3"/>
        <v>100</v>
      </c>
      <c r="O8" s="115">
        <f t="shared" si="3"/>
        <v>100</v>
      </c>
      <c r="P8" s="115">
        <f t="shared" si="3"/>
        <v>100</v>
      </c>
      <c r="Q8" s="115">
        <f t="shared" si="3"/>
        <v>100</v>
      </c>
      <c r="R8" s="115">
        <f t="shared" si="3"/>
        <v>100</v>
      </c>
      <c r="S8" s="115">
        <f t="shared" si="3"/>
        <v>100</v>
      </c>
      <c r="T8" s="184"/>
      <c r="U8" s="183"/>
      <c r="V8" s="183"/>
      <c r="W8" s="183"/>
      <c r="X8" s="183"/>
      <c r="Y8" s="183"/>
      <c r="Z8" s="183"/>
      <c r="AA8" s="183"/>
      <c r="AB8" s="183"/>
      <c r="AC8" s="183"/>
      <c r="AD8" s="183"/>
      <c r="AE8" s="183"/>
      <c r="AF8" s="183"/>
      <c r="AG8" s="183"/>
      <c r="AH8" s="183"/>
      <c r="AI8" s="183"/>
      <c r="AJ8" s="183"/>
      <c r="AK8" s="183"/>
      <c r="AL8" s="183"/>
      <c r="AM8" s="183"/>
      <c r="AN8" s="183"/>
      <c r="AO8" s="183"/>
      <c r="AP8" s="183"/>
      <c r="AQ8" s="183"/>
      <c r="AR8" s="183"/>
      <c r="AS8" s="183"/>
    </row>
    <row r="9" spans="1:45" s="89" customFormat="1">
      <c r="A9" s="109"/>
      <c r="B9" s="116" t="s">
        <v>2481</v>
      </c>
      <c r="C9" s="117"/>
      <c r="D9" s="118"/>
      <c r="E9" s="118"/>
      <c r="F9" s="118"/>
      <c r="G9" s="118"/>
      <c r="H9" s="118"/>
      <c r="I9" s="118"/>
      <c r="J9" s="118"/>
      <c r="K9" s="118"/>
      <c r="L9" s="161"/>
      <c r="M9" s="157"/>
      <c r="N9" s="158"/>
      <c r="O9" s="159"/>
      <c r="P9" s="160"/>
      <c r="Q9" s="185"/>
      <c r="R9" s="186"/>
      <c r="S9" s="187"/>
      <c r="T9" s="188"/>
      <c r="U9" s="183"/>
      <c r="V9" s="183"/>
      <c r="W9" s="183"/>
      <c r="X9" s="183"/>
      <c r="Y9" s="183"/>
      <c r="Z9" s="183"/>
      <c r="AA9" s="183"/>
      <c r="AB9" s="183"/>
      <c r="AC9" s="183"/>
      <c r="AD9" s="183"/>
      <c r="AE9" s="183"/>
      <c r="AF9" s="183"/>
      <c r="AG9" s="183"/>
      <c r="AH9" s="183"/>
      <c r="AI9" s="183"/>
      <c r="AJ9" s="183"/>
      <c r="AK9" s="183"/>
      <c r="AL9" s="183"/>
      <c r="AM9" s="183"/>
      <c r="AN9" s="183"/>
      <c r="AO9" s="183"/>
      <c r="AP9" s="183"/>
      <c r="AQ9" s="183"/>
      <c r="AR9" s="183"/>
      <c r="AS9" s="183"/>
    </row>
    <row r="10" spans="1:45" s="89" customFormat="1">
      <c r="A10" s="109"/>
      <c r="B10" s="119"/>
      <c r="C10" s="120">
        <v>100</v>
      </c>
      <c r="D10" s="121">
        <f>C10-$T9</f>
        <v>100</v>
      </c>
      <c r="E10" s="121">
        <f t="shared" ref="E10:S10" si="4">D10-$T9</f>
        <v>100</v>
      </c>
      <c r="F10" s="121">
        <f t="shared" si="4"/>
        <v>100</v>
      </c>
      <c r="G10" s="121">
        <f t="shared" si="4"/>
        <v>100</v>
      </c>
      <c r="H10" s="121">
        <f t="shared" si="4"/>
        <v>100</v>
      </c>
      <c r="I10" s="121">
        <f t="shared" si="4"/>
        <v>100</v>
      </c>
      <c r="J10" s="121">
        <f t="shared" si="4"/>
        <v>100</v>
      </c>
      <c r="K10" s="121">
        <f t="shared" si="4"/>
        <v>100</v>
      </c>
      <c r="L10" s="121">
        <f t="shared" si="4"/>
        <v>100</v>
      </c>
      <c r="M10" s="121">
        <f t="shared" si="4"/>
        <v>100</v>
      </c>
      <c r="N10" s="121">
        <f t="shared" si="4"/>
        <v>100</v>
      </c>
      <c r="O10" s="121">
        <f t="shared" si="4"/>
        <v>100</v>
      </c>
      <c r="P10" s="121">
        <f t="shared" si="4"/>
        <v>100</v>
      </c>
      <c r="Q10" s="121">
        <f t="shared" si="4"/>
        <v>100</v>
      </c>
      <c r="R10" s="121">
        <f t="shared" si="4"/>
        <v>100</v>
      </c>
      <c r="S10" s="121">
        <f t="shared" si="4"/>
        <v>100</v>
      </c>
      <c r="T10" s="180"/>
      <c r="U10" s="183"/>
      <c r="V10" s="183"/>
      <c r="W10" s="183"/>
      <c r="X10" s="183"/>
      <c r="Y10" s="183"/>
      <c r="Z10" s="183"/>
      <c r="AA10" s="183"/>
      <c r="AB10" s="183"/>
      <c r="AC10" s="183"/>
      <c r="AD10" s="183"/>
      <c r="AE10" s="183"/>
      <c r="AF10" s="183"/>
      <c r="AG10" s="183"/>
      <c r="AH10" s="183"/>
      <c r="AI10" s="183"/>
      <c r="AJ10" s="183"/>
      <c r="AK10" s="183"/>
      <c r="AL10" s="183"/>
      <c r="AM10" s="183"/>
      <c r="AN10" s="183"/>
      <c r="AO10" s="183"/>
      <c r="AP10" s="183"/>
      <c r="AQ10" s="183"/>
      <c r="AR10" s="183"/>
      <c r="AS10" s="183"/>
    </row>
    <row r="11" spans="1:45" s="89" customFormat="1">
      <c r="A11" s="109"/>
      <c r="B11" s="110" t="s">
        <v>2482</v>
      </c>
      <c r="C11" s="111"/>
      <c r="D11" s="112"/>
      <c r="E11" s="112"/>
      <c r="F11" s="112"/>
      <c r="G11" s="112"/>
      <c r="H11" s="112"/>
      <c r="I11" s="112"/>
      <c r="J11" s="112"/>
      <c r="K11" s="112"/>
      <c r="L11" s="112"/>
      <c r="M11" s="156"/>
      <c r="N11" s="162"/>
      <c r="O11" s="163"/>
      <c r="P11" s="164"/>
      <c r="Q11" s="189"/>
      <c r="R11" s="190"/>
      <c r="S11" s="191"/>
      <c r="T11" s="182"/>
      <c r="U11" s="183"/>
      <c r="V11" s="183"/>
      <c r="W11" s="183"/>
      <c r="X11" s="183"/>
      <c r="Y11" s="183"/>
      <c r="Z11" s="183"/>
      <c r="AA11" s="183"/>
      <c r="AB11" s="183"/>
      <c r="AC11" s="183"/>
      <c r="AD11" s="183"/>
      <c r="AE11" s="183"/>
      <c r="AF11" s="183"/>
      <c r="AG11" s="183"/>
      <c r="AH11" s="183"/>
      <c r="AI11" s="183"/>
      <c r="AJ11" s="183"/>
      <c r="AK11" s="183"/>
      <c r="AL11" s="183"/>
      <c r="AM11" s="183"/>
      <c r="AN11" s="183"/>
      <c r="AO11" s="183"/>
      <c r="AP11" s="183"/>
      <c r="AQ11" s="183"/>
      <c r="AR11" s="183"/>
      <c r="AS11" s="183"/>
    </row>
    <row r="12" spans="1:45" s="89" customFormat="1">
      <c r="A12" s="109"/>
      <c r="B12" s="113"/>
      <c r="C12" s="114">
        <v>100</v>
      </c>
      <c r="D12" s="115">
        <f>C12-$T11</f>
        <v>100</v>
      </c>
      <c r="E12" s="115">
        <f t="shared" ref="E12:S12" si="5">D12-$T11</f>
        <v>100</v>
      </c>
      <c r="F12" s="115">
        <f t="shared" si="5"/>
        <v>100</v>
      </c>
      <c r="G12" s="115">
        <f t="shared" si="5"/>
        <v>100</v>
      </c>
      <c r="H12" s="115">
        <f t="shared" si="5"/>
        <v>100</v>
      </c>
      <c r="I12" s="115">
        <f t="shared" si="5"/>
        <v>100</v>
      </c>
      <c r="J12" s="115">
        <f t="shared" si="5"/>
        <v>100</v>
      </c>
      <c r="K12" s="115">
        <f t="shared" si="5"/>
        <v>100</v>
      </c>
      <c r="L12" s="115">
        <f t="shared" si="5"/>
        <v>100</v>
      </c>
      <c r="M12" s="115">
        <f t="shared" si="5"/>
        <v>100</v>
      </c>
      <c r="N12" s="115">
        <f t="shared" si="5"/>
        <v>100</v>
      </c>
      <c r="O12" s="115">
        <f t="shared" si="5"/>
        <v>100</v>
      </c>
      <c r="P12" s="115">
        <f t="shared" si="5"/>
        <v>100</v>
      </c>
      <c r="Q12" s="115">
        <f t="shared" si="5"/>
        <v>100</v>
      </c>
      <c r="R12" s="115">
        <f t="shared" si="5"/>
        <v>100</v>
      </c>
      <c r="S12" s="115">
        <f t="shared" si="5"/>
        <v>100</v>
      </c>
      <c r="T12" s="184"/>
      <c r="U12" s="183"/>
      <c r="V12" s="183"/>
      <c r="W12" s="183"/>
      <c r="X12" s="183"/>
      <c r="Y12" s="183"/>
      <c r="Z12" s="183"/>
      <c r="AA12" s="183"/>
      <c r="AB12" s="183"/>
      <c r="AC12" s="183"/>
      <c r="AD12" s="183"/>
      <c r="AE12" s="183"/>
      <c r="AF12" s="183"/>
      <c r="AG12" s="183"/>
      <c r="AH12" s="183"/>
      <c r="AI12" s="183"/>
      <c r="AJ12" s="183"/>
      <c r="AK12" s="183"/>
      <c r="AL12" s="183"/>
      <c r="AM12" s="183"/>
      <c r="AN12" s="183"/>
      <c r="AO12" s="183"/>
      <c r="AP12" s="183"/>
      <c r="AQ12" s="183"/>
      <c r="AR12" s="183"/>
      <c r="AS12" s="183"/>
    </row>
    <row r="13" spans="1:45" s="89" customFormat="1">
      <c r="A13" s="109"/>
      <c r="B13" s="110" t="s">
        <v>2483</v>
      </c>
      <c r="C13" s="111"/>
      <c r="D13" s="112"/>
      <c r="E13" s="112"/>
      <c r="F13" s="112"/>
      <c r="G13" s="112"/>
      <c r="H13" s="112"/>
      <c r="I13" s="112"/>
      <c r="J13" s="112"/>
      <c r="K13" s="112"/>
      <c r="L13" s="112"/>
      <c r="M13" s="156"/>
      <c r="N13" s="162"/>
      <c r="O13" s="163"/>
      <c r="P13" s="164"/>
      <c r="Q13" s="189"/>
      <c r="R13" s="190"/>
      <c r="S13" s="191"/>
      <c r="T13" s="192"/>
      <c r="U13" s="183"/>
      <c r="V13" s="183"/>
      <c r="W13" s="183"/>
      <c r="X13" s="183"/>
      <c r="Y13" s="183"/>
      <c r="Z13" s="183"/>
      <c r="AA13" s="183"/>
      <c r="AB13" s="183"/>
      <c r="AC13" s="183"/>
      <c r="AD13" s="183"/>
      <c r="AE13" s="183"/>
      <c r="AF13" s="183"/>
      <c r="AG13" s="183"/>
      <c r="AH13" s="183"/>
      <c r="AI13" s="183"/>
      <c r="AJ13" s="183"/>
      <c r="AK13" s="183"/>
      <c r="AL13" s="183"/>
      <c r="AM13" s="183"/>
      <c r="AN13" s="183"/>
      <c r="AO13" s="183"/>
      <c r="AP13" s="183"/>
      <c r="AQ13" s="183"/>
      <c r="AR13" s="183"/>
      <c r="AS13" s="183"/>
    </row>
    <row r="14" spans="1:45" s="89" customFormat="1">
      <c r="A14" s="109"/>
      <c r="B14" s="113"/>
      <c r="C14" s="122"/>
      <c r="D14" s="123"/>
      <c r="E14" s="123"/>
      <c r="F14" s="123"/>
      <c r="G14" s="123"/>
      <c r="H14" s="123"/>
      <c r="I14" s="123"/>
      <c r="J14" s="123"/>
      <c r="K14" s="123"/>
      <c r="L14" s="123"/>
      <c r="M14" s="165"/>
      <c r="N14" s="165"/>
      <c r="O14" s="123"/>
      <c r="P14" s="123"/>
      <c r="Q14" s="123"/>
      <c r="R14" s="123"/>
      <c r="S14" s="193"/>
      <c r="T14" s="184"/>
      <c r="U14" s="183"/>
      <c r="V14" s="183"/>
      <c r="W14" s="183"/>
      <c r="X14" s="183"/>
      <c r="Y14" s="183"/>
      <c r="Z14" s="183"/>
      <c r="AA14" s="183"/>
      <c r="AB14" s="183"/>
      <c r="AC14" s="183"/>
      <c r="AD14" s="183"/>
      <c r="AE14" s="183"/>
      <c r="AF14" s="183"/>
      <c r="AG14" s="183"/>
      <c r="AH14" s="183"/>
      <c r="AI14" s="183"/>
      <c r="AJ14" s="183"/>
      <c r="AK14" s="183"/>
      <c r="AL14" s="183"/>
      <c r="AM14" s="183"/>
      <c r="AN14" s="183"/>
      <c r="AO14" s="183"/>
      <c r="AP14" s="183"/>
      <c r="AQ14" s="183"/>
      <c r="AR14" s="183"/>
      <c r="AS14" s="183"/>
    </row>
    <row r="15" spans="1:45" s="89" customFormat="1">
      <c r="A15" s="109"/>
      <c r="B15" s="110" t="s">
        <v>2484</v>
      </c>
      <c r="C15" s="111"/>
      <c r="D15" s="112"/>
      <c r="E15" s="112"/>
      <c r="F15" s="112"/>
      <c r="G15" s="112"/>
      <c r="H15" s="112"/>
      <c r="I15" s="112"/>
      <c r="J15" s="112"/>
      <c r="K15" s="112"/>
      <c r="L15" s="112"/>
      <c r="M15" s="156"/>
      <c r="N15" s="162"/>
      <c r="O15" s="163"/>
      <c r="P15" s="164"/>
      <c r="Q15" s="189"/>
      <c r="R15" s="190"/>
      <c r="S15" s="191"/>
      <c r="T15" s="192"/>
      <c r="U15" s="183"/>
      <c r="V15" s="183"/>
      <c r="W15" s="183"/>
      <c r="X15" s="183"/>
      <c r="Y15" s="183"/>
      <c r="Z15" s="183"/>
      <c r="AA15" s="183"/>
      <c r="AB15" s="183"/>
      <c r="AC15" s="183"/>
      <c r="AD15" s="183"/>
      <c r="AE15" s="183"/>
      <c r="AF15" s="183"/>
      <c r="AG15" s="183"/>
      <c r="AH15" s="183"/>
      <c r="AI15" s="183"/>
      <c r="AJ15" s="183"/>
      <c r="AK15" s="183"/>
      <c r="AL15" s="183"/>
      <c r="AM15" s="183"/>
      <c r="AN15" s="183"/>
      <c r="AO15" s="183"/>
      <c r="AP15" s="183"/>
      <c r="AQ15" s="183"/>
      <c r="AR15" s="183"/>
      <c r="AS15" s="183"/>
    </row>
    <row r="16" spans="1:45" s="89" customFormat="1">
      <c r="A16" s="109"/>
      <c r="B16" s="106"/>
      <c r="C16" s="107"/>
      <c r="D16" s="108"/>
      <c r="E16" s="108"/>
      <c r="F16" s="108"/>
      <c r="G16" s="108"/>
      <c r="H16" s="108"/>
      <c r="I16" s="108"/>
      <c r="J16" s="108"/>
      <c r="K16" s="108"/>
      <c r="L16" s="108"/>
      <c r="M16" s="153"/>
      <c r="N16" s="153"/>
      <c r="O16" s="108"/>
      <c r="P16" s="108"/>
      <c r="Q16" s="108"/>
      <c r="R16" s="108"/>
      <c r="S16" s="179"/>
      <c r="T16" s="180"/>
      <c r="U16" s="183"/>
      <c r="V16" s="183"/>
      <c r="W16" s="183"/>
      <c r="X16" s="183"/>
      <c r="Y16" s="183"/>
      <c r="Z16" s="183"/>
      <c r="AA16" s="183"/>
      <c r="AB16" s="183"/>
      <c r="AC16" s="183"/>
      <c r="AD16" s="183"/>
      <c r="AE16" s="183"/>
      <c r="AF16" s="183"/>
      <c r="AG16" s="183"/>
      <c r="AH16" s="183"/>
      <c r="AI16" s="183"/>
      <c r="AJ16" s="183"/>
      <c r="AK16" s="183"/>
      <c r="AL16" s="183"/>
      <c r="AM16" s="183"/>
      <c r="AN16" s="183"/>
      <c r="AO16" s="183"/>
      <c r="AP16" s="183"/>
      <c r="AQ16" s="183"/>
      <c r="AR16" s="183"/>
      <c r="AS16" s="183"/>
    </row>
    <row r="17" spans="1:45" s="87" customFormat="1">
      <c r="A17" s="124" t="s">
        <v>2485</v>
      </c>
      <c r="B17" s="125" t="s">
        <v>1125</v>
      </c>
      <c r="C17" s="126"/>
      <c r="D17" s="127"/>
      <c r="E17" s="127"/>
      <c r="F17" s="127"/>
      <c r="G17" s="127"/>
      <c r="H17" s="127"/>
      <c r="I17" s="127"/>
      <c r="J17" s="127"/>
      <c r="K17" s="127"/>
      <c r="L17" s="166"/>
      <c r="M17" s="167"/>
      <c r="N17" s="168"/>
      <c r="O17" s="169"/>
      <c r="P17" s="170"/>
      <c r="Q17" s="194"/>
      <c r="R17" s="195"/>
      <c r="S17" s="196"/>
      <c r="T17" s="196"/>
      <c r="U17" s="196"/>
      <c r="V17" s="196"/>
      <c r="W17" s="196"/>
      <c r="X17" s="196"/>
      <c r="Y17" s="196"/>
      <c r="Z17" s="196"/>
      <c r="AA17" s="196"/>
      <c r="AB17" s="196"/>
      <c r="AC17" s="196"/>
      <c r="AD17" s="196"/>
      <c r="AE17" s="196"/>
      <c r="AF17" s="196"/>
      <c r="AG17" s="196"/>
      <c r="AH17" s="196"/>
      <c r="AI17" s="196"/>
      <c r="AJ17" s="196"/>
      <c r="AK17" s="196"/>
      <c r="AL17" s="196"/>
      <c r="AM17" s="196"/>
      <c r="AN17" s="196"/>
      <c r="AO17" s="196"/>
      <c r="AP17" s="196"/>
      <c r="AQ17" s="196"/>
      <c r="AR17" s="175"/>
      <c r="AS17" s="175"/>
    </row>
    <row r="18" spans="1:45" s="87" customFormat="1">
      <c r="A18" s="128"/>
      <c r="B18" s="129"/>
      <c r="C18" s="130"/>
      <c r="D18" s="131"/>
      <c r="E18" s="131"/>
      <c r="F18" s="131"/>
      <c r="G18" s="131"/>
      <c r="H18" s="131"/>
      <c r="I18" s="131"/>
      <c r="J18" s="131"/>
      <c r="K18" s="131"/>
      <c r="L18" s="131"/>
      <c r="M18" s="171"/>
      <c r="N18" s="171"/>
      <c r="O18" s="131"/>
      <c r="P18" s="131"/>
      <c r="Q18" s="131"/>
      <c r="R18" s="131"/>
      <c r="S18" s="197"/>
      <c r="T18" s="197"/>
      <c r="U18" s="197"/>
      <c r="V18" s="197"/>
      <c r="W18" s="197"/>
      <c r="X18" s="197"/>
      <c r="Y18" s="197"/>
      <c r="Z18" s="197"/>
      <c r="AA18" s="197"/>
      <c r="AB18" s="197"/>
      <c r="AC18" s="197"/>
      <c r="AD18" s="197"/>
      <c r="AE18" s="197"/>
      <c r="AF18" s="197"/>
      <c r="AG18" s="197"/>
      <c r="AH18" s="197"/>
      <c r="AI18" s="197"/>
      <c r="AJ18" s="197"/>
      <c r="AK18" s="197"/>
      <c r="AL18" s="197"/>
      <c r="AM18" s="197"/>
      <c r="AN18" s="197"/>
      <c r="AO18" s="197"/>
      <c r="AP18" s="197"/>
      <c r="AQ18" s="197"/>
      <c r="AR18" s="175"/>
      <c r="AS18" s="175"/>
    </row>
    <row r="19" spans="1:45">
      <c r="A19" s="132"/>
      <c r="B19" s="133"/>
      <c r="C19" s="134"/>
      <c r="D19" s="134"/>
      <c r="E19" s="134"/>
      <c r="F19" s="134"/>
      <c r="G19" s="134"/>
      <c r="H19" s="134"/>
      <c r="I19" s="134"/>
      <c r="J19" s="134"/>
      <c r="K19" s="134"/>
      <c r="L19" s="134"/>
      <c r="M19" s="134"/>
      <c r="N19" s="134"/>
      <c r="O19" s="134"/>
      <c r="P19" s="134"/>
      <c r="Q19" s="134"/>
      <c r="R19" s="198"/>
      <c r="S19" s="199"/>
    </row>
    <row r="20" spans="1:45" ht="15.75">
      <c r="A20" s="135" t="s">
        <v>2486</v>
      </c>
      <c r="B20" s="136">
        <f>S22</f>
        <v>0</v>
      </c>
      <c r="C20" s="134"/>
      <c r="D20" s="134"/>
      <c r="E20" s="134"/>
      <c r="F20" s="134"/>
      <c r="G20" s="134"/>
      <c r="H20" s="134"/>
      <c r="I20" s="134"/>
      <c r="J20" s="134"/>
      <c r="K20" s="134"/>
      <c r="L20" s="134"/>
      <c r="M20" s="134"/>
      <c r="N20" s="134"/>
      <c r="O20" s="134"/>
      <c r="P20" s="134"/>
      <c r="Q20" s="134"/>
      <c r="R20" s="198"/>
      <c r="S20" s="199"/>
    </row>
    <row r="21" spans="1:45" ht="15.75">
      <c r="A21" s="135" t="str">
        <f>IF(B23="土地面积","地面单价","楼面单价")</f>
        <v>楼面单价</v>
      </c>
      <c r="B21" s="136" t="e">
        <f>R22</f>
        <v>#DIV/0!</v>
      </c>
      <c r="C21" s="134"/>
      <c r="D21" s="134"/>
      <c r="E21" s="134"/>
      <c r="F21" s="134"/>
      <c r="G21" s="134"/>
      <c r="H21" s="134"/>
      <c r="I21" s="134"/>
      <c r="J21" s="134"/>
      <c r="K21" s="134"/>
      <c r="L21" s="134"/>
      <c r="M21" s="134"/>
      <c r="N21" s="134"/>
      <c r="O21" s="134"/>
      <c r="P21" s="134"/>
      <c r="Q21" s="134"/>
      <c r="R21" s="198"/>
      <c r="S21" s="199"/>
    </row>
    <row r="22" spans="1:45">
      <c r="A22" s="137" t="s">
        <v>2487</v>
      </c>
      <c r="B22" s="138">
        <f>SUM(B24:B10000)</f>
        <v>0</v>
      </c>
      <c r="C22" s="3959" t="s">
        <v>138</v>
      </c>
      <c r="D22" s="3960"/>
      <c r="E22" s="3960"/>
      <c r="F22" s="3960"/>
      <c r="G22" s="3960"/>
      <c r="H22" s="3960"/>
      <c r="I22" s="3960"/>
      <c r="J22" s="3960"/>
      <c r="K22" s="3960"/>
      <c r="L22" s="3960"/>
      <c r="M22" s="3960"/>
      <c r="N22" s="3960"/>
      <c r="O22" s="3960"/>
      <c r="P22" s="3960"/>
      <c r="Q22" s="3961"/>
      <c r="R22" s="201" t="e">
        <f>ROUND(S22*10000/B22,0)</f>
        <v>#DIV/0!</v>
      </c>
      <c r="S22" s="138">
        <f>SUM(S24:S10000)</f>
        <v>0</v>
      </c>
    </row>
    <row r="23" spans="1:45" s="90" customFormat="1" ht="24">
      <c r="A23" s="141" t="s">
        <v>2488</v>
      </c>
      <c r="B23" s="142" t="s">
        <v>446</v>
      </c>
      <c r="C23" s="141" t="s">
        <v>1183</v>
      </c>
      <c r="D23" s="141" t="str">
        <f>B5</f>
        <v>修正项2</v>
      </c>
      <c r="E23" s="141" t="s">
        <v>1183</v>
      </c>
      <c r="F23" s="141" t="str">
        <f>B7</f>
        <v>修正项3</v>
      </c>
      <c r="G23" s="141" t="s">
        <v>1183</v>
      </c>
      <c r="H23" s="141" t="str">
        <f>B9</f>
        <v>修正项4</v>
      </c>
      <c r="I23" s="141" t="s">
        <v>1183</v>
      </c>
      <c r="J23" s="141" t="str">
        <f>B11</f>
        <v>修正项5</v>
      </c>
      <c r="K23" s="141" t="s">
        <v>1183</v>
      </c>
      <c r="L23" s="141" t="str">
        <f>B13</f>
        <v>修正项6</v>
      </c>
      <c r="M23" s="141" t="s">
        <v>1183</v>
      </c>
      <c r="N23" s="141" t="str">
        <f>B15</f>
        <v>修正项7</v>
      </c>
      <c r="O23" s="141" t="s">
        <v>1183</v>
      </c>
      <c r="P23" s="141" t="str">
        <f>B17</f>
        <v>楼层</v>
      </c>
      <c r="Q23" s="141" t="s">
        <v>1183</v>
      </c>
      <c r="R23" s="202" t="s">
        <v>2489</v>
      </c>
      <c r="S23" s="141" t="s">
        <v>2490</v>
      </c>
      <c r="T23" s="203"/>
      <c r="U23" s="203"/>
      <c r="V23" s="203"/>
      <c r="W23" s="203"/>
      <c r="X23" s="203"/>
      <c r="Y23" s="203"/>
      <c r="Z23" s="203"/>
      <c r="AA23" s="203"/>
      <c r="AB23" s="203"/>
      <c r="AC23" s="203"/>
      <c r="AD23" s="203"/>
      <c r="AE23" s="203"/>
      <c r="AF23" s="203"/>
      <c r="AG23" s="203"/>
      <c r="AH23" s="203"/>
      <c r="AI23" s="203"/>
    </row>
    <row r="24" spans="1:45" s="91" customFormat="1">
      <c r="A24" s="143" t="s">
        <v>2491</v>
      </c>
      <c r="B24" s="143"/>
      <c r="C24" s="144">
        <v>1</v>
      </c>
      <c r="D24" s="145"/>
      <c r="E24" s="144">
        <v>1</v>
      </c>
      <c r="F24" s="145"/>
      <c r="G24" s="144">
        <v>1</v>
      </c>
      <c r="H24" s="145"/>
      <c r="I24" s="144">
        <v>1</v>
      </c>
      <c r="J24" s="145"/>
      <c r="K24" s="144">
        <v>1</v>
      </c>
      <c r="L24" s="145"/>
      <c r="M24" s="144">
        <v>1</v>
      </c>
      <c r="N24" s="145"/>
      <c r="O24" s="144">
        <v>1</v>
      </c>
      <c r="P24" s="145"/>
      <c r="Q24" s="144">
        <v>1</v>
      </c>
      <c r="R24" s="204"/>
      <c r="S24" s="205">
        <f t="shared" ref="S24:S54" si="6">ROUND(R24*B24/10000,0)</f>
        <v>0</v>
      </c>
      <c r="T24" s="206"/>
      <c r="U24" s="206"/>
      <c r="V24" s="206"/>
      <c r="W24" s="206"/>
      <c r="X24" s="206"/>
      <c r="Y24" s="206"/>
      <c r="Z24" s="206"/>
      <c r="AA24" s="206"/>
      <c r="AB24" s="206"/>
      <c r="AC24" s="206"/>
      <c r="AD24" s="206"/>
      <c r="AE24" s="206"/>
      <c r="AF24" s="206"/>
      <c r="AG24" s="206"/>
      <c r="AH24" s="206"/>
      <c r="AI24" s="206"/>
    </row>
    <row r="25" spans="1:45">
      <c r="A25" s="146"/>
      <c r="B25" s="147"/>
      <c r="C25" s="138">
        <f>IF(B25="",1,(LOOKUP(B25,$3:$3,$4:$4)-LOOKUP($B$24,$3:$3,$4:$4)+100)/100)</f>
        <v>1</v>
      </c>
      <c r="D25" s="148"/>
      <c r="E25" s="138">
        <f>(SUMIF($5:$5,D25,$6:$6)-SUMIF($5:$5,$D$24,$6:$6)+100)/100</f>
        <v>1</v>
      </c>
      <c r="F25" s="148"/>
      <c r="G25" s="138">
        <f>(SUMIF($7:$7,F25,$8:$8)-SUMIF($7:$7,$F$24,$8:$8)+100)/100</f>
        <v>1</v>
      </c>
      <c r="H25" s="148"/>
      <c r="I25" s="138">
        <f>(SUMIF($9:$9,H25,$10:$10)-SUMIF($9:$9,$H$24,$10:$10)+100)/100</f>
        <v>1</v>
      </c>
      <c r="J25" s="148"/>
      <c r="K25" s="138">
        <f>(SUMIF($11:$11,J25,$12:$12)-SUMIF($11:$11,$J$24,$12:$12)+100)/100</f>
        <v>1</v>
      </c>
      <c r="L25" s="148"/>
      <c r="M25" s="138">
        <f>(SUMIF($13:$13,L25,$14:$14)-SUMIF($13:$13,$L$24,$14:$14)+100)/100</f>
        <v>1</v>
      </c>
      <c r="N25" s="148"/>
      <c r="O25" s="138">
        <f>(SUMIF($15:$15,N25,$16:$16)-SUMIF($15:$15,$N$24,$16:$16)+100)/100</f>
        <v>1</v>
      </c>
      <c r="P25" s="148"/>
      <c r="Q25" s="138">
        <f>(SUMIF($17:$17,P25,$18:$18)-SUMIF($17:$17,$P$24,$18:$18)+100)/100</f>
        <v>1</v>
      </c>
      <c r="R25" s="201">
        <f>IF(B25="",0,ROUND($R$24*C25*E25*G25*I25*K25*M25*O25*Q25,0))</f>
        <v>0</v>
      </c>
      <c r="S25" s="137">
        <f t="shared" si="6"/>
        <v>0</v>
      </c>
    </row>
    <row r="26" spans="1:45">
      <c r="A26" s="146"/>
      <c r="B26" s="147"/>
      <c r="C26" s="138">
        <f t="shared" ref="C26:C89" si="7">IF(B26="",1,(LOOKUP(B26,$3:$3,$4:$4)-LOOKUP($B$24,$3:$3,$4:$4)+100)/100)</f>
        <v>1</v>
      </c>
      <c r="D26" s="148"/>
      <c r="E26" s="138">
        <f t="shared" ref="E26:E89" si="8">(SUMIF($5:$5,D26,$6:$6)-SUMIF($5:$5,$D$24,$6:$6)+100)/100</f>
        <v>1</v>
      </c>
      <c r="F26" s="148"/>
      <c r="G26" s="138">
        <f t="shared" ref="G26:G89" si="9">(SUMIF($7:$7,F26,$8:$8)-SUMIF($7:$7,$F$24,$8:$8)+100)/100</f>
        <v>1</v>
      </c>
      <c r="H26" s="148"/>
      <c r="I26" s="138">
        <f t="shared" ref="I26:I89" si="10">(SUMIF($9:$9,H26,$10:$10)-SUMIF($9:$9,$H$24,$10:$10)+100)/100</f>
        <v>1</v>
      </c>
      <c r="J26" s="148"/>
      <c r="K26" s="138">
        <f t="shared" ref="K26:K89" si="11">(SUMIF($11:$11,J26,$12:$12)-SUMIF($11:$11,$J$24,$12:$12)+100)/100</f>
        <v>1</v>
      </c>
      <c r="L26" s="148"/>
      <c r="M26" s="138">
        <f t="shared" ref="M26:M89" si="12">(SUMIF($13:$13,L26,$14:$14)-SUMIF($13:$13,$L$24,$14:$14)+100)/100</f>
        <v>1</v>
      </c>
      <c r="N26" s="148"/>
      <c r="O26" s="138">
        <f t="shared" ref="O26:O89" si="13">(SUMIF($15:$15,N26,$16:$16)-SUMIF($15:$15,$N$24,$16:$16)+100)/100</f>
        <v>1</v>
      </c>
      <c r="P26" s="148"/>
      <c r="Q26" s="138">
        <f t="shared" ref="Q26:Q89" si="14">(SUMIF($17:$17,P26,$18:$18)-SUMIF($17:$17,$P$24,$18:$18)+100)/100</f>
        <v>1</v>
      </c>
      <c r="R26" s="201">
        <f t="shared" ref="R26:R89" si="15">IF(B26="",0,ROUND($R$24*C26*E26*G26*I26*K26*M26*O26*Q26,0))</f>
        <v>0</v>
      </c>
      <c r="S26" s="137">
        <f t="shared" si="6"/>
        <v>0</v>
      </c>
    </row>
    <row r="27" spans="1:45">
      <c r="A27" s="146"/>
      <c r="B27" s="147"/>
      <c r="C27" s="138">
        <f t="shared" si="7"/>
        <v>1</v>
      </c>
      <c r="D27" s="148"/>
      <c r="E27" s="138">
        <f t="shared" si="8"/>
        <v>1</v>
      </c>
      <c r="F27" s="148"/>
      <c r="G27" s="138">
        <f t="shared" si="9"/>
        <v>1</v>
      </c>
      <c r="H27" s="148"/>
      <c r="I27" s="138">
        <f t="shared" si="10"/>
        <v>1</v>
      </c>
      <c r="J27" s="148"/>
      <c r="K27" s="138">
        <f t="shared" si="11"/>
        <v>1</v>
      </c>
      <c r="L27" s="148"/>
      <c r="M27" s="138">
        <f t="shared" si="12"/>
        <v>1</v>
      </c>
      <c r="N27" s="148"/>
      <c r="O27" s="138">
        <f t="shared" si="13"/>
        <v>1</v>
      </c>
      <c r="P27" s="148"/>
      <c r="Q27" s="138">
        <f t="shared" si="14"/>
        <v>1</v>
      </c>
      <c r="R27" s="201">
        <f t="shared" si="15"/>
        <v>0</v>
      </c>
      <c r="S27" s="137">
        <f t="shared" si="6"/>
        <v>0</v>
      </c>
    </row>
    <row r="28" spans="1:45">
      <c r="A28" s="146"/>
      <c r="B28" s="147"/>
      <c r="C28" s="138">
        <f t="shared" si="7"/>
        <v>1</v>
      </c>
      <c r="D28" s="148"/>
      <c r="E28" s="138">
        <f t="shared" si="8"/>
        <v>1</v>
      </c>
      <c r="F28" s="148"/>
      <c r="G28" s="138">
        <f t="shared" si="9"/>
        <v>1</v>
      </c>
      <c r="H28" s="148"/>
      <c r="I28" s="138">
        <f t="shared" si="10"/>
        <v>1</v>
      </c>
      <c r="J28" s="148"/>
      <c r="K28" s="138">
        <f t="shared" si="11"/>
        <v>1</v>
      </c>
      <c r="L28" s="148"/>
      <c r="M28" s="138">
        <f t="shared" si="12"/>
        <v>1</v>
      </c>
      <c r="N28" s="148"/>
      <c r="O28" s="138">
        <f t="shared" si="13"/>
        <v>1</v>
      </c>
      <c r="P28" s="148"/>
      <c r="Q28" s="138">
        <f t="shared" si="14"/>
        <v>1</v>
      </c>
      <c r="R28" s="201">
        <f t="shared" si="15"/>
        <v>0</v>
      </c>
      <c r="S28" s="137">
        <f t="shared" si="6"/>
        <v>0</v>
      </c>
    </row>
    <row r="29" spans="1:45">
      <c r="A29" s="146"/>
      <c r="B29" s="147"/>
      <c r="C29" s="138">
        <f t="shared" si="7"/>
        <v>1</v>
      </c>
      <c r="D29" s="148"/>
      <c r="E29" s="138">
        <f t="shared" si="8"/>
        <v>1</v>
      </c>
      <c r="F29" s="148"/>
      <c r="G29" s="138">
        <f t="shared" si="9"/>
        <v>1</v>
      </c>
      <c r="H29" s="148"/>
      <c r="I29" s="138">
        <f t="shared" si="10"/>
        <v>1</v>
      </c>
      <c r="J29" s="148"/>
      <c r="K29" s="138">
        <f t="shared" si="11"/>
        <v>1</v>
      </c>
      <c r="L29" s="148"/>
      <c r="M29" s="138">
        <f t="shared" si="12"/>
        <v>1</v>
      </c>
      <c r="N29" s="148"/>
      <c r="O29" s="138">
        <f t="shared" si="13"/>
        <v>1</v>
      </c>
      <c r="P29" s="148"/>
      <c r="Q29" s="138">
        <f t="shared" si="14"/>
        <v>1</v>
      </c>
      <c r="R29" s="201">
        <f t="shared" si="15"/>
        <v>0</v>
      </c>
      <c r="S29" s="137">
        <f t="shared" si="6"/>
        <v>0</v>
      </c>
    </row>
    <row r="30" spans="1:45">
      <c r="A30" s="146"/>
      <c r="B30" s="147"/>
      <c r="C30" s="138">
        <f t="shared" si="7"/>
        <v>1</v>
      </c>
      <c r="D30" s="148"/>
      <c r="E30" s="138">
        <f t="shared" si="8"/>
        <v>1</v>
      </c>
      <c r="F30" s="148"/>
      <c r="G30" s="138">
        <f t="shared" si="9"/>
        <v>1</v>
      </c>
      <c r="H30" s="148"/>
      <c r="I30" s="138">
        <f t="shared" si="10"/>
        <v>1</v>
      </c>
      <c r="J30" s="148"/>
      <c r="K30" s="138">
        <f t="shared" si="11"/>
        <v>1</v>
      </c>
      <c r="L30" s="148"/>
      <c r="M30" s="138">
        <f t="shared" si="12"/>
        <v>1</v>
      </c>
      <c r="N30" s="148"/>
      <c r="O30" s="138">
        <f t="shared" si="13"/>
        <v>1</v>
      </c>
      <c r="P30" s="148"/>
      <c r="Q30" s="138">
        <f t="shared" si="14"/>
        <v>1</v>
      </c>
      <c r="R30" s="201">
        <f t="shared" si="15"/>
        <v>0</v>
      </c>
      <c r="S30" s="137">
        <f t="shared" si="6"/>
        <v>0</v>
      </c>
    </row>
    <row r="31" spans="1:45">
      <c r="A31" s="146"/>
      <c r="B31" s="147"/>
      <c r="C31" s="138">
        <f t="shared" si="7"/>
        <v>1</v>
      </c>
      <c r="D31" s="148"/>
      <c r="E31" s="138">
        <f t="shared" si="8"/>
        <v>1</v>
      </c>
      <c r="F31" s="148"/>
      <c r="G31" s="138">
        <f t="shared" si="9"/>
        <v>1</v>
      </c>
      <c r="H31" s="148"/>
      <c r="I31" s="138">
        <f t="shared" si="10"/>
        <v>1</v>
      </c>
      <c r="J31" s="148"/>
      <c r="K31" s="138">
        <f t="shared" si="11"/>
        <v>1</v>
      </c>
      <c r="L31" s="148"/>
      <c r="M31" s="138">
        <f t="shared" si="12"/>
        <v>1</v>
      </c>
      <c r="N31" s="148"/>
      <c r="O31" s="138">
        <f t="shared" si="13"/>
        <v>1</v>
      </c>
      <c r="P31" s="148"/>
      <c r="Q31" s="138">
        <f t="shared" si="14"/>
        <v>1</v>
      </c>
      <c r="R31" s="201">
        <f t="shared" si="15"/>
        <v>0</v>
      </c>
      <c r="S31" s="137">
        <f t="shared" si="6"/>
        <v>0</v>
      </c>
    </row>
    <row r="32" spans="1:45">
      <c r="A32" s="146"/>
      <c r="B32" s="147"/>
      <c r="C32" s="138">
        <f t="shared" si="7"/>
        <v>1</v>
      </c>
      <c r="D32" s="148"/>
      <c r="E32" s="138">
        <f t="shared" si="8"/>
        <v>1</v>
      </c>
      <c r="F32" s="148"/>
      <c r="G32" s="138">
        <f t="shared" si="9"/>
        <v>1</v>
      </c>
      <c r="H32" s="148"/>
      <c r="I32" s="138">
        <f t="shared" si="10"/>
        <v>1</v>
      </c>
      <c r="J32" s="148"/>
      <c r="K32" s="138">
        <f t="shared" si="11"/>
        <v>1</v>
      </c>
      <c r="L32" s="148"/>
      <c r="M32" s="138">
        <f t="shared" si="12"/>
        <v>1</v>
      </c>
      <c r="N32" s="148"/>
      <c r="O32" s="138">
        <f t="shared" si="13"/>
        <v>1</v>
      </c>
      <c r="P32" s="148"/>
      <c r="Q32" s="138">
        <f t="shared" si="14"/>
        <v>1</v>
      </c>
      <c r="R32" s="201">
        <f t="shared" si="15"/>
        <v>0</v>
      </c>
      <c r="S32" s="137">
        <f t="shared" si="6"/>
        <v>0</v>
      </c>
    </row>
    <row r="33" spans="1:19">
      <c r="A33" s="146"/>
      <c r="B33" s="147"/>
      <c r="C33" s="138">
        <f t="shared" si="7"/>
        <v>1</v>
      </c>
      <c r="D33" s="148"/>
      <c r="E33" s="138">
        <f t="shared" si="8"/>
        <v>1</v>
      </c>
      <c r="F33" s="148"/>
      <c r="G33" s="138">
        <f t="shared" si="9"/>
        <v>1</v>
      </c>
      <c r="H33" s="148"/>
      <c r="I33" s="138">
        <f t="shared" si="10"/>
        <v>1</v>
      </c>
      <c r="J33" s="148"/>
      <c r="K33" s="138">
        <f t="shared" si="11"/>
        <v>1</v>
      </c>
      <c r="L33" s="148"/>
      <c r="M33" s="138">
        <f t="shared" si="12"/>
        <v>1</v>
      </c>
      <c r="N33" s="148"/>
      <c r="O33" s="138">
        <f t="shared" si="13"/>
        <v>1</v>
      </c>
      <c r="P33" s="148"/>
      <c r="Q33" s="138">
        <f t="shared" si="14"/>
        <v>1</v>
      </c>
      <c r="R33" s="201">
        <f t="shared" si="15"/>
        <v>0</v>
      </c>
      <c r="S33" s="137">
        <f t="shared" si="6"/>
        <v>0</v>
      </c>
    </row>
    <row r="34" spans="1:19">
      <c r="A34" s="146"/>
      <c r="B34" s="147"/>
      <c r="C34" s="138">
        <f t="shared" si="7"/>
        <v>1</v>
      </c>
      <c r="D34" s="148"/>
      <c r="E34" s="138">
        <f t="shared" si="8"/>
        <v>1</v>
      </c>
      <c r="F34" s="148"/>
      <c r="G34" s="138">
        <f t="shared" si="9"/>
        <v>1</v>
      </c>
      <c r="H34" s="148"/>
      <c r="I34" s="138">
        <f t="shared" si="10"/>
        <v>1</v>
      </c>
      <c r="J34" s="148"/>
      <c r="K34" s="138">
        <f t="shared" si="11"/>
        <v>1</v>
      </c>
      <c r="L34" s="148"/>
      <c r="M34" s="138">
        <f t="shared" si="12"/>
        <v>1</v>
      </c>
      <c r="N34" s="148"/>
      <c r="O34" s="138">
        <f t="shared" si="13"/>
        <v>1</v>
      </c>
      <c r="P34" s="148"/>
      <c r="Q34" s="138">
        <f t="shared" si="14"/>
        <v>1</v>
      </c>
      <c r="R34" s="201">
        <f t="shared" si="15"/>
        <v>0</v>
      </c>
      <c r="S34" s="137">
        <f t="shared" si="6"/>
        <v>0</v>
      </c>
    </row>
    <row r="35" spans="1:19">
      <c r="A35" s="146"/>
      <c r="B35" s="147"/>
      <c r="C35" s="138">
        <f t="shared" si="7"/>
        <v>1</v>
      </c>
      <c r="D35" s="148"/>
      <c r="E35" s="138">
        <f t="shared" si="8"/>
        <v>1</v>
      </c>
      <c r="F35" s="148"/>
      <c r="G35" s="138">
        <f t="shared" si="9"/>
        <v>1</v>
      </c>
      <c r="H35" s="148"/>
      <c r="I35" s="138">
        <f t="shared" si="10"/>
        <v>1</v>
      </c>
      <c r="J35" s="148"/>
      <c r="K35" s="138">
        <f t="shared" si="11"/>
        <v>1</v>
      </c>
      <c r="L35" s="148"/>
      <c r="M35" s="138">
        <f t="shared" si="12"/>
        <v>1</v>
      </c>
      <c r="N35" s="148"/>
      <c r="O35" s="138">
        <f t="shared" si="13"/>
        <v>1</v>
      </c>
      <c r="P35" s="148"/>
      <c r="Q35" s="138">
        <f t="shared" si="14"/>
        <v>1</v>
      </c>
      <c r="R35" s="201">
        <f t="shared" si="15"/>
        <v>0</v>
      </c>
      <c r="S35" s="137">
        <f t="shared" si="6"/>
        <v>0</v>
      </c>
    </row>
    <row r="36" spans="1:19">
      <c r="A36" s="146"/>
      <c r="B36" s="147"/>
      <c r="C36" s="138">
        <f t="shared" si="7"/>
        <v>1</v>
      </c>
      <c r="D36" s="148"/>
      <c r="E36" s="138">
        <f t="shared" si="8"/>
        <v>1</v>
      </c>
      <c r="F36" s="148"/>
      <c r="G36" s="138">
        <f t="shared" si="9"/>
        <v>1</v>
      </c>
      <c r="H36" s="148"/>
      <c r="I36" s="138">
        <f t="shared" si="10"/>
        <v>1</v>
      </c>
      <c r="J36" s="148"/>
      <c r="K36" s="138">
        <f t="shared" si="11"/>
        <v>1</v>
      </c>
      <c r="L36" s="148"/>
      <c r="M36" s="138">
        <f t="shared" si="12"/>
        <v>1</v>
      </c>
      <c r="N36" s="148"/>
      <c r="O36" s="138">
        <f t="shared" si="13"/>
        <v>1</v>
      </c>
      <c r="P36" s="148"/>
      <c r="Q36" s="138">
        <f t="shared" si="14"/>
        <v>1</v>
      </c>
      <c r="R36" s="201">
        <f t="shared" si="15"/>
        <v>0</v>
      </c>
      <c r="S36" s="137">
        <f t="shared" si="6"/>
        <v>0</v>
      </c>
    </row>
    <row r="37" spans="1:19">
      <c r="A37" s="146"/>
      <c r="B37" s="147"/>
      <c r="C37" s="138">
        <f t="shared" si="7"/>
        <v>1</v>
      </c>
      <c r="D37" s="148"/>
      <c r="E37" s="138">
        <f t="shared" si="8"/>
        <v>1</v>
      </c>
      <c r="F37" s="148"/>
      <c r="G37" s="138">
        <f t="shared" si="9"/>
        <v>1</v>
      </c>
      <c r="H37" s="148"/>
      <c r="I37" s="138">
        <f t="shared" si="10"/>
        <v>1</v>
      </c>
      <c r="J37" s="148"/>
      <c r="K37" s="138">
        <f t="shared" si="11"/>
        <v>1</v>
      </c>
      <c r="L37" s="148"/>
      <c r="M37" s="138">
        <f t="shared" si="12"/>
        <v>1</v>
      </c>
      <c r="N37" s="148"/>
      <c r="O37" s="138">
        <f t="shared" si="13"/>
        <v>1</v>
      </c>
      <c r="P37" s="148"/>
      <c r="Q37" s="138">
        <f t="shared" si="14"/>
        <v>1</v>
      </c>
      <c r="R37" s="201">
        <f t="shared" si="15"/>
        <v>0</v>
      </c>
      <c r="S37" s="137">
        <f t="shared" si="6"/>
        <v>0</v>
      </c>
    </row>
    <row r="38" spans="1:19">
      <c r="A38" s="146"/>
      <c r="B38" s="147"/>
      <c r="C38" s="138">
        <f t="shared" si="7"/>
        <v>1</v>
      </c>
      <c r="D38" s="148"/>
      <c r="E38" s="138">
        <f t="shared" si="8"/>
        <v>1</v>
      </c>
      <c r="F38" s="148"/>
      <c r="G38" s="138">
        <f t="shared" si="9"/>
        <v>1</v>
      </c>
      <c r="H38" s="148"/>
      <c r="I38" s="138">
        <f t="shared" si="10"/>
        <v>1</v>
      </c>
      <c r="J38" s="148"/>
      <c r="K38" s="138">
        <f t="shared" si="11"/>
        <v>1</v>
      </c>
      <c r="L38" s="148"/>
      <c r="M38" s="138">
        <f t="shared" si="12"/>
        <v>1</v>
      </c>
      <c r="N38" s="148"/>
      <c r="O38" s="138">
        <f t="shared" si="13"/>
        <v>1</v>
      </c>
      <c r="P38" s="148"/>
      <c r="Q38" s="138">
        <f t="shared" si="14"/>
        <v>1</v>
      </c>
      <c r="R38" s="201">
        <f t="shared" si="15"/>
        <v>0</v>
      </c>
      <c r="S38" s="137">
        <f t="shared" si="6"/>
        <v>0</v>
      </c>
    </row>
    <row r="39" spans="1:19">
      <c r="A39" s="146"/>
      <c r="B39" s="147"/>
      <c r="C39" s="138">
        <f t="shared" si="7"/>
        <v>1</v>
      </c>
      <c r="D39" s="148"/>
      <c r="E39" s="138">
        <f t="shared" si="8"/>
        <v>1</v>
      </c>
      <c r="F39" s="148"/>
      <c r="G39" s="138">
        <f t="shared" si="9"/>
        <v>1</v>
      </c>
      <c r="H39" s="148"/>
      <c r="I39" s="138">
        <f t="shared" si="10"/>
        <v>1</v>
      </c>
      <c r="J39" s="148"/>
      <c r="K39" s="138">
        <f t="shared" si="11"/>
        <v>1</v>
      </c>
      <c r="L39" s="148"/>
      <c r="M39" s="138">
        <f t="shared" si="12"/>
        <v>1</v>
      </c>
      <c r="N39" s="148"/>
      <c r="O39" s="138">
        <f t="shared" si="13"/>
        <v>1</v>
      </c>
      <c r="P39" s="148"/>
      <c r="Q39" s="138">
        <f t="shared" si="14"/>
        <v>1</v>
      </c>
      <c r="R39" s="201">
        <f t="shared" si="15"/>
        <v>0</v>
      </c>
      <c r="S39" s="137">
        <f t="shared" si="6"/>
        <v>0</v>
      </c>
    </row>
    <row r="40" spans="1:19">
      <c r="A40" s="146"/>
      <c r="B40" s="147"/>
      <c r="C40" s="138">
        <f t="shared" si="7"/>
        <v>1</v>
      </c>
      <c r="D40" s="148"/>
      <c r="E40" s="138">
        <f t="shared" si="8"/>
        <v>1</v>
      </c>
      <c r="F40" s="148"/>
      <c r="G40" s="138">
        <f t="shared" si="9"/>
        <v>1</v>
      </c>
      <c r="H40" s="148"/>
      <c r="I40" s="138">
        <f t="shared" si="10"/>
        <v>1</v>
      </c>
      <c r="J40" s="148"/>
      <c r="K40" s="138">
        <f t="shared" si="11"/>
        <v>1</v>
      </c>
      <c r="L40" s="148"/>
      <c r="M40" s="138">
        <f t="shared" si="12"/>
        <v>1</v>
      </c>
      <c r="N40" s="148"/>
      <c r="O40" s="138">
        <f t="shared" si="13"/>
        <v>1</v>
      </c>
      <c r="P40" s="148"/>
      <c r="Q40" s="138">
        <f t="shared" si="14"/>
        <v>1</v>
      </c>
      <c r="R40" s="201">
        <f t="shared" si="15"/>
        <v>0</v>
      </c>
      <c r="S40" s="137">
        <f t="shared" si="6"/>
        <v>0</v>
      </c>
    </row>
    <row r="41" spans="1:19">
      <c r="A41" s="146"/>
      <c r="B41" s="147"/>
      <c r="C41" s="138">
        <f t="shared" si="7"/>
        <v>1</v>
      </c>
      <c r="D41" s="148"/>
      <c r="E41" s="138">
        <f t="shared" si="8"/>
        <v>1</v>
      </c>
      <c r="F41" s="148"/>
      <c r="G41" s="138">
        <f t="shared" si="9"/>
        <v>1</v>
      </c>
      <c r="H41" s="148"/>
      <c r="I41" s="138">
        <f t="shared" si="10"/>
        <v>1</v>
      </c>
      <c r="J41" s="148"/>
      <c r="K41" s="138">
        <f t="shared" si="11"/>
        <v>1</v>
      </c>
      <c r="L41" s="148"/>
      <c r="M41" s="138">
        <f t="shared" si="12"/>
        <v>1</v>
      </c>
      <c r="N41" s="148"/>
      <c r="O41" s="138">
        <f t="shared" si="13"/>
        <v>1</v>
      </c>
      <c r="P41" s="148"/>
      <c r="Q41" s="138">
        <f t="shared" si="14"/>
        <v>1</v>
      </c>
      <c r="R41" s="201">
        <f t="shared" si="15"/>
        <v>0</v>
      </c>
      <c r="S41" s="137">
        <f t="shared" si="6"/>
        <v>0</v>
      </c>
    </row>
    <row r="42" spans="1:19">
      <c r="A42" s="146"/>
      <c r="B42" s="147"/>
      <c r="C42" s="138">
        <f t="shared" si="7"/>
        <v>1</v>
      </c>
      <c r="D42" s="148"/>
      <c r="E42" s="138">
        <f t="shared" si="8"/>
        <v>1</v>
      </c>
      <c r="F42" s="148"/>
      <c r="G42" s="138">
        <f t="shared" si="9"/>
        <v>1</v>
      </c>
      <c r="H42" s="148"/>
      <c r="I42" s="138">
        <f t="shared" si="10"/>
        <v>1</v>
      </c>
      <c r="J42" s="148"/>
      <c r="K42" s="138">
        <f t="shared" si="11"/>
        <v>1</v>
      </c>
      <c r="L42" s="148"/>
      <c r="M42" s="138">
        <f t="shared" si="12"/>
        <v>1</v>
      </c>
      <c r="N42" s="148"/>
      <c r="O42" s="138">
        <f t="shared" si="13"/>
        <v>1</v>
      </c>
      <c r="P42" s="148"/>
      <c r="Q42" s="138">
        <f t="shared" si="14"/>
        <v>1</v>
      </c>
      <c r="R42" s="201">
        <f t="shared" si="15"/>
        <v>0</v>
      </c>
      <c r="S42" s="137">
        <f t="shared" si="6"/>
        <v>0</v>
      </c>
    </row>
    <row r="43" spans="1:19">
      <c r="A43" s="146"/>
      <c r="B43" s="147"/>
      <c r="C43" s="138">
        <f t="shared" si="7"/>
        <v>1</v>
      </c>
      <c r="D43" s="148"/>
      <c r="E43" s="138">
        <f t="shared" si="8"/>
        <v>1</v>
      </c>
      <c r="F43" s="148"/>
      <c r="G43" s="138">
        <f t="shared" si="9"/>
        <v>1</v>
      </c>
      <c r="H43" s="148"/>
      <c r="I43" s="138">
        <f t="shared" si="10"/>
        <v>1</v>
      </c>
      <c r="J43" s="148"/>
      <c r="K43" s="138">
        <f t="shared" si="11"/>
        <v>1</v>
      </c>
      <c r="L43" s="148"/>
      <c r="M43" s="138">
        <f t="shared" si="12"/>
        <v>1</v>
      </c>
      <c r="N43" s="148"/>
      <c r="O43" s="138">
        <f t="shared" si="13"/>
        <v>1</v>
      </c>
      <c r="P43" s="148"/>
      <c r="Q43" s="138">
        <f t="shared" si="14"/>
        <v>1</v>
      </c>
      <c r="R43" s="201">
        <f t="shared" si="15"/>
        <v>0</v>
      </c>
      <c r="S43" s="137">
        <f t="shared" si="6"/>
        <v>0</v>
      </c>
    </row>
    <row r="44" spans="1:19">
      <c r="A44" s="146"/>
      <c r="B44" s="147"/>
      <c r="C44" s="138">
        <f t="shared" si="7"/>
        <v>1</v>
      </c>
      <c r="D44" s="148"/>
      <c r="E44" s="138">
        <f t="shared" si="8"/>
        <v>1</v>
      </c>
      <c r="F44" s="148"/>
      <c r="G44" s="138">
        <f t="shared" si="9"/>
        <v>1</v>
      </c>
      <c r="H44" s="148"/>
      <c r="I44" s="138">
        <f t="shared" si="10"/>
        <v>1</v>
      </c>
      <c r="J44" s="148"/>
      <c r="K44" s="138">
        <f t="shared" si="11"/>
        <v>1</v>
      </c>
      <c r="L44" s="148"/>
      <c r="M44" s="138">
        <f t="shared" si="12"/>
        <v>1</v>
      </c>
      <c r="N44" s="148"/>
      <c r="O44" s="138">
        <f t="shared" si="13"/>
        <v>1</v>
      </c>
      <c r="P44" s="148"/>
      <c r="Q44" s="138">
        <f t="shared" si="14"/>
        <v>1</v>
      </c>
      <c r="R44" s="201">
        <f t="shared" si="15"/>
        <v>0</v>
      </c>
      <c r="S44" s="137">
        <f t="shared" si="6"/>
        <v>0</v>
      </c>
    </row>
    <row r="45" spans="1:19">
      <c r="A45" s="146"/>
      <c r="B45" s="147"/>
      <c r="C45" s="138">
        <f t="shared" si="7"/>
        <v>1</v>
      </c>
      <c r="D45" s="148"/>
      <c r="E45" s="138">
        <f t="shared" si="8"/>
        <v>1</v>
      </c>
      <c r="F45" s="148"/>
      <c r="G45" s="138">
        <f t="shared" si="9"/>
        <v>1</v>
      </c>
      <c r="H45" s="148"/>
      <c r="I45" s="138">
        <f t="shared" si="10"/>
        <v>1</v>
      </c>
      <c r="J45" s="148"/>
      <c r="K45" s="138">
        <f t="shared" si="11"/>
        <v>1</v>
      </c>
      <c r="L45" s="148"/>
      <c r="M45" s="138">
        <f t="shared" si="12"/>
        <v>1</v>
      </c>
      <c r="N45" s="148"/>
      <c r="O45" s="138">
        <f t="shared" si="13"/>
        <v>1</v>
      </c>
      <c r="P45" s="148"/>
      <c r="Q45" s="138">
        <f t="shared" si="14"/>
        <v>1</v>
      </c>
      <c r="R45" s="201">
        <f t="shared" si="15"/>
        <v>0</v>
      </c>
      <c r="S45" s="137">
        <f t="shared" si="6"/>
        <v>0</v>
      </c>
    </row>
    <row r="46" spans="1:19">
      <c r="A46" s="146"/>
      <c r="B46" s="147"/>
      <c r="C46" s="138">
        <f t="shared" si="7"/>
        <v>1</v>
      </c>
      <c r="D46" s="148"/>
      <c r="E46" s="138">
        <f t="shared" si="8"/>
        <v>1</v>
      </c>
      <c r="F46" s="148"/>
      <c r="G46" s="138">
        <f t="shared" si="9"/>
        <v>1</v>
      </c>
      <c r="H46" s="148"/>
      <c r="I46" s="138">
        <f t="shared" si="10"/>
        <v>1</v>
      </c>
      <c r="J46" s="148"/>
      <c r="K46" s="138">
        <f t="shared" si="11"/>
        <v>1</v>
      </c>
      <c r="L46" s="148"/>
      <c r="M46" s="138">
        <f t="shared" si="12"/>
        <v>1</v>
      </c>
      <c r="N46" s="148"/>
      <c r="O46" s="138">
        <f t="shared" si="13"/>
        <v>1</v>
      </c>
      <c r="P46" s="148"/>
      <c r="Q46" s="138">
        <f t="shared" si="14"/>
        <v>1</v>
      </c>
      <c r="R46" s="201">
        <f t="shared" si="15"/>
        <v>0</v>
      </c>
      <c r="S46" s="137">
        <f t="shared" si="6"/>
        <v>0</v>
      </c>
    </row>
    <row r="47" spans="1:19">
      <c r="A47" s="146"/>
      <c r="B47" s="147"/>
      <c r="C47" s="138">
        <f t="shared" si="7"/>
        <v>1</v>
      </c>
      <c r="D47" s="148"/>
      <c r="E47" s="138">
        <f t="shared" si="8"/>
        <v>1</v>
      </c>
      <c r="F47" s="148"/>
      <c r="G47" s="138">
        <f t="shared" si="9"/>
        <v>1</v>
      </c>
      <c r="H47" s="148"/>
      <c r="I47" s="138">
        <f t="shared" si="10"/>
        <v>1</v>
      </c>
      <c r="J47" s="148"/>
      <c r="K47" s="138">
        <f t="shared" si="11"/>
        <v>1</v>
      </c>
      <c r="L47" s="148"/>
      <c r="M47" s="138">
        <f t="shared" si="12"/>
        <v>1</v>
      </c>
      <c r="N47" s="148"/>
      <c r="O47" s="138">
        <f t="shared" si="13"/>
        <v>1</v>
      </c>
      <c r="P47" s="148"/>
      <c r="Q47" s="138">
        <f t="shared" si="14"/>
        <v>1</v>
      </c>
      <c r="R47" s="201">
        <f t="shared" si="15"/>
        <v>0</v>
      </c>
      <c r="S47" s="137">
        <f t="shared" si="6"/>
        <v>0</v>
      </c>
    </row>
    <row r="48" spans="1:19">
      <c r="A48" s="146"/>
      <c r="B48" s="147"/>
      <c r="C48" s="138">
        <f t="shared" si="7"/>
        <v>1</v>
      </c>
      <c r="D48" s="148"/>
      <c r="E48" s="138">
        <f t="shared" si="8"/>
        <v>1</v>
      </c>
      <c r="F48" s="148"/>
      <c r="G48" s="138">
        <f t="shared" si="9"/>
        <v>1</v>
      </c>
      <c r="H48" s="148"/>
      <c r="I48" s="138">
        <f t="shared" si="10"/>
        <v>1</v>
      </c>
      <c r="J48" s="148"/>
      <c r="K48" s="138">
        <f t="shared" si="11"/>
        <v>1</v>
      </c>
      <c r="L48" s="148"/>
      <c r="M48" s="138">
        <f t="shared" si="12"/>
        <v>1</v>
      </c>
      <c r="N48" s="148"/>
      <c r="O48" s="138">
        <f t="shared" si="13"/>
        <v>1</v>
      </c>
      <c r="P48" s="148"/>
      <c r="Q48" s="138">
        <f t="shared" si="14"/>
        <v>1</v>
      </c>
      <c r="R48" s="201">
        <f t="shared" si="15"/>
        <v>0</v>
      </c>
      <c r="S48" s="137">
        <f t="shared" si="6"/>
        <v>0</v>
      </c>
    </row>
    <row r="49" spans="1:19">
      <c r="A49" s="146"/>
      <c r="B49" s="147"/>
      <c r="C49" s="138">
        <f t="shared" si="7"/>
        <v>1</v>
      </c>
      <c r="D49" s="148"/>
      <c r="E49" s="138">
        <f t="shared" si="8"/>
        <v>1</v>
      </c>
      <c r="F49" s="148"/>
      <c r="G49" s="138">
        <f t="shared" si="9"/>
        <v>1</v>
      </c>
      <c r="H49" s="148"/>
      <c r="I49" s="138">
        <f t="shared" si="10"/>
        <v>1</v>
      </c>
      <c r="J49" s="148"/>
      <c r="K49" s="138">
        <f t="shared" si="11"/>
        <v>1</v>
      </c>
      <c r="L49" s="148"/>
      <c r="M49" s="138">
        <f t="shared" si="12"/>
        <v>1</v>
      </c>
      <c r="N49" s="148"/>
      <c r="O49" s="138">
        <f t="shared" si="13"/>
        <v>1</v>
      </c>
      <c r="P49" s="148"/>
      <c r="Q49" s="138">
        <f t="shared" si="14"/>
        <v>1</v>
      </c>
      <c r="R49" s="201">
        <f t="shared" si="15"/>
        <v>0</v>
      </c>
      <c r="S49" s="137">
        <f t="shared" si="6"/>
        <v>0</v>
      </c>
    </row>
    <row r="50" spans="1:19">
      <c r="A50" s="146"/>
      <c r="B50" s="147"/>
      <c r="C50" s="138">
        <f t="shared" si="7"/>
        <v>1</v>
      </c>
      <c r="D50" s="148"/>
      <c r="E50" s="138">
        <f t="shared" si="8"/>
        <v>1</v>
      </c>
      <c r="F50" s="148"/>
      <c r="G50" s="138">
        <f t="shared" si="9"/>
        <v>1</v>
      </c>
      <c r="H50" s="148"/>
      <c r="I50" s="138">
        <f t="shared" si="10"/>
        <v>1</v>
      </c>
      <c r="J50" s="148"/>
      <c r="K50" s="138">
        <f t="shared" si="11"/>
        <v>1</v>
      </c>
      <c r="L50" s="148"/>
      <c r="M50" s="138">
        <f t="shared" si="12"/>
        <v>1</v>
      </c>
      <c r="N50" s="148"/>
      <c r="O50" s="138">
        <f t="shared" si="13"/>
        <v>1</v>
      </c>
      <c r="P50" s="148"/>
      <c r="Q50" s="138">
        <f t="shared" si="14"/>
        <v>1</v>
      </c>
      <c r="R50" s="201">
        <f t="shared" si="15"/>
        <v>0</v>
      </c>
      <c r="S50" s="137">
        <f t="shared" si="6"/>
        <v>0</v>
      </c>
    </row>
    <row r="51" spans="1:19">
      <c r="A51" s="146"/>
      <c r="B51" s="147"/>
      <c r="C51" s="138">
        <f t="shared" si="7"/>
        <v>1</v>
      </c>
      <c r="D51" s="148"/>
      <c r="E51" s="138">
        <f t="shared" si="8"/>
        <v>1</v>
      </c>
      <c r="F51" s="148"/>
      <c r="G51" s="138">
        <f t="shared" si="9"/>
        <v>1</v>
      </c>
      <c r="H51" s="148"/>
      <c r="I51" s="138">
        <f t="shared" si="10"/>
        <v>1</v>
      </c>
      <c r="J51" s="148"/>
      <c r="K51" s="138">
        <f t="shared" si="11"/>
        <v>1</v>
      </c>
      <c r="L51" s="148"/>
      <c r="M51" s="138">
        <f t="shared" si="12"/>
        <v>1</v>
      </c>
      <c r="N51" s="148"/>
      <c r="O51" s="138">
        <f t="shared" si="13"/>
        <v>1</v>
      </c>
      <c r="P51" s="148"/>
      <c r="Q51" s="138">
        <f t="shared" si="14"/>
        <v>1</v>
      </c>
      <c r="R51" s="201">
        <f t="shared" si="15"/>
        <v>0</v>
      </c>
      <c r="S51" s="137">
        <f t="shared" si="6"/>
        <v>0</v>
      </c>
    </row>
    <row r="52" spans="1:19">
      <c r="A52" s="146"/>
      <c r="B52" s="147"/>
      <c r="C52" s="138">
        <f t="shared" si="7"/>
        <v>1</v>
      </c>
      <c r="D52" s="148"/>
      <c r="E52" s="138">
        <f t="shared" si="8"/>
        <v>1</v>
      </c>
      <c r="F52" s="148"/>
      <c r="G52" s="138">
        <f t="shared" si="9"/>
        <v>1</v>
      </c>
      <c r="H52" s="148"/>
      <c r="I52" s="138">
        <f t="shared" si="10"/>
        <v>1</v>
      </c>
      <c r="J52" s="148"/>
      <c r="K52" s="138">
        <f t="shared" si="11"/>
        <v>1</v>
      </c>
      <c r="L52" s="148"/>
      <c r="M52" s="138">
        <f t="shared" si="12"/>
        <v>1</v>
      </c>
      <c r="N52" s="148"/>
      <c r="O52" s="138">
        <f t="shared" si="13"/>
        <v>1</v>
      </c>
      <c r="P52" s="148"/>
      <c r="Q52" s="138">
        <f t="shared" si="14"/>
        <v>1</v>
      </c>
      <c r="R52" s="201">
        <f t="shared" si="15"/>
        <v>0</v>
      </c>
      <c r="S52" s="137">
        <f t="shared" si="6"/>
        <v>0</v>
      </c>
    </row>
    <row r="53" spans="1:19">
      <c r="A53" s="146"/>
      <c r="B53" s="147"/>
      <c r="C53" s="138">
        <f t="shared" si="7"/>
        <v>1</v>
      </c>
      <c r="D53" s="148"/>
      <c r="E53" s="138">
        <f t="shared" si="8"/>
        <v>1</v>
      </c>
      <c r="F53" s="148"/>
      <c r="G53" s="138">
        <f t="shared" si="9"/>
        <v>1</v>
      </c>
      <c r="H53" s="148"/>
      <c r="I53" s="138">
        <f t="shared" si="10"/>
        <v>1</v>
      </c>
      <c r="J53" s="148"/>
      <c r="K53" s="138">
        <f t="shared" si="11"/>
        <v>1</v>
      </c>
      <c r="L53" s="148"/>
      <c r="M53" s="138">
        <f t="shared" si="12"/>
        <v>1</v>
      </c>
      <c r="N53" s="148"/>
      <c r="O53" s="138">
        <f t="shared" si="13"/>
        <v>1</v>
      </c>
      <c r="P53" s="148"/>
      <c r="Q53" s="138">
        <f t="shared" si="14"/>
        <v>1</v>
      </c>
      <c r="R53" s="201">
        <f t="shared" si="15"/>
        <v>0</v>
      </c>
      <c r="S53" s="137">
        <f t="shared" si="6"/>
        <v>0</v>
      </c>
    </row>
    <row r="54" spans="1:19">
      <c r="A54" s="146"/>
      <c r="B54" s="147"/>
      <c r="C54" s="138">
        <f t="shared" si="7"/>
        <v>1</v>
      </c>
      <c r="D54" s="148"/>
      <c r="E54" s="138">
        <f t="shared" si="8"/>
        <v>1</v>
      </c>
      <c r="F54" s="148"/>
      <c r="G54" s="138">
        <f t="shared" si="9"/>
        <v>1</v>
      </c>
      <c r="H54" s="148"/>
      <c r="I54" s="138">
        <f t="shared" si="10"/>
        <v>1</v>
      </c>
      <c r="J54" s="148"/>
      <c r="K54" s="138">
        <f t="shared" si="11"/>
        <v>1</v>
      </c>
      <c r="L54" s="148"/>
      <c r="M54" s="138">
        <f t="shared" si="12"/>
        <v>1</v>
      </c>
      <c r="N54" s="148"/>
      <c r="O54" s="138">
        <f t="shared" si="13"/>
        <v>1</v>
      </c>
      <c r="P54" s="148"/>
      <c r="Q54" s="138">
        <f t="shared" si="14"/>
        <v>1</v>
      </c>
      <c r="R54" s="201">
        <f t="shared" si="15"/>
        <v>0</v>
      </c>
      <c r="S54" s="137">
        <f t="shared" si="6"/>
        <v>0</v>
      </c>
    </row>
    <row r="55" spans="1:19">
      <c r="A55" s="146"/>
      <c r="B55" s="147"/>
      <c r="C55" s="138">
        <f t="shared" si="7"/>
        <v>1</v>
      </c>
      <c r="D55" s="148"/>
      <c r="E55" s="138">
        <f t="shared" si="8"/>
        <v>1</v>
      </c>
      <c r="F55" s="148"/>
      <c r="G55" s="138">
        <f t="shared" si="9"/>
        <v>1</v>
      </c>
      <c r="H55" s="148"/>
      <c r="I55" s="138">
        <f t="shared" si="10"/>
        <v>1</v>
      </c>
      <c r="J55" s="148"/>
      <c r="K55" s="138">
        <f t="shared" si="11"/>
        <v>1</v>
      </c>
      <c r="L55" s="148"/>
      <c r="M55" s="138">
        <f t="shared" si="12"/>
        <v>1</v>
      </c>
      <c r="N55" s="148"/>
      <c r="O55" s="138">
        <f t="shared" si="13"/>
        <v>1</v>
      </c>
      <c r="P55" s="148"/>
      <c r="Q55" s="138">
        <f t="shared" si="14"/>
        <v>1</v>
      </c>
      <c r="R55" s="201">
        <f t="shared" si="15"/>
        <v>0</v>
      </c>
      <c r="S55" s="137">
        <f t="shared" ref="S55:S77" si="16">ROUND(R55*B55/10000,0)</f>
        <v>0</v>
      </c>
    </row>
    <row r="56" spans="1:19">
      <c r="A56" s="146"/>
      <c r="B56" s="147"/>
      <c r="C56" s="138">
        <f t="shared" si="7"/>
        <v>1</v>
      </c>
      <c r="D56" s="148"/>
      <c r="E56" s="138">
        <f t="shared" si="8"/>
        <v>1</v>
      </c>
      <c r="F56" s="148"/>
      <c r="G56" s="138">
        <f t="shared" si="9"/>
        <v>1</v>
      </c>
      <c r="H56" s="148"/>
      <c r="I56" s="138">
        <f t="shared" si="10"/>
        <v>1</v>
      </c>
      <c r="J56" s="148"/>
      <c r="K56" s="138">
        <f t="shared" si="11"/>
        <v>1</v>
      </c>
      <c r="L56" s="148"/>
      <c r="M56" s="138">
        <f t="shared" si="12"/>
        <v>1</v>
      </c>
      <c r="N56" s="148"/>
      <c r="O56" s="138">
        <f t="shared" si="13"/>
        <v>1</v>
      </c>
      <c r="P56" s="148"/>
      <c r="Q56" s="138">
        <f t="shared" si="14"/>
        <v>1</v>
      </c>
      <c r="R56" s="201">
        <f t="shared" si="15"/>
        <v>0</v>
      </c>
      <c r="S56" s="137">
        <f t="shared" si="16"/>
        <v>0</v>
      </c>
    </row>
    <row r="57" spans="1:19">
      <c r="A57" s="146"/>
      <c r="B57" s="147"/>
      <c r="C57" s="138">
        <f t="shared" si="7"/>
        <v>1</v>
      </c>
      <c r="D57" s="148"/>
      <c r="E57" s="138">
        <f t="shared" si="8"/>
        <v>1</v>
      </c>
      <c r="F57" s="148"/>
      <c r="G57" s="138">
        <f t="shared" si="9"/>
        <v>1</v>
      </c>
      <c r="H57" s="148"/>
      <c r="I57" s="138">
        <f t="shared" si="10"/>
        <v>1</v>
      </c>
      <c r="J57" s="148"/>
      <c r="K57" s="138">
        <f t="shared" si="11"/>
        <v>1</v>
      </c>
      <c r="L57" s="148"/>
      <c r="M57" s="138">
        <f t="shared" si="12"/>
        <v>1</v>
      </c>
      <c r="N57" s="148"/>
      <c r="O57" s="138">
        <f t="shared" si="13"/>
        <v>1</v>
      </c>
      <c r="P57" s="148"/>
      <c r="Q57" s="138">
        <f t="shared" si="14"/>
        <v>1</v>
      </c>
      <c r="R57" s="201">
        <f t="shared" si="15"/>
        <v>0</v>
      </c>
      <c r="S57" s="137">
        <f t="shared" si="16"/>
        <v>0</v>
      </c>
    </row>
    <row r="58" spans="1:19">
      <c r="A58" s="146"/>
      <c r="B58" s="147"/>
      <c r="C58" s="138">
        <f t="shared" si="7"/>
        <v>1</v>
      </c>
      <c r="D58" s="148"/>
      <c r="E58" s="138">
        <f t="shared" si="8"/>
        <v>1</v>
      </c>
      <c r="F58" s="148"/>
      <c r="G58" s="138">
        <f t="shared" si="9"/>
        <v>1</v>
      </c>
      <c r="H58" s="148"/>
      <c r="I58" s="138">
        <f t="shared" si="10"/>
        <v>1</v>
      </c>
      <c r="J58" s="148"/>
      <c r="K58" s="138">
        <f t="shared" si="11"/>
        <v>1</v>
      </c>
      <c r="L58" s="148"/>
      <c r="M58" s="138">
        <f t="shared" si="12"/>
        <v>1</v>
      </c>
      <c r="N58" s="148"/>
      <c r="O58" s="138">
        <f t="shared" si="13"/>
        <v>1</v>
      </c>
      <c r="P58" s="148"/>
      <c r="Q58" s="138">
        <f t="shared" si="14"/>
        <v>1</v>
      </c>
      <c r="R58" s="201">
        <f t="shared" si="15"/>
        <v>0</v>
      </c>
      <c r="S58" s="137">
        <f t="shared" si="16"/>
        <v>0</v>
      </c>
    </row>
    <row r="59" spans="1:19">
      <c r="A59" s="146"/>
      <c r="B59" s="147"/>
      <c r="C59" s="138">
        <f t="shared" si="7"/>
        <v>1</v>
      </c>
      <c r="D59" s="148"/>
      <c r="E59" s="138">
        <f t="shared" si="8"/>
        <v>1</v>
      </c>
      <c r="F59" s="148"/>
      <c r="G59" s="138">
        <f t="shared" si="9"/>
        <v>1</v>
      </c>
      <c r="H59" s="148"/>
      <c r="I59" s="138">
        <f t="shared" si="10"/>
        <v>1</v>
      </c>
      <c r="J59" s="148"/>
      <c r="K59" s="138">
        <f t="shared" si="11"/>
        <v>1</v>
      </c>
      <c r="L59" s="148"/>
      <c r="M59" s="138">
        <f t="shared" si="12"/>
        <v>1</v>
      </c>
      <c r="N59" s="148"/>
      <c r="O59" s="138">
        <f t="shared" si="13"/>
        <v>1</v>
      </c>
      <c r="P59" s="148"/>
      <c r="Q59" s="138">
        <f t="shared" si="14"/>
        <v>1</v>
      </c>
      <c r="R59" s="201">
        <f t="shared" si="15"/>
        <v>0</v>
      </c>
      <c r="S59" s="137">
        <f t="shared" si="16"/>
        <v>0</v>
      </c>
    </row>
    <row r="60" spans="1:19">
      <c r="A60" s="146"/>
      <c r="B60" s="147"/>
      <c r="C60" s="138">
        <f t="shared" si="7"/>
        <v>1</v>
      </c>
      <c r="D60" s="148"/>
      <c r="E60" s="138">
        <f t="shared" si="8"/>
        <v>1</v>
      </c>
      <c r="F60" s="148"/>
      <c r="G60" s="138">
        <f t="shared" si="9"/>
        <v>1</v>
      </c>
      <c r="H60" s="148"/>
      <c r="I60" s="138">
        <f t="shared" si="10"/>
        <v>1</v>
      </c>
      <c r="J60" s="148"/>
      <c r="K60" s="138">
        <f t="shared" si="11"/>
        <v>1</v>
      </c>
      <c r="L60" s="148"/>
      <c r="M60" s="138">
        <f t="shared" si="12"/>
        <v>1</v>
      </c>
      <c r="N60" s="148"/>
      <c r="O60" s="138">
        <f t="shared" si="13"/>
        <v>1</v>
      </c>
      <c r="P60" s="148"/>
      <c r="Q60" s="138">
        <f t="shared" si="14"/>
        <v>1</v>
      </c>
      <c r="R60" s="201">
        <f t="shared" si="15"/>
        <v>0</v>
      </c>
      <c r="S60" s="137">
        <f t="shared" si="16"/>
        <v>0</v>
      </c>
    </row>
    <row r="61" spans="1:19">
      <c r="A61" s="146"/>
      <c r="B61" s="147"/>
      <c r="C61" s="138">
        <f t="shared" si="7"/>
        <v>1</v>
      </c>
      <c r="D61" s="148"/>
      <c r="E61" s="138">
        <f t="shared" si="8"/>
        <v>1</v>
      </c>
      <c r="F61" s="148"/>
      <c r="G61" s="138">
        <f t="shared" si="9"/>
        <v>1</v>
      </c>
      <c r="H61" s="148"/>
      <c r="I61" s="138">
        <f t="shared" si="10"/>
        <v>1</v>
      </c>
      <c r="J61" s="148"/>
      <c r="K61" s="138">
        <f t="shared" si="11"/>
        <v>1</v>
      </c>
      <c r="L61" s="148"/>
      <c r="M61" s="138">
        <f t="shared" si="12"/>
        <v>1</v>
      </c>
      <c r="N61" s="148"/>
      <c r="O61" s="138">
        <f t="shared" si="13"/>
        <v>1</v>
      </c>
      <c r="P61" s="148"/>
      <c r="Q61" s="138">
        <f t="shared" si="14"/>
        <v>1</v>
      </c>
      <c r="R61" s="201">
        <f t="shared" si="15"/>
        <v>0</v>
      </c>
      <c r="S61" s="137">
        <f t="shared" si="16"/>
        <v>0</v>
      </c>
    </row>
    <row r="62" spans="1:19">
      <c r="A62" s="146"/>
      <c r="B62" s="147"/>
      <c r="C62" s="138">
        <f t="shared" si="7"/>
        <v>1</v>
      </c>
      <c r="D62" s="148"/>
      <c r="E62" s="138">
        <f t="shared" si="8"/>
        <v>1</v>
      </c>
      <c r="F62" s="148"/>
      <c r="G62" s="138">
        <f t="shared" si="9"/>
        <v>1</v>
      </c>
      <c r="H62" s="148"/>
      <c r="I62" s="138">
        <f t="shared" si="10"/>
        <v>1</v>
      </c>
      <c r="J62" s="148"/>
      <c r="K62" s="138">
        <f t="shared" si="11"/>
        <v>1</v>
      </c>
      <c r="L62" s="148"/>
      <c r="M62" s="138">
        <f t="shared" si="12"/>
        <v>1</v>
      </c>
      <c r="N62" s="148"/>
      <c r="O62" s="138">
        <f t="shared" si="13"/>
        <v>1</v>
      </c>
      <c r="P62" s="148"/>
      <c r="Q62" s="138">
        <f t="shared" si="14"/>
        <v>1</v>
      </c>
      <c r="R62" s="201">
        <f t="shared" si="15"/>
        <v>0</v>
      </c>
      <c r="S62" s="137">
        <f t="shared" si="16"/>
        <v>0</v>
      </c>
    </row>
    <row r="63" spans="1:19">
      <c r="A63" s="146"/>
      <c r="B63" s="147"/>
      <c r="C63" s="138">
        <f t="shared" si="7"/>
        <v>1</v>
      </c>
      <c r="D63" s="148"/>
      <c r="E63" s="138">
        <f t="shared" si="8"/>
        <v>1</v>
      </c>
      <c r="F63" s="148"/>
      <c r="G63" s="138">
        <f t="shared" si="9"/>
        <v>1</v>
      </c>
      <c r="H63" s="148"/>
      <c r="I63" s="138">
        <f t="shared" si="10"/>
        <v>1</v>
      </c>
      <c r="J63" s="148"/>
      <c r="K63" s="138">
        <f t="shared" si="11"/>
        <v>1</v>
      </c>
      <c r="L63" s="148"/>
      <c r="M63" s="138">
        <f t="shared" si="12"/>
        <v>1</v>
      </c>
      <c r="N63" s="148"/>
      <c r="O63" s="138">
        <f t="shared" si="13"/>
        <v>1</v>
      </c>
      <c r="P63" s="148"/>
      <c r="Q63" s="138">
        <f t="shared" si="14"/>
        <v>1</v>
      </c>
      <c r="R63" s="201">
        <f t="shared" si="15"/>
        <v>0</v>
      </c>
      <c r="S63" s="137">
        <f t="shared" si="16"/>
        <v>0</v>
      </c>
    </row>
    <row r="64" spans="1:19">
      <c r="A64" s="146"/>
      <c r="B64" s="147"/>
      <c r="C64" s="138">
        <f t="shared" si="7"/>
        <v>1</v>
      </c>
      <c r="D64" s="148"/>
      <c r="E64" s="138">
        <f t="shared" si="8"/>
        <v>1</v>
      </c>
      <c r="F64" s="148"/>
      <c r="G64" s="138">
        <f t="shared" si="9"/>
        <v>1</v>
      </c>
      <c r="H64" s="148"/>
      <c r="I64" s="138">
        <f t="shared" si="10"/>
        <v>1</v>
      </c>
      <c r="J64" s="148"/>
      <c r="K64" s="138">
        <f t="shared" si="11"/>
        <v>1</v>
      </c>
      <c r="L64" s="148"/>
      <c r="M64" s="138">
        <f t="shared" si="12"/>
        <v>1</v>
      </c>
      <c r="N64" s="148"/>
      <c r="O64" s="138">
        <f t="shared" si="13"/>
        <v>1</v>
      </c>
      <c r="P64" s="148"/>
      <c r="Q64" s="138">
        <f t="shared" si="14"/>
        <v>1</v>
      </c>
      <c r="R64" s="201">
        <f t="shared" si="15"/>
        <v>0</v>
      </c>
      <c r="S64" s="137">
        <f t="shared" si="16"/>
        <v>0</v>
      </c>
    </row>
    <row r="65" spans="1:19">
      <c r="A65" s="146"/>
      <c r="B65" s="147"/>
      <c r="C65" s="138">
        <f t="shared" si="7"/>
        <v>1</v>
      </c>
      <c r="D65" s="148"/>
      <c r="E65" s="138">
        <f t="shared" si="8"/>
        <v>1</v>
      </c>
      <c r="F65" s="148"/>
      <c r="G65" s="138">
        <f t="shared" si="9"/>
        <v>1</v>
      </c>
      <c r="H65" s="148"/>
      <c r="I65" s="138">
        <f t="shared" si="10"/>
        <v>1</v>
      </c>
      <c r="J65" s="148"/>
      <c r="K65" s="138">
        <f t="shared" si="11"/>
        <v>1</v>
      </c>
      <c r="L65" s="148"/>
      <c r="M65" s="138">
        <f t="shared" si="12"/>
        <v>1</v>
      </c>
      <c r="N65" s="148"/>
      <c r="O65" s="138">
        <f t="shared" si="13"/>
        <v>1</v>
      </c>
      <c r="P65" s="148"/>
      <c r="Q65" s="138">
        <f t="shared" si="14"/>
        <v>1</v>
      </c>
      <c r="R65" s="201">
        <f t="shared" si="15"/>
        <v>0</v>
      </c>
      <c r="S65" s="137">
        <f t="shared" si="16"/>
        <v>0</v>
      </c>
    </row>
    <row r="66" spans="1:19">
      <c r="A66" s="146"/>
      <c r="B66" s="147"/>
      <c r="C66" s="138">
        <f t="shared" si="7"/>
        <v>1</v>
      </c>
      <c r="D66" s="148"/>
      <c r="E66" s="138">
        <f t="shared" si="8"/>
        <v>1</v>
      </c>
      <c r="F66" s="148"/>
      <c r="G66" s="138">
        <f t="shared" si="9"/>
        <v>1</v>
      </c>
      <c r="H66" s="148"/>
      <c r="I66" s="138">
        <f t="shared" si="10"/>
        <v>1</v>
      </c>
      <c r="J66" s="148"/>
      <c r="K66" s="138">
        <f t="shared" si="11"/>
        <v>1</v>
      </c>
      <c r="L66" s="148"/>
      <c r="M66" s="138">
        <f t="shared" si="12"/>
        <v>1</v>
      </c>
      <c r="N66" s="148"/>
      <c r="O66" s="138">
        <f t="shared" si="13"/>
        <v>1</v>
      </c>
      <c r="P66" s="148"/>
      <c r="Q66" s="138">
        <f t="shared" si="14"/>
        <v>1</v>
      </c>
      <c r="R66" s="201">
        <f t="shared" si="15"/>
        <v>0</v>
      </c>
      <c r="S66" s="137">
        <f t="shared" si="16"/>
        <v>0</v>
      </c>
    </row>
    <row r="67" spans="1:19">
      <c r="A67" s="146"/>
      <c r="B67" s="147"/>
      <c r="C67" s="138">
        <f t="shared" si="7"/>
        <v>1</v>
      </c>
      <c r="D67" s="148"/>
      <c r="E67" s="138">
        <f t="shared" si="8"/>
        <v>1</v>
      </c>
      <c r="F67" s="148"/>
      <c r="G67" s="138">
        <f t="shared" si="9"/>
        <v>1</v>
      </c>
      <c r="H67" s="148"/>
      <c r="I67" s="138">
        <f t="shared" si="10"/>
        <v>1</v>
      </c>
      <c r="J67" s="148"/>
      <c r="K67" s="138">
        <f t="shared" si="11"/>
        <v>1</v>
      </c>
      <c r="L67" s="148"/>
      <c r="M67" s="138">
        <f t="shared" si="12"/>
        <v>1</v>
      </c>
      <c r="N67" s="148"/>
      <c r="O67" s="138">
        <f t="shared" si="13"/>
        <v>1</v>
      </c>
      <c r="P67" s="148"/>
      <c r="Q67" s="138">
        <f t="shared" si="14"/>
        <v>1</v>
      </c>
      <c r="R67" s="201">
        <f t="shared" si="15"/>
        <v>0</v>
      </c>
      <c r="S67" s="137">
        <f t="shared" si="16"/>
        <v>0</v>
      </c>
    </row>
    <row r="68" spans="1:19">
      <c r="A68" s="146"/>
      <c r="B68" s="147"/>
      <c r="C68" s="138">
        <f t="shared" si="7"/>
        <v>1</v>
      </c>
      <c r="D68" s="148"/>
      <c r="E68" s="138">
        <f t="shared" si="8"/>
        <v>1</v>
      </c>
      <c r="F68" s="148"/>
      <c r="G68" s="138">
        <f t="shared" si="9"/>
        <v>1</v>
      </c>
      <c r="H68" s="148"/>
      <c r="I68" s="138">
        <f t="shared" si="10"/>
        <v>1</v>
      </c>
      <c r="J68" s="148"/>
      <c r="K68" s="138">
        <f t="shared" si="11"/>
        <v>1</v>
      </c>
      <c r="L68" s="148"/>
      <c r="M68" s="138">
        <f t="shared" si="12"/>
        <v>1</v>
      </c>
      <c r="N68" s="148"/>
      <c r="O68" s="138">
        <f t="shared" si="13"/>
        <v>1</v>
      </c>
      <c r="P68" s="148"/>
      <c r="Q68" s="138">
        <f t="shared" si="14"/>
        <v>1</v>
      </c>
      <c r="R68" s="201">
        <f t="shared" si="15"/>
        <v>0</v>
      </c>
      <c r="S68" s="137">
        <f t="shared" si="16"/>
        <v>0</v>
      </c>
    </row>
    <row r="69" spans="1:19">
      <c r="A69" s="146"/>
      <c r="B69" s="147"/>
      <c r="C69" s="138">
        <f t="shared" si="7"/>
        <v>1</v>
      </c>
      <c r="D69" s="148"/>
      <c r="E69" s="138">
        <f t="shared" si="8"/>
        <v>1</v>
      </c>
      <c r="F69" s="148"/>
      <c r="G69" s="138">
        <f t="shared" si="9"/>
        <v>1</v>
      </c>
      <c r="H69" s="148"/>
      <c r="I69" s="138">
        <f t="shared" si="10"/>
        <v>1</v>
      </c>
      <c r="J69" s="148"/>
      <c r="K69" s="138">
        <f t="shared" si="11"/>
        <v>1</v>
      </c>
      <c r="L69" s="148"/>
      <c r="M69" s="138">
        <f t="shared" si="12"/>
        <v>1</v>
      </c>
      <c r="N69" s="148"/>
      <c r="O69" s="138">
        <f t="shared" si="13"/>
        <v>1</v>
      </c>
      <c r="P69" s="148"/>
      <c r="Q69" s="138">
        <f t="shared" si="14"/>
        <v>1</v>
      </c>
      <c r="R69" s="201">
        <f t="shared" si="15"/>
        <v>0</v>
      </c>
      <c r="S69" s="137">
        <f t="shared" si="16"/>
        <v>0</v>
      </c>
    </row>
    <row r="70" spans="1:19">
      <c r="A70" s="146"/>
      <c r="B70" s="147"/>
      <c r="C70" s="138">
        <f t="shared" si="7"/>
        <v>1</v>
      </c>
      <c r="D70" s="148"/>
      <c r="E70" s="138">
        <f t="shared" si="8"/>
        <v>1</v>
      </c>
      <c r="F70" s="148"/>
      <c r="G70" s="138">
        <f t="shared" si="9"/>
        <v>1</v>
      </c>
      <c r="H70" s="148"/>
      <c r="I70" s="138">
        <f t="shared" si="10"/>
        <v>1</v>
      </c>
      <c r="J70" s="148"/>
      <c r="K70" s="138">
        <f t="shared" si="11"/>
        <v>1</v>
      </c>
      <c r="L70" s="148"/>
      <c r="M70" s="138">
        <f t="shared" si="12"/>
        <v>1</v>
      </c>
      <c r="N70" s="148"/>
      <c r="O70" s="138">
        <f t="shared" si="13"/>
        <v>1</v>
      </c>
      <c r="P70" s="148"/>
      <c r="Q70" s="138">
        <f t="shared" si="14"/>
        <v>1</v>
      </c>
      <c r="R70" s="201">
        <f t="shared" si="15"/>
        <v>0</v>
      </c>
      <c r="S70" s="137">
        <f t="shared" si="16"/>
        <v>0</v>
      </c>
    </row>
    <row r="71" spans="1:19">
      <c r="A71" s="146"/>
      <c r="B71" s="147"/>
      <c r="C71" s="138">
        <f t="shared" si="7"/>
        <v>1</v>
      </c>
      <c r="D71" s="148"/>
      <c r="E71" s="138">
        <f t="shared" si="8"/>
        <v>1</v>
      </c>
      <c r="F71" s="148"/>
      <c r="G71" s="138">
        <f t="shared" si="9"/>
        <v>1</v>
      </c>
      <c r="H71" s="148"/>
      <c r="I71" s="138">
        <f t="shared" si="10"/>
        <v>1</v>
      </c>
      <c r="J71" s="148"/>
      <c r="K71" s="138">
        <f t="shared" si="11"/>
        <v>1</v>
      </c>
      <c r="L71" s="148"/>
      <c r="M71" s="138">
        <f t="shared" si="12"/>
        <v>1</v>
      </c>
      <c r="N71" s="148"/>
      <c r="O71" s="138">
        <f t="shared" si="13"/>
        <v>1</v>
      </c>
      <c r="P71" s="148"/>
      <c r="Q71" s="138">
        <f t="shared" si="14"/>
        <v>1</v>
      </c>
      <c r="R71" s="201">
        <f t="shared" si="15"/>
        <v>0</v>
      </c>
      <c r="S71" s="137">
        <f t="shared" si="16"/>
        <v>0</v>
      </c>
    </row>
    <row r="72" spans="1:19">
      <c r="A72" s="146"/>
      <c r="B72" s="147"/>
      <c r="C72" s="138">
        <f t="shared" si="7"/>
        <v>1</v>
      </c>
      <c r="D72" s="148"/>
      <c r="E72" s="138">
        <f t="shared" si="8"/>
        <v>1</v>
      </c>
      <c r="F72" s="148"/>
      <c r="G72" s="138">
        <f t="shared" si="9"/>
        <v>1</v>
      </c>
      <c r="H72" s="148"/>
      <c r="I72" s="138">
        <f t="shared" si="10"/>
        <v>1</v>
      </c>
      <c r="J72" s="148"/>
      <c r="K72" s="138">
        <f t="shared" si="11"/>
        <v>1</v>
      </c>
      <c r="L72" s="148"/>
      <c r="M72" s="138">
        <f t="shared" si="12"/>
        <v>1</v>
      </c>
      <c r="N72" s="148"/>
      <c r="O72" s="138">
        <f t="shared" si="13"/>
        <v>1</v>
      </c>
      <c r="P72" s="148"/>
      <c r="Q72" s="138">
        <f t="shared" si="14"/>
        <v>1</v>
      </c>
      <c r="R72" s="201">
        <f t="shared" si="15"/>
        <v>0</v>
      </c>
      <c r="S72" s="137">
        <f t="shared" si="16"/>
        <v>0</v>
      </c>
    </row>
    <row r="73" spans="1:19">
      <c r="A73" s="146"/>
      <c r="B73" s="147"/>
      <c r="C73" s="138">
        <f t="shared" si="7"/>
        <v>1</v>
      </c>
      <c r="D73" s="148"/>
      <c r="E73" s="138">
        <f t="shared" si="8"/>
        <v>1</v>
      </c>
      <c r="F73" s="148"/>
      <c r="G73" s="138">
        <f t="shared" si="9"/>
        <v>1</v>
      </c>
      <c r="H73" s="148"/>
      <c r="I73" s="138">
        <f t="shared" si="10"/>
        <v>1</v>
      </c>
      <c r="J73" s="148"/>
      <c r="K73" s="138">
        <f t="shared" si="11"/>
        <v>1</v>
      </c>
      <c r="L73" s="148"/>
      <c r="M73" s="138">
        <f t="shared" si="12"/>
        <v>1</v>
      </c>
      <c r="N73" s="148"/>
      <c r="O73" s="138">
        <f t="shared" si="13"/>
        <v>1</v>
      </c>
      <c r="P73" s="148"/>
      <c r="Q73" s="138">
        <f t="shared" si="14"/>
        <v>1</v>
      </c>
      <c r="R73" s="201">
        <f t="shared" si="15"/>
        <v>0</v>
      </c>
      <c r="S73" s="137">
        <f t="shared" si="16"/>
        <v>0</v>
      </c>
    </row>
    <row r="74" spans="1:19">
      <c r="A74" s="146"/>
      <c r="B74" s="147"/>
      <c r="C74" s="138">
        <f t="shared" si="7"/>
        <v>1</v>
      </c>
      <c r="D74" s="148"/>
      <c r="E74" s="138">
        <f t="shared" si="8"/>
        <v>1</v>
      </c>
      <c r="F74" s="148"/>
      <c r="G74" s="138">
        <f t="shared" si="9"/>
        <v>1</v>
      </c>
      <c r="H74" s="148"/>
      <c r="I74" s="138">
        <f t="shared" si="10"/>
        <v>1</v>
      </c>
      <c r="J74" s="148"/>
      <c r="K74" s="138">
        <f t="shared" si="11"/>
        <v>1</v>
      </c>
      <c r="L74" s="148"/>
      <c r="M74" s="138">
        <f t="shared" si="12"/>
        <v>1</v>
      </c>
      <c r="N74" s="148"/>
      <c r="O74" s="138">
        <f t="shared" si="13"/>
        <v>1</v>
      </c>
      <c r="P74" s="148"/>
      <c r="Q74" s="138">
        <f t="shared" si="14"/>
        <v>1</v>
      </c>
      <c r="R74" s="201">
        <f t="shared" si="15"/>
        <v>0</v>
      </c>
      <c r="S74" s="137">
        <f t="shared" si="16"/>
        <v>0</v>
      </c>
    </row>
    <row r="75" spans="1:19">
      <c r="A75" s="146"/>
      <c r="B75" s="147"/>
      <c r="C75" s="138">
        <f t="shared" si="7"/>
        <v>1</v>
      </c>
      <c r="D75" s="148"/>
      <c r="E75" s="138">
        <f t="shared" si="8"/>
        <v>1</v>
      </c>
      <c r="F75" s="148"/>
      <c r="G75" s="138">
        <f t="shared" si="9"/>
        <v>1</v>
      </c>
      <c r="H75" s="148"/>
      <c r="I75" s="138">
        <f t="shared" si="10"/>
        <v>1</v>
      </c>
      <c r="J75" s="148"/>
      <c r="K75" s="138">
        <f t="shared" si="11"/>
        <v>1</v>
      </c>
      <c r="L75" s="148"/>
      <c r="M75" s="138">
        <f t="shared" si="12"/>
        <v>1</v>
      </c>
      <c r="N75" s="148"/>
      <c r="O75" s="138">
        <f t="shared" si="13"/>
        <v>1</v>
      </c>
      <c r="P75" s="148"/>
      <c r="Q75" s="138">
        <f t="shared" si="14"/>
        <v>1</v>
      </c>
      <c r="R75" s="201">
        <f t="shared" si="15"/>
        <v>0</v>
      </c>
      <c r="S75" s="137">
        <f t="shared" si="16"/>
        <v>0</v>
      </c>
    </row>
    <row r="76" spans="1:19">
      <c r="A76" s="146"/>
      <c r="B76" s="147"/>
      <c r="C76" s="138">
        <f t="shared" si="7"/>
        <v>1</v>
      </c>
      <c r="D76" s="148"/>
      <c r="E76" s="138">
        <f t="shared" si="8"/>
        <v>1</v>
      </c>
      <c r="F76" s="148"/>
      <c r="G76" s="138">
        <f t="shared" si="9"/>
        <v>1</v>
      </c>
      <c r="H76" s="148"/>
      <c r="I76" s="138">
        <f t="shared" si="10"/>
        <v>1</v>
      </c>
      <c r="J76" s="148"/>
      <c r="K76" s="138">
        <f t="shared" si="11"/>
        <v>1</v>
      </c>
      <c r="L76" s="148"/>
      <c r="M76" s="138">
        <f t="shared" si="12"/>
        <v>1</v>
      </c>
      <c r="N76" s="148"/>
      <c r="O76" s="138">
        <f t="shared" si="13"/>
        <v>1</v>
      </c>
      <c r="P76" s="148"/>
      <c r="Q76" s="138">
        <f t="shared" si="14"/>
        <v>1</v>
      </c>
      <c r="R76" s="201">
        <f t="shared" si="15"/>
        <v>0</v>
      </c>
      <c r="S76" s="137">
        <f t="shared" si="16"/>
        <v>0</v>
      </c>
    </row>
    <row r="77" spans="1:19">
      <c r="A77" s="146"/>
      <c r="B77" s="147"/>
      <c r="C77" s="138">
        <f t="shared" si="7"/>
        <v>1</v>
      </c>
      <c r="D77" s="148"/>
      <c r="E77" s="138">
        <f t="shared" si="8"/>
        <v>1</v>
      </c>
      <c r="F77" s="148"/>
      <c r="G77" s="138">
        <f t="shared" si="9"/>
        <v>1</v>
      </c>
      <c r="H77" s="148"/>
      <c r="I77" s="138">
        <f t="shared" si="10"/>
        <v>1</v>
      </c>
      <c r="J77" s="148"/>
      <c r="K77" s="138">
        <f t="shared" si="11"/>
        <v>1</v>
      </c>
      <c r="L77" s="148"/>
      <c r="M77" s="138">
        <f t="shared" si="12"/>
        <v>1</v>
      </c>
      <c r="N77" s="148"/>
      <c r="O77" s="138">
        <f t="shared" si="13"/>
        <v>1</v>
      </c>
      <c r="P77" s="148"/>
      <c r="Q77" s="138">
        <f t="shared" si="14"/>
        <v>1</v>
      </c>
      <c r="R77" s="201">
        <f t="shared" si="15"/>
        <v>0</v>
      </c>
      <c r="S77" s="137">
        <f t="shared" si="16"/>
        <v>0</v>
      </c>
    </row>
    <row r="78" spans="1:19">
      <c r="A78" s="146"/>
      <c r="B78" s="147"/>
      <c r="C78" s="138">
        <f t="shared" si="7"/>
        <v>1</v>
      </c>
      <c r="D78" s="148"/>
      <c r="E78" s="138">
        <f t="shared" si="8"/>
        <v>1</v>
      </c>
      <c r="F78" s="148"/>
      <c r="G78" s="138">
        <f t="shared" si="9"/>
        <v>1</v>
      </c>
      <c r="H78" s="148"/>
      <c r="I78" s="138">
        <f t="shared" si="10"/>
        <v>1</v>
      </c>
      <c r="J78" s="148"/>
      <c r="K78" s="138">
        <f t="shared" si="11"/>
        <v>1</v>
      </c>
      <c r="L78" s="148"/>
      <c r="M78" s="138">
        <f t="shared" si="12"/>
        <v>1</v>
      </c>
      <c r="N78" s="148"/>
      <c r="O78" s="138">
        <f t="shared" si="13"/>
        <v>1</v>
      </c>
      <c r="P78" s="148"/>
      <c r="Q78" s="138">
        <f t="shared" si="14"/>
        <v>1</v>
      </c>
      <c r="R78" s="201">
        <f t="shared" si="15"/>
        <v>0</v>
      </c>
      <c r="S78" s="137">
        <f t="shared" ref="S78:S122" si="17">ROUND(R78*B78/10000,0)</f>
        <v>0</v>
      </c>
    </row>
    <row r="79" spans="1:19">
      <c r="A79" s="146"/>
      <c r="B79" s="147"/>
      <c r="C79" s="138">
        <f t="shared" si="7"/>
        <v>1</v>
      </c>
      <c r="D79" s="148"/>
      <c r="E79" s="138">
        <f t="shared" si="8"/>
        <v>1</v>
      </c>
      <c r="F79" s="148"/>
      <c r="G79" s="138">
        <f t="shared" si="9"/>
        <v>1</v>
      </c>
      <c r="H79" s="148"/>
      <c r="I79" s="138">
        <f t="shared" si="10"/>
        <v>1</v>
      </c>
      <c r="J79" s="148"/>
      <c r="K79" s="138">
        <f t="shared" si="11"/>
        <v>1</v>
      </c>
      <c r="L79" s="148"/>
      <c r="M79" s="138">
        <f t="shared" si="12"/>
        <v>1</v>
      </c>
      <c r="N79" s="148"/>
      <c r="O79" s="138">
        <f t="shared" si="13"/>
        <v>1</v>
      </c>
      <c r="P79" s="148"/>
      <c r="Q79" s="138">
        <f t="shared" si="14"/>
        <v>1</v>
      </c>
      <c r="R79" s="201">
        <f t="shared" si="15"/>
        <v>0</v>
      </c>
      <c r="S79" s="137">
        <f t="shared" si="17"/>
        <v>0</v>
      </c>
    </row>
    <row r="80" spans="1:19">
      <c r="A80" s="146"/>
      <c r="B80" s="147"/>
      <c r="C80" s="138">
        <f t="shared" si="7"/>
        <v>1</v>
      </c>
      <c r="D80" s="148"/>
      <c r="E80" s="138">
        <f t="shared" si="8"/>
        <v>1</v>
      </c>
      <c r="F80" s="148"/>
      <c r="G80" s="138">
        <f t="shared" si="9"/>
        <v>1</v>
      </c>
      <c r="H80" s="148"/>
      <c r="I80" s="138">
        <f t="shared" si="10"/>
        <v>1</v>
      </c>
      <c r="J80" s="148"/>
      <c r="K80" s="138">
        <f t="shared" si="11"/>
        <v>1</v>
      </c>
      <c r="L80" s="148"/>
      <c r="M80" s="138">
        <f t="shared" si="12"/>
        <v>1</v>
      </c>
      <c r="N80" s="148"/>
      <c r="O80" s="138">
        <f t="shared" si="13"/>
        <v>1</v>
      </c>
      <c r="P80" s="148"/>
      <c r="Q80" s="138">
        <f t="shared" si="14"/>
        <v>1</v>
      </c>
      <c r="R80" s="201">
        <f t="shared" si="15"/>
        <v>0</v>
      </c>
      <c r="S80" s="137">
        <f t="shared" si="17"/>
        <v>0</v>
      </c>
    </row>
    <row r="81" spans="1:19">
      <c r="A81" s="146"/>
      <c r="B81" s="147"/>
      <c r="C81" s="138">
        <f t="shared" si="7"/>
        <v>1</v>
      </c>
      <c r="D81" s="148"/>
      <c r="E81" s="138">
        <f t="shared" si="8"/>
        <v>1</v>
      </c>
      <c r="F81" s="148"/>
      <c r="G81" s="138">
        <f t="shared" si="9"/>
        <v>1</v>
      </c>
      <c r="H81" s="148"/>
      <c r="I81" s="138">
        <f t="shared" si="10"/>
        <v>1</v>
      </c>
      <c r="J81" s="148"/>
      <c r="K81" s="138">
        <f t="shared" si="11"/>
        <v>1</v>
      </c>
      <c r="L81" s="148"/>
      <c r="M81" s="138">
        <f t="shared" si="12"/>
        <v>1</v>
      </c>
      <c r="N81" s="148"/>
      <c r="O81" s="138">
        <f t="shared" si="13"/>
        <v>1</v>
      </c>
      <c r="P81" s="148"/>
      <c r="Q81" s="138">
        <f t="shared" si="14"/>
        <v>1</v>
      </c>
      <c r="R81" s="201">
        <f t="shared" si="15"/>
        <v>0</v>
      </c>
      <c r="S81" s="137">
        <f t="shared" si="17"/>
        <v>0</v>
      </c>
    </row>
    <row r="82" spans="1:19">
      <c r="A82" s="146"/>
      <c r="B82" s="147"/>
      <c r="C82" s="138">
        <f t="shared" si="7"/>
        <v>1</v>
      </c>
      <c r="D82" s="148"/>
      <c r="E82" s="138">
        <f t="shared" si="8"/>
        <v>1</v>
      </c>
      <c r="F82" s="148"/>
      <c r="G82" s="138">
        <f t="shared" si="9"/>
        <v>1</v>
      </c>
      <c r="H82" s="148"/>
      <c r="I82" s="138">
        <f t="shared" si="10"/>
        <v>1</v>
      </c>
      <c r="J82" s="148"/>
      <c r="K82" s="138">
        <f t="shared" si="11"/>
        <v>1</v>
      </c>
      <c r="L82" s="148"/>
      <c r="M82" s="138">
        <f t="shared" si="12"/>
        <v>1</v>
      </c>
      <c r="N82" s="148"/>
      <c r="O82" s="138">
        <f t="shared" si="13"/>
        <v>1</v>
      </c>
      <c r="P82" s="148"/>
      <c r="Q82" s="138">
        <f t="shared" si="14"/>
        <v>1</v>
      </c>
      <c r="R82" s="201">
        <f t="shared" si="15"/>
        <v>0</v>
      </c>
      <c r="S82" s="137">
        <f t="shared" si="17"/>
        <v>0</v>
      </c>
    </row>
    <row r="83" spans="1:19">
      <c r="A83" s="146"/>
      <c r="B83" s="147"/>
      <c r="C83" s="138">
        <f t="shared" si="7"/>
        <v>1</v>
      </c>
      <c r="D83" s="148"/>
      <c r="E83" s="138">
        <f t="shared" si="8"/>
        <v>1</v>
      </c>
      <c r="F83" s="148"/>
      <c r="G83" s="138">
        <f t="shared" si="9"/>
        <v>1</v>
      </c>
      <c r="H83" s="148"/>
      <c r="I83" s="138">
        <f t="shared" si="10"/>
        <v>1</v>
      </c>
      <c r="J83" s="148"/>
      <c r="K83" s="138">
        <f t="shared" si="11"/>
        <v>1</v>
      </c>
      <c r="L83" s="148"/>
      <c r="M83" s="138">
        <f t="shared" si="12"/>
        <v>1</v>
      </c>
      <c r="N83" s="148"/>
      <c r="O83" s="138">
        <f t="shared" si="13"/>
        <v>1</v>
      </c>
      <c r="P83" s="148"/>
      <c r="Q83" s="138">
        <f t="shared" si="14"/>
        <v>1</v>
      </c>
      <c r="R83" s="201">
        <f t="shared" si="15"/>
        <v>0</v>
      </c>
      <c r="S83" s="137">
        <f t="shared" si="17"/>
        <v>0</v>
      </c>
    </row>
    <row r="84" spans="1:19">
      <c r="A84" s="146"/>
      <c r="B84" s="147"/>
      <c r="C84" s="138">
        <f t="shared" si="7"/>
        <v>1</v>
      </c>
      <c r="D84" s="148"/>
      <c r="E84" s="138">
        <f t="shared" si="8"/>
        <v>1</v>
      </c>
      <c r="F84" s="148"/>
      <c r="G84" s="138">
        <f t="shared" si="9"/>
        <v>1</v>
      </c>
      <c r="H84" s="148"/>
      <c r="I84" s="138">
        <f t="shared" si="10"/>
        <v>1</v>
      </c>
      <c r="J84" s="148"/>
      <c r="K84" s="138">
        <f t="shared" si="11"/>
        <v>1</v>
      </c>
      <c r="L84" s="148"/>
      <c r="M84" s="138">
        <f t="shared" si="12"/>
        <v>1</v>
      </c>
      <c r="N84" s="148"/>
      <c r="O84" s="138">
        <f t="shared" si="13"/>
        <v>1</v>
      </c>
      <c r="P84" s="148"/>
      <c r="Q84" s="138">
        <f t="shared" si="14"/>
        <v>1</v>
      </c>
      <c r="R84" s="201">
        <f t="shared" si="15"/>
        <v>0</v>
      </c>
      <c r="S84" s="137">
        <f t="shared" si="17"/>
        <v>0</v>
      </c>
    </row>
    <row r="85" spans="1:19">
      <c r="A85" s="146"/>
      <c r="B85" s="147"/>
      <c r="C85" s="138">
        <f t="shared" si="7"/>
        <v>1</v>
      </c>
      <c r="D85" s="148"/>
      <c r="E85" s="138">
        <f t="shared" si="8"/>
        <v>1</v>
      </c>
      <c r="F85" s="148"/>
      <c r="G85" s="138">
        <f t="shared" si="9"/>
        <v>1</v>
      </c>
      <c r="H85" s="148"/>
      <c r="I85" s="138">
        <f t="shared" si="10"/>
        <v>1</v>
      </c>
      <c r="J85" s="148"/>
      <c r="K85" s="138">
        <f t="shared" si="11"/>
        <v>1</v>
      </c>
      <c r="L85" s="148"/>
      <c r="M85" s="138">
        <f t="shared" si="12"/>
        <v>1</v>
      </c>
      <c r="N85" s="148"/>
      <c r="O85" s="138">
        <f t="shared" si="13"/>
        <v>1</v>
      </c>
      <c r="P85" s="148"/>
      <c r="Q85" s="138">
        <f t="shared" si="14"/>
        <v>1</v>
      </c>
      <c r="R85" s="201">
        <f t="shared" si="15"/>
        <v>0</v>
      </c>
      <c r="S85" s="137">
        <f t="shared" si="17"/>
        <v>0</v>
      </c>
    </row>
    <row r="86" spans="1:19">
      <c r="A86" s="146"/>
      <c r="B86" s="147"/>
      <c r="C86" s="138">
        <f t="shared" si="7"/>
        <v>1</v>
      </c>
      <c r="D86" s="148"/>
      <c r="E86" s="138">
        <f t="shared" si="8"/>
        <v>1</v>
      </c>
      <c r="F86" s="148"/>
      <c r="G86" s="138">
        <f t="shared" si="9"/>
        <v>1</v>
      </c>
      <c r="H86" s="148"/>
      <c r="I86" s="138">
        <f t="shared" si="10"/>
        <v>1</v>
      </c>
      <c r="J86" s="148"/>
      <c r="K86" s="138">
        <f t="shared" si="11"/>
        <v>1</v>
      </c>
      <c r="L86" s="148"/>
      <c r="M86" s="138">
        <f t="shared" si="12"/>
        <v>1</v>
      </c>
      <c r="N86" s="148"/>
      <c r="O86" s="138">
        <f t="shared" si="13"/>
        <v>1</v>
      </c>
      <c r="P86" s="148"/>
      <c r="Q86" s="138">
        <f t="shared" si="14"/>
        <v>1</v>
      </c>
      <c r="R86" s="201">
        <f t="shared" si="15"/>
        <v>0</v>
      </c>
      <c r="S86" s="137">
        <f t="shared" si="17"/>
        <v>0</v>
      </c>
    </row>
    <row r="87" spans="1:19">
      <c r="A87" s="146"/>
      <c r="B87" s="147"/>
      <c r="C87" s="138">
        <f t="shared" si="7"/>
        <v>1</v>
      </c>
      <c r="D87" s="148"/>
      <c r="E87" s="138">
        <f t="shared" si="8"/>
        <v>1</v>
      </c>
      <c r="F87" s="148"/>
      <c r="G87" s="138">
        <f t="shared" si="9"/>
        <v>1</v>
      </c>
      <c r="H87" s="148"/>
      <c r="I87" s="138">
        <f t="shared" si="10"/>
        <v>1</v>
      </c>
      <c r="J87" s="148"/>
      <c r="K87" s="138">
        <f t="shared" si="11"/>
        <v>1</v>
      </c>
      <c r="L87" s="148"/>
      <c r="M87" s="138">
        <f t="shared" si="12"/>
        <v>1</v>
      </c>
      <c r="N87" s="148"/>
      <c r="O87" s="138">
        <f t="shared" si="13"/>
        <v>1</v>
      </c>
      <c r="P87" s="148"/>
      <c r="Q87" s="138">
        <f t="shared" si="14"/>
        <v>1</v>
      </c>
      <c r="R87" s="201">
        <f t="shared" si="15"/>
        <v>0</v>
      </c>
      <c r="S87" s="137">
        <f t="shared" si="17"/>
        <v>0</v>
      </c>
    </row>
    <row r="88" spans="1:19">
      <c r="A88" s="146"/>
      <c r="B88" s="147"/>
      <c r="C88" s="138">
        <f t="shared" si="7"/>
        <v>1</v>
      </c>
      <c r="D88" s="148"/>
      <c r="E88" s="138">
        <f t="shared" si="8"/>
        <v>1</v>
      </c>
      <c r="F88" s="148"/>
      <c r="G88" s="138">
        <f t="shared" si="9"/>
        <v>1</v>
      </c>
      <c r="H88" s="148"/>
      <c r="I88" s="138">
        <f t="shared" si="10"/>
        <v>1</v>
      </c>
      <c r="J88" s="148"/>
      <c r="K88" s="138">
        <f t="shared" si="11"/>
        <v>1</v>
      </c>
      <c r="L88" s="148"/>
      <c r="M88" s="138">
        <f t="shared" si="12"/>
        <v>1</v>
      </c>
      <c r="N88" s="148"/>
      <c r="O88" s="138">
        <f t="shared" si="13"/>
        <v>1</v>
      </c>
      <c r="P88" s="148"/>
      <c r="Q88" s="138">
        <f t="shared" si="14"/>
        <v>1</v>
      </c>
      <c r="R88" s="201">
        <f t="shared" si="15"/>
        <v>0</v>
      </c>
      <c r="S88" s="137">
        <f t="shared" si="17"/>
        <v>0</v>
      </c>
    </row>
    <row r="89" spans="1:19">
      <c r="A89" s="146"/>
      <c r="B89" s="147"/>
      <c r="C89" s="138">
        <f t="shared" si="7"/>
        <v>1</v>
      </c>
      <c r="D89" s="148"/>
      <c r="E89" s="138">
        <f t="shared" si="8"/>
        <v>1</v>
      </c>
      <c r="F89" s="148"/>
      <c r="G89" s="138">
        <f t="shared" si="9"/>
        <v>1</v>
      </c>
      <c r="H89" s="148"/>
      <c r="I89" s="138">
        <f t="shared" si="10"/>
        <v>1</v>
      </c>
      <c r="J89" s="148"/>
      <c r="K89" s="138">
        <f t="shared" si="11"/>
        <v>1</v>
      </c>
      <c r="L89" s="148"/>
      <c r="M89" s="138">
        <f t="shared" si="12"/>
        <v>1</v>
      </c>
      <c r="N89" s="148"/>
      <c r="O89" s="138">
        <f t="shared" si="13"/>
        <v>1</v>
      </c>
      <c r="P89" s="148"/>
      <c r="Q89" s="138">
        <f t="shared" si="14"/>
        <v>1</v>
      </c>
      <c r="R89" s="201">
        <f t="shared" si="15"/>
        <v>0</v>
      </c>
      <c r="S89" s="137">
        <f t="shared" si="17"/>
        <v>0</v>
      </c>
    </row>
    <row r="90" spans="1:19">
      <c r="A90" s="146"/>
      <c r="B90" s="147"/>
      <c r="C90" s="138">
        <f t="shared" ref="C90:C153" si="18">IF(B90="",1,(LOOKUP(B90,$3:$3,$4:$4)-LOOKUP($B$24,$3:$3,$4:$4)+100)/100)</f>
        <v>1</v>
      </c>
      <c r="D90" s="148"/>
      <c r="E90" s="138">
        <f t="shared" ref="E90:E153" si="19">(SUMIF($5:$5,D90,$6:$6)-SUMIF($5:$5,$D$24,$6:$6)+100)/100</f>
        <v>1</v>
      </c>
      <c r="F90" s="148"/>
      <c r="G90" s="138">
        <f t="shared" ref="G90:G153" si="20">(SUMIF($7:$7,F90,$8:$8)-SUMIF($7:$7,$F$24,$8:$8)+100)/100</f>
        <v>1</v>
      </c>
      <c r="H90" s="148"/>
      <c r="I90" s="138">
        <f t="shared" ref="I90:I153" si="21">(SUMIF($9:$9,H90,$10:$10)-SUMIF($9:$9,$H$24,$10:$10)+100)/100</f>
        <v>1</v>
      </c>
      <c r="J90" s="148"/>
      <c r="K90" s="138">
        <f t="shared" ref="K90:K153" si="22">(SUMIF($11:$11,J90,$12:$12)-SUMIF($11:$11,$J$24,$12:$12)+100)/100</f>
        <v>1</v>
      </c>
      <c r="L90" s="148"/>
      <c r="M90" s="138">
        <f t="shared" ref="M90:M153" si="23">(SUMIF($13:$13,L90,$14:$14)-SUMIF($13:$13,$L$24,$14:$14)+100)/100</f>
        <v>1</v>
      </c>
      <c r="N90" s="148"/>
      <c r="O90" s="138">
        <f t="shared" ref="O90:O153" si="24">(SUMIF($15:$15,N90,$16:$16)-SUMIF($15:$15,$N$24,$16:$16)+100)/100</f>
        <v>1</v>
      </c>
      <c r="P90" s="148"/>
      <c r="Q90" s="138">
        <f t="shared" ref="Q90:Q153" si="25">(SUMIF($17:$17,P90,$18:$18)-SUMIF($17:$17,$P$24,$18:$18)+100)/100</f>
        <v>1</v>
      </c>
      <c r="R90" s="201">
        <f t="shared" ref="R90:R153" si="26">IF(B90="",0,ROUND($R$24*C90*E90*G90*I90*K90*M90*O90*Q90,0))</f>
        <v>0</v>
      </c>
      <c r="S90" s="137">
        <f t="shared" si="17"/>
        <v>0</v>
      </c>
    </row>
    <row r="91" spans="1:19">
      <c r="A91" s="146"/>
      <c r="B91" s="147"/>
      <c r="C91" s="138">
        <f t="shared" si="18"/>
        <v>1</v>
      </c>
      <c r="D91" s="148"/>
      <c r="E91" s="138">
        <f t="shared" si="19"/>
        <v>1</v>
      </c>
      <c r="F91" s="148"/>
      <c r="G91" s="138">
        <f t="shared" si="20"/>
        <v>1</v>
      </c>
      <c r="H91" s="148"/>
      <c r="I91" s="138">
        <f t="shared" si="21"/>
        <v>1</v>
      </c>
      <c r="J91" s="148"/>
      <c r="K91" s="138">
        <f t="shared" si="22"/>
        <v>1</v>
      </c>
      <c r="L91" s="148"/>
      <c r="M91" s="138">
        <f t="shared" si="23"/>
        <v>1</v>
      </c>
      <c r="N91" s="148"/>
      <c r="O91" s="138">
        <f t="shared" si="24"/>
        <v>1</v>
      </c>
      <c r="P91" s="148"/>
      <c r="Q91" s="138">
        <f t="shared" si="25"/>
        <v>1</v>
      </c>
      <c r="R91" s="201">
        <f t="shared" si="26"/>
        <v>0</v>
      </c>
      <c r="S91" s="137">
        <f t="shared" si="17"/>
        <v>0</v>
      </c>
    </row>
    <row r="92" spans="1:19">
      <c r="A92" s="146"/>
      <c r="B92" s="147"/>
      <c r="C92" s="138">
        <f t="shared" si="18"/>
        <v>1</v>
      </c>
      <c r="D92" s="148"/>
      <c r="E92" s="138">
        <f t="shared" si="19"/>
        <v>1</v>
      </c>
      <c r="F92" s="148"/>
      <c r="G92" s="138">
        <f t="shared" si="20"/>
        <v>1</v>
      </c>
      <c r="H92" s="148"/>
      <c r="I92" s="138">
        <f t="shared" si="21"/>
        <v>1</v>
      </c>
      <c r="J92" s="148"/>
      <c r="K92" s="138">
        <f t="shared" si="22"/>
        <v>1</v>
      </c>
      <c r="L92" s="148"/>
      <c r="M92" s="138">
        <f t="shared" si="23"/>
        <v>1</v>
      </c>
      <c r="N92" s="148"/>
      <c r="O92" s="138">
        <f t="shared" si="24"/>
        <v>1</v>
      </c>
      <c r="P92" s="148"/>
      <c r="Q92" s="138">
        <f t="shared" si="25"/>
        <v>1</v>
      </c>
      <c r="R92" s="201">
        <f t="shared" si="26"/>
        <v>0</v>
      </c>
      <c r="S92" s="137">
        <f t="shared" si="17"/>
        <v>0</v>
      </c>
    </row>
    <row r="93" spans="1:19">
      <c r="A93" s="146"/>
      <c r="B93" s="147"/>
      <c r="C93" s="138">
        <f t="shared" si="18"/>
        <v>1</v>
      </c>
      <c r="D93" s="148"/>
      <c r="E93" s="138">
        <f t="shared" si="19"/>
        <v>1</v>
      </c>
      <c r="F93" s="148"/>
      <c r="G93" s="138">
        <f t="shared" si="20"/>
        <v>1</v>
      </c>
      <c r="H93" s="148"/>
      <c r="I93" s="138">
        <f t="shared" si="21"/>
        <v>1</v>
      </c>
      <c r="J93" s="148"/>
      <c r="K93" s="138">
        <f t="shared" si="22"/>
        <v>1</v>
      </c>
      <c r="L93" s="148"/>
      <c r="M93" s="138">
        <f t="shared" si="23"/>
        <v>1</v>
      </c>
      <c r="N93" s="148"/>
      <c r="O93" s="138">
        <f t="shared" si="24"/>
        <v>1</v>
      </c>
      <c r="P93" s="148"/>
      <c r="Q93" s="138">
        <f t="shared" si="25"/>
        <v>1</v>
      </c>
      <c r="R93" s="201">
        <f t="shared" si="26"/>
        <v>0</v>
      </c>
      <c r="S93" s="137">
        <f t="shared" si="17"/>
        <v>0</v>
      </c>
    </row>
    <row r="94" spans="1:19">
      <c r="A94" s="146"/>
      <c r="B94" s="147"/>
      <c r="C94" s="138">
        <f t="shared" si="18"/>
        <v>1</v>
      </c>
      <c r="D94" s="148"/>
      <c r="E94" s="138">
        <f t="shared" si="19"/>
        <v>1</v>
      </c>
      <c r="F94" s="148"/>
      <c r="G94" s="138">
        <f t="shared" si="20"/>
        <v>1</v>
      </c>
      <c r="H94" s="148"/>
      <c r="I94" s="138">
        <f t="shared" si="21"/>
        <v>1</v>
      </c>
      <c r="J94" s="148"/>
      <c r="K94" s="138">
        <f t="shared" si="22"/>
        <v>1</v>
      </c>
      <c r="L94" s="148"/>
      <c r="M94" s="138">
        <f t="shared" si="23"/>
        <v>1</v>
      </c>
      <c r="N94" s="148"/>
      <c r="O94" s="138">
        <f t="shared" si="24"/>
        <v>1</v>
      </c>
      <c r="P94" s="148"/>
      <c r="Q94" s="138">
        <f t="shared" si="25"/>
        <v>1</v>
      </c>
      <c r="R94" s="201">
        <f t="shared" si="26"/>
        <v>0</v>
      </c>
      <c r="S94" s="137">
        <f t="shared" si="17"/>
        <v>0</v>
      </c>
    </row>
    <row r="95" spans="1:19">
      <c r="A95" s="146"/>
      <c r="B95" s="147"/>
      <c r="C95" s="138">
        <f t="shared" si="18"/>
        <v>1</v>
      </c>
      <c r="D95" s="148"/>
      <c r="E95" s="138">
        <f t="shared" si="19"/>
        <v>1</v>
      </c>
      <c r="F95" s="148"/>
      <c r="G95" s="138">
        <f t="shared" si="20"/>
        <v>1</v>
      </c>
      <c r="H95" s="148"/>
      <c r="I95" s="138">
        <f t="shared" si="21"/>
        <v>1</v>
      </c>
      <c r="J95" s="148"/>
      <c r="K95" s="138">
        <f t="shared" si="22"/>
        <v>1</v>
      </c>
      <c r="L95" s="148"/>
      <c r="M95" s="138">
        <f t="shared" si="23"/>
        <v>1</v>
      </c>
      <c r="N95" s="148"/>
      <c r="O95" s="138">
        <f t="shared" si="24"/>
        <v>1</v>
      </c>
      <c r="P95" s="148"/>
      <c r="Q95" s="138">
        <f t="shared" si="25"/>
        <v>1</v>
      </c>
      <c r="R95" s="201">
        <f t="shared" si="26"/>
        <v>0</v>
      </c>
      <c r="S95" s="137">
        <f t="shared" si="17"/>
        <v>0</v>
      </c>
    </row>
    <row r="96" spans="1:19">
      <c r="A96" s="146"/>
      <c r="B96" s="147"/>
      <c r="C96" s="138">
        <f t="shared" si="18"/>
        <v>1</v>
      </c>
      <c r="D96" s="148"/>
      <c r="E96" s="138">
        <f t="shared" si="19"/>
        <v>1</v>
      </c>
      <c r="F96" s="148"/>
      <c r="G96" s="138">
        <f t="shared" si="20"/>
        <v>1</v>
      </c>
      <c r="H96" s="148"/>
      <c r="I96" s="138">
        <f t="shared" si="21"/>
        <v>1</v>
      </c>
      <c r="J96" s="148"/>
      <c r="K96" s="138">
        <f t="shared" si="22"/>
        <v>1</v>
      </c>
      <c r="L96" s="148"/>
      <c r="M96" s="138">
        <f t="shared" si="23"/>
        <v>1</v>
      </c>
      <c r="N96" s="148"/>
      <c r="O96" s="138">
        <f t="shared" si="24"/>
        <v>1</v>
      </c>
      <c r="P96" s="148"/>
      <c r="Q96" s="138">
        <f t="shared" si="25"/>
        <v>1</v>
      </c>
      <c r="R96" s="201">
        <f t="shared" si="26"/>
        <v>0</v>
      </c>
      <c r="S96" s="137">
        <f t="shared" si="17"/>
        <v>0</v>
      </c>
    </row>
    <row r="97" spans="1:19">
      <c r="A97" s="146"/>
      <c r="B97" s="147"/>
      <c r="C97" s="138">
        <f t="shared" si="18"/>
        <v>1</v>
      </c>
      <c r="D97" s="148"/>
      <c r="E97" s="138">
        <f t="shared" si="19"/>
        <v>1</v>
      </c>
      <c r="F97" s="148"/>
      <c r="G97" s="138">
        <f t="shared" si="20"/>
        <v>1</v>
      </c>
      <c r="H97" s="148"/>
      <c r="I97" s="138">
        <f t="shared" si="21"/>
        <v>1</v>
      </c>
      <c r="J97" s="148"/>
      <c r="K97" s="138">
        <f t="shared" si="22"/>
        <v>1</v>
      </c>
      <c r="L97" s="148"/>
      <c r="M97" s="138">
        <f t="shared" si="23"/>
        <v>1</v>
      </c>
      <c r="N97" s="148"/>
      <c r="O97" s="138">
        <f t="shared" si="24"/>
        <v>1</v>
      </c>
      <c r="P97" s="148"/>
      <c r="Q97" s="138">
        <f t="shared" si="25"/>
        <v>1</v>
      </c>
      <c r="R97" s="201">
        <f t="shared" si="26"/>
        <v>0</v>
      </c>
      <c r="S97" s="137">
        <f t="shared" si="17"/>
        <v>0</v>
      </c>
    </row>
    <row r="98" spans="1:19">
      <c r="A98" s="146"/>
      <c r="B98" s="147"/>
      <c r="C98" s="138">
        <f t="shared" si="18"/>
        <v>1</v>
      </c>
      <c r="D98" s="148"/>
      <c r="E98" s="138">
        <f t="shared" si="19"/>
        <v>1</v>
      </c>
      <c r="F98" s="148"/>
      <c r="G98" s="138">
        <f t="shared" si="20"/>
        <v>1</v>
      </c>
      <c r="H98" s="148"/>
      <c r="I98" s="138">
        <f t="shared" si="21"/>
        <v>1</v>
      </c>
      <c r="J98" s="148"/>
      <c r="K98" s="138">
        <f t="shared" si="22"/>
        <v>1</v>
      </c>
      <c r="L98" s="148"/>
      <c r="M98" s="138">
        <f t="shared" si="23"/>
        <v>1</v>
      </c>
      <c r="N98" s="148"/>
      <c r="O98" s="138">
        <f t="shared" si="24"/>
        <v>1</v>
      </c>
      <c r="P98" s="148"/>
      <c r="Q98" s="138">
        <f t="shared" si="25"/>
        <v>1</v>
      </c>
      <c r="R98" s="201">
        <f t="shared" si="26"/>
        <v>0</v>
      </c>
      <c r="S98" s="137">
        <f t="shared" si="17"/>
        <v>0</v>
      </c>
    </row>
    <row r="99" spans="1:19">
      <c r="A99" s="146"/>
      <c r="B99" s="147"/>
      <c r="C99" s="138">
        <f t="shared" si="18"/>
        <v>1</v>
      </c>
      <c r="D99" s="148"/>
      <c r="E99" s="138">
        <f t="shared" si="19"/>
        <v>1</v>
      </c>
      <c r="F99" s="148"/>
      <c r="G99" s="138">
        <f t="shared" si="20"/>
        <v>1</v>
      </c>
      <c r="H99" s="148"/>
      <c r="I99" s="138">
        <f t="shared" si="21"/>
        <v>1</v>
      </c>
      <c r="J99" s="148"/>
      <c r="K99" s="138">
        <f t="shared" si="22"/>
        <v>1</v>
      </c>
      <c r="L99" s="148"/>
      <c r="M99" s="138">
        <f t="shared" si="23"/>
        <v>1</v>
      </c>
      <c r="N99" s="148"/>
      <c r="O99" s="138">
        <f t="shared" si="24"/>
        <v>1</v>
      </c>
      <c r="P99" s="148"/>
      <c r="Q99" s="138">
        <f t="shared" si="25"/>
        <v>1</v>
      </c>
      <c r="R99" s="201">
        <f t="shared" si="26"/>
        <v>0</v>
      </c>
      <c r="S99" s="137">
        <f t="shared" si="17"/>
        <v>0</v>
      </c>
    </row>
    <row r="100" spans="1:19">
      <c r="A100" s="146"/>
      <c r="B100" s="147"/>
      <c r="C100" s="138">
        <f t="shared" si="18"/>
        <v>1</v>
      </c>
      <c r="D100" s="148"/>
      <c r="E100" s="138">
        <f t="shared" si="19"/>
        <v>1</v>
      </c>
      <c r="F100" s="148"/>
      <c r="G100" s="138">
        <f t="shared" si="20"/>
        <v>1</v>
      </c>
      <c r="H100" s="148"/>
      <c r="I100" s="138">
        <f t="shared" si="21"/>
        <v>1</v>
      </c>
      <c r="J100" s="148"/>
      <c r="K100" s="138">
        <f t="shared" si="22"/>
        <v>1</v>
      </c>
      <c r="L100" s="148"/>
      <c r="M100" s="138">
        <f t="shared" si="23"/>
        <v>1</v>
      </c>
      <c r="N100" s="148"/>
      <c r="O100" s="138">
        <f t="shared" si="24"/>
        <v>1</v>
      </c>
      <c r="P100" s="148"/>
      <c r="Q100" s="138">
        <f t="shared" si="25"/>
        <v>1</v>
      </c>
      <c r="R100" s="201">
        <f t="shared" si="26"/>
        <v>0</v>
      </c>
      <c r="S100" s="137">
        <f t="shared" si="17"/>
        <v>0</v>
      </c>
    </row>
    <row r="101" spans="1:19">
      <c r="A101" s="146"/>
      <c r="B101" s="147"/>
      <c r="C101" s="138">
        <f t="shared" si="18"/>
        <v>1</v>
      </c>
      <c r="D101" s="148"/>
      <c r="E101" s="138">
        <f t="shared" si="19"/>
        <v>1</v>
      </c>
      <c r="F101" s="148"/>
      <c r="G101" s="138">
        <f t="shared" si="20"/>
        <v>1</v>
      </c>
      <c r="H101" s="148"/>
      <c r="I101" s="138">
        <f t="shared" si="21"/>
        <v>1</v>
      </c>
      <c r="J101" s="148"/>
      <c r="K101" s="138">
        <f t="shared" si="22"/>
        <v>1</v>
      </c>
      <c r="L101" s="148"/>
      <c r="M101" s="138">
        <f t="shared" si="23"/>
        <v>1</v>
      </c>
      <c r="N101" s="148"/>
      <c r="O101" s="138">
        <f t="shared" si="24"/>
        <v>1</v>
      </c>
      <c r="P101" s="148"/>
      <c r="Q101" s="138">
        <f t="shared" si="25"/>
        <v>1</v>
      </c>
      <c r="R101" s="201">
        <f t="shared" si="26"/>
        <v>0</v>
      </c>
      <c r="S101" s="137">
        <f t="shared" si="17"/>
        <v>0</v>
      </c>
    </row>
    <row r="102" spans="1:19">
      <c r="A102" s="146"/>
      <c r="B102" s="147"/>
      <c r="C102" s="138">
        <f t="shared" si="18"/>
        <v>1</v>
      </c>
      <c r="D102" s="148"/>
      <c r="E102" s="138">
        <f t="shared" si="19"/>
        <v>1</v>
      </c>
      <c r="F102" s="148"/>
      <c r="G102" s="138">
        <f t="shared" si="20"/>
        <v>1</v>
      </c>
      <c r="H102" s="148"/>
      <c r="I102" s="138">
        <f t="shared" si="21"/>
        <v>1</v>
      </c>
      <c r="J102" s="148"/>
      <c r="K102" s="138">
        <f t="shared" si="22"/>
        <v>1</v>
      </c>
      <c r="L102" s="148"/>
      <c r="M102" s="138">
        <f t="shared" si="23"/>
        <v>1</v>
      </c>
      <c r="N102" s="148"/>
      <c r="O102" s="138">
        <f t="shared" si="24"/>
        <v>1</v>
      </c>
      <c r="P102" s="148"/>
      <c r="Q102" s="138">
        <f t="shared" si="25"/>
        <v>1</v>
      </c>
      <c r="R102" s="201">
        <f t="shared" si="26"/>
        <v>0</v>
      </c>
      <c r="S102" s="137">
        <f t="shared" si="17"/>
        <v>0</v>
      </c>
    </row>
    <row r="103" spans="1:19">
      <c r="A103" s="146"/>
      <c r="B103" s="147"/>
      <c r="C103" s="138">
        <f t="shared" si="18"/>
        <v>1</v>
      </c>
      <c r="D103" s="148"/>
      <c r="E103" s="138">
        <f t="shared" si="19"/>
        <v>1</v>
      </c>
      <c r="F103" s="148"/>
      <c r="G103" s="138">
        <f t="shared" si="20"/>
        <v>1</v>
      </c>
      <c r="H103" s="148"/>
      <c r="I103" s="138">
        <f t="shared" si="21"/>
        <v>1</v>
      </c>
      <c r="J103" s="148"/>
      <c r="K103" s="138">
        <f t="shared" si="22"/>
        <v>1</v>
      </c>
      <c r="L103" s="148"/>
      <c r="M103" s="138">
        <f t="shared" si="23"/>
        <v>1</v>
      </c>
      <c r="N103" s="148"/>
      <c r="O103" s="138">
        <f t="shared" si="24"/>
        <v>1</v>
      </c>
      <c r="P103" s="148"/>
      <c r="Q103" s="138">
        <f t="shared" si="25"/>
        <v>1</v>
      </c>
      <c r="R103" s="201">
        <f t="shared" si="26"/>
        <v>0</v>
      </c>
      <c r="S103" s="137">
        <f t="shared" si="17"/>
        <v>0</v>
      </c>
    </row>
    <row r="104" spans="1:19">
      <c r="A104" s="146"/>
      <c r="B104" s="147"/>
      <c r="C104" s="138">
        <f t="shared" si="18"/>
        <v>1</v>
      </c>
      <c r="D104" s="148"/>
      <c r="E104" s="138">
        <f t="shared" si="19"/>
        <v>1</v>
      </c>
      <c r="F104" s="148"/>
      <c r="G104" s="138">
        <f t="shared" si="20"/>
        <v>1</v>
      </c>
      <c r="H104" s="148"/>
      <c r="I104" s="138">
        <f t="shared" si="21"/>
        <v>1</v>
      </c>
      <c r="J104" s="148"/>
      <c r="K104" s="138">
        <f t="shared" si="22"/>
        <v>1</v>
      </c>
      <c r="L104" s="148"/>
      <c r="M104" s="138">
        <f t="shared" si="23"/>
        <v>1</v>
      </c>
      <c r="N104" s="148"/>
      <c r="O104" s="138">
        <f t="shared" si="24"/>
        <v>1</v>
      </c>
      <c r="P104" s="148"/>
      <c r="Q104" s="138">
        <f t="shared" si="25"/>
        <v>1</v>
      </c>
      <c r="R104" s="201">
        <f t="shared" si="26"/>
        <v>0</v>
      </c>
      <c r="S104" s="137">
        <f t="shared" si="17"/>
        <v>0</v>
      </c>
    </row>
    <row r="105" spans="1:19">
      <c r="A105" s="146"/>
      <c r="B105" s="147"/>
      <c r="C105" s="138">
        <f t="shared" si="18"/>
        <v>1</v>
      </c>
      <c r="D105" s="148"/>
      <c r="E105" s="138">
        <f t="shared" si="19"/>
        <v>1</v>
      </c>
      <c r="F105" s="148"/>
      <c r="G105" s="138">
        <f t="shared" si="20"/>
        <v>1</v>
      </c>
      <c r="H105" s="148"/>
      <c r="I105" s="138">
        <f t="shared" si="21"/>
        <v>1</v>
      </c>
      <c r="J105" s="148"/>
      <c r="K105" s="138">
        <f t="shared" si="22"/>
        <v>1</v>
      </c>
      <c r="L105" s="148"/>
      <c r="M105" s="138">
        <f t="shared" si="23"/>
        <v>1</v>
      </c>
      <c r="N105" s="148"/>
      <c r="O105" s="138">
        <f t="shared" si="24"/>
        <v>1</v>
      </c>
      <c r="P105" s="148"/>
      <c r="Q105" s="138">
        <f t="shared" si="25"/>
        <v>1</v>
      </c>
      <c r="R105" s="201">
        <f t="shared" si="26"/>
        <v>0</v>
      </c>
      <c r="S105" s="137">
        <f t="shared" si="17"/>
        <v>0</v>
      </c>
    </row>
    <row r="106" spans="1:19">
      <c r="A106" s="146"/>
      <c r="B106" s="147"/>
      <c r="C106" s="138">
        <f t="shared" si="18"/>
        <v>1</v>
      </c>
      <c r="D106" s="148"/>
      <c r="E106" s="138">
        <f t="shared" si="19"/>
        <v>1</v>
      </c>
      <c r="F106" s="148"/>
      <c r="G106" s="138">
        <f t="shared" si="20"/>
        <v>1</v>
      </c>
      <c r="H106" s="148"/>
      <c r="I106" s="138">
        <f t="shared" si="21"/>
        <v>1</v>
      </c>
      <c r="J106" s="148"/>
      <c r="K106" s="138">
        <f t="shared" si="22"/>
        <v>1</v>
      </c>
      <c r="L106" s="148"/>
      <c r="M106" s="138">
        <f t="shared" si="23"/>
        <v>1</v>
      </c>
      <c r="N106" s="148"/>
      <c r="O106" s="138">
        <f t="shared" si="24"/>
        <v>1</v>
      </c>
      <c r="P106" s="148"/>
      <c r="Q106" s="138">
        <f t="shared" si="25"/>
        <v>1</v>
      </c>
      <c r="R106" s="201">
        <f t="shared" si="26"/>
        <v>0</v>
      </c>
      <c r="S106" s="137">
        <f t="shared" si="17"/>
        <v>0</v>
      </c>
    </row>
    <row r="107" spans="1:19">
      <c r="A107" s="146"/>
      <c r="B107" s="147"/>
      <c r="C107" s="138">
        <f t="shared" si="18"/>
        <v>1</v>
      </c>
      <c r="D107" s="148"/>
      <c r="E107" s="138">
        <f t="shared" si="19"/>
        <v>1</v>
      </c>
      <c r="F107" s="148"/>
      <c r="G107" s="138">
        <f t="shared" si="20"/>
        <v>1</v>
      </c>
      <c r="H107" s="148"/>
      <c r="I107" s="138">
        <f t="shared" si="21"/>
        <v>1</v>
      </c>
      <c r="J107" s="148"/>
      <c r="K107" s="138">
        <f t="shared" si="22"/>
        <v>1</v>
      </c>
      <c r="L107" s="148"/>
      <c r="M107" s="138">
        <f t="shared" si="23"/>
        <v>1</v>
      </c>
      <c r="N107" s="148"/>
      <c r="O107" s="138">
        <f t="shared" si="24"/>
        <v>1</v>
      </c>
      <c r="P107" s="148"/>
      <c r="Q107" s="138">
        <f t="shared" si="25"/>
        <v>1</v>
      </c>
      <c r="R107" s="201">
        <f t="shared" si="26"/>
        <v>0</v>
      </c>
      <c r="S107" s="137">
        <f t="shared" si="17"/>
        <v>0</v>
      </c>
    </row>
    <row r="108" spans="1:19">
      <c r="A108" s="146"/>
      <c r="B108" s="147"/>
      <c r="C108" s="138">
        <f t="shared" si="18"/>
        <v>1</v>
      </c>
      <c r="D108" s="148"/>
      <c r="E108" s="138">
        <f t="shared" si="19"/>
        <v>1</v>
      </c>
      <c r="F108" s="148"/>
      <c r="G108" s="138">
        <f t="shared" si="20"/>
        <v>1</v>
      </c>
      <c r="H108" s="148"/>
      <c r="I108" s="138">
        <f t="shared" si="21"/>
        <v>1</v>
      </c>
      <c r="J108" s="148"/>
      <c r="K108" s="138">
        <f t="shared" si="22"/>
        <v>1</v>
      </c>
      <c r="L108" s="148"/>
      <c r="M108" s="138">
        <f t="shared" si="23"/>
        <v>1</v>
      </c>
      <c r="N108" s="148"/>
      <c r="O108" s="138">
        <f t="shared" si="24"/>
        <v>1</v>
      </c>
      <c r="P108" s="148"/>
      <c r="Q108" s="138">
        <f t="shared" si="25"/>
        <v>1</v>
      </c>
      <c r="R108" s="201">
        <f t="shared" si="26"/>
        <v>0</v>
      </c>
      <c r="S108" s="137">
        <f t="shared" si="17"/>
        <v>0</v>
      </c>
    </row>
    <row r="109" spans="1:19">
      <c r="A109" s="146"/>
      <c r="B109" s="147"/>
      <c r="C109" s="138">
        <f t="shared" si="18"/>
        <v>1</v>
      </c>
      <c r="D109" s="148"/>
      <c r="E109" s="138">
        <f t="shared" si="19"/>
        <v>1</v>
      </c>
      <c r="F109" s="148"/>
      <c r="G109" s="138">
        <f t="shared" si="20"/>
        <v>1</v>
      </c>
      <c r="H109" s="148"/>
      <c r="I109" s="138">
        <f t="shared" si="21"/>
        <v>1</v>
      </c>
      <c r="J109" s="148"/>
      <c r="K109" s="138">
        <f t="shared" si="22"/>
        <v>1</v>
      </c>
      <c r="L109" s="148"/>
      <c r="M109" s="138">
        <f t="shared" si="23"/>
        <v>1</v>
      </c>
      <c r="N109" s="148"/>
      <c r="O109" s="138">
        <f t="shared" si="24"/>
        <v>1</v>
      </c>
      <c r="P109" s="148"/>
      <c r="Q109" s="138">
        <f t="shared" si="25"/>
        <v>1</v>
      </c>
      <c r="R109" s="201">
        <f t="shared" si="26"/>
        <v>0</v>
      </c>
      <c r="S109" s="137">
        <f t="shared" si="17"/>
        <v>0</v>
      </c>
    </row>
    <row r="110" spans="1:19">
      <c r="A110" s="146"/>
      <c r="B110" s="147"/>
      <c r="C110" s="138">
        <f t="shared" si="18"/>
        <v>1</v>
      </c>
      <c r="D110" s="148"/>
      <c r="E110" s="138">
        <f t="shared" si="19"/>
        <v>1</v>
      </c>
      <c r="F110" s="148"/>
      <c r="G110" s="138">
        <f t="shared" si="20"/>
        <v>1</v>
      </c>
      <c r="H110" s="148"/>
      <c r="I110" s="138">
        <f t="shared" si="21"/>
        <v>1</v>
      </c>
      <c r="J110" s="148"/>
      <c r="K110" s="138">
        <f t="shared" si="22"/>
        <v>1</v>
      </c>
      <c r="L110" s="148"/>
      <c r="M110" s="138">
        <f t="shared" si="23"/>
        <v>1</v>
      </c>
      <c r="N110" s="148"/>
      <c r="O110" s="138">
        <f t="shared" si="24"/>
        <v>1</v>
      </c>
      <c r="P110" s="148"/>
      <c r="Q110" s="138">
        <f t="shared" si="25"/>
        <v>1</v>
      </c>
      <c r="R110" s="201">
        <f t="shared" si="26"/>
        <v>0</v>
      </c>
      <c r="S110" s="137">
        <f t="shared" si="17"/>
        <v>0</v>
      </c>
    </row>
    <row r="111" spans="1:19">
      <c r="A111" s="146"/>
      <c r="B111" s="147"/>
      <c r="C111" s="138">
        <f t="shared" si="18"/>
        <v>1</v>
      </c>
      <c r="D111" s="148"/>
      <c r="E111" s="138">
        <f t="shared" si="19"/>
        <v>1</v>
      </c>
      <c r="F111" s="148"/>
      <c r="G111" s="138">
        <f t="shared" si="20"/>
        <v>1</v>
      </c>
      <c r="H111" s="148"/>
      <c r="I111" s="138">
        <f t="shared" si="21"/>
        <v>1</v>
      </c>
      <c r="J111" s="148"/>
      <c r="K111" s="138">
        <f t="shared" si="22"/>
        <v>1</v>
      </c>
      <c r="L111" s="148"/>
      <c r="M111" s="138">
        <f t="shared" si="23"/>
        <v>1</v>
      </c>
      <c r="N111" s="148"/>
      <c r="O111" s="138">
        <f t="shared" si="24"/>
        <v>1</v>
      </c>
      <c r="P111" s="148"/>
      <c r="Q111" s="138">
        <f t="shared" si="25"/>
        <v>1</v>
      </c>
      <c r="R111" s="201">
        <f t="shared" si="26"/>
        <v>0</v>
      </c>
      <c r="S111" s="137">
        <f t="shared" si="17"/>
        <v>0</v>
      </c>
    </row>
    <row r="112" spans="1:19">
      <c r="A112" s="146"/>
      <c r="B112" s="147"/>
      <c r="C112" s="138">
        <f t="shared" si="18"/>
        <v>1</v>
      </c>
      <c r="D112" s="148"/>
      <c r="E112" s="138">
        <f t="shared" si="19"/>
        <v>1</v>
      </c>
      <c r="F112" s="148"/>
      <c r="G112" s="138">
        <f t="shared" si="20"/>
        <v>1</v>
      </c>
      <c r="H112" s="148"/>
      <c r="I112" s="138">
        <f t="shared" si="21"/>
        <v>1</v>
      </c>
      <c r="J112" s="148"/>
      <c r="K112" s="138">
        <f t="shared" si="22"/>
        <v>1</v>
      </c>
      <c r="L112" s="148"/>
      <c r="M112" s="138">
        <f t="shared" si="23"/>
        <v>1</v>
      </c>
      <c r="N112" s="148"/>
      <c r="O112" s="138">
        <f t="shared" si="24"/>
        <v>1</v>
      </c>
      <c r="P112" s="148"/>
      <c r="Q112" s="138">
        <f t="shared" si="25"/>
        <v>1</v>
      </c>
      <c r="R112" s="201">
        <f t="shared" si="26"/>
        <v>0</v>
      </c>
      <c r="S112" s="137">
        <f t="shared" si="17"/>
        <v>0</v>
      </c>
    </row>
    <row r="113" spans="1:19">
      <c r="A113" s="146"/>
      <c r="B113" s="147"/>
      <c r="C113" s="138">
        <f t="shared" si="18"/>
        <v>1</v>
      </c>
      <c r="D113" s="148"/>
      <c r="E113" s="138">
        <f t="shared" si="19"/>
        <v>1</v>
      </c>
      <c r="F113" s="148"/>
      <c r="G113" s="138">
        <f t="shared" si="20"/>
        <v>1</v>
      </c>
      <c r="H113" s="148"/>
      <c r="I113" s="138">
        <f t="shared" si="21"/>
        <v>1</v>
      </c>
      <c r="J113" s="148"/>
      <c r="K113" s="138">
        <f t="shared" si="22"/>
        <v>1</v>
      </c>
      <c r="L113" s="148"/>
      <c r="M113" s="138">
        <f t="shared" si="23"/>
        <v>1</v>
      </c>
      <c r="N113" s="148"/>
      <c r="O113" s="138">
        <f t="shared" si="24"/>
        <v>1</v>
      </c>
      <c r="P113" s="148"/>
      <c r="Q113" s="138">
        <f t="shared" si="25"/>
        <v>1</v>
      </c>
      <c r="R113" s="201">
        <f t="shared" si="26"/>
        <v>0</v>
      </c>
      <c r="S113" s="137">
        <f t="shared" si="17"/>
        <v>0</v>
      </c>
    </row>
    <row r="114" spans="1:19">
      <c r="A114" s="146"/>
      <c r="B114" s="147"/>
      <c r="C114" s="138">
        <f t="shared" si="18"/>
        <v>1</v>
      </c>
      <c r="D114" s="148"/>
      <c r="E114" s="138">
        <f t="shared" si="19"/>
        <v>1</v>
      </c>
      <c r="F114" s="148"/>
      <c r="G114" s="138">
        <f t="shared" si="20"/>
        <v>1</v>
      </c>
      <c r="H114" s="148"/>
      <c r="I114" s="138">
        <f t="shared" si="21"/>
        <v>1</v>
      </c>
      <c r="J114" s="148"/>
      <c r="K114" s="138">
        <f t="shared" si="22"/>
        <v>1</v>
      </c>
      <c r="L114" s="148"/>
      <c r="M114" s="138">
        <f t="shared" si="23"/>
        <v>1</v>
      </c>
      <c r="N114" s="148"/>
      <c r="O114" s="138">
        <f t="shared" si="24"/>
        <v>1</v>
      </c>
      <c r="P114" s="148"/>
      <c r="Q114" s="138">
        <f t="shared" si="25"/>
        <v>1</v>
      </c>
      <c r="R114" s="201">
        <f t="shared" si="26"/>
        <v>0</v>
      </c>
      <c r="S114" s="137">
        <f t="shared" si="17"/>
        <v>0</v>
      </c>
    </row>
    <row r="115" spans="1:19">
      <c r="A115" s="146"/>
      <c r="B115" s="147"/>
      <c r="C115" s="138">
        <f t="shared" si="18"/>
        <v>1</v>
      </c>
      <c r="D115" s="148"/>
      <c r="E115" s="138">
        <f t="shared" si="19"/>
        <v>1</v>
      </c>
      <c r="F115" s="148"/>
      <c r="G115" s="138">
        <f t="shared" si="20"/>
        <v>1</v>
      </c>
      <c r="H115" s="148"/>
      <c r="I115" s="138">
        <f t="shared" si="21"/>
        <v>1</v>
      </c>
      <c r="J115" s="148"/>
      <c r="K115" s="138">
        <f t="shared" si="22"/>
        <v>1</v>
      </c>
      <c r="L115" s="148"/>
      <c r="M115" s="138">
        <f t="shared" si="23"/>
        <v>1</v>
      </c>
      <c r="N115" s="148"/>
      <c r="O115" s="138">
        <f t="shared" si="24"/>
        <v>1</v>
      </c>
      <c r="P115" s="148"/>
      <c r="Q115" s="138">
        <f t="shared" si="25"/>
        <v>1</v>
      </c>
      <c r="R115" s="201">
        <f t="shared" si="26"/>
        <v>0</v>
      </c>
      <c r="S115" s="137">
        <f t="shared" si="17"/>
        <v>0</v>
      </c>
    </row>
    <row r="116" spans="1:19">
      <c r="A116" s="146"/>
      <c r="B116" s="147"/>
      <c r="C116" s="138">
        <f t="shared" si="18"/>
        <v>1</v>
      </c>
      <c r="D116" s="148"/>
      <c r="E116" s="138">
        <f t="shared" si="19"/>
        <v>1</v>
      </c>
      <c r="F116" s="148"/>
      <c r="G116" s="138">
        <f t="shared" si="20"/>
        <v>1</v>
      </c>
      <c r="H116" s="148"/>
      <c r="I116" s="138">
        <f t="shared" si="21"/>
        <v>1</v>
      </c>
      <c r="J116" s="148"/>
      <c r="K116" s="138">
        <f t="shared" si="22"/>
        <v>1</v>
      </c>
      <c r="L116" s="148"/>
      <c r="M116" s="138">
        <f t="shared" si="23"/>
        <v>1</v>
      </c>
      <c r="N116" s="148"/>
      <c r="O116" s="138">
        <f t="shared" si="24"/>
        <v>1</v>
      </c>
      <c r="P116" s="148"/>
      <c r="Q116" s="138">
        <f t="shared" si="25"/>
        <v>1</v>
      </c>
      <c r="R116" s="201">
        <f t="shared" si="26"/>
        <v>0</v>
      </c>
      <c r="S116" s="137">
        <f t="shared" si="17"/>
        <v>0</v>
      </c>
    </row>
    <row r="117" spans="1:19">
      <c r="A117" s="146"/>
      <c r="B117" s="147"/>
      <c r="C117" s="138">
        <f t="shared" si="18"/>
        <v>1</v>
      </c>
      <c r="D117" s="148"/>
      <c r="E117" s="138">
        <f t="shared" si="19"/>
        <v>1</v>
      </c>
      <c r="F117" s="148"/>
      <c r="G117" s="138">
        <f t="shared" si="20"/>
        <v>1</v>
      </c>
      <c r="H117" s="148"/>
      <c r="I117" s="138">
        <f t="shared" si="21"/>
        <v>1</v>
      </c>
      <c r="J117" s="148"/>
      <c r="K117" s="138">
        <f t="shared" si="22"/>
        <v>1</v>
      </c>
      <c r="L117" s="148"/>
      <c r="M117" s="138">
        <f t="shared" si="23"/>
        <v>1</v>
      </c>
      <c r="N117" s="148"/>
      <c r="O117" s="138">
        <f t="shared" si="24"/>
        <v>1</v>
      </c>
      <c r="P117" s="148"/>
      <c r="Q117" s="138">
        <f t="shared" si="25"/>
        <v>1</v>
      </c>
      <c r="R117" s="201">
        <f t="shared" si="26"/>
        <v>0</v>
      </c>
      <c r="S117" s="137">
        <f t="shared" si="17"/>
        <v>0</v>
      </c>
    </row>
    <row r="118" spans="1:19">
      <c r="A118" s="146"/>
      <c r="B118" s="147"/>
      <c r="C118" s="138">
        <f t="shared" si="18"/>
        <v>1</v>
      </c>
      <c r="D118" s="148"/>
      <c r="E118" s="138">
        <f t="shared" si="19"/>
        <v>1</v>
      </c>
      <c r="F118" s="148"/>
      <c r="G118" s="138">
        <f t="shared" si="20"/>
        <v>1</v>
      </c>
      <c r="H118" s="148"/>
      <c r="I118" s="138">
        <f t="shared" si="21"/>
        <v>1</v>
      </c>
      <c r="J118" s="148"/>
      <c r="K118" s="138">
        <f t="shared" si="22"/>
        <v>1</v>
      </c>
      <c r="L118" s="148"/>
      <c r="M118" s="138">
        <f t="shared" si="23"/>
        <v>1</v>
      </c>
      <c r="N118" s="148"/>
      <c r="O118" s="138">
        <f t="shared" si="24"/>
        <v>1</v>
      </c>
      <c r="P118" s="148"/>
      <c r="Q118" s="138">
        <f t="shared" si="25"/>
        <v>1</v>
      </c>
      <c r="R118" s="201">
        <f t="shared" si="26"/>
        <v>0</v>
      </c>
      <c r="S118" s="137">
        <f t="shared" si="17"/>
        <v>0</v>
      </c>
    </row>
    <row r="119" spans="1:19">
      <c r="A119" s="146"/>
      <c r="B119" s="147"/>
      <c r="C119" s="138">
        <f t="shared" si="18"/>
        <v>1</v>
      </c>
      <c r="D119" s="148"/>
      <c r="E119" s="138">
        <f t="shared" si="19"/>
        <v>1</v>
      </c>
      <c r="F119" s="148"/>
      <c r="G119" s="138">
        <f t="shared" si="20"/>
        <v>1</v>
      </c>
      <c r="H119" s="148"/>
      <c r="I119" s="138">
        <f t="shared" si="21"/>
        <v>1</v>
      </c>
      <c r="J119" s="148"/>
      <c r="K119" s="138">
        <f t="shared" si="22"/>
        <v>1</v>
      </c>
      <c r="L119" s="148"/>
      <c r="M119" s="138">
        <f t="shared" si="23"/>
        <v>1</v>
      </c>
      <c r="N119" s="148"/>
      <c r="O119" s="138">
        <f t="shared" si="24"/>
        <v>1</v>
      </c>
      <c r="P119" s="148"/>
      <c r="Q119" s="138">
        <f t="shared" si="25"/>
        <v>1</v>
      </c>
      <c r="R119" s="201">
        <f t="shared" si="26"/>
        <v>0</v>
      </c>
      <c r="S119" s="137">
        <f t="shared" si="17"/>
        <v>0</v>
      </c>
    </row>
    <row r="120" spans="1:19">
      <c r="A120" s="146"/>
      <c r="B120" s="147"/>
      <c r="C120" s="138">
        <f t="shared" si="18"/>
        <v>1</v>
      </c>
      <c r="D120" s="148"/>
      <c r="E120" s="138">
        <f t="shared" si="19"/>
        <v>1</v>
      </c>
      <c r="F120" s="148"/>
      <c r="G120" s="138">
        <f t="shared" si="20"/>
        <v>1</v>
      </c>
      <c r="H120" s="148"/>
      <c r="I120" s="138">
        <f t="shared" si="21"/>
        <v>1</v>
      </c>
      <c r="J120" s="148"/>
      <c r="K120" s="138">
        <f t="shared" si="22"/>
        <v>1</v>
      </c>
      <c r="L120" s="148"/>
      <c r="M120" s="138">
        <f t="shared" si="23"/>
        <v>1</v>
      </c>
      <c r="N120" s="148"/>
      <c r="O120" s="138">
        <f t="shared" si="24"/>
        <v>1</v>
      </c>
      <c r="P120" s="148"/>
      <c r="Q120" s="138">
        <f t="shared" si="25"/>
        <v>1</v>
      </c>
      <c r="R120" s="201">
        <f t="shared" si="26"/>
        <v>0</v>
      </c>
      <c r="S120" s="137">
        <f t="shared" si="17"/>
        <v>0</v>
      </c>
    </row>
    <row r="121" spans="1:19">
      <c r="A121" s="146"/>
      <c r="B121" s="147"/>
      <c r="C121" s="138">
        <f t="shared" si="18"/>
        <v>1</v>
      </c>
      <c r="D121" s="148"/>
      <c r="E121" s="138">
        <f t="shared" si="19"/>
        <v>1</v>
      </c>
      <c r="F121" s="148"/>
      <c r="G121" s="138">
        <f t="shared" si="20"/>
        <v>1</v>
      </c>
      <c r="H121" s="148"/>
      <c r="I121" s="138">
        <f t="shared" si="21"/>
        <v>1</v>
      </c>
      <c r="J121" s="148"/>
      <c r="K121" s="138">
        <f t="shared" si="22"/>
        <v>1</v>
      </c>
      <c r="L121" s="148"/>
      <c r="M121" s="138">
        <f t="shared" si="23"/>
        <v>1</v>
      </c>
      <c r="N121" s="148"/>
      <c r="O121" s="138">
        <f t="shared" si="24"/>
        <v>1</v>
      </c>
      <c r="P121" s="148"/>
      <c r="Q121" s="138">
        <f t="shared" si="25"/>
        <v>1</v>
      </c>
      <c r="R121" s="201">
        <f t="shared" si="26"/>
        <v>0</v>
      </c>
      <c r="S121" s="137">
        <f t="shared" si="17"/>
        <v>0</v>
      </c>
    </row>
    <row r="122" spans="1:19">
      <c r="A122" s="146"/>
      <c r="B122" s="147"/>
      <c r="C122" s="138">
        <f t="shared" si="18"/>
        <v>1</v>
      </c>
      <c r="D122" s="148"/>
      <c r="E122" s="138">
        <f t="shared" si="19"/>
        <v>1</v>
      </c>
      <c r="F122" s="148"/>
      <c r="G122" s="138">
        <f t="shared" si="20"/>
        <v>1</v>
      </c>
      <c r="H122" s="148"/>
      <c r="I122" s="138">
        <f t="shared" si="21"/>
        <v>1</v>
      </c>
      <c r="J122" s="148"/>
      <c r="K122" s="138">
        <f t="shared" si="22"/>
        <v>1</v>
      </c>
      <c r="L122" s="148"/>
      <c r="M122" s="138">
        <f t="shared" si="23"/>
        <v>1</v>
      </c>
      <c r="N122" s="148"/>
      <c r="O122" s="138">
        <f t="shared" si="24"/>
        <v>1</v>
      </c>
      <c r="P122" s="148"/>
      <c r="Q122" s="138">
        <f t="shared" si="25"/>
        <v>1</v>
      </c>
      <c r="R122" s="201">
        <f t="shared" si="26"/>
        <v>0</v>
      </c>
      <c r="S122" s="137">
        <f t="shared" si="17"/>
        <v>0</v>
      </c>
    </row>
    <row r="123" spans="1:19">
      <c r="A123" s="146"/>
      <c r="B123" s="147"/>
      <c r="C123" s="138">
        <f t="shared" si="18"/>
        <v>1</v>
      </c>
      <c r="D123" s="148"/>
      <c r="E123" s="138">
        <f t="shared" si="19"/>
        <v>1</v>
      </c>
      <c r="F123" s="148"/>
      <c r="G123" s="138">
        <f t="shared" si="20"/>
        <v>1</v>
      </c>
      <c r="H123" s="148"/>
      <c r="I123" s="138">
        <f t="shared" si="21"/>
        <v>1</v>
      </c>
      <c r="J123" s="148"/>
      <c r="K123" s="138">
        <f t="shared" si="22"/>
        <v>1</v>
      </c>
      <c r="L123" s="148"/>
      <c r="M123" s="138">
        <f t="shared" si="23"/>
        <v>1</v>
      </c>
      <c r="N123" s="148"/>
      <c r="O123" s="138">
        <f t="shared" si="24"/>
        <v>1</v>
      </c>
      <c r="P123" s="148"/>
      <c r="Q123" s="138">
        <f t="shared" si="25"/>
        <v>1</v>
      </c>
      <c r="R123" s="201">
        <f t="shared" si="26"/>
        <v>0</v>
      </c>
      <c r="S123" s="137">
        <f t="shared" ref="S123:S186" si="27">ROUND(R123*B123/10000,0)</f>
        <v>0</v>
      </c>
    </row>
    <row r="124" spans="1:19">
      <c r="A124" s="146"/>
      <c r="B124" s="147"/>
      <c r="C124" s="138">
        <f t="shared" si="18"/>
        <v>1</v>
      </c>
      <c r="D124" s="148"/>
      <c r="E124" s="138">
        <f t="shared" si="19"/>
        <v>1</v>
      </c>
      <c r="F124" s="148"/>
      <c r="G124" s="138">
        <f t="shared" si="20"/>
        <v>1</v>
      </c>
      <c r="H124" s="148"/>
      <c r="I124" s="138">
        <f t="shared" si="21"/>
        <v>1</v>
      </c>
      <c r="J124" s="148"/>
      <c r="K124" s="138">
        <f t="shared" si="22"/>
        <v>1</v>
      </c>
      <c r="L124" s="148"/>
      <c r="M124" s="138">
        <f t="shared" si="23"/>
        <v>1</v>
      </c>
      <c r="N124" s="148"/>
      <c r="O124" s="138">
        <f t="shared" si="24"/>
        <v>1</v>
      </c>
      <c r="P124" s="148"/>
      <c r="Q124" s="138">
        <f t="shared" si="25"/>
        <v>1</v>
      </c>
      <c r="R124" s="201">
        <f t="shared" si="26"/>
        <v>0</v>
      </c>
      <c r="S124" s="137">
        <f t="shared" si="27"/>
        <v>0</v>
      </c>
    </row>
    <row r="125" spans="1:19">
      <c r="A125" s="146"/>
      <c r="B125" s="147"/>
      <c r="C125" s="138">
        <f t="shared" si="18"/>
        <v>1</v>
      </c>
      <c r="D125" s="148"/>
      <c r="E125" s="138">
        <f t="shared" si="19"/>
        <v>1</v>
      </c>
      <c r="F125" s="148"/>
      <c r="G125" s="138">
        <f t="shared" si="20"/>
        <v>1</v>
      </c>
      <c r="H125" s="148"/>
      <c r="I125" s="138">
        <f t="shared" si="21"/>
        <v>1</v>
      </c>
      <c r="J125" s="148"/>
      <c r="K125" s="138">
        <f t="shared" si="22"/>
        <v>1</v>
      </c>
      <c r="L125" s="148"/>
      <c r="M125" s="138">
        <f t="shared" si="23"/>
        <v>1</v>
      </c>
      <c r="N125" s="148"/>
      <c r="O125" s="138">
        <f t="shared" si="24"/>
        <v>1</v>
      </c>
      <c r="P125" s="148"/>
      <c r="Q125" s="138">
        <f t="shared" si="25"/>
        <v>1</v>
      </c>
      <c r="R125" s="201">
        <f t="shared" si="26"/>
        <v>0</v>
      </c>
      <c r="S125" s="137">
        <f t="shared" si="27"/>
        <v>0</v>
      </c>
    </row>
    <row r="126" spans="1:19">
      <c r="A126" s="146"/>
      <c r="B126" s="147"/>
      <c r="C126" s="138">
        <f t="shared" si="18"/>
        <v>1</v>
      </c>
      <c r="D126" s="148"/>
      <c r="E126" s="138">
        <f t="shared" si="19"/>
        <v>1</v>
      </c>
      <c r="F126" s="148"/>
      <c r="G126" s="138">
        <f t="shared" si="20"/>
        <v>1</v>
      </c>
      <c r="H126" s="148"/>
      <c r="I126" s="138">
        <f t="shared" si="21"/>
        <v>1</v>
      </c>
      <c r="J126" s="148"/>
      <c r="K126" s="138">
        <f t="shared" si="22"/>
        <v>1</v>
      </c>
      <c r="L126" s="148"/>
      <c r="M126" s="138">
        <f t="shared" si="23"/>
        <v>1</v>
      </c>
      <c r="N126" s="148"/>
      <c r="O126" s="138">
        <f t="shared" si="24"/>
        <v>1</v>
      </c>
      <c r="P126" s="148"/>
      <c r="Q126" s="138">
        <f t="shared" si="25"/>
        <v>1</v>
      </c>
      <c r="R126" s="201">
        <f t="shared" si="26"/>
        <v>0</v>
      </c>
      <c r="S126" s="137">
        <f t="shared" si="27"/>
        <v>0</v>
      </c>
    </row>
    <row r="127" spans="1:19">
      <c r="A127" s="146"/>
      <c r="B127" s="147"/>
      <c r="C127" s="138">
        <f t="shared" si="18"/>
        <v>1</v>
      </c>
      <c r="D127" s="148"/>
      <c r="E127" s="138">
        <f t="shared" si="19"/>
        <v>1</v>
      </c>
      <c r="F127" s="148"/>
      <c r="G127" s="138">
        <f t="shared" si="20"/>
        <v>1</v>
      </c>
      <c r="H127" s="148"/>
      <c r="I127" s="138">
        <f t="shared" si="21"/>
        <v>1</v>
      </c>
      <c r="J127" s="148"/>
      <c r="K127" s="138">
        <f t="shared" si="22"/>
        <v>1</v>
      </c>
      <c r="L127" s="148"/>
      <c r="M127" s="138">
        <f t="shared" si="23"/>
        <v>1</v>
      </c>
      <c r="N127" s="148"/>
      <c r="O127" s="138">
        <f t="shared" si="24"/>
        <v>1</v>
      </c>
      <c r="P127" s="148"/>
      <c r="Q127" s="138">
        <f t="shared" si="25"/>
        <v>1</v>
      </c>
      <c r="R127" s="201">
        <f t="shared" si="26"/>
        <v>0</v>
      </c>
      <c r="S127" s="137">
        <f t="shared" si="27"/>
        <v>0</v>
      </c>
    </row>
    <row r="128" spans="1:19">
      <c r="A128" s="146"/>
      <c r="B128" s="147"/>
      <c r="C128" s="138">
        <f t="shared" si="18"/>
        <v>1</v>
      </c>
      <c r="D128" s="148"/>
      <c r="E128" s="138">
        <f t="shared" si="19"/>
        <v>1</v>
      </c>
      <c r="F128" s="148"/>
      <c r="G128" s="138">
        <f t="shared" si="20"/>
        <v>1</v>
      </c>
      <c r="H128" s="148"/>
      <c r="I128" s="138">
        <f t="shared" si="21"/>
        <v>1</v>
      </c>
      <c r="J128" s="148"/>
      <c r="K128" s="138">
        <f t="shared" si="22"/>
        <v>1</v>
      </c>
      <c r="L128" s="148"/>
      <c r="M128" s="138">
        <f t="shared" si="23"/>
        <v>1</v>
      </c>
      <c r="N128" s="148"/>
      <c r="O128" s="138">
        <f t="shared" si="24"/>
        <v>1</v>
      </c>
      <c r="P128" s="148"/>
      <c r="Q128" s="138">
        <f t="shared" si="25"/>
        <v>1</v>
      </c>
      <c r="R128" s="201">
        <f t="shared" si="26"/>
        <v>0</v>
      </c>
      <c r="S128" s="137">
        <f t="shared" si="27"/>
        <v>0</v>
      </c>
    </row>
    <row r="129" spans="1:19">
      <c r="A129" s="146"/>
      <c r="B129" s="147"/>
      <c r="C129" s="138">
        <f t="shared" si="18"/>
        <v>1</v>
      </c>
      <c r="D129" s="148"/>
      <c r="E129" s="138">
        <f t="shared" si="19"/>
        <v>1</v>
      </c>
      <c r="F129" s="148"/>
      <c r="G129" s="138">
        <f t="shared" si="20"/>
        <v>1</v>
      </c>
      <c r="H129" s="148"/>
      <c r="I129" s="138">
        <f t="shared" si="21"/>
        <v>1</v>
      </c>
      <c r="J129" s="148"/>
      <c r="K129" s="138">
        <f t="shared" si="22"/>
        <v>1</v>
      </c>
      <c r="L129" s="148"/>
      <c r="M129" s="138">
        <f t="shared" si="23"/>
        <v>1</v>
      </c>
      <c r="N129" s="148"/>
      <c r="O129" s="138">
        <f t="shared" si="24"/>
        <v>1</v>
      </c>
      <c r="P129" s="148"/>
      <c r="Q129" s="138">
        <f t="shared" si="25"/>
        <v>1</v>
      </c>
      <c r="R129" s="201">
        <f t="shared" si="26"/>
        <v>0</v>
      </c>
      <c r="S129" s="137">
        <f t="shared" si="27"/>
        <v>0</v>
      </c>
    </row>
    <row r="130" spans="1:19">
      <c r="A130" s="146"/>
      <c r="B130" s="147"/>
      <c r="C130" s="138">
        <f t="shared" si="18"/>
        <v>1</v>
      </c>
      <c r="D130" s="148"/>
      <c r="E130" s="138">
        <f t="shared" si="19"/>
        <v>1</v>
      </c>
      <c r="F130" s="148"/>
      <c r="G130" s="138">
        <f t="shared" si="20"/>
        <v>1</v>
      </c>
      <c r="H130" s="148"/>
      <c r="I130" s="138">
        <f t="shared" si="21"/>
        <v>1</v>
      </c>
      <c r="J130" s="148"/>
      <c r="K130" s="138">
        <f t="shared" si="22"/>
        <v>1</v>
      </c>
      <c r="L130" s="148"/>
      <c r="M130" s="138">
        <f t="shared" si="23"/>
        <v>1</v>
      </c>
      <c r="N130" s="148"/>
      <c r="O130" s="138">
        <f t="shared" si="24"/>
        <v>1</v>
      </c>
      <c r="P130" s="148"/>
      <c r="Q130" s="138">
        <f t="shared" si="25"/>
        <v>1</v>
      </c>
      <c r="R130" s="201">
        <f t="shared" si="26"/>
        <v>0</v>
      </c>
      <c r="S130" s="137">
        <f t="shared" si="27"/>
        <v>0</v>
      </c>
    </row>
    <row r="131" spans="1:19">
      <c r="A131" s="146"/>
      <c r="B131" s="147"/>
      <c r="C131" s="138">
        <f t="shared" si="18"/>
        <v>1</v>
      </c>
      <c r="D131" s="148"/>
      <c r="E131" s="138">
        <f t="shared" si="19"/>
        <v>1</v>
      </c>
      <c r="F131" s="148"/>
      <c r="G131" s="138">
        <f t="shared" si="20"/>
        <v>1</v>
      </c>
      <c r="H131" s="148"/>
      <c r="I131" s="138">
        <f t="shared" si="21"/>
        <v>1</v>
      </c>
      <c r="J131" s="148"/>
      <c r="K131" s="138">
        <f t="shared" si="22"/>
        <v>1</v>
      </c>
      <c r="L131" s="148"/>
      <c r="M131" s="138">
        <f t="shared" si="23"/>
        <v>1</v>
      </c>
      <c r="N131" s="148"/>
      <c r="O131" s="138">
        <f t="shared" si="24"/>
        <v>1</v>
      </c>
      <c r="P131" s="148"/>
      <c r="Q131" s="138">
        <f t="shared" si="25"/>
        <v>1</v>
      </c>
      <c r="R131" s="201">
        <f t="shared" si="26"/>
        <v>0</v>
      </c>
      <c r="S131" s="137">
        <f t="shared" si="27"/>
        <v>0</v>
      </c>
    </row>
    <row r="132" spans="1:19">
      <c r="A132" s="146"/>
      <c r="B132" s="147"/>
      <c r="C132" s="138">
        <f t="shared" si="18"/>
        <v>1</v>
      </c>
      <c r="D132" s="148"/>
      <c r="E132" s="138">
        <f t="shared" si="19"/>
        <v>1</v>
      </c>
      <c r="F132" s="148"/>
      <c r="G132" s="138">
        <f t="shared" si="20"/>
        <v>1</v>
      </c>
      <c r="H132" s="148"/>
      <c r="I132" s="138">
        <f t="shared" si="21"/>
        <v>1</v>
      </c>
      <c r="J132" s="148"/>
      <c r="K132" s="138">
        <f t="shared" si="22"/>
        <v>1</v>
      </c>
      <c r="L132" s="148"/>
      <c r="M132" s="138">
        <f t="shared" si="23"/>
        <v>1</v>
      </c>
      <c r="N132" s="148"/>
      <c r="O132" s="138">
        <f t="shared" si="24"/>
        <v>1</v>
      </c>
      <c r="P132" s="148"/>
      <c r="Q132" s="138">
        <f t="shared" si="25"/>
        <v>1</v>
      </c>
      <c r="R132" s="201">
        <f t="shared" si="26"/>
        <v>0</v>
      </c>
      <c r="S132" s="137">
        <f t="shared" si="27"/>
        <v>0</v>
      </c>
    </row>
    <row r="133" spans="1:19">
      <c r="A133" s="146"/>
      <c r="B133" s="147"/>
      <c r="C133" s="138">
        <f t="shared" si="18"/>
        <v>1</v>
      </c>
      <c r="D133" s="148"/>
      <c r="E133" s="138">
        <f t="shared" si="19"/>
        <v>1</v>
      </c>
      <c r="F133" s="148"/>
      <c r="G133" s="138">
        <f t="shared" si="20"/>
        <v>1</v>
      </c>
      <c r="H133" s="148"/>
      <c r="I133" s="138">
        <f t="shared" si="21"/>
        <v>1</v>
      </c>
      <c r="J133" s="148"/>
      <c r="K133" s="138">
        <f t="shared" si="22"/>
        <v>1</v>
      </c>
      <c r="L133" s="148"/>
      <c r="M133" s="138">
        <f t="shared" si="23"/>
        <v>1</v>
      </c>
      <c r="N133" s="148"/>
      <c r="O133" s="138">
        <f t="shared" si="24"/>
        <v>1</v>
      </c>
      <c r="P133" s="148"/>
      <c r="Q133" s="138">
        <f t="shared" si="25"/>
        <v>1</v>
      </c>
      <c r="R133" s="201">
        <f t="shared" si="26"/>
        <v>0</v>
      </c>
      <c r="S133" s="137">
        <f t="shared" si="27"/>
        <v>0</v>
      </c>
    </row>
    <row r="134" spans="1:19">
      <c r="A134" s="146"/>
      <c r="B134" s="147"/>
      <c r="C134" s="138">
        <f t="shared" si="18"/>
        <v>1</v>
      </c>
      <c r="D134" s="148"/>
      <c r="E134" s="138">
        <f t="shared" si="19"/>
        <v>1</v>
      </c>
      <c r="F134" s="148"/>
      <c r="G134" s="138">
        <f t="shared" si="20"/>
        <v>1</v>
      </c>
      <c r="H134" s="148"/>
      <c r="I134" s="138">
        <f t="shared" si="21"/>
        <v>1</v>
      </c>
      <c r="J134" s="148"/>
      <c r="K134" s="138">
        <f t="shared" si="22"/>
        <v>1</v>
      </c>
      <c r="L134" s="148"/>
      <c r="M134" s="138">
        <f t="shared" si="23"/>
        <v>1</v>
      </c>
      <c r="N134" s="148"/>
      <c r="O134" s="138">
        <f t="shared" si="24"/>
        <v>1</v>
      </c>
      <c r="P134" s="148"/>
      <c r="Q134" s="138">
        <f t="shared" si="25"/>
        <v>1</v>
      </c>
      <c r="R134" s="201">
        <f t="shared" si="26"/>
        <v>0</v>
      </c>
      <c r="S134" s="137">
        <f t="shared" si="27"/>
        <v>0</v>
      </c>
    </row>
    <row r="135" spans="1:19">
      <c r="A135" s="146"/>
      <c r="B135" s="147"/>
      <c r="C135" s="138">
        <f t="shared" si="18"/>
        <v>1</v>
      </c>
      <c r="D135" s="148"/>
      <c r="E135" s="138">
        <f t="shared" si="19"/>
        <v>1</v>
      </c>
      <c r="F135" s="148"/>
      <c r="G135" s="138">
        <f t="shared" si="20"/>
        <v>1</v>
      </c>
      <c r="H135" s="148"/>
      <c r="I135" s="138">
        <f t="shared" si="21"/>
        <v>1</v>
      </c>
      <c r="J135" s="148"/>
      <c r="K135" s="138">
        <f t="shared" si="22"/>
        <v>1</v>
      </c>
      <c r="L135" s="148"/>
      <c r="M135" s="138">
        <f t="shared" si="23"/>
        <v>1</v>
      </c>
      <c r="N135" s="148"/>
      <c r="O135" s="138">
        <f t="shared" si="24"/>
        <v>1</v>
      </c>
      <c r="P135" s="148"/>
      <c r="Q135" s="138">
        <f t="shared" si="25"/>
        <v>1</v>
      </c>
      <c r="R135" s="201">
        <f t="shared" si="26"/>
        <v>0</v>
      </c>
      <c r="S135" s="137">
        <f t="shared" si="27"/>
        <v>0</v>
      </c>
    </row>
    <row r="136" spans="1:19">
      <c r="A136" s="146"/>
      <c r="B136" s="147"/>
      <c r="C136" s="138">
        <f t="shared" si="18"/>
        <v>1</v>
      </c>
      <c r="D136" s="148"/>
      <c r="E136" s="138">
        <f t="shared" si="19"/>
        <v>1</v>
      </c>
      <c r="F136" s="148"/>
      <c r="G136" s="138">
        <f t="shared" si="20"/>
        <v>1</v>
      </c>
      <c r="H136" s="148"/>
      <c r="I136" s="138">
        <f t="shared" si="21"/>
        <v>1</v>
      </c>
      <c r="J136" s="148"/>
      <c r="K136" s="138">
        <f t="shared" si="22"/>
        <v>1</v>
      </c>
      <c r="L136" s="148"/>
      <c r="M136" s="138">
        <f t="shared" si="23"/>
        <v>1</v>
      </c>
      <c r="N136" s="148"/>
      <c r="O136" s="138">
        <f t="shared" si="24"/>
        <v>1</v>
      </c>
      <c r="P136" s="148"/>
      <c r="Q136" s="138">
        <f t="shared" si="25"/>
        <v>1</v>
      </c>
      <c r="R136" s="201">
        <f t="shared" si="26"/>
        <v>0</v>
      </c>
      <c r="S136" s="137">
        <f t="shared" si="27"/>
        <v>0</v>
      </c>
    </row>
    <row r="137" spans="1:19">
      <c r="A137" s="146"/>
      <c r="B137" s="147"/>
      <c r="C137" s="138">
        <f t="shared" si="18"/>
        <v>1</v>
      </c>
      <c r="D137" s="148"/>
      <c r="E137" s="138">
        <f t="shared" si="19"/>
        <v>1</v>
      </c>
      <c r="F137" s="148"/>
      <c r="G137" s="138">
        <f t="shared" si="20"/>
        <v>1</v>
      </c>
      <c r="H137" s="148"/>
      <c r="I137" s="138">
        <f t="shared" si="21"/>
        <v>1</v>
      </c>
      <c r="J137" s="148"/>
      <c r="K137" s="138">
        <f t="shared" si="22"/>
        <v>1</v>
      </c>
      <c r="L137" s="148"/>
      <c r="M137" s="138">
        <f t="shared" si="23"/>
        <v>1</v>
      </c>
      <c r="N137" s="148"/>
      <c r="O137" s="138">
        <f t="shared" si="24"/>
        <v>1</v>
      </c>
      <c r="P137" s="148"/>
      <c r="Q137" s="138">
        <f t="shared" si="25"/>
        <v>1</v>
      </c>
      <c r="R137" s="201">
        <f t="shared" si="26"/>
        <v>0</v>
      </c>
      <c r="S137" s="137">
        <f t="shared" si="27"/>
        <v>0</v>
      </c>
    </row>
    <row r="138" spans="1:19">
      <c r="A138" s="146"/>
      <c r="B138" s="147"/>
      <c r="C138" s="138">
        <f t="shared" si="18"/>
        <v>1</v>
      </c>
      <c r="D138" s="148"/>
      <c r="E138" s="138">
        <f t="shared" si="19"/>
        <v>1</v>
      </c>
      <c r="F138" s="148"/>
      <c r="G138" s="138">
        <f t="shared" si="20"/>
        <v>1</v>
      </c>
      <c r="H138" s="148"/>
      <c r="I138" s="138">
        <f t="shared" si="21"/>
        <v>1</v>
      </c>
      <c r="J138" s="148"/>
      <c r="K138" s="138">
        <f t="shared" si="22"/>
        <v>1</v>
      </c>
      <c r="L138" s="148"/>
      <c r="M138" s="138">
        <f t="shared" si="23"/>
        <v>1</v>
      </c>
      <c r="N138" s="148"/>
      <c r="O138" s="138">
        <f t="shared" si="24"/>
        <v>1</v>
      </c>
      <c r="P138" s="148"/>
      <c r="Q138" s="138">
        <f t="shared" si="25"/>
        <v>1</v>
      </c>
      <c r="R138" s="201">
        <f t="shared" si="26"/>
        <v>0</v>
      </c>
      <c r="S138" s="137">
        <f t="shared" si="27"/>
        <v>0</v>
      </c>
    </row>
    <row r="139" spans="1:19">
      <c r="A139" s="146"/>
      <c r="B139" s="147"/>
      <c r="C139" s="138">
        <f t="shared" si="18"/>
        <v>1</v>
      </c>
      <c r="D139" s="148"/>
      <c r="E139" s="138">
        <f t="shared" si="19"/>
        <v>1</v>
      </c>
      <c r="F139" s="148"/>
      <c r="G139" s="138">
        <f t="shared" si="20"/>
        <v>1</v>
      </c>
      <c r="H139" s="148"/>
      <c r="I139" s="138">
        <f t="shared" si="21"/>
        <v>1</v>
      </c>
      <c r="J139" s="148"/>
      <c r="K139" s="138">
        <f t="shared" si="22"/>
        <v>1</v>
      </c>
      <c r="L139" s="148"/>
      <c r="M139" s="138">
        <f t="shared" si="23"/>
        <v>1</v>
      </c>
      <c r="N139" s="148"/>
      <c r="O139" s="138">
        <f t="shared" si="24"/>
        <v>1</v>
      </c>
      <c r="P139" s="148"/>
      <c r="Q139" s="138">
        <f t="shared" si="25"/>
        <v>1</v>
      </c>
      <c r="R139" s="201">
        <f t="shared" si="26"/>
        <v>0</v>
      </c>
      <c r="S139" s="137">
        <f t="shared" si="27"/>
        <v>0</v>
      </c>
    </row>
    <row r="140" spans="1:19">
      <c r="A140" s="146"/>
      <c r="B140" s="147"/>
      <c r="C140" s="138">
        <f t="shared" si="18"/>
        <v>1</v>
      </c>
      <c r="D140" s="148"/>
      <c r="E140" s="138">
        <f t="shared" si="19"/>
        <v>1</v>
      </c>
      <c r="F140" s="148"/>
      <c r="G140" s="138">
        <f t="shared" si="20"/>
        <v>1</v>
      </c>
      <c r="H140" s="148"/>
      <c r="I140" s="138">
        <f t="shared" si="21"/>
        <v>1</v>
      </c>
      <c r="J140" s="148"/>
      <c r="K140" s="138">
        <f t="shared" si="22"/>
        <v>1</v>
      </c>
      <c r="L140" s="148"/>
      <c r="M140" s="138">
        <f t="shared" si="23"/>
        <v>1</v>
      </c>
      <c r="N140" s="148"/>
      <c r="O140" s="138">
        <f t="shared" si="24"/>
        <v>1</v>
      </c>
      <c r="P140" s="148"/>
      <c r="Q140" s="138">
        <f t="shared" si="25"/>
        <v>1</v>
      </c>
      <c r="R140" s="201">
        <f t="shared" si="26"/>
        <v>0</v>
      </c>
      <c r="S140" s="137">
        <f t="shared" si="27"/>
        <v>0</v>
      </c>
    </row>
    <row r="141" spans="1:19">
      <c r="A141" s="146"/>
      <c r="B141" s="147"/>
      <c r="C141" s="138">
        <f t="shared" si="18"/>
        <v>1</v>
      </c>
      <c r="D141" s="148"/>
      <c r="E141" s="138">
        <f t="shared" si="19"/>
        <v>1</v>
      </c>
      <c r="F141" s="148"/>
      <c r="G141" s="138">
        <f t="shared" si="20"/>
        <v>1</v>
      </c>
      <c r="H141" s="148"/>
      <c r="I141" s="138">
        <f t="shared" si="21"/>
        <v>1</v>
      </c>
      <c r="J141" s="148"/>
      <c r="K141" s="138">
        <f t="shared" si="22"/>
        <v>1</v>
      </c>
      <c r="L141" s="148"/>
      <c r="M141" s="138">
        <f t="shared" si="23"/>
        <v>1</v>
      </c>
      <c r="N141" s="148"/>
      <c r="O141" s="138">
        <f t="shared" si="24"/>
        <v>1</v>
      </c>
      <c r="P141" s="148"/>
      <c r="Q141" s="138">
        <f t="shared" si="25"/>
        <v>1</v>
      </c>
      <c r="R141" s="201">
        <f t="shared" si="26"/>
        <v>0</v>
      </c>
      <c r="S141" s="137">
        <f t="shared" si="27"/>
        <v>0</v>
      </c>
    </row>
    <row r="142" spans="1:19">
      <c r="A142" s="146"/>
      <c r="B142" s="147"/>
      <c r="C142" s="138">
        <f t="shared" si="18"/>
        <v>1</v>
      </c>
      <c r="D142" s="148"/>
      <c r="E142" s="138">
        <f t="shared" si="19"/>
        <v>1</v>
      </c>
      <c r="F142" s="148"/>
      <c r="G142" s="138">
        <f t="shared" si="20"/>
        <v>1</v>
      </c>
      <c r="H142" s="148"/>
      <c r="I142" s="138">
        <f t="shared" si="21"/>
        <v>1</v>
      </c>
      <c r="J142" s="148"/>
      <c r="K142" s="138">
        <f t="shared" si="22"/>
        <v>1</v>
      </c>
      <c r="L142" s="148"/>
      <c r="M142" s="138">
        <f t="shared" si="23"/>
        <v>1</v>
      </c>
      <c r="N142" s="148"/>
      <c r="O142" s="138">
        <f t="shared" si="24"/>
        <v>1</v>
      </c>
      <c r="P142" s="148"/>
      <c r="Q142" s="138">
        <f t="shared" si="25"/>
        <v>1</v>
      </c>
      <c r="R142" s="201">
        <f t="shared" si="26"/>
        <v>0</v>
      </c>
      <c r="S142" s="137">
        <f t="shared" si="27"/>
        <v>0</v>
      </c>
    </row>
    <row r="143" spans="1:19">
      <c r="A143" s="146"/>
      <c r="B143" s="147"/>
      <c r="C143" s="138">
        <f t="shared" si="18"/>
        <v>1</v>
      </c>
      <c r="D143" s="148"/>
      <c r="E143" s="138">
        <f t="shared" si="19"/>
        <v>1</v>
      </c>
      <c r="F143" s="148"/>
      <c r="G143" s="138">
        <f t="shared" si="20"/>
        <v>1</v>
      </c>
      <c r="H143" s="148"/>
      <c r="I143" s="138">
        <f t="shared" si="21"/>
        <v>1</v>
      </c>
      <c r="J143" s="148"/>
      <c r="K143" s="138">
        <f t="shared" si="22"/>
        <v>1</v>
      </c>
      <c r="L143" s="148"/>
      <c r="M143" s="138">
        <f t="shared" si="23"/>
        <v>1</v>
      </c>
      <c r="N143" s="148"/>
      <c r="O143" s="138">
        <f t="shared" si="24"/>
        <v>1</v>
      </c>
      <c r="P143" s="148"/>
      <c r="Q143" s="138">
        <f t="shared" si="25"/>
        <v>1</v>
      </c>
      <c r="R143" s="201">
        <f t="shared" si="26"/>
        <v>0</v>
      </c>
      <c r="S143" s="137">
        <f t="shared" si="27"/>
        <v>0</v>
      </c>
    </row>
    <row r="144" spans="1:19">
      <c r="A144" s="146"/>
      <c r="B144" s="147"/>
      <c r="C144" s="138">
        <f t="shared" si="18"/>
        <v>1</v>
      </c>
      <c r="D144" s="148"/>
      <c r="E144" s="138">
        <f t="shared" si="19"/>
        <v>1</v>
      </c>
      <c r="F144" s="148"/>
      <c r="G144" s="138">
        <f t="shared" si="20"/>
        <v>1</v>
      </c>
      <c r="H144" s="148"/>
      <c r="I144" s="138">
        <f t="shared" si="21"/>
        <v>1</v>
      </c>
      <c r="J144" s="148"/>
      <c r="K144" s="138">
        <f t="shared" si="22"/>
        <v>1</v>
      </c>
      <c r="L144" s="148"/>
      <c r="M144" s="138">
        <f t="shared" si="23"/>
        <v>1</v>
      </c>
      <c r="N144" s="148"/>
      <c r="O144" s="138">
        <f t="shared" si="24"/>
        <v>1</v>
      </c>
      <c r="P144" s="148"/>
      <c r="Q144" s="138">
        <f t="shared" si="25"/>
        <v>1</v>
      </c>
      <c r="R144" s="201">
        <f t="shared" si="26"/>
        <v>0</v>
      </c>
      <c r="S144" s="137">
        <f t="shared" si="27"/>
        <v>0</v>
      </c>
    </row>
    <row r="145" spans="1:19">
      <c r="A145" s="146"/>
      <c r="B145" s="147"/>
      <c r="C145" s="138">
        <f t="shared" si="18"/>
        <v>1</v>
      </c>
      <c r="D145" s="148"/>
      <c r="E145" s="138">
        <f t="shared" si="19"/>
        <v>1</v>
      </c>
      <c r="F145" s="148"/>
      <c r="G145" s="138">
        <f t="shared" si="20"/>
        <v>1</v>
      </c>
      <c r="H145" s="148"/>
      <c r="I145" s="138">
        <f t="shared" si="21"/>
        <v>1</v>
      </c>
      <c r="J145" s="148"/>
      <c r="K145" s="138">
        <f t="shared" si="22"/>
        <v>1</v>
      </c>
      <c r="L145" s="148"/>
      <c r="M145" s="138">
        <f t="shared" si="23"/>
        <v>1</v>
      </c>
      <c r="N145" s="148"/>
      <c r="O145" s="138">
        <f t="shared" si="24"/>
        <v>1</v>
      </c>
      <c r="P145" s="148"/>
      <c r="Q145" s="138">
        <f t="shared" si="25"/>
        <v>1</v>
      </c>
      <c r="R145" s="201">
        <f t="shared" si="26"/>
        <v>0</v>
      </c>
      <c r="S145" s="137">
        <f t="shared" si="27"/>
        <v>0</v>
      </c>
    </row>
    <row r="146" spans="1:19">
      <c r="A146" s="146"/>
      <c r="B146" s="147"/>
      <c r="C146" s="138">
        <f t="shared" si="18"/>
        <v>1</v>
      </c>
      <c r="D146" s="148"/>
      <c r="E146" s="138">
        <f t="shared" si="19"/>
        <v>1</v>
      </c>
      <c r="F146" s="148"/>
      <c r="G146" s="138">
        <f t="shared" si="20"/>
        <v>1</v>
      </c>
      <c r="H146" s="148"/>
      <c r="I146" s="138">
        <f t="shared" si="21"/>
        <v>1</v>
      </c>
      <c r="J146" s="148"/>
      <c r="K146" s="138">
        <f t="shared" si="22"/>
        <v>1</v>
      </c>
      <c r="L146" s="148"/>
      <c r="M146" s="138">
        <f t="shared" si="23"/>
        <v>1</v>
      </c>
      <c r="N146" s="148"/>
      <c r="O146" s="138">
        <f t="shared" si="24"/>
        <v>1</v>
      </c>
      <c r="P146" s="148"/>
      <c r="Q146" s="138">
        <f t="shared" si="25"/>
        <v>1</v>
      </c>
      <c r="R146" s="201">
        <f t="shared" si="26"/>
        <v>0</v>
      </c>
      <c r="S146" s="137">
        <f t="shared" si="27"/>
        <v>0</v>
      </c>
    </row>
    <row r="147" spans="1:19">
      <c r="A147" s="146"/>
      <c r="B147" s="147"/>
      <c r="C147" s="138">
        <f t="shared" si="18"/>
        <v>1</v>
      </c>
      <c r="D147" s="148"/>
      <c r="E147" s="138">
        <f t="shared" si="19"/>
        <v>1</v>
      </c>
      <c r="F147" s="148"/>
      <c r="G147" s="138">
        <f t="shared" si="20"/>
        <v>1</v>
      </c>
      <c r="H147" s="148"/>
      <c r="I147" s="138">
        <f t="shared" si="21"/>
        <v>1</v>
      </c>
      <c r="J147" s="148"/>
      <c r="K147" s="138">
        <f t="shared" si="22"/>
        <v>1</v>
      </c>
      <c r="L147" s="148"/>
      <c r="M147" s="138">
        <f t="shared" si="23"/>
        <v>1</v>
      </c>
      <c r="N147" s="148"/>
      <c r="O147" s="138">
        <f t="shared" si="24"/>
        <v>1</v>
      </c>
      <c r="P147" s="148"/>
      <c r="Q147" s="138">
        <f t="shared" si="25"/>
        <v>1</v>
      </c>
      <c r="R147" s="201">
        <f t="shared" si="26"/>
        <v>0</v>
      </c>
      <c r="S147" s="137">
        <f t="shared" si="27"/>
        <v>0</v>
      </c>
    </row>
    <row r="148" spans="1:19">
      <c r="A148" s="146"/>
      <c r="B148" s="147"/>
      <c r="C148" s="138">
        <f t="shared" si="18"/>
        <v>1</v>
      </c>
      <c r="D148" s="148"/>
      <c r="E148" s="138">
        <f t="shared" si="19"/>
        <v>1</v>
      </c>
      <c r="F148" s="148"/>
      <c r="G148" s="138">
        <f t="shared" si="20"/>
        <v>1</v>
      </c>
      <c r="H148" s="148"/>
      <c r="I148" s="138">
        <f t="shared" si="21"/>
        <v>1</v>
      </c>
      <c r="J148" s="148"/>
      <c r="K148" s="138">
        <f t="shared" si="22"/>
        <v>1</v>
      </c>
      <c r="L148" s="148"/>
      <c r="M148" s="138">
        <f t="shared" si="23"/>
        <v>1</v>
      </c>
      <c r="N148" s="148"/>
      <c r="O148" s="138">
        <f t="shared" si="24"/>
        <v>1</v>
      </c>
      <c r="P148" s="148"/>
      <c r="Q148" s="138">
        <f t="shared" si="25"/>
        <v>1</v>
      </c>
      <c r="R148" s="201">
        <f t="shared" si="26"/>
        <v>0</v>
      </c>
      <c r="S148" s="137">
        <f t="shared" si="27"/>
        <v>0</v>
      </c>
    </row>
    <row r="149" spans="1:19">
      <c r="A149" s="146"/>
      <c r="B149" s="147"/>
      <c r="C149" s="138">
        <f t="shared" si="18"/>
        <v>1</v>
      </c>
      <c r="D149" s="148"/>
      <c r="E149" s="138">
        <f t="shared" si="19"/>
        <v>1</v>
      </c>
      <c r="F149" s="148"/>
      <c r="G149" s="138">
        <f t="shared" si="20"/>
        <v>1</v>
      </c>
      <c r="H149" s="148"/>
      <c r="I149" s="138">
        <f t="shared" si="21"/>
        <v>1</v>
      </c>
      <c r="J149" s="148"/>
      <c r="K149" s="138">
        <f t="shared" si="22"/>
        <v>1</v>
      </c>
      <c r="L149" s="148"/>
      <c r="M149" s="138">
        <f t="shared" si="23"/>
        <v>1</v>
      </c>
      <c r="N149" s="148"/>
      <c r="O149" s="138">
        <f t="shared" si="24"/>
        <v>1</v>
      </c>
      <c r="P149" s="148"/>
      <c r="Q149" s="138">
        <f t="shared" si="25"/>
        <v>1</v>
      </c>
      <c r="R149" s="201">
        <f t="shared" si="26"/>
        <v>0</v>
      </c>
      <c r="S149" s="137">
        <f t="shared" si="27"/>
        <v>0</v>
      </c>
    </row>
    <row r="150" spans="1:19">
      <c r="A150" s="146"/>
      <c r="B150" s="147"/>
      <c r="C150" s="138">
        <f t="shared" si="18"/>
        <v>1</v>
      </c>
      <c r="D150" s="148"/>
      <c r="E150" s="138">
        <f t="shared" si="19"/>
        <v>1</v>
      </c>
      <c r="F150" s="148"/>
      <c r="G150" s="138">
        <f t="shared" si="20"/>
        <v>1</v>
      </c>
      <c r="H150" s="148"/>
      <c r="I150" s="138">
        <f t="shared" si="21"/>
        <v>1</v>
      </c>
      <c r="J150" s="148"/>
      <c r="K150" s="138">
        <f t="shared" si="22"/>
        <v>1</v>
      </c>
      <c r="L150" s="148"/>
      <c r="M150" s="138">
        <f t="shared" si="23"/>
        <v>1</v>
      </c>
      <c r="N150" s="148"/>
      <c r="O150" s="138">
        <f t="shared" si="24"/>
        <v>1</v>
      </c>
      <c r="P150" s="148"/>
      <c r="Q150" s="138">
        <f t="shared" si="25"/>
        <v>1</v>
      </c>
      <c r="R150" s="201">
        <f t="shared" si="26"/>
        <v>0</v>
      </c>
      <c r="S150" s="137">
        <f t="shared" si="27"/>
        <v>0</v>
      </c>
    </row>
    <row r="151" spans="1:19">
      <c r="A151" s="146"/>
      <c r="B151" s="147"/>
      <c r="C151" s="138">
        <f t="shared" si="18"/>
        <v>1</v>
      </c>
      <c r="D151" s="148"/>
      <c r="E151" s="138">
        <f t="shared" si="19"/>
        <v>1</v>
      </c>
      <c r="F151" s="148"/>
      <c r="G151" s="138">
        <f t="shared" si="20"/>
        <v>1</v>
      </c>
      <c r="H151" s="148"/>
      <c r="I151" s="138">
        <f t="shared" si="21"/>
        <v>1</v>
      </c>
      <c r="J151" s="148"/>
      <c r="K151" s="138">
        <f t="shared" si="22"/>
        <v>1</v>
      </c>
      <c r="L151" s="148"/>
      <c r="M151" s="138">
        <f t="shared" si="23"/>
        <v>1</v>
      </c>
      <c r="N151" s="148"/>
      <c r="O151" s="138">
        <f t="shared" si="24"/>
        <v>1</v>
      </c>
      <c r="P151" s="148"/>
      <c r="Q151" s="138">
        <f t="shared" si="25"/>
        <v>1</v>
      </c>
      <c r="R151" s="201">
        <f t="shared" si="26"/>
        <v>0</v>
      </c>
      <c r="S151" s="137">
        <f t="shared" si="27"/>
        <v>0</v>
      </c>
    </row>
    <row r="152" spans="1:19">
      <c r="A152" s="146"/>
      <c r="B152" s="147"/>
      <c r="C152" s="138">
        <f t="shared" si="18"/>
        <v>1</v>
      </c>
      <c r="D152" s="148"/>
      <c r="E152" s="138">
        <f t="shared" si="19"/>
        <v>1</v>
      </c>
      <c r="F152" s="148"/>
      <c r="G152" s="138">
        <f t="shared" si="20"/>
        <v>1</v>
      </c>
      <c r="H152" s="148"/>
      <c r="I152" s="138">
        <f t="shared" si="21"/>
        <v>1</v>
      </c>
      <c r="J152" s="148"/>
      <c r="K152" s="138">
        <f t="shared" si="22"/>
        <v>1</v>
      </c>
      <c r="L152" s="148"/>
      <c r="M152" s="138">
        <f t="shared" si="23"/>
        <v>1</v>
      </c>
      <c r="N152" s="148"/>
      <c r="O152" s="138">
        <f t="shared" si="24"/>
        <v>1</v>
      </c>
      <c r="P152" s="148"/>
      <c r="Q152" s="138">
        <f t="shared" si="25"/>
        <v>1</v>
      </c>
      <c r="R152" s="201">
        <f t="shared" si="26"/>
        <v>0</v>
      </c>
      <c r="S152" s="137">
        <f t="shared" si="27"/>
        <v>0</v>
      </c>
    </row>
    <row r="153" spans="1:19">
      <c r="A153" s="146"/>
      <c r="B153" s="147"/>
      <c r="C153" s="138">
        <f t="shared" si="18"/>
        <v>1</v>
      </c>
      <c r="D153" s="148"/>
      <c r="E153" s="138">
        <f t="shared" si="19"/>
        <v>1</v>
      </c>
      <c r="F153" s="148"/>
      <c r="G153" s="138">
        <f t="shared" si="20"/>
        <v>1</v>
      </c>
      <c r="H153" s="148"/>
      <c r="I153" s="138">
        <f t="shared" si="21"/>
        <v>1</v>
      </c>
      <c r="J153" s="148"/>
      <c r="K153" s="138">
        <f t="shared" si="22"/>
        <v>1</v>
      </c>
      <c r="L153" s="148"/>
      <c r="M153" s="138">
        <f t="shared" si="23"/>
        <v>1</v>
      </c>
      <c r="N153" s="148"/>
      <c r="O153" s="138">
        <f t="shared" si="24"/>
        <v>1</v>
      </c>
      <c r="P153" s="148"/>
      <c r="Q153" s="138">
        <f t="shared" si="25"/>
        <v>1</v>
      </c>
      <c r="R153" s="201">
        <f t="shared" si="26"/>
        <v>0</v>
      </c>
      <c r="S153" s="137">
        <f t="shared" si="27"/>
        <v>0</v>
      </c>
    </row>
    <row r="154" spans="1:19">
      <c r="A154" s="146"/>
      <c r="B154" s="147"/>
      <c r="C154" s="138">
        <f t="shared" ref="C154:C217" si="28">IF(B154="",1,(LOOKUP(B154,$3:$3,$4:$4)-LOOKUP($B$24,$3:$3,$4:$4)+100)/100)</f>
        <v>1</v>
      </c>
      <c r="D154" s="148"/>
      <c r="E154" s="138">
        <f t="shared" ref="E154:E217" si="29">(SUMIF($5:$5,D154,$6:$6)-SUMIF($5:$5,$D$24,$6:$6)+100)/100</f>
        <v>1</v>
      </c>
      <c r="F154" s="148"/>
      <c r="G154" s="138">
        <f t="shared" ref="G154:G217" si="30">(SUMIF($7:$7,F154,$8:$8)-SUMIF($7:$7,$F$24,$8:$8)+100)/100</f>
        <v>1</v>
      </c>
      <c r="H154" s="148"/>
      <c r="I154" s="138">
        <f t="shared" ref="I154:I217" si="31">(SUMIF($9:$9,H154,$10:$10)-SUMIF($9:$9,$H$24,$10:$10)+100)/100</f>
        <v>1</v>
      </c>
      <c r="J154" s="148"/>
      <c r="K154" s="138">
        <f t="shared" ref="K154:K217" si="32">(SUMIF($11:$11,J154,$12:$12)-SUMIF($11:$11,$J$24,$12:$12)+100)/100</f>
        <v>1</v>
      </c>
      <c r="L154" s="148"/>
      <c r="M154" s="138">
        <f t="shared" ref="M154:M217" si="33">(SUMIF($13:$13,L154,$14:$14)-SUMIF($13:$13,$L$24,$14:$14)+100)/100</f>
        <v>1</v>
      </c>
      <c r="N154" s="148"/>
      <c r="O154" s="138">
        <f t="shared" ref="O154:O217" si="34">(SUMIF($15:$15,N154,$16:$16)-SUMIF($15:$15,$N$24,$16:$16)+100)/100</f>
        <v>1</v>
      </c>
      <c r="P154" s="148"/>
      <c r="Q154" s="138">
        <f t="shared" ref="Q154:Q217" si="35">(SUMIF($17:$17,P154,$18:$18)-SUMIF($17:$17,$P$24,$18:$18)+100)/100</f>
        <v>1</v>
      </c>
      <c r="R154" s="201">
        <f t="shared" ref="R154:R217" si="36">IF(B154="",0,ROUND($R$24*C154*E154*G154*I154*K154*M154*O154*Q154,0))</f>
        <v>0</v>
      </c>
      <c r="S154" s="137">
        <f t="shared" si="27"/>
        <v>0</v>
      </c>
    </row>
    <row r="155" spans="1:19">
      <c r="A155" s="146"/>
      <c r="B155" s="147"/>
      <c r="C155" s="138">
        <f t="shared" si="28"/>
        <v>1</v>
      </c>
      <c r="D155" s="148"/>
      <c r="E155" s="138">
        <f t="shared" si="29"/>
        <v>1</v>
      </c>
      <c r="F155" s="148"/>
      <c r="G155" s="138">
        <f t="shared" si="30"/>
        <v>1</v>
      </c>
      <c r="H155" s="148"/>
      <c r="I155" s="138">
        <f t="shared" si="31"/>
        <v>1</v>
      </c>
      <c r="J155" s="148"/>
      <c r="K155" s="138">
        <f t="shared" si="32"/>
        <v>1</v>
      </c>
      <c r="L155" s="148"/>
      <c r="M155" s="138">
        <f t="shared" si="33"/>
        <v>1</v>
      </c>
      <c r="N155" s="148"/>
      <c r="O155" s="138">
        <f t="shared" si="34"/>
        <v>1</v>
      </c>
      <c r="P155" s="148"/>
      <c r="Q155" s="138">
        <f t="shared" si="35"/>
        <v>1</v>
      </c>
      <c r="R155" s="201">
        <f t="shared" si="36"/>
        <v>0</v>
      </c>
      <c r="S155" s="137">
        <f t="shared" si="27"/>
        <v>0</v>
      </c>
    </row>
    <row r="156" spans="1:19">
      <c r="A156" s="146"/>
      <c r="B156" s="147"/>
      <c r="C156" s="138">
        <f t="shared" si="28"/>
        <v>1</v>
      </c>
      <c r="D156" s="148"/>
      <c r="E156" s="138">
        <f t="shared" si="29"/>
        <v>1</v>
      </c>
      <c r="F156" s="148"/>
      <c r="G156" s="138">
        <f t="shared" si="30"/>
        <v>1</v>
      </c>
      <c r="H156" s="148"/>
      <c r="I156" s="138">
        <f t="shared" si="31"/>
        <v>1</v>
      </c>
      <c r="J156" s="148"/>
      <c r="K156" s="138">
        <f t="shared" si="32"/>
        <v>1</v>
      </c>
      <c r="L156" s="148"/>
      <c r="M156" s="138">
        <f t="shared" si="33"/>
        <v>1</v>
      </c>
      <c r="N156" s="148"/>
      <c r="O156" s="138">
        <f t="shared" si="34"/>
        <v>1</v>
      </c>
      <c r="P156" s="148"/>
      <c r="Q156" s="138">
        <f t="shared" si="35"/>
        <v>1</v>
      </c>
      <c r="R156" s="201">
        <f t="shared" si="36"/>
        <v>0</v>
      </c>
      <c r="S156" s="137">
        <f t="shared" si="27"/>
        <v>0</v>
      </c>
    </row>
    <row r="157" spans="1:19">
      <c r="A157" s="146"/>
      <c r="B157" s="147"/>
      <c r="C157" s="138">
        <f t="shared" si="28"/>
        <v>1</v>
      </c>
      <c r="D157" s="148"/>
      <c r="E157" s="138">
        <f t="shared" si="29"/>
        <v>1</v>
      </c>
      <c r="F157" s="148"/>
      <c r="G157" s="138">
        <f t="shared" si="30"/>
        <v>1</v>
      </c>
      <c r="H157" s="148"/>
      <c r="I157" s="138">
        <f t="shared" si="31"/>
        <v>1</v>
      </c>
      <c r="J157" s="148"/>
      <c r="K157" s="138">
        <f t="shared" si="32"/>
        <v>1</v>
      </c>
      <c r="L157" s="148"/>
      <c r="M157" s="138">
        <f t="shared" si="33"/>
        <v>1</v>
      </c>
      <c r="N157" s="148"/>
      <c r="O157" s="138">
        <f t="shared" si="34"/>
        <v>1</v>
      </c>
      <c r="P157" s="148"/>
      <c r="Q157" s="138">
        <f t="shared" si="35"/>
        <v>1</v>
      </c>
      <c r="R157" s="201">
        <f t="shared" si="36"/>
        <v>0</v>
      </c>
      <c r="S157" s="137">
        <f t="shared" si="27"/>
        <v>0</v>
      </c>
    </row>
    <row r="158" spans="1:19">
      <c r="A158" s="146"/>
      <c r="B158" s="147"/>
      <c r="C158" s="138">
        <f t="shared" si="28"/>
        <v>1</v>
      </c>
      <c r="D158" s="148"/>
      <c r="E158" s="138">
        <f t="shared" si="29"/>
        <v>1</v>
      </c>
      <c r="F158" s="148"/>
      <c r="G158" s="138">
        <f t="shared" si="30"/>
        <v>1</v>
      </c>
      <c r="H158" s="148"/>
      <c r="I158" s="138">
        <f t="shared" si="31"/>
        <v>1</v>
      </c>
      <c r="J158" s="148"/>
      <c r="K158" s="138">
        <f t="shared" si="32"/>
        <v>1</v>
      </c>
      <c r="L158" s="148"/>
      <c r="M158" s="138">
        <f t="shared" si="33"/>
        <v>1</v>
      </c>
      <c r="N158" s="148"/>
      <c r="O158" s="138">
        <f t="shared" si="34"/>
        <v>1</v>
      </c>
      <c r="P158" s="148"/>
      <c r="Q158" s="138">
        <f t="shared" si="35"/>
        <v>1</v>
      </c>
      <c r="R158" s="201">
        <f t="shared" si="36"/>
        <v>0</v>
      </c>
      <c r="S158" s="137">
        <f t="shared" si="27"/>
        <v>0</v>
      </c>
    </row>
    <row r="159" spans="1:19">
      <c r="A159" s="146"/>
      <c r="B159" s="147"/>
      <c r="C159" s="138">
        <f t="shared" si="28"/>
        <v>1</v>
      </c>
      <c r="D159" s="148"/>
      <c r="E159" s="138">
        <f t="shared" si="29"/>
        <v>1</v>
      </c>
      <c r="F159" s="148"/>
      <c r="G159" s="138">
        <f t="shared" si="30"/>
        <v>1</v>
      </c>
      <c r="H159" s="148"/>
      <c r="I159" s="138">
        <f t="shared" si="31"/>
        <v>1</v>
      </c>
      <c r="J159" s="148"/>
      <c r="K159" s="138">
        <f t="shared" si="32"/>
        <v>1</v>
      </c>
      <c r="L159" s="148"/>
      <c r="M159" s="138">
        <f t="shared" si="33"/>
        <v>1</v>
      </c>
      <c r="N159" s="148"/>
      <c r="O159" s="138">
        <f t="shared" si="34"/>
        <v>1</v>
      </c>
      <c r="P159" s="148"/>
      <c r="Q159" s="138">
        <f t="shared" si="35"/>
        <v>1</v>
      </c>
      <c r="R159" s="201">
        <f t="shared" si="36"/>
        <v>0</v>
      </c>
      <c r="S159" s="137">
        <f t="shared" si="27"/>
        <v>0</v>
      </c>
    </row>
    <row r="160" spans="1:19">
      <c r="A160" s="146"/>
      <c r="B160" s="147"/>
      <c r="C160" s="138">
        <f t="shared" si="28"/>
        <v>1</v>
      </c>
      <c r="D160" s="148"/>
      <c r="E160" s="138">
        <f t="shared" si="29"/>
        <v>1</v>
      </c>
      <c r="F160" s="148"/>
      <c r="G160" s="138">
        <f t="shared" si="30"/>
        <v>1</v>
      </c>
      <c r="H160" s="148"/>
      <c r="I160" s="138">
        <f t="shared" si="31"/>
        <v>1</v>
      </c>
      <c r="J160" s="148"/>
      <c r="K160" s="138">
        <f t="shared" si="32"/>
        <v>1</v>
      </c>
      <c r="L160" s="148"/>
      <c r="M160" s="138">
        <f t="shared" si="33"/>
        <v>1</v>
      </c>
      <c r="N160" s="148"/>
      <c r="O160" s="138">
        <f t="shared" si="34"/>
        <v>1</v>
      </c>
      <c r="P160" s="148"/>
      <c r="Q160" s="138">
        <f t="shared" si="35"/>
        <v>1</v>
      </c>
      <c r="R160" s="201">
        <f t="shared" si="36"/>
        <v>0</v>
      </c>
      <c r="S160" s="137">
        <f t="shared" si="27"/>
        <v>0</v>
      </c>
    </row>
    <row r="161" spans="1:19">
      <c r="A161" s="146"/>
      <c r="B161" s="147"/>
      <c r="C161" s="138">
        <f t="shared" si="28"/>
        <v>1</v>
      </c>
      <c r="D161" s="148"/>
      <c r="E161" s="138">
        <f t="shared" si="29"/>
        <v>1</v>
      </c>
      <c r="F161" s="148"/>
      <c r="G161" s="138">
        <f t="shared" si="30"/>
        <v>1</v>
      </c>
      <c r="H161" s="148"/>
      <c r="I161" s="138">
        <f t="shared" si="31"/>
        <v>1</v>
      </c>
      <c r="J161" s="148"/>
      <c r="K161" s="138">
        <f t="shared" si="32"/>
        <v>1</v>
      </c>
      <c r="L161" s="148"/>
      <c r="M161" s="138">
        <f t="shared" si="33"/>
        <v>1</v>
      </c>
      <c r="N161" s="148"/>
      <c r="O161" s="138">
        <f t="shared" si="34"/>
        <v>1</v>
      </c>
      <c r="P161" s="148"/>
      <c r="Q161" s="138">
        <f t="shared" si="35"/>
        <v>1</v>
      </c>
      <c r="R161" s="201">
        <f t="shared" si="36"/>
        <v>0</v>
      </c>
      <c r="S161" s="137">
        <f t="shared" si="27"/>
        <v>0</v>
      </c>
    </row>
    <row r="162" spans="1:19">
      <c r="A162" s="146"/>
      <c r="B162" s="147"/>
      <c r="C162" s="138">
        <f t="shared" si="28"/>
        <v>1</v>
      </c>
      <c r="D162" s="148"/>
      <c r="E162" s="138">
        <f t="shared" si="29"/>
        <v>1</v>
      </c>
      <c r="F162" s="148"/>
      <c r="G162" s="138">
        <f t="shared" si="30"/>
        <v>1</v>
      </c>
      <c r="H162" s="148"/>
      <c r="I162" s="138">
        <f t="shared" si="31"/>
        <v>1</v>
      </c>
      <c r="J162" s="148"/>
      <c r="K162" s="138">
        <f t="shared" si="32"/>
        <v>1</v>
      </c>
      <c r="L162" s="148"/>
      <c r="M162" s="138">
        <f t="shared" si="33"/>
        <v>1</v>
      </c>
      <c r="N162" s="148"/>
      <c r="O162" s="138">
        <f t="shared" si="34"/>
        <v>1</v>
      </c>
      <c r="P162" s="148"/>
      <c r="Q162" s="138">
        <f t="shared" si="35"/>
        <v>1</v>
      </c>
      <c r="R162" s="201">
        <f t="shared" si="36"/>
        <v>0</v>
      </c>
      <c r="S162" s="137">
        <f t="shared" si="27"/>
        <v>0</v>
      </c>
    </row>
    <row r="163" spans="1:19">
      <c r="A163" s="146"/>
      <c r="B163" s="147"/>
      <c r="C163" s="138">
        <f t="shared" si="28"/>
        <v>1</v>
      </c>
      <c r="D163" s="148"/>
      <c r="E163" s="138">
        <f t="shared" si="29"/>
        <v>1</v>
      </c>
      <c r="F163" s="148"/>
      <c r="G163" s="138">
        <f t="shared" si="30"/>
        <v>1</v>
      </c>
      <c r="H163" s="148"/>
      <c r="I163" s="138">
        <f t="shared" si="31"/>
        <v>1</v>
      </c>
      <c r="J163" s="148"/>
      <c r="K163" s="138">
        <f t="shared" si="32"/>
        <v>1</v>
      </c>
      <c r="L163" s="148"/>
      <c r="M163" s="138">
        <f t="shared" si="33"/>
        <v>1</v>
      </c>
      <c r="N163" s="148"/>
      <c r="O163" s="138">
        <f t="shared" si="34"/>
        <v>1</v>
      </c>
      <c r="P163" s="148"/>
      <c r="Q163" s="138">
        <f t="shared" si="35"/>
        <v>1</v>
      </c>
      <c r="R163" s="201">
        <f t="shared" si="36"/>
        <v>0</v>
      </c>
      <c r="S163" s="137">
        <f t="shared" si="27"/>
        <v>0</v>
      </c>
    </row>
    <row r="164" spans="1:19">
      <c r="A164" s="146"/>
      <c r="B164" s="147"/>
      <c r="C164" s="138">
        <f t="shared" si="28"/>
        <v>1</v>
      </c>
      <c r="D164" s="148"/>
      <c r="E164" s="138">
        <f t="shared" si="29"/>
        <v>1</v>
      </c>
      <c r="F164" s="148"/>
      <c r="G164" s="138">
        <f t="shared" si="30"/>
        <v>1</v>
      </c>
      <c r="H164" s="148"/>
      <c r="I164" s="138">
        <f t="shared" si="31"/>
        <v>1</v>
      </c>
      <c r="J164" s="148"/>
      <c r="K164" s="138">
        <f t="shared" si="32"/>
        <v>1</v>
      </c>
      <c r="L164" s="148"/>
      <c r="M164" s="138">
        <f t="shared" si="33"/>
        <v>1</v>
      </c>
      <c r="N164" s="148"/>
      <c r="O164" s="138">
        <f t="shared" si="34"/>
        <v>1</v>
      </c>
      <c r="P164" s="148"/>
      <c r="Q164" s="138">
        <f t="shared" si="35"/>
        <v>1</v>
      </c>
      <c r="R164" s="201">
        <f t="shared" si="36"/>
        <v>0</v>
      </c>
      <c r="S164" s="137">
        <f t="shared" si="27"/>
        <v>0</v>
      </c>
    </row>
    <row r="165" spans="1:19">
      <c r="A165" s="146"/>
      <c r="B165" s="147"/>
      <c r="C165" s="138">
        <f t="shared" si="28"/>
        <v>1</v>
      </c>
      <c r="D165" s="148"/>
      <c r="E165" s="138">
        <f t="shared" si="29"/>
        <v>1</v>
      </c>
      <c r="F165" s="148"/>
      <c r="G165" s="138">
        <f t="shared" si="30"/>
        <v>1</v>
      </c>
      <c r="H165" s="148"/>
      <c r="I165" s="138">
        <f t="shared" si="31"/>
        <v>1</v>
      </c>
      <c r="J165" s="148"/>
      <c r="K165" s="138">
        <f t="shared" si="32"/>
        <v>1</v>
      </c>
      <c r="L165" s="148"/>
      <c r="M165" s="138">
        <f t="shared" si="33"/>
        <v>1</v>
      </c>
      <c r="N165" s="148"/>
      <c r="O165" s="138">
        <f t="shared" si="34"/>
        <v>1</v>
      </c>
      <c r="P165" s="148"/>
      <c r="Q165" s="138">
        <f t="shared" si="35"/>
        <v>1</v>
      </c>
      <c r="R165" s="201">
        <f t="shared" si="36"/>
        <v>0</v>
      </c>
      <c r="S165" s="137">
        <f t="shared" si="27"/>
        <v>0</v>
      </c>
    </row>
    <row r="166" spans="1:19">
      <c r="A166" s="146"/>
      <c r="B166" s="147"/>
      <c r="C166" s="138">
        <f t="shared" si="28"/>
        <v>1</v>
      </c>
      <c r="D166" s="148"/>
      <c r="E166" s="138">
        <f t="shared" si="29"/>
        <v>1</v>
      </c>
      <c r="F166" s="148"/>
      <c r="G166" s="138">
        <f t="shared" si="30"/>
        <v>1</v>
      </c>
      <c r="H166" s="148"/>
      <c r="I166" s="138">
        <f t="shared" si="31"/>
        <v>1</v>
      </c>
      <c r="J166" s="148"/>
      <c r="K166" s="138">
        <f t="shared" si="32"/>
        <v>1</v>
      </c>
      <c r="L166" s="148"/>
      <c r="M166" s="138">
        <f t="shared" si="33"/>
        <v>1</v>
      </c>
      <c r="N166" s="148"/>
      <c r="O166" s="138">
        <f t="shared" si="34"/>
        <v>1</v>
      </c>
      <c r="P166" s="148"/>
      <c r="Q166" s="138">
        <f t="shared" si="35"/>
        <v>1</v>
      </c>
      <c r="R166" s="201">
        <f t="shared" si="36"/>
        <v>0</v>
      </c>
      <c r="S166" s="137">
        <f t="shared" si="27"/>
        <v>0</v>
      </c>
    </row>
    <row r="167" spans="1:19">
      <c r="A167" s="146"/>
      <c r="B167" s="147"/>
      <c r="C167" s="138">
        <f t="shared" si="28"/>
        <v>1</v>
      </c>
      <c r="D167" s="148"/>
      <c r="E167" s="138">
        <f t="shared" si="29"/>
        <v>1</v>
      </c>
      <c r="F167" s="148"/>
      <c r="G167" s="138">
        <f t="shared" si="30"/>
        <v>1</v>
      </c>
      <c r="H167" s="148"/>
      <c r="I167" s="138">
        <f t="shared" si="31"/>
        <v>1</v>
      </c>
      <c r="J167" s="148"/>
      <c r="K167" s="138">
        <f t="shared" si="32"/>
        <v>1</v>
      </c>
      <c r="L167" s="148"/>
      <c r="M167" s="138">
        <f t="shared" si="33"/>
        <v>1</v>
      </c>
      <c r="N167" s="148"/>
      <c r="O167" s="138">
        <f t="shared" si="34"/>
        <v>1</v>
      </c>
      <c r="P167" s="148"/>
      <c r="Q167" s="138">
        <f t="shared" si="35"/>
        <v>1</v>
      </c>
      <c r="R167" s="201">
        <f t="shared" si="36"/>
        <v>0</v>
      </c>
      <c r="S167" s="137">
        <f t="shared" si="27"/>
        <v>0</v>
      </c>
    </row>
    <row r="168" spans="1:19">
      <c r="A168" s="146"/>
      <c r="B168" s="147"/>
      <c r="C168" s="138">
        <f t="shared" si="28"/>
        <v>1</v>
      </c>
      <c r="D168" s="148"/>
      <c r="E168" s="138">
        <f t="shared" si="29"/>
        <v>1</v>
      </c>
      <c r="F168" s="148"/>
      <c r="G168" s="138">
        <f t="shared" si="30"/>
        <v>1</v>
      </c>
      <c r="H168" s="148"/>
      <c r="I168" s="138">
        <f t="shared" si="31"/>
        <v>1</v>
      </c>
      <c r="J168" s="148"/>
      <c r="K168" s="138">
        <f t="shared" si="32"/>
        <v>1</v>
      </c>
      <c r="L168" s="148"/>
      <c r="M168" s="138">
        <f t="shared" si="33"/>
        <v>1</v>
      </c>
      <c r="N168" s="148"/>
      <c r="O168" s="138">
        <f t="shared" si="34"/>
        <v>1</v>
      </c>
      <c r="P168" s="148"/>
      <c r="Q168" s="138">
        <f t="shared" si="35"/>
        <v>1</v>
      </c>
      <c r="R168" s="201">
        <f t="shared" si="36"/>
        <v>0</v>
      </c>
      <c r="S168" s="137">
        <f t="shared" si="27"/>
        <v>0</v>
      </c>
    </row>
    <row r="169" spans="1:19">
      <c r="A169" s="146"/>
      <c r="B169" s="147"/>
      <c r="C169" s="138">
        <f t="shared" si="28"/>
        <v>1</v>
      </c>
      <c r="D169" s="148"/>
      <c r="E169" s="138">
        <f t="shared" si="29"/>
        <v>1</v>
      </c>
      <c r="F169" s="148"/>
      <c r="G169" s="138">
        <f t="shared" si="30"/>
        <v>1</v>
      </c>
      <c r="H169" s="148"/>
      <c r="I169" s="138">
        <f t="shared" si="31"/>
        <v>1</v>
      </c>
      <c r="J169" s="148"/>
      <c r="K169" s="138">
        <f t="shared" si="32"/>
        <v>1</v>
      </c>
      <c r="L169" s="148"/>
      <c r="M169" s="138">
        <f t="shared" si="33"/>
        <v>1</v>
      </c>
      <c r="N169" s="148"/>
      <c r="O169" s="138">
        <f t="shared" si="34"/>
        <v>1</v>
      </c>
      <c r="P169" s="148"/>
      <c r="Q169" s="138">
        <f t="shared" si="35"/>
        <v>1</v>
      </c>
      <c r="R169" s="201">
        <f t="shared" si="36"/>
        <v>0</v>
      </c>
      <c r="S169" s="137">
        <f t="shared" si="27"/>
        <v>0</v>
      </c>
    </row>
    <row r="170" spans="1:19">
      <c r="A170" s="146"/>
      <c r="B170" s="147"/>
      <c r="C170" s="138">
        <f t="shared" si="28"/>
        <v>1</v>
      </c>
      <c r="D170" s="148"/>
      <c r="E170" s="138">
        <f t="shared" si="29"/>
        <v>1</v>
      </c>
      <c r="F170" s="148"/>
      <c r="G170" s="138">
        <f t="shared" si="30"/>
        <v>1</v>
      </c>
      <c r="H170" s="148"/>
      <c r="I170" s="138">
        <f t="shared" si="31"/>
        <v>1</v>
      </c>
      <c r="J170" s="148"/>
      <c r="K170" s="138">
        <f t="shared" si="32"/>
        <v>1</v>
      </c>
      <c r="L170" s="148"/>
      <c r="M170" s="138">
        <f t="shared" si="33"/>
        <v>1</v>
      </c>
      <c r="N170" s="148"/>
      <c r="O170" s="138">
        <f t="shared" si="34"/>
        <v>1</v>
      </c>
      <c r="P170" s="148"/>
      <c r="Q170" s="138">
        <f t="shared" si="35"/>
        <v>1</v>
      </c>
      <c r="R170" s="201">
        <f t="shared" si="36"/>
        <v>0</v>
      </c>
      <c r="S170" s="137">
        <f t="shared" si="27"/>
        <v>0</v>
      </c>
    </row>
    <row r="171" spans="1:19">
      <c r="A171" s="146"/>
      <c r="B171" s="147"/>
      <c r="C171" s="138">
        <f t="shared" si="28"/>
        <v>1</v>
      </c>
      <c r="D171" s="148"/>
      <c r="E171" s="138">
        <f t="shared" si="29"/>
        <v>1</v>
      </c>
      <c r="F171" s="148"/>
      <c r="G171" s="138">
        <f t="shared" si="30"/>
        <v>1</v>
      </c>
      <c r="H171" s="148"/>
      <c r="I171" s="138">
        <f t="shared" si="31"/>
        <v>1</v>
      </c>
      <c r="J171" s="148"/>
      <c r="K171" s="138">
        <f t="shared" si="32"/>
        <v>1</v>
      </c>
      <c r="L171" s="148"/>
      <c r="M171" s="138">
        <f t="shared" si="33"/>
        <v>1</v>
      </c>
      <c r="N171" s="148"/>
      <c r="O171" s="138">
        <f t="shared" si="34"/>
        <v>1</v>
      </c>
      <c r="P171" s="148"/>
      <c r="Q171" s="138">
        <f t="shared" si="35"/>
        <v>1</v>
      </c>
      <c r="R171" s="201">
        <f t="shared" si="36"/>
        <v>0</v>
      </c>
      <c r="S171" s="137">
        <f t="shared" si="27"/>
        <v>0</v>
      </c>
    </row>
    <row r="172" spans="1:19">
      <c r="A172" s="146"/>
      <c r="B172" s="147"/>
      <c r="C172" s="138">
        <f t="shared" si="28"/>
        <v>1</v>
      </c>
      <c r="D172" s="148"/>
      <c r="E172" s="138">
        <f t="shared" si="29"/>
        <v>1</v>
      </c>
      <c r="F172" s="148"/>
      <c r="G172" s="138">
        <f t="shared" si="30"/>
        <v>1</v>
      </c>
      <c r="H172" s="148"/>
      <c r="I172" s="138">
        <f t="shared" si="31"/>
        <v>1</v>
      </c>
      <c r="J172" s="148"/>
      <c r="K172" s="138">
        <f t="shared" si="32"/>
        <v>1</v>
      </c>
      <c r="L172" s="148"/>
      <c r="M172" s="138">
        <f t="shared" si="33"/>
        <v>1</v>
      </c>
      <c r="N172" s="148"/>
      <c r="O172" s="138">
        <f t="shared" si="34"/>
        <v>1</v>
      </c>
      <c r="P172" s="148"/>
      <c r="Q172" s="138">
        <f t="shared" si="35"/>
        <v>1</v>
      </c>
      <c r="R172" s="201">
        <f t="shared" si="36"/>
        <v>0</v>
      </c>
      <c r="S172" s="137">
        <f t="shared" si="27"/>
        <v>0</v>
      </c>
    </row>
    <row r="173" spans="1:19">
      <c r="A173" s="146"/>
      <c r="B173" s="147"/>
      <c r="C173" s="138">
        <f t="shared" si="28"/>
        <v>1</v>
      </c>
      <c r="D173" s="148"/>
      <c r="E173" s="138">
        <f t="shared" si="29"/>
        <v>1</v>
      </c>
      <c r="F173" s="148"/>
      <c r="G173" s="138">
        <f t="shared" si="30"/>
        <v>1</v>
      </c>
      <c r="H173" s="148"/>
      <c r="I173" s="138">
        <f t="shared" si="31"/>
        <v>1</v>
      </c>
      <c r="J173" s="148"/>
      <c r="K173" s="138">
        <f t="shared" si="32"/>
        <v>1</v>
      </c>
      <c r="L173" s="148"/>
      <c r="M173" s="138">
        <f t="shared" si="33"/>
        <v>1</v>
      </c>
      <c r="N173" s="148"/>
      <c r="O173" s="138">
        <f t="shared" si="34"/>
        <v>1</v>
      </c>
      <c r="P173" s="148"/>
      <c r="Q173" s="138">
        <f t="shared" si="35"/>
        <v>1</v>
      </c>
      <c r="R173" s="201">
        <f t="shared" si="36"/>
        <v>0</v>
      </c>
      <c r="S173" s="137">
        <f t="shared" si="27"/>
        <v>0</v>
      </c>
    </row>
    <row r="174" spans="1:19">
      <c r="A174" s="146"/>
      <c r="B174" s="147"/>
      <c r="C174" s="138">
        <f t="shared" si="28"/>
        <v>1</v>
      </c>
      <c r="D174" s="148"/>
      <c r="E174" s="138">
        <f t="shared" si="29"/>
        <v>1</v>
      </c>
      <c r="F174" s="148"/>
      <c r="G174" s="138">
        <f t="shared" si="30"/>
        <v>1</v>
      </c>
      <c r="H174" s="148"/>
      <c r="I174" s="138">
        <f t="shared" si="31"/>
        <v>1</v>
      </c>
      <c r="J174" s="148"/>
      <c r="K174" s="138">
        <f t="shared" si="32"/>
        <v>1</v>
      </c>
      <c r="L174" s="148"/>
      <c r="M174" s="138">
        <f t="shared" si="33"/>
        <v>1</v>
      </c>
      <c r="N174" s="148"/>
      <c r="O174" s="138">
        <f t="shared" si="34"/>
        <v>1</v>
      </c>
      <c r="P174" s="148"/>
      <c r="Q174" s="138">
        <f t="shared" si="35"/>
        <v>1</v>
      </c>
      <c r="R174" s="201">
        <f t="shared" si="36"/>
        <v>0</v>
      </c>
      <c r="S174" s="137">
        <f t="shared" si="27"/>
        <v>0</v>
      </c>
    </row>
    <row r="175" spans="1:19">
      <c r="A175" s="146"/>
      <c r="B175" s="147"/>
      <c r="C175" s="138">
        <f t="shared" si="28"/>
        <v>1</v>
      </c>
      <c r="D175" s="148"/>
      <c r="E175" s="138">
        <f t="shared" si="29"/>
        <v>1</v>
      </c>
      <c r="F175" s="148"/>
      <c r="G175" s="138">
        <f t="shared" si="30"/>
        <v>1</v>
      </c>
      <c r="H175" s="148"/>
      <c r="I175" s="138">
        <f t="shared" si="31"/>
        <v>1</v>
      </c>
      <c r="J175" s="148"/>
      <c r="K175" s="138">
        <f t="shared" si="32"/>
        <v>1</v>
      </c>
      <c r="L175" s="148"/>
      <c r="M175" s="138">
        <f t="shared" si="33"/>
        <v>1</v>
      </c>
      <c r="N175" s="148"/>
      <c r="O175" s="138">
        <f t="shared" si="34"/>
        <v>1</v>
      </c>
      <c r="P175" s="148"/>
      <c r="Q175" s="138">
        <f t="shared" si="35"/>
        <v>1</v>
      </c>
      <c r="R175" s="201">
        <f t="shared" si="36"/>
        <v>0</v>
      </c>
      <c r="S175" s="137">
        <f t="shared" si="27"/>
        <v>0</v>
      </c>
    </row>
    <row r="176" spans="1:19">
      <c r="A176" s="146"/>
      <c r="B176" s="147"/>
      <c r="C176" s="138">
        <f t="shared" si="28"/>
        <v>1</v>
      </c>
      <c r="D176" s="148"/>
      <c r="E176" s="138">
        <f t="shared" si="29"/>
        <v>1</v>
      </c>
      <c r="F176" s="148"/>
      <c r="G176" s="138">
        <f t="shared" si="30"/>
        <v>1</v>
      </c>
      <c r="H176" s="148"/>
      <c r="I176" s="138">
        <f t="shared" si="31"/>
        <v>1</v>
      </c>
      <c r="J176" s="148"/>
      <c r="K176" s="138">
        <f t="shared" si="32"/>
        <v>1</v>
      </c>
      <c r="L176" s="148"/>
      <c r="M176" s="138">
        <f t="shared" si="33"/>
        <v>1</v>
      </c>
      <c r="N176" s="148"/>
      <c r="O176" s="138">
        <f t="shared" si="34"/>
        <v>1</v>
      </c>
      <c r="P176" s="148"/>
      <c r="Q176" s="138">
        <f t="shared" si="35"/>
        <v>1</v>
      </c>
      <c r="R176" s="201">
        <f t="shared" si="36"/>
        <v>0</v>
      </c>
      <c r="S176" s="137">
        <f t="shared" si="27"/>
        <v>0</v>
      </c>
    </row>
    <row r="177" spans="1:19">
      <c r="A177" s="146"/>
      <c r="B177" s="147"/>
      <c r="C177" s="138">
        <f t="shared" si="28"/>
        <v>1</v>
      </c>
      <c r="D177" s="148"/>
      <c r="E177" s="138">
        <f t="shared" si="29"/>
        <v>1</v>
      </c>
      <c r="F177" s="148"/>
      <c r="G177" s="138">
        <f t="shared" si="30"/>
        <v>1</v>
      </c>
      <c r="H177" s="148"/>
      <c r="I177" s="138">
        <f t="shared" si="31"/>
        <v>1</v>
      </c>
      <c r="J177" s="148"/>
      <c r="K177" s="138">
        <f t="shared" si="32"/>
        <v>1</v>
      </c>
      <c r="L177" s="148"/>
      <c r="M177" s="138">
        <f t="shared" si="33"/>
        <v>1</v>
      </c>
      <c r="N177" s="148"/>
      <c r="O177" s="138">
        <f t="shared" si="34"/>
        <v>1</v>
      </c>
      <c r="P177" s="148"/>
      <c r="Q177" s="138">
        <f t="shared" si="35"/>
        <v>1</v>
      </c>
      <c r="R177" s="201">
        <f t="shared" si="36"/>
        <v>0</v>
      </c>
      <c r="S177" s="137">
        <f t="shared" si="27"/>
        <v>0</v>
      </c>
    </row>
    <row r="178" spans="1:19">
      <c r="A178" s="146"/>
      <c r="B178" s="147"/>
      <c r="C178" s="138">
        <f t="shared" si="28"/>
        <v>1</v>
      </c>
      <c r="D178" s="148"/>
      <c r="E178" s="138">
        <f t="shared" si="29"/>
        <v>1</v>
      </c>
      <c r="F178" s="148"/>
      <c r="G178" s="138">
        <f t="shared" si="30"/>
        <v>1</v>
      </c>
      <c r="H178" s="148"/>
      <c r="I178" s="138">
        <f t="shared" si="31"/>
        <v>1</v>
      </c>
      <c r="J178" s="148"/>
      <c r="K178" s="138">
        <f t="shared" si="32"/>
        <v>1</v>
      </c>
      <c r="L178" s="148"/>
      <c r="M178" s="138">
        <f t="shared" si="33"/>
        <v>1</v>
      </c>
      <c r="N178" s="148"/>
      <c r="O178" s="138">
        <f t="shared" si="34"/>
        <v>1</v>
      </c>
      <c r="P178" s="148"/>
      <c r="Q178" s="138">
        <f t="shared" si="35"/>
        <v>1</v>
      </c>
      <c r="R178" s="201">
        <f t="shared" si="36"/>
        <v>0</v>
      </c>
      <c r="S178" s="137">
        <f t="shared" si="27"/>
        <v>0</v>
      </c>
    </row>
    <row r="179" spans="1:19">
      <c r="A179" s="146"/>
      <c r="B179" s="147"/>
      <c r="C179" s="138">
        <f t="shared" si="28"/>
        <v>1</v>
      </c>
      <c r="D179" s="148"/>
      <c r="E179" s="138">
        <f t="shared" si="29"/>
        <v>1</v>
      </c>
      <c r="F179" s="148"/>
      <c r="G179" s="138">
        <f t="shared" si="30"/>
        <v>1</v>
      </c>
      <c r="H179" s="148"/>
      <c r="I179" s="138">
        <f t="shared" si="31"/>
        <v>1</v>
      </c>
      <c r="J179" s="148"/>
      <c r="K179" s="138">
        <f t="shared" si="32"/>
        <v>1</v>
      </c>
      <c r="L179" s="148"/>
      <c r="M179" s="138">
        <f t="shared" si="33"/>
        <v>1</v>
      </c>
      <c r="N179" s="148"/>
      <c r="O179" s="138">
        <f t="shared" si="34"/>
        <v>1</v>
      </c>
      <c r="P179" s="148"/>
      <c r="Q179" s="138">
        <f t="shared" si="35"/>
        <v>1</v>
      </c>
      <c r="R179" s="201">
        <f t="shared" si="36"/>
        <v>0</v>
      </c>
      <c r="S179" s="137">
        <f t="shared" si="27"/>
        <v>0</v>
      </c>
    </row>
    <row r="180" spans="1:19">
      <c r="A180" s="146"/>
      <c r="B180" s="147"/>
      <c r="C180" s="138">
        <f t="shared" si="28"/>
        <v>1</v>
      </c>
      <c r="D180" s="148"/>
      <c r="E180" s="138">
        <f t="shared" si="29"/>
        <v>1</v>
      </c>
      <c r="F180" s="148"/>
      <c r="G180" s="138">
        <f t="shared" si="30"/>
        <v>1</v>
      </c>
      <c r="H180" s="148"/>
      <c r="I180" s="138">
        <f t="shared" si="31"/>
        <v>1</v>
      </c>
      <c r="J180" s="148"/>
      <c r="K180" s="138">
        <f t="shared" si="32"/>
        <v>1</v>
      </c>
      <c r="L180" s="148"/>
      <c r="M180" s="138">
        <f t="shared" si="33"/>
        <v>1</v>
      </c>
      <c r="N180" s="148"/>
      <c r="O180" s="138">
        <f t="shared" si="34"/>
        <v>1</v>
      </c>
      <c r="P180" s="148"/>
      <c r="Q180" s="138">
        <f t="shared" si="35"/>
        <v>1</v>
      </c>
      <c r="R180" s="201">
        <f t="shared" si="36"/>
        <v>0</v>
      </c>
      <c r="S180" s="137">
        <f t="shared" si="27"/>
        <v>0</v>
      </c>
    </row>
    <row r="181" spans="1:19">
      <c r="A181" s="146"/>
      <c r="B181" s="147"/>
      <c r="C181" s="138">
        <f t="shared" si="28"/>
        <v>1</v>
      </c>
      <c r="D181" s="148"/>
      <c r="E181" s="138">
        <f t="shared" si="29"/>
        <v>1</v>
      </c>
      <c r="F181" s="148"/>
      <c r="G181" s="138">
        <f t="shared" si="30"/>
        <v>1</v>
      </c>
      <c r="H181" s="148"/>
      <c r="I181" s="138">
        <f t="shared" si="31"/>
        <v>1</v>
      </c>
      <c r="J181" s="148"/>
      <c r="K181" s="138">
        <f t="shared" si="32"/>
        <v>1</v>
      </c>
      <c r="L181" s="148"/>
      <c r="M181" s="138">
        <f t="shared" si="33"/>
        <v>1</v>
      </c>
      <c r="N181" s="148"/>
      <c r="O181" s="138">
        <f t="shared" si="34"/>
        <v>1</v>
      </c>
      <c r="P181" s="148"/>
      <c r="Q181" s="138">
        <f t="shared" si="35"/>
        <v>1</v>
      </c>
      <c r="R181" s="201">
        <f t="shared" si="36"/>
        <v>0</v>
      </c>
      <c r="S181" s="137">
        <f t="shared" si="27"/>
        <v>0</v>
      </c>
    </row>
    <row r="182" spans="1:19">
      <c r="A182" s="146"/>
      <c r="B182" s="147"/>
      <c r="C182" s="138">
        <f t="shared" si="28"/>
        <v>1</v>
      </c>
      <c r="D182" s="148"/>
      <c r="E182" s="138">
        <f t="shared" si="29"/>
        <v>1</v>
      </c>
      <c r="F182" s="148"/>
      <c r="G182" s="138">
        <f t="shared" si="30"/>
        <v>1</v>
      </c>
      <c r="H182" s="148"/>
      <c r="I182" s="138">
        <f t="shared" si="31"/>
        <v>1</v>
      </c>
      <c r="J182" s="148"/>
      <c r="K182" s="138">
        <f t="shared" si="32"/>
        <v>1</v>
      </c>
      <c r="L182" s="148"/>
      <c r="M182" s="138">
        <f t="shared" si="33"/>
        <v>1</v>
      </c>
      <c r="N182" s="148"/>
      <c r="O182" s="138">
        <f t="shared" si="34"/>
        <v>1</v>
      </c>
      <c r="P182" s="148"/>
      <c r="Q182" s="138">
        <f t="shared" si="35"/>
        <v>1</v>
      </c>
      <c r="R182" s="201">
        <f t="shared" si="36"/>
        <v>0</v>
      </c>
      <c r="S182" s="137">
        <f t="shared" si="27"/>
        <v>0</v>
      </c>
    </row>
    <row r="183" spans="1:19">
      <c r="A183" s="146"/>
      <c r="B183" s="147"/>
      <c r="C183" s="138">
        <f t="shared" si="28"/>
        <v>1</v>
      </c>
      <c r="D183" s="148"/>
      <c r="E183" s="138">
        <f t="shared" si="29"/>
        <v>1</v>
      </c>
      <c r="F183" s="148"/>
      <c r="G183" s="138">
        <f t="shared" si="30"/>
        <v>1</v>
      </c>
      <c r="H183" s="148"/>
      <c r="I183" s="138">
        <f t="shared" si="31"/>
        <v>1</v>
      </c>
      <c r="J183" s="148"/>
      <c r="K183" s="138">
        <f t="shared" si="32"/>
        <v>1</v>
      </c>
      <c r="L183" s="148"/>
      <c r="M183" s="138">
        <f t="shared" si="33"/>
        <v>1</v>
      </c>
      <c r="N183" s="148"/>
      <c r="O183" s="138">
        <f t="shared" si="34"/>
        <v>1</v>
      </c>
      <c r="P183" s="148"/>
      <c r="Q183" s="138">
        <f t="shared" si="35"/>
        <v>1</v>
      </c>
      <c r="R183" s="201">
        <f t="shared" si="36"/>
        <v>0</v>
      </c>
      <c r="S183" s="137">
        <f t="shared" si="27"/>
        <v>0</v>
      </c>
    </row>
    <row r="184" spans="1:19">
      <c r="A184" s="146"/>
      <c r="B184" s="147"/>
      <c r="C184" s="138">
        <f t="shared" si="28"/>
        <v>1</v>
      </c>
      <c r="D184" s="148"/>
      <c r="E184" s="138">
        <f t="shared" si="29"/>
        <v>1</v>
      </c>
      <c r="F184" s="148"/>
      <c r="G184" s="138">
        <f t="shared" si="30"/>
        <v>1</v>
      </c>
      <c r="H184" s="148"/>
      <c r="I184" s="138">
        <f t="shared" si="31"/>
        <v>1</v>
      </c>
      <c r="J184" s="148"/>
      <c r="K184" s="138">
        <f t="shared" si="32"/>
        <v>1</v>
      </c>
      <c r="L184" s="148"/>
      <c r="M184" s="138">
        <f t="shared" si="33"/>
        <v>1</v>
      </c>
      <c r="N184" s="148"/>
      <c r="O184" s="138">
        <f t="shared" si="34"/>
        <v>1</v>
      </c>
      <c r="P184" s="148"/>
      <c r="Q184" s="138">
        <f t="shared" si="35"/>
        <v>1</v>
      </c>
      <c r="R184" s="201">
        <f t="shared" si="36"/>
        <v>0</v>
      </c>
      <c r="S184" s="137">
        <f t="shared" si="27"/>
        <v>0</v>
      </c>
    </row>
    <row r="185" spans="1:19">
      <c r="A185" s="146"/>
      <c r="B185" s="147"/>
      <c r="C185" s="138">
        <f t="shared" si="28"/>
        <v>1</v>
      </c>
      <c r="D185" s="148"/>
      <c r="E185" s="138">
        <f t="shared" si="29"/>
        <v>1</v>
      </c>
      <c r="F185" s="148"/>
      <c r="G185" s="138">
        <f t="shared" si="30"/>
        <v>1</v>
      </c>
      <c r="H185" s="148"/>
      <c r="I185" s="138">
        <f t="shared" si="31"/>
        <v>1</v>
      </c>
      <c r="J185" s="148"/>
      <c r="K185" s="138">
        <f t="shared" si="32"/>
        <v>1</v>
      </c>
      <c r="L185" s="148"/>
      <c r="M185" s="138">
        <f t="shared" si="33"/>
        <v>1</v>
      </c>
      <c r="N185" s="148"/>
      <c r="O185" s="138">
        <f t="shared" si="34"/>
        <v>1</v>
      </c>
      <c r="P185" s="148"/>
      <c r="Q185" s="138">
        <f t="shared" si="35"/>
        <v>1</v>
      </c>
      <c r="R185" s="201">
        <f t="shared" si="36"/>
        <v>0</v>
      </c>
      <c r="S185" s="137">
        <f t="shared" si="27"/>
        <v>0</v>
      </c>
    </row>
    <row r="186" spans="1:19">
      <c r="A186" s="146"/>
      <c r="B186" s="147"/>
      <c r="C186" s="138">
        <f t="shared" si="28"/>
        <v>1</v>
      </c>
      <c r="D186" s="148"/>
      <c r="E186" s="138">
        <f t="shared" si="29"/>
        <v>1</v>
      </c>
      <c r="F186" s="148"/>
      <c r="G186" s="138">
        <f t="shared" si="30"/>
        <v>1</v>
      </c>
      <c r="H186" s="148"/>
      <c r="I186" s="138">
        <f t="shared" si="31"/>
        <v>1</v>
      </c>
      <c r="J186" s="148"/>
      <c r="K186" s="138">
        <f t="shared" si="32"/>
        <v>1</v>
      </c>
      <c r="L186" s="148"/>
      <c r="M186" s="138">
        <f t="shared" si="33"/>
        <v>1</v>
      </c>
      <c r="N186" s="148"/>
      <c r="O186" s="138">
        <f t="shared" si="34"/>
        <v>1</v>
      </c>
      <c r="P186" s="148"/>
      <c r="Q186" s="138">
        <f t="shared" si="35"/>
        <v>1</v>
      </c>
      <c r="R186" s="201">
        <f t="shared" si="36"/>
        <v>0</v>
      </c>
      <c r="S186" s="137">
        <f t="shared" si="27"/>
        <v>0</v>
      </c>
    </row>
    <row r="187" spans="1:19">
      <c r="A187" s="146"/>
      <c r="B187" s="147"/>
      <c r="C187" s="138">
        <f t="shared" si="28"/>
        <v>1</v>
      </c>
      <c r="D187" s="148"/>
      <c r="E187" s="138">
        <f t="shared" si="29"/>
        <v>1</v>
      </c>
      <c r="F187" s="148"/>
      <c r="G187" s="138">
        <f t="shared" si="30"/>
        <v>1</v>
      </c>
      <c r="H187" s="148"/>
      <c r="I187" s="138">
        <f t="shared" si="31"/>
        <v>1</v>
      </c>
      <c r="J187" s="148"/>
      <c r="K187" s="138">
        <f t="shared" si="32"/>
        <v>1</v>
      </c>
      <c r="L187" s="148"/>
      <c r="M187" s="138">
        <f t="shared" si="33"/>
        <v>1</v>
      </c>
      <c r="N187" s="148"/>
      <c r="O187" s="138">
        <f t="shared" si="34"/>
        <v>1</v>
      </c>
      <c r="P187" s="148"/>
      <c r="Q187" s="138">
        <f t="shared" si="35"/>
        <v>1</v>
      </c>
      <c r="R187" s="201">
        <f t="shared" si="36"/>
        <v>0</v>
      </c>
      <c r="S187" s="137">
        <f t="shared" ref="S187:S222" si="37">ROUND(R187*B187/10000,0)</f>
        <v>0</v>
      </c>
    </row>
    <row r="188" spans="1:19">
      <c r="A188" s="146"/>
      <c r="B188" s="147"/>
      <c r="C188" s="138">
        <f t="shared" si="28"/>
        <v>1</v>
      </c>
      <c r="D188" s="148"/>
      <c r="E188" s="138">
        <f t="shared" si="29"/>
        <v>1</v>
      </c>
      <c r="F188" s="148"/>
      <c r="G188" s="138">
        <f t="shared" si="30"/>
        <v>1</v>
      </c>
      <c r="H188" s="148"/>
      <c r="I188" s="138">
        <f t="shared" si="31"/>
        <v>1</v>
      </c>
      <c r="J188" s="148"/>
      <c r="K188" s="138">
        <f t="shared" si="32"/>
        <v>1</v>
      </c>
      <c r="L188" s="148"/>
      <c r="M188" s="138">
        <f t="shared" si="33"/>
        <v>1</v>
      </c>
      <c r="N188" s="148"/>
      <c r="O188" s="138">
        <f t="shared" si="34"/>
        <v>1</v>
      </c>
      <c r="P188" s="148"/>
      <c r="Q188" s="138">
        <f t="shared" si="35"/>
        <v>1</v>
      </c>
      <c r="R188" s="201">
        <f t="shared" si="36"/>
        <v>0</v>
      </c>
      <c r="S188" s="137">
        <f t="shared" si="37"/>
        <v>0</v>
      </c>
    </row>
    <row r="189" spans="1:19">
      <c r="A189" s="146"/>
      <c r="B189" s="147"/>
      <c r="C189" s="138">
        <f t="shared" si="28"/>
        <v>1</v>
      </c>
      <c r="D189" s="148"/>
      <c r="E189" s="138">
        <f t="shared" si="29"/>
        <v>1</v>
      </c>
      <c r="F189" s="148"/>
      <c r="G189" s="138">
        <f t="shared" si="30"/>
        <v>1</v>
      </c>
      <c r="H189" s="148"/>
      <c r="I189" s="138">
        <f t="shared" si="31"/>
        <v>1</v>
      </c>
      <c r="J189" s="148"/>
      <c r="K189" s="138">
        <f t="shared" si="32"/>
        <v>1</v>
      </c>
      <c r="L189" s="148"/>
      <c r="M189" s="138">
        <f t="shared" si="33"/>
        <v>1</v>
      </c>
      <c r="N189" s="148"/>
      <c r="O189" s="138">
        <f t="shared" si="34"/>
        <v>1</v>
      </c>
      <c r="P189" s="148"/>
      <c r="Q189" s="138">
        <f t="shared" si="35"/>
        <v>1</v>
      </c>
      <c r="R189" s="201">
        <f t="shared" si="36"/>
        <v>0</v>
      </c>
      <c r="S189" s="137">
        <f t="shared" si="37"/>
        <v>0</v>
      </c>
    </row>
    <row r="190" spans="1:19">
      <c r="A190" s="146"/>
      <c r="B190" s="147"/>
      <c r="C190" s="138">
        <f t="shared" si="28"/>
        <v>1</v>
      </c>
      <c r="D190" s="148"/>
      <c r="E190" s="138">
        <f t="shared" si="29"/>
        <v>1</v>
      </c>
      <c r="F190" s="148"/>
      <c r="G190" s="138">
        <f t="shared" si="30"/>
        <v>1</v>
      </c>
      <c r="H190" s="148"/>
      <c r="I190" s="138">
        <f t="shared" si="31"/>
        <v>1</v>
      </c>
      <c r="J190" s="148"/>
      <c r="K190" s="138">
        <f t="shared" si="32"/>
        <v>1</v>
      </c>
      <c r="L190" s="148"/>
      <c r="M190" s="138">
        <f t="shared" si="33"/>
        <v>1</v>
      </c>
      <c r="N190" s="148"/>
      <c r="O190" s="138">
        <f t="shared" si="34"/>
        <v>1</v>
      </c>
      <c r="P190" s="148"/>
      <c r="Q190" s="138">
        <f t="shared" si="35"/>
        <v>1</v>
      </c>
      <c r="R190" s="201">
        <f t="shared" si="36"/>
        <v>0</v>
      </c>
      <c r="S190" s="137">
        <f t="shared" si="37"/>
        <v>0</v>
      </c>
    </row>
    <row r="191" spans="1:19">
      <c r="A191" s="146"/>
      <c r="B191" s="147"/>
      <c r="C191" s="138">
        <f t="shared" si="28"/>
        <v>1</v>
      </c>
      <c r="D191" s="148"/>
      <c r="E191" s="138">
        <f t="shared" si="29"/>
        <v>1</v>
      </c>
      <c r="F191" s="148"/>
      <c r="G191" s="138">
        <f t="shared" si="30"/>
        <v>1</v>
      </c>
      <c r="H191" s="148"/>
      <c r="I191" s="138">
        <f t="shared" si="31"/>
        <v>1</v>
      </c>
      <c r="J191" s="148"/>
      <c r="K191" s="138">
        <f t="shared" si="32"/>
        <v>1</v>
      </c>
      <c r="L191" s="148"/>
      <c r="M191" s="138">
        <f t="shared" si="33"/>
        <v>1</v>
      </c>
      <c r="N191" s="148"/>
      <c r="O191" s="138">
        <f t="shared" si="34"/>
        <v>1</v>
      </c>
      <c r="P191" s="148"/>
      <c r="Q191" s="138">
        <f t="shared" si="35"/>
        <v>1</v>
      </c>
      <c r="R191" s="201">
        <f t="shared" si="36"/>
        <v>0</v>
      </c>
      <c r="S191" s="137">
        <f t="shared" si="37"/>
        <v>0</v>
      </c>
    </row>
    <row r="192" spans="1:19">
      <c r="A192" s="146"/>
      <c r="B192" s="147"/>
      <c r="C192" s="138">
        <f t="shared" si="28"/>
        <v>1</v>
      </c>
      <c r="D192" s="148"/>
      <c r="E192" s="138">
        <f t="shared" si="29"/>
        <v>1</v>
      </c>
      <c r="F192" s="148"/>
      <c r="G192" s="138">
        <f t="shared" si="30"/>
        <v>1</v>
      </c>
      <c r="H192" s="148"/>
      <c r="I192" s="138">
        <f t="shared" si="31"/>
        <v>1</v>
      </c>
      <c r="J192" s="148"/>
      <c r="K192" s="138">
        <f t="shared" si="32"/>
        <v>1</v>
      </c>
      <c r="L192" s="148"/>
      <c r="M192" s="138">
        <f t="shared" si="33"/>
        <v>1</v>
      </c>
      <c r="N192" s="148"/>
      <c r="O192" s="138">
        <f t="shared" si="34"/>
        <v>1</v>
      </c>
      <c r="P192" s="148"/>
      <c r="Q192" s="138">
        <f t="shared" si="35"/>
        <v>1</v>
      </c>
      <c r="R192" s="201">
        <f t="shared" si="36"/>
        <v>0</v>
      </c>
      <c r="S192" s="137">
        <f t="shared" si="37"/>
        <v>0</v>
      </c>
    </row>
    <row r="193" spans="1:19">
      <c r="A193" s="146"/>
      <c r="B193" s="147"/>
      <c r="C193" s="138">
        <f t="shared" si="28"/>
        <v>1</v>
      </c>
      <c r="D193" s="148"/>
      <c r="E193" s="138">
        <f t="shared" si="29"/>
        <v>1</v>
      </c>
      <c r="F193" s="148"/>
      <c r="G193" s="138">
        <f t="shared" si="30"/>
        <v>1</v>
      </c>
      <c r="H193" s="148"/>
      <c r="I193" s="138">
        <f t="shared" si="31"/>
        <v>1</v>
      </c>
      <c r="J193" s="148"/>
      <c r="K193" s="138">
        <f t="shared" si="32"/>
        <v>1</v>
      </c>
      <c r="L193" s="148"/>
      <c r="M193" s="138">
        <f t="shared" si="33"/>
        <v>1</v>
      </c>
      <c r="N193" s="148"/>
      <c r="O193" s="138">
        <f t="shared" si="34"/>
        <v>1</v>
      </c>
      <c r="P193" s="148"/>
      <c r="Q193" s="138">
        <f t="shared" si="35"/>
        <v>1</v>
      </c>
      <c r="R193" s="201">
        <f t="shared" si="36"/>
        <v>0</v>
      </c>
      <c r="S193" s="137">
        <f t="shared" si="37"/>
        <v>0</v>
      </c>
    </row>
    <row r="194" spans="1:19">
      <c r="A194" s="146"/>
      <c r="B194" s="147"/>
      <c r="C194" s="138">
        <f t="shared" si="28"/>
        <v>1</v>
      </c>
      <c r="D194" s="148"/>
      <c r="E194" s="138">
        <f t="shared" si="29"/>
        <v>1</v>
      </c>
      <c r="F194" s="148"/>
      <c r="G194" s="138">
        <f t="shared" si="30"/>
        <v>1</v>
      </c>
      <c r="H194" s="148"/>
      <c r="I194" s="138">
        <f t="shared" si="31"/>
        <v>1</v>
      </c>
      <c r="J194" s="148"/>
      <c r="K194" s="138">
        <f t="shared" si="32"/>
        <v>1</v>
      </c>
      <c r="L194" s="148"/>
      <c r="M194" s="138">
        <f t="shared" si="33"/>
        <v>1</v>
      </c>
      <c r="N194" s="148"/>
      <c r="O194" s="138">
        <f t="shared" si="34"/>
        <v>1</v>
      </c>
      <c r="P194" s="148"/>
      <c r="Q194" s="138">
        <f t="shared" si="35"/>
        <v>1</v>
      </c>
      <c r="R194" s="201">
        <f t="shared" si="36"/>
        <v>0</v>
      </c>
      <c r="S194" s="137">
        <f t="shared" si="37"/>
        <v>0</v>
      </c>
    </row>
    <row r="195" spans="1:19">
      <c r="A195" s="146"/>
      <c r="B195" s="147"/>
      <c r="C195" s="138">
        <f t="shared" si="28"/>
        <v>1</v>
      </c>
      <c r="D195" s="148"/>
      <c r="E195" s="138">
        <f t="shared" si="29"/>
        <v>1</v>
      </c>
      <c r="F195" s="148"/>
      <c r="G195" s="138">
        <f t="shared" si="30"/>
        <v>1</v>
      </c>
      <c r="H195" s="148"/>
      <c r="I195" s="138">
        <f t="shared" si="31"/>
        <v>1</v>
      </c>
      <c r="J195" s="148"/>
      <c r="K195" s="138">
        <f t="shared" si="32"/>
        <v>1</v>
      </c>
      <c r="L195" s="148"/>
      <c r="M195" s="138">
        <f t="shared" si="33"/>
        <v>1</v>
      </c>
      <c r="N195" s="148"/>
      <c r="O195" s="138">
        <f t="shared" si="34"/>
        <v>1</v>
      </c>
      <c r="P195" s="148"/>
      <c r="Q195" s="138">
        <f t="shared" si="35"/>
        <v>1</v>
      </c>
      <c r="R195" s="201">
        <f t="shared" si="36"/>
        <v>0</v>
      </c>
      <c r="S195" s="137">
        <f t="shared" si="37"/>
        <v>0</v>
      </c>
    </row>
    <row r="196" spans="1:19">
      <c r="A196" s="146"/>
      <c r="B196" s="147"/>
      <c r="C196" s="138">
        <f t="shared" si="28"/>
        <v>1</v>
      </c>
      <c r="D196" s="148"/>
      <c r="E196" s="138">
        <f t="shared" si="29"/>
        <v>1</v>
      </c>
      <c r="F196" s="148"/>
      <c r="G196" s="138">
        <f t="shared" si="30"/>
        <v>1</v>
      </c>
      <c r="H196" s="148"/>
      <c r="I196" s="138">
        <f t="shared" si="31"/>
        <v>1</v>
      </c>
      <c r="J196" s="148"/>
      <c r="K196" s="138">
        <f t="shared" si="32"/>
        <v>1</v>
      </c>
      <c r="L196" s="148"/>
      <c r="M196" s="138">
        <f t="shared" si="33"/>
        <v>1</v>
      </c>
      <c r="N196" s="148"/>
      <c r="O196" s="138">
        <f t="shared" si="34"/>
        <v>1</v>
      </c>
      <c r="P196" s="148"/>
      <c r="Q196" s="138">
        <f t="shared" si="35"/>
        <v>1</v>
      </c>
      <c r="R196" s="201">
        <f t="shared" si="36"/>
        <v>0</v>
      </c>
      <c r="S196" s="137">
        <f t="shared" si="37"/>
        <v>0</v>
      </c>
    </row>
    <row r="197" spans="1:19">
      <c r="A197" s="146"/>
      <c r="B197" s="147"/>
      <c r="C197" s="138">
        <f t="shared" si="28"/>
        <v>1</v>
      </c>
      <c r="D197" s="148"/>
      <c r="E197" s="138">
        <f t="shared" si="29"/>
        <v>1</v>
      </c>
      <c r="F197" s="148"/>
      <c r="G197" s="138">
        <f t="shared" si="30"/>
        <v>1</v>
      </c>
      <c r="H197" s="148"/>
      <c r="I197" s="138">
        <f t="shared" si="31"/>
        <v>1</v>
      </c>
      <c r="J197" s="148"/>
      <c r="K197" s="138">
        <f t="shared" si="32"/>
        <v>1</v>
      </c>
      <c r="L197" s="148"/>
      <c r="M197" s="138">
        <f t="shared" si="33"/>
        <v>1</v>
      </c>
      <c r="N197" s="148"/>
      <c r="O197" s="138">
        <f t="shared" si="34"/>
        <v>1</v>
      </c>
      <c r="P197" s="148"/>
      <c r="Q197" s="138">
        <f t="shared" si="35"/>
        <v>1</v>
      </c>
      <c r="R197" s="201">
        <f t="shared" si="36"/>
        <v>0</v>
      </c>
      <c r="S197" s="137">
        <f t="shared" si="37"/>
        <v>0</v>
      </c>
    </row>
    <row r="198" spans="1:19">
      <c r="A198" s="146"/>
      <c r="B198" s="147"/>
      <c r="C198" s="138">
        <f t="shared" si="28"/>
        <v>1</v>
      </c>
      <c r="D198" s="148"/>
      <c r="E198" s="138">
        <f t="shared" si="29"/>
        <v>1</v>
      </c>
      <c r="F198" s="148"/>
      <c r="G198" s="138">
        <f t="shared" si="30"/>
        <v>1</v>
      </c>
      <c r="H198" s="148"/>
      <c r="I198" s="138">
        <f t="shared" si="31"/>
        <v>1</v>
      </c>
      <c r="J198" s="148"/>
      <c r="K198" s="138">
        <f t="shared" si="32"/>
        <v>1</v>
      </c>
      <c r="L198" s="148"/>
      <c r="M198" s="138">
        <f t="shared" si="33"/>
        <v>1</v>
      </c>
      <c r="N198" s="148"/>
      <c r="O198" s="138">
        <f t="shared" si="34"/>
        <v>1</v>
      </c>
      <c r="P198" s="148"/>
      <c r="Q198" s="138">
        <f t="shared" si="35"/>
        <v>1</v>
      </c>
      <c r="R198" s="201">
        <f t="shared" si="36"/>
        <v>0</v>
      </c>
      <c r="S198" s="137">
        <f t="shared" si="37"/>
        <v>0</v>
      </c>
    </row>
    <row r="199" spans="1:19">
      <c r="A199" s="146"/>
      <c r="B199" s="147"/>
      <c r="C199" s="138">
        <f t="shared" si="28"/>
        <v>1</v>
      </c>
      <c r="D199" s="148"/>
      <c r="E199" s="138">
        <f t="shared" si="29"/>
        <v>1</v>
      </c>
      <c r="F199" s="148"/>
      <c r="G199" s="138">
        <f t="shared" si="30"/>
        <v>1</v>
      </c>
      <c r="H199" s="148"/>
      <c r="I199" s="138">
        <f t="shared" si="31"/>
        <v>1</v>
      </c>
      <c r="J199" s="148"/>
      <c r="K199" s="138">
        <f t="shared" si="32"/>
        <v>1</v>
      </c>
      <c r="L199" s="148"/>
      <c r="M199" s="138">
        <f t="shared" si="33"/>
        <v>1</v>
      </c>
      <c r="N199" s="148"/>
      <c r="O199" s="138">
        <f t="shared" si="34"/>
        <v>1</v>
      </c>
      <c r="P199" s="148"/>
      <c r="Q199" s="138">
        <f t="shared" si="35"/>
        <v>1</v>
      </c>
      <c r="R199" s="201">
        <f t="shared" si="36"/>
        <v>0</v>
      </c>
      <c r="S199" s="137">
        <f t="shared" si="37"/>
        <v>0</v>
      </c>
    </row>
    <row r="200" spans="1:19">
      <c r="A200" s="146"/>
      <c r="B200" s="147"/>
      <c r="C200" s="138">
        <f t="shared" si="28"/>
        <v>1</v>
      </c>
      <c r="D200" s="148"/>
      <c r="E200" s="138">
        <f t="shared" si="29"/>
        <v>1</v>
      </c>
      <c r="F200" s="148"/>
      <c r="G200" s="138">
        <f t="shared" si="30"/>
        <v>1</v>
      </c>
      <c r="H200" s="148"/>
      <c r="I200" s="138">
        <f t="shared" si="31"/>
        <v>1</v>
      </c>
      <c r="J200" s="148"/>
      <c r="K200" s="138">
        <f t="shared" si="32"/>
        <v>1</v>
      </c>
      <c r="L200" s="148"/>
      <c r="M200" s="138">
        <f t="shared" si="33"/>
        <v>1</v>
      </c>
      <c r="N200" s="148"/>
      <c r="O200" s="138">
        <f t="shared" si="34"/>
        <v>1</v>
      </c>
      <c r="P200" s="148"/>
      <c r="Q200" s="138">
        <f t="shared" si="35"/>
        <v>1</v>
      </c>
      <c r="R200" s="201">
        <f t="shared" si="36"/>
        <v>0</v>
      </c>
      <c r="S200" s="137">
        <f t="shared" si="37"/>
        <v>0</v>
      </c>
    </row>
    <row r="201" spans="1:19">
      <c r="A201" s="146"/>
      <c r="B201" s="147"/>
      <c r="C201" s="138">
        <f t="shared" si="28"/>
        <v>1</v>
      </c>
      <c r="D201" s="148"/>
      <c r="E201" s="138">
        <f t="shared" si="29"/>
        <v>1</v>
      </c>
      <c r="F201" s="148"/>
      <c r="G201" s="138">
        <f t="shared" si="30"/>
        <v>1</v>
      </c>
      <c r="H201" s="148"/>
      <c r="I201" s="138">
        <f t="shared" si="31"/>
        <v>1</v>
      </c>
      <c r="J201" s="148"/>
      <c r="K201" s="138">
        <f t="shared" si="32"/>
        <v>1</v>
      </c>
      <c r="L201" s="148"/>
      <c r="M201" s="138">
        <f t="shared" si="33"/>
        <v>1</v>
      </c>
      <c r="N201" s="148"/>
      <c r="O201" s="138">
        <f t="shared" si="34"/>
        <v>1</v>
      </c>
      <c r="P201" s="148"/>
      <c r="Q201" s="138">
        <f t="shared" si="35"/>
        <v>1</v>
      </c>
      <c r="R201" s="201">
        <f t="shared" si="36"/>
        <v>0</v>
      </c>
      <c r="S201" s="137">
        <f t="shared" si="37"/>
        <v>0</v>
      </c>
    </row>
    <row r="202" spans="1:19">
      <c r="A202" s="146"/>
      <c r="B202" s="147"/>
      <c r="C202" s="138">
        <f t="shared" si="28"/>
        <v>1</v>
      </c>
      <c r="D202" s="148"/>
      <c r="E202" s="138">
        <f t="shared" si="29"/>
        <v>1</v>
      </c>
      <c r="F202" s="148"/>
      <c r="G202" s="138">
        <f t="shared" si="30"/>
        <v>1</v>
      </c>
      <c r="H202" s="148"/>
      <c r="I202" s="138">
        <f t="shared" si="31"/>
        <v>1</v>
      </c>
      <c r="J202" s="148"/>
      <c r="K202" s="138">
        <f t="shared" si="32"/>
        <v>1</v>
      </c>
      <c r="L202" s="148"/>
      <c r="M202" s="138">
        <f t="shared" si="33"/>
        <v>1</v>
      </c>
      <c r="N202" s="148"/>
      <c r="O202" s="138">
        <f t="shared" si="34"/>
        <v>1</v>
      </c>
      <c r="P202" s="148"/>
      <c r="Q202" s="138">
        <f t="shared" si="35"/>
        <v>1</v>
      </c>
      <c r="R202" s="201">
        <f t="shared" si="36"/>
        <v>0</v>
      </c>
      <c r="S202" s="137">
        <f t="shared" si="37"/>
        <v>0</v>
      </c>
    </row>
    <row r="203" spans="1:19">
      <c r="A203" s="146"/>
      <c r="B203" s="147"/>
      <c r="C203" s="138">
        <f t="shared" si="28"/>
        <v>1</v>
      </c>
      <c r="D203" s="148"/>
      <c r="E203" s="138">
        <f t="shared" si="29"/>
        <v>1</v>
      </c>
      <c r="F203" s="148"/>
      <c r="G203" s="138">
        <f t="shared" si="30"/>
        <v>1</v>
      </c>
      <c r="H203" s="148"/>
      <c r="I203" s="138">
        <f t="shared" si="31"/>
        <v>1</v>
      </c>
      <c r="J203" s="148"/>
      <c r="K203" s="138">
        <f t="shared" si="32"/>
        <v>1</v>
      </c>
      <c r="L203" s="148"/>
      <c r="M203" s="138">
        <f t="shared" si="33"/>
        <v>1</v>
      </c>
      <c r="N203" s="148"/>
      <c r="O203" s="138">
        <f t="shared" si="34"/>
        <v>1</v>
      </c>
      <c r="P203" s="148"/>
      <c r="Q203" s="138">
        <f t="shared" si="35"/>
        <v>1</v>
      </c>
      <c r="R203" s="201">
        <f t="shared" si="36"/>
        <v>0</v>
      </c>
      <c r="S203" s="137">
        <f t="shared" si="37"/>
        <v>0</v>
      </c>
    </row>
    <row r="204" spans="1:19">
      <c r="A204" s="146"/>
      <c r="B204" s="147"/>
      <c r="C204" s="138">
        <f t="shared" si="28"/>
        <v>1</v>
      </c>
      <c r="D204" s="148"/>
      <c r="E204" s="138">
        <f t="shared" si="29"/>
        <v>1</v>
      </c>
      <c r="F204" s="148"/>
      <c r="G204" s="138">
        <f t="shared" si="30"/>
        <v>1</v>
      </c>
      <c r="H204" s="148"/>
      <c r="I204" s="138">
        <f t="shared" si="31"/>
        <v>1</v>
      </c>
      <c r="J204" s="148"/>
      <c r="K204" s="138">
        <f t="shared" si="32"/>
        <v>1</v>
      </c>
      <c r="L204" s="148"/>
      <c r="M204" s="138">
        <f t="shared" si="33"/>
        <v>1</v>
      </c>
      <c r="N204" s="148"/>
      <c r="O204" s="138">
        <f t="shared" si="34"/>
        <v>1</v>
      </c>
      <c r="P204" s="148"/>
      <c r="Q204" s="138">
        <f t="shared" si="35"/>
        <v>1</v>
      </c>
      <c r="R204" s="201">
        <f t="shared" si="36"/>
        <v>0</v>
      </c>
      <c r="S204" s="137">
        <f t="shared" si="37"/>
        <v>0</v>
      </c>
    </row>
    <row r="205" spans="1:19">
      <c r="A205" s="146"/>
      <c r="B205" s="147"/>
      <c r="C205" s="138">
        <f t="shared" si="28"/>
        <v>1</v>
      </c>
      <c r="D205" s="148"/>
      <c r="E205" s="138">
        <f t="shared" si="29"/>
        <v>1</v>
      </c>
      <c r="F205" s="148"/>
      <c r="G205" s="138">
        <f t="shared" si="30"/>
        <v>1</v>
      </c>
      <c r="H205" s="148"/>
      <c r="I205" s="138">
        <f t="shared" si="31"/>
        <v>1</v>
      </c>
      <c r="J205" s="148"/>
      <c r="K205" s="138">
        <f t="shared" si="32"/>
        <v>1</v>
      </c>
      <c r="L205" s="148"/>
      <c r="M205" s="138">
        <f t="shared" si="33"/>
        <v>1</v>
      </c>
      <c r="N205" s="148"/>
      <c r="O205" s="138">
        <f t="shared" si="34"/>
        <v>1</v>
      </c>
      <c r="P205" s="148"/>
      <c r="Q205" s="138">
        <f t="shared" si="35"/>
        <v>1</v>
      </c>
      <c r="R205" s="201">
        <f t="shared" si="36"/>
        <v>0</v>
      </c>
      <c r="S205" s="137">
        <f t="shared" si="37"/>
        <v>0</v>
      </c>
    </row>
    <row r="206" spans="1:19">
      <c r="A206" s="146"/>
      <c r="B206" s="147"/>
      <c r="C206" s="138">
        <f t="shared" si="28"/>
        <v>1</v>
      </c>
      <c r="D206" s="148"/>
      <c r="E206" s="138">
        <f t="shared" si="29"/>
        <v>1</v>
      </c>
      <c r="F206" s="148"/>
      <c r="G206" s="138">
        <f t="shared" si="30"/>
        <v>1</v>
      </c>
      <c r="H206" s="148"/>
      <c r="I206" s="138">
        <f t="shared" si="31"/>
        <v>1</v>
      </c>
      <c r="J206" s="148"/>
      <c r="K206" s="138">
        <f t="shared" si="32"/>
        <v>1</v>
      </c>
      <c r="L206" s="148"/>
      <c r="M206" s="138">
        <f t="shared" si="33"/>
        <v>1</v>
      </c>
      <c r="N206" s="148"/>
      <c r="O206" s="138">
        <f t="shared" si="34"/>
        <v>1</v>
      </c>
      <c r="P206" s="148"/>
      <c r="Q206" s="138">
        <f t="shared" si="35"/>
        <v>1</v>
      </c>
      <c r="R206" s="201">
        <f t="shared" si="36"/>
        <v>0</v>
      </c>
      <c r="S206" s="137">
        <f t="shared" si="37"/>
        <v>0</v>
      </c>
    </row>
    <row r="207" spans="1:19">
      <c r="A207" s="146"/>
      <c r="B207" s="147"/>
      <c r="C207" s="138">
        <f t="shared" si="28"/>
        <v>1</v>
      </c>
      <c r="D207" s="148"/>
      <c r="E207" s="138">
        <f t="shared" si="29"/>
        <v>1</v>
      </c>
      <c r="F207" s="148"/>
      <c r="G207" s="138">
        <f t="shared" si="30"/>
        <v>1</v>
      </c>
      <c r="H207" s="148"/>
      <c r="I207" s="138">
        <f t="shared" si="31"/>
        <v>1</v>
      </c>
      <c r="J207" s="148"/>
      <c r="K207" s="138">
        <f t="shared" si="32"/>
        <v>1</v>
      </c>
      <c r="L207" s="148"/>
      <c r="M207" s="138">
        <f t="shared" si="33"/>
        <v>1</v>
      </c>
      <c r="N207" s="148"/>
      <c r="O207" s="138">
        <f t="shared" si="34"/>
        <v>1</v>
      </c>
      <c r="P207" s="148"/>
      <c r="Q207" s="138">
        <f t="shared" si="35"/>
        <v>1</v>
      </c>
      <c r="R207" s="201">
        <f t="shared" si="36"/>
        <v>0</v>
      </c>
      <c r="S207" s="137">
        <f t="shared" si="37"/>
        <v>0</v>
      </c>
    </row>
    <row r="208" spans="1:19">
      <c r="A208" s="146"/>
      <c r="B208" s="147"/>
      <c r="C208" s="138">
        <f t="shared" si="28"/>
        <v>1</v>
      </c>
      <c r="D208" s="148"/>
      <c r="E208" s="138">
        <f t="shared" si="29"/>
        <v>1</v>
      </c>
      <c r="F208" s="148"/>
      <c r="G208" s="138">
        <f t="shared" si="30"/>
        <v>1</v>
      </c>
      <c r="H208" s="148"/>
      <c r="I208" s="138">
        <f t="shared" si="31"/>
        <v>1</v>
      </c>
      <c r="J208" s="148"/>
      <c r="K208" s="138">
        <f t="shared" si="32"/>
        <v>1</v>
      </c>
      <c r="L208" s="148"/>
      <c r="M208" s="138">
        <f t="shared" si="33"/>
        <v>1</v>
      </c>
      <c r="N208" s="148"/>
      <c r="O208" s="138">
        <f t="shared" si="34"/>
        <v>1</v>
      </c>
      <c r="P208" s="148"/>
      <c r="Q208" s="138">
        <f t="shared" si="35"/>
        <v>1</v>
      </c>
      <c r="R208" s="201">
        <f t="shared" si="36"/>
        <v>0</v>
      </c>
      <c r="S208" s="137">
        <f t="shared" si="37"/>
        <v>0</v>
      </c>
    </row>
    <row r="209" spans="1:19">
      <c r="A209" s="146"/>
      <c r="B209" s="147"/>
      <c r="C209" s="138">
        <f t="shared" si="28"/>
        <v>1</v>
      </c>
      <c r="D209" s="148"/>
      <c r="E209" s="138">
        <f t="shared" si="29"/>
        <v>1</v>
      </c>
      <c r="F209" s="148"/>
      <c r="G209" s="138">
        <f t="shared" si="30"/>
        <v>1</v>
      </c>
      <c r="H209" s="148"/>
      <c r="I209" s="138">
        <f t="shared" si="31"/>
        <v>1</v>
      </c>
      <c r="J209" s="148"/>
      <c r="K209" s="138">
        <f t="shared" si="32"/>
        <v>1</v>
      </c>
      <c r="L209" s="148"/>
      <c r="M209" s="138">
        <f t="shared" si="33"/>
        <v>1</v>
      </c>
      <c r="N209" s="148"/>
      <c r="O209" s="138">
        <f t="shared" si="34"/>
        <v>1</v>
      </c>
      <c r="P209" s="148"/>
      <c r="Q209" s="138">
        <f t="shared" si="35"/>
        <v>1</v>
      </c>
      <c r="R209" s="201">
        <f t="shared" si="36"/>
        <v>0</v>
      </c>
      <c r="S209" s="137">
        <f t="shared" si="37"/>
        <v>0</v>
      </c>
    </row>
    <row r="210" spans="1:19">
      <c r="A210" s="146"/>
      <c r="B210" s="147"/>
      <c r="C210" s="138">
        <f t="shared" si="28"/>
        <v>1</v>
      </c>
      <c r="D210" s="148"/>
      <c r="E210" s="138">
        <f t="shared" si="29"/>
        <v>1</v>
      </c>
      <c r="F210" s="148"/>
      <c r="G210" s="138">
        <f t="shared" si="30"/>
        <v>1</v>
      </c>
      <c r="H210" s="148"/>
      <c r="I210" s="138">
        <f t="shared" si="31"/>
        <v>1</v>
      </c>
      <c r="J210" s="148"/>
      <c r="K210" s="138">
        <f t="shared" si="32"/>
        <v>1</v>
      </c>
      <c r="L210" s="148"/>
      <c r="M210" s="138">
        <f t="shared" si="33"/>
        <v>1</v>
      </c>
      <c r="N210" s="148"/>
      <c r="O210" s="138">
        <f t="shared" si="34"/>
        <v>1</v>
      </c>
      <c r="P210" s="148"/>
      <c r="Q210" s="138">
        <f t="shared" si="35"/>
        <v>1</v>
      </c>
      <c r="R210" s="201">
        <f t="shared" si="36"/>
        <v>0</v>
      </c>
      <c r="S210" s="137">
        <f t="shared" si="37"/>
        <v>0</v>
      </c>
    </row>
    <row r="211" spans="1:19">
      <c r="A211" s="146"/>
      <c r="B211" s="147"/>
      <c r="C211" s="138">
        <f t="shared" si="28"/>
        <v>1</v>
      </c>
      <c r="D211" s="148"/>
      <c r="E211" s="138">
        <f t="shared" si="29"/>
        <v>1</v>
      </c>
      <c r="F211" s="148"/>
      <c r="G211" s="138">
        <f t="shared" si="30"/>
        <v>1</v>
      </c>
      <c r="H211" s="148"/>
      <c r="I211" s="138">
        <f t="shared" si="31"/>
        <v>1</v>
      </c>
      <c r="J211" s="148"/>
      <c r="K211" s="138">
        <f t="shared" si="32"/>
        <v>1</v>
      </c>
      <c r="L211" s="148"/>
      <c r="M211" s="138">
        <f t="shared" si="33"/>
        <v>1</v>
      </c>
      <c r="N211" s="148"/>
      <c r="O211" s="138">
        <f t="shared" si="34"/>
        <v>1</v>
      </c>
      <c r="P211" s="148"/>
      <c r="Q211" s="138">
        <f t="shared" si="35"/>
        <v>1</v>
      </c>
      <c r="R211" s="201">
        <f t="shared" si="36"/>
        <v>0</v>
      </c>
      <c r="S211" s="137">
        <f t="shared" si="37"/>
        <v>0</v>
      </c>
    </row>
    <row r="212" spans="1:19">
      <c r="A212" s="146"/>
      <c r="B212" s="147"/>
      <c r="C212" s="138">
        <f t="shared" si="28"/>
        <v>1</v>
      </c>
      <c r="D212" s="148"/>
      <c r="E212" s="138">
        <f t="shared" si="29"/>
        <v>1</v>
      </c>
      <c r="F212" s="148"/>
      <c r="G212" s="138">
        <f t="shared" si="30"/>
        <v>1</v>
      </c>
      <c r="H212" s="148"/>
      <c r="I212" s="138">
        <f t="shared" si="31"/>
        <v>1</v>
      </c>
      <c r="J212" s="148"/>
      <c r="K212" s="138">
        <f t="shared" si="32"/>
        <v>1</v>
      </c>
      <c r="L212" s="148"/>
      <c r="M212" s="138">
        <f t="shared" si="33"/>
        <v>1</v>
      </c>
      <c r="N212" s="148"/>
      <c r="O212" s="138">
        <f t="shared" si="34"/>
        <v>1</v>
      </c>
      <c r="P212" s="148"/>
      <c r="Q212" s="138">
        <f t="shared" si="35"/>
        <v>1</v>
      </c>
      <c r="R212" s="201">
        <f t="shared" si="36"/>
        <v>0</v>
      </c>
      <c r="S212" s="137">
        <f t="shared" si="37"/>
        <v>0</v>
      </c>
    </row>
    <row r="213" spans="1:19">
      <c r="A213" s="146"/>
      <c r="B213" s="147"/>
      <c r="C213" s="138">
        <f t="shared" si="28"/>
        <v>1</v>
      </c>
      <c r="D213" s="148"/>
      <c r="E213" s="138">
        <f t="shared" si="29"/>
        <v>1</v>
      </c>
      <c r="F213" s="148"/>
      <c r="G213" s="138">
        <f t="shared" si="30"/>
        <v>1</v>
      </c>
      <c r="H213" s="148"/>
      <c r="I213" s="138">
        <f t="shared" si="31"/>
        <v>1</v>
      </c>
      <c r="J213" s="148"/>
      <c r="K213" s="138">
        <f t="shared" si="32"/>
        <v>1</v>
      </c>
      <c r="L213" s="148"/>
      <c r="M213" s="138">
        <f t="shared" si="33"/>
        <v>1</v>
      </c>
      <c r="N213" s="148"/>
      <c r="O213" s="138">
        <f t="shared" si="34"/>
        <v>1</v>
      </c>
      <c r="P213" s="148"/>
      <c r="Q213" s="138">
        <f t="shared" si="35"/>
        <v>1</v>
      </c>
      <c r="R213" s="201">
        <f t="shared" si="36"/>
        <v>0</v>
      </c>
      <c r="S213" s="137">
        <f t="shared" si="37"/>
        <v>0</v>
      </c>
    </row>
    <row r="214" spans="1:19">
      <c r="A214" s="146"/>
      <c r="B214" s="147"/>
      <c r="C214" s="138">
        <f t="shared" si="28"/>
        <v>1</v>
      </c>
      <c r="D214" s="148"/>
      <c r="E214" s="138">
        <f t="shared" si="29"/>
        <v>1</v>
      </c>
      <c r="F214" s="148"/>
      <c r="G214" s="138">
        <f t="shared" si="30"/>
        <v>1</v>
      </c>
      <c r="H214" s="148"/>
      <c r="I214" s="138">
        <f t="shared" si="31"/>
        <v>1</v>
      </c>
      <c r="J214" s="148"/>
      <c r="K214" s="138">
        <f t="shared" si="32"/>
        <v>1</v>
      </c>
      <c r="L214" s="148"/>
      <c r="M214" s="138">
        <f t="shared" si="33"/>
        <v>1</v>
      </c>
      <c r="N214" s="148"/>
      <c r="O214" s="138">
        <f t="shared" si="34"/>
        <v>1</v>
      </c>
      <c r="P214" s="148"/>
      <c r="Q214" s="138">
        <f t="shared" si="35"/>
        <v>1</v>
      </c>
      <c r="R214" s="201">
        <f t="shared" si="36"/>
        <v>0</v>
      </c>
      <c r="S214" s="137">
        <f t="shared" si="37"/>
        <v>0</v>
      </c>
    </row>
    <row r="215" spans="1:19">
      <c r="A215" s="146"/>
      <c r="B215" s="147"/>
      <c r="C215" s="138">
        <f t="shared" si="28"/>
        <v>1</v>
      </c>
      <c r="D215" s="148"/>
      <c r="E215" s="138">
        <f t="shared" si="29"/>
        <v>1</v>
      </c>
      <c r="F215" s="148"/>
      <c r="G215" s="138">
        <f t="shared" si="30"/>
        <v>1</v>
      </c>
      <c r="H215" s="148"/>
      <c r="I215" s="138">
        <f t="shared" si="31"/>
        <v>1</v>
      </c>
      <c r="J215" s="148"/>
      <c r="K215" s="138">
        <f t="shared" si="32"/>
        <v>1</v>
      </c>
      <c r="L215" s="148"/>
      <c r="M215" s="138">
        <f t="shared" si="33"/>
        <v>1</v>
      </c>
      <c r="N215" s="148"/>
      <c r="O215" s="138">
        <f t="shared" si="34"/>
        <v>1</v>
      </c>
      <c r="P215" s="148"/>
      <c r="Q215" s="138">
        <f t="shared" si="35"/>
        <v>1</v>
      </c>
      <c r="R215" s="201">
        <f t="shared" si="36"/>
        <v>0</v>
      </c>
      <c r="S215" s="137">
        <f t="shared" si="37"/>
        <v>0</v>
      </c>
    </row>
    <row r="216" spans="1:19">
      <c r="A216" s="146"/>
      <c r="B216" s="147"/>
      <c r="C216" s="138">
        <f t="shared" si="28"/>
        <v>1</v>
      </c>
      <c r="D216" s="148"/>
      <c r="E216" s="138">
        <f t="shared" si="29"/>
        <v>1</v>
      </c>
      <c r="F216" s="148"/>
      <c r="G216" s="138">
        <f t="shared" si="30"/>
        <v>1</v>
      </c>
      <c r="H216" s="148"/>
      <c r="I216" s="138">
        <f t="shared" si="31"/>
        <v>1</v>
      </c>
      <c r="J216" s="148"/>
      <c r="K216" s="138">
        <f t="shared" si="32"/>
        <v>1</v>
      </c>
      <c r="L216" s="148"/>
      <c r="M216" s="138">
        <f t="shared" si="33"/>
        <v>1</v>
      </c>
      <c r="N216" s="148"/>
      <c r="O216" s="138">
        <f t="shared" si="34"/>
        <v>1</v>
      </c>
      <c r="P216" s="148"/>
      <c r="Q216" s="138">
        <f t="shared" si="35"/>
        <v>1</v>
      </c>
      <c r="R216" s="201">
        <f t="shared" si="36"/>
        <v>0</v>
      </c>
      <c r="S216" s="137">
        <f t="shared" si="37"/>
        <v>0</v>
      </c>
    </row>
    <row r="217" spans="1:19">
      <c r="A217" s="146"/>
      <c r="B217" s="147"/>
      <c r="C217" s="138">
        <f t="shared" si="28"/>
        <v>1</v>
      </c>
      <c r="D217" s="148"/>
      <c r="E217" s="138">
        <f t="shared" si="29"/>
        <v>1</v>
      </c>
      <c r="F217" s="148"/>
      <c r="G217" s="138">
        <f t="shared" si="30"/>
        <v>1</v>
      </c>
      <c r="H217" s="148"/>
      <c r="I217" s="138">
        <f t="shared" si="31"/>
        <v>1</v>
      </c>
      <c r="J217" s="148"/>
      <c r="K217" s="138">
        <f t="shared" si="32"/>
        <v>1</v>
      </c>
      <c r="L217" s="148"/>
      <c r="M217" s="138">
        <f t="shared" si="33"/>
        <v>1</v>
      </c>
      <c r="N217" s="148"/>
      <c r="O217" s="138">
        <f t="shared" si="34"/>
        <v>1</v>
      </c>
      <c r="P217" s="148"/>
      <c r="Q217" s="138">
        <f t="shared" si="35"/>
        <v>1</v>
      </c>
      <c r="R217" s="201">
        <f t="shared" si="36"/>
        <v>0</v>
      </c>
      <c r="S217" s="137">
        <f t="shared" si="37"/>
        <v>0</v>
      </c>
    </row>
    <row r="218" spans="1:19">
      <c r="A218" s="146"/>
      <c r="B218" s="147"/>
      <c r="C218" s="138">
        <f t="shared" ref="C218:C281" si="38">IF(B218="",1,(LOOKUP(B218,$3:$3,$4:$4)-LOOKUP($B$24,$3:$3,$4:$4)+100)/100)</f>
        <v>1</v>
      </c>
      <c r="D218" s="148"/>
      <c r="E218" s="138">
        <f t="shared" ref="E218:E281" si="39">(SUMIF($5:$5,D218,$6:$6)-SUMIF($5:$5,$D$24,$6:$6)+100)/100</f>
        <v>1</v>
      </c>
      <c r="F218" s="148"/>
      <c r="G218" s="138">
        <f t="shared" ref="G218:G281" si="40">(SUMIF($7:$7,F218,$8:$8)-SUMIF($7:$7,$F$24,$8:$8)+100)/100</f>
        <v>1</v>
      </c>
      <c r="H218" s="148"/>
      <c r="I218" s="138">
        <f t="shared" ref="I218:I281" si="41">(SUMIF($9:$9,H218,$10:$10)-SUMIF($9:$9,$H$24,$10:$10)+100)/100</f>
        <v>1</v>
      </c>
      <c r="J218" s="148"/>
      <c r="K218" s="138">
        <f t="shared" ref="K218:K281" si="42">(SUMIF($11:$11,J218,$12:$12)-SUMIF($11:$11,$J$24,$12:$12)+100)/100</f>
        <v>1</v>
      </c>
      <c r="L218" s="148"/>
      <c r="M218" s="138">
        <f t="shared" ref="M218:M281" si="43">(SUMIF($13:$13,L218,$14:$14)-SUMIF($13:$13,$L$24,$14:$14)+100)/100</f>
        <v>1</v>
      </c>
      <c r="N218" s="148"/>
      <c r="O218" s="138">
        <f t="shared" ref="O218:O281" si="44">(SUMIF($15:$15,N218,$16:$16)-SUMIF($15:$15,$N$24,$16:$16)+100)/100</f>
        <v>1</v>
      </c>
      <c r="P218" s="148"/>
      <c r="Q218" s="138">
        <f t="shared" ref="Q218:Q281" si="45">(SUMIF($17:$17,P218,$18:$18)-SUMIF($17:$17,$P$24,$18:$18)+100)/100</f>
        <v>1</v>
      </c>
      <c r="R218" s="201">
        <f t="shared" ref="R218:R281" si="46">IF(B218="",0,ROUND($R$24*C218*E218*G218*I218*K218*M218*O218*Q218,0))</f>
        <v>0</v>
      </c>
      <c r="S218" s="137">
        <f t="shared" si="37"/>
        <v>0</v>
      </c>
    </row>
    <row r="219" spans="1:19">
      <c r="A219" s="146"/>
      <c r="B219" s="147"/>
      <c r="C219" s="138">
        <f t="shared" si="38"/>
        <v>1</v>
      </c>
      <c r="D219" s="148"/>
      <c r="E219" s="138">
        <f t="shared" si="39"/>
        <v>1</v>
      </c>
      <c r="F219" s="148"/>
      <c r="G219" s="138">
        <f t="shared" si="40"/>
        <v>1</v>
      </c>
      <c r="H219" s="148"/>
      <c r="I219" s="138">
        <f t="shared" si="41"/>
        <v>1</v>
      </c>
      <c r="J219" s="148"/>
      <c r="K219" s="138">
        <f t="shared" si="42"/>
        <v>1</v>
      </c>
      <c r="L219" s="148"/>
      <c r="M219" s="138">
        <f t="shared" si="43"/>
        <v>1</v>
      </c>
      <c r="N219" s="148"/>
      <c r="O219" s="138">
        <f t="shared" si="44"/>
        <v>1</v>
      </c>
      <c r="P219" s="148"/>
      <c r="Q219" s="138">
        <f t="shared" si="45"/>
        <v>1</v>
      </c>
      <c r="R219" s="201">
        <f t="shared" si="46"/>
        <v>0</v>
      </c>
      <c r="S219" s="137">
        <f t="shared" si="37"/>
        <v>0</v>
      </c>
    </row>
    <row r="220" spans="1:19">
      <c r="A220" s="146"/>
      <c r="B220" s="147"/>
      <c r="C220" s="138">
        <f t="shared" si="38"/>
        <v>1</v>
      </c>
      <c r="D220" s="148"/>
      <c r="E220" s="138">
        <f t="shared" si="39"/>
        <v>1</v>
      </c>
      <c r="F220" s="148"/>
      <c r="G220" s="138">
        <f t="shared" si="40"/>
        <v>1</v>
      </c>
      <c r="H220" s="148"/>
      <c r="I220" s="138">
        <f t="shared" si="41"/>
        <v>1</v>
      </c>
      <c r="J220" s="148"/>
      <c r="K220" s="138">
        <f t="shared" si="42"/>
        <v>1</v>
      </c>
      <c r="L220" s="148"/>
      <c r="M220" s="138">
        <f t="shared" si="43"/>
        <v>1</v>
      </c>
      <c r="N220" s="148"/>
      <c r="O220" s="138">
        <f t="shared" si="44"/>
        <v>1</v>
      </c>
      <c r="P220" s="148"/>
      <c r="Q220" s="138">
        <f t="shared" si="45"/>
        <v>1</v>
      </c>
      <c r="R220" s="201">
        <f t="shared" si="46"/>
        <v>0</v>
      </c>
      <c r="S220" s="137">
        <f t="shared" si="37"/>
        <v>0</v>
      </c>
    </row>
    <row r="221" spans="1:19">
      <c r="A221" s="146"/>
      <c r="B221" s="147"/>
      <c r="C221" s="138">
        <f t="shared" si="38"/>
        <v>1</v>
      </c>
      <c r="D221" s="148"/>
      <c r="E221" s="138">
        <f t="shared" si="39"/>
        <v>1</v>
      </c>
      <c r="F221" s="148"/>
      <c r="G221" s="138">
        <f t="shared" si="40"/>
        <v>1</v>
      </c>
      <c r="H221" s="148"/>
      <c r="I221" s="138">
        <f t="shared" si="41"/>
        <v>1</v>
      </c>
      <c r="J221" s="148"/>
      <c r="K221" s="138">
        <f t="shared" si="42"/>
        <v>1</v>
      </c>
      <c r="L221" s="148"/>
      <c r="M221" s="138">
        <f t="shared" si="43"/>
        <v>1</v>
      </c>
      <c r="N221" s="148"/>
      <c r="O221" s="138">
        <f t="shared" si="44"/>
        <v>1</v>
      </c>
      <c r="P221" s="148"/>
      <c r="Q221" s="138">
        <f t="shared" si="45"/>
        <v>1</v>
      </c>
      <c r="R221" s="201">
        <f t="shared" si="46"/>
        <v>0</v>
      </c>
      <c r="S221" s="137">
        <f t="shared" si="37"/>
        <v>0</v>
      </c>
    </row>
    <row r="222" spans="1:19">
      <c r="A222" s="146"/>
      <c r="B222" s="147"/>
      <c r="C222" s="138">
        <f t="shared" si="38"/>
        <v>1</v>
      </c>
      <c r="D222" s="148"/>
      <c r="E222" s="138">
        <f t="shared" si="39"/>
        <v>1</v>
      </c>
      <c r="F222" s="148"/>
      <c r="G222" s="138">
        <f t="shared" si="40"/>
        <v>1</v>
      </c>
      <c r="H222" s="148"/>
      <c r="I222" s="138">
        <f t="shared" si="41"/>
        <v>1</v>
      </c>
      <c r="J222" s="148"/>
      <c r="K222" s="138">
        <f t="shared" si="42"/>
        <v>1</v>
      </c>
      <c r="L222" s="148"/>
      <c r="M222" s="138">
        <f t="shared" si="43"/>
        <v>1</v>
      </c>
      <c r="N222" s="148"/>
      <c r="O222" s="138">
        <f t="shared" si="44"/>
        <v>1</v>
      </c>
      <c r="P222" s="148"/>
      <c r="Q222" s="138">
        <f t="shared" si="45"/>
        <v>1</v>
      </c>
      <c r="R222" s="201">
        <f t="shared" si="46"/>
        <v>0</v>
      </c>
      <c r="S222" s="137">
        <f t="shared" si="37"/>
        <v>0</v>
      </c>
    </row>
    <row r="223" spans="1:19">
      <c r="A223" s="146"/>
      <c r="B223" s="147"/>
      <c r="C223" s="138">
        <f t="shared" si="38"/>
        <v>1</v>
      </c>
      <c r="D223" s="148"/>
      <c r="E223" s="138">
        <f t="shared" si="39"/>
        <v>1</v>
      </c>
      <c r="F223" s="148"/>
      <c r="G223" s="138">
        <f t="shared" si="40"/>
        <v>1</v>
      </c>
      <c r="H223" s="148"/>
      <c r="I223" s="138">
        <f t="shared" si="41"/>
        <v>1</v>
      </c>
      <c r="J223" s="148"/>
      <c r="K223" s="138">
        <f t="shared" si="42"/>
        <v>1</v>
      </c>
      <c r="L223" s="148"/>
      <c r="M223" s="138">
        <f t="shared" si="43"/>
        <v>1</v>
      </c>
      <c r="N223" s="148"/>
      <c r="O223" s="138">
        <f t="shared" si="44"/>
        <v>1</v>
      </c>
      <c r="P223" s="148"/>
      <c r="Q223" s="138">
        <f t="shared" si="45"/>
        <v>1</v>
      </c>
      <c r="R223" s="201">
        <f t="shared" si="46"/>
        <v>0</v>
      </c>
      <c r="S223" s="137">
        <f t="shared" ref="S223:S286" si="47">ROUND(R223*B223/10000,0)</f>
        <v>0</v>
      </c>
    </row>
    <row r="224" spans="1:19">
      <c r="A224" s="146"/>
      <c r="B224" s="147"/>
      <c r="C224" s="138">
        <f t="shared" si="38"/>
        <v>1</v>
      </c>
      <c r="D224" s="148"/>
      <c r="E224" s="138">
        <f t="shared" si="39"/>
        <v>1</v>
      </c>
      <c r="F224" s="148"/>
      <c r="G224" s="138">
        <f t="shared" si="40"/>
        <v>1</v>
      </c>
      <c r="H224" s="148"/>
      <c r="I224" s="138">
        <f t="shared" si="41"/>
        <v>1</v>
      </c>
      <c r="J224" s="148"/>
      <c r="K224" s="138">
        <f t="shared" si="42"/>
        <v>1</v>
      </c>
      <c r="L224" s="148"/>
      <c r="M224" s="138">
        <f t="shared" si="43"/>
        <v>1</v>
      </c>
      <c r="N224" s="148"/>
      <c r="O224" s="138">
        <f t="shared" si="44"/>
        <v>1</v>
      </c>
      <c r="P224" s="148"/>
      <c r="Q224" s="138">
        <f t="shared" si="45"/>
        <v>1</v>
      </c>
      <c r="R224" s="201">
        <f t="shared" si="46"/>
        <v>0</v>
      </c>
      <c r="S224" s="137">
        <f t="shared" si="47"/>
        <v>0</v>
      </c>
    </row>
    <row r="225" spans="1:19">
      <c r="A225" s="146"/>
      <c r="B225" s="147"/>
      <c r="C225" s="138">
        <f t="shared" si="38"/>
        <v>1</v>
      </c>
      <c r="D225" s="148"/>
      <c r="E225" s="138">
        <f t="shared" si="39"/>
        <v>1</v>
      </c>
      <c r="F225" s="148"/>
      <c r="G225" s="138">
        <f t="shared" si="40"/>
        <v>1</v>
      </c>
      <c r="H225" s="148"/>
      <c r="I225" s="138">
        <f t="shared" si="41"/>
        <v>1</v>
      </c>
      <c r="J225" s="148"/>
      <c r="K225" s="138">
        <f t="shared" si="42"/>
        <v>1</v>
      </c>
      <c r="L225" s="148"/>
      <c r="M225" s="138">
        <f t="shared" si="43"/>
        <v>1</v>
      </c>
      <c r="N225" s="148"/>
      <c r="O225" s="138">
        <f t="shared" si="44"/>
        <v>1</v>
      </c>
      <c r="P225" s="148"/>
      <c r="Q225" s="138">
        <f t="shared" si="45"/>
        <v>1</v>
      </c>
      <c r="R225" s="201">
        <f t="shared" si="46"/>
        <v>0</v>
      </c>
      <c r="S225" s="137">
        <f t="shared" si="47"/>
        <v>0</v>
      </c>
    </row>
    <row r="226" spans="1:19">
      <c r="A226" s="146"/>
      <c r="B226" s="147"/>
      <c r="C226" s="138">
        <f t="shared" si="38"/>
        <v>1</v>
      </c>
      <c r="D226" s="148"/>
      <c r="E226" s="138">
        <f t="shared" si="39"/>
        <v>1</v>
      </c>
      <c r="F226" s="148"/>
      <c r="G226" s="138">
        <f t="shared" si="40"/>
        <v>1</v>
      </c>
      <c r="H226" s="148"/>
      <c r="I226" s="138">
        <f t="shared" si="41"/>
        <v>1</v>
      </c>
      <c r="J226" s="148"/>
      <c r="K226" s="138">
        <f t="shared" si="42"/>
        <v>1</v>
      </c>
      <c r="L226" s="148"/>
      <c r="M226" s="138">
        <f t="shared" si="43"/>
        <v>1</v>
      </c>
      <c r="N226" s="148"/>
      <c r="O226" s="138">
        <f t="shared" si="44"/>
        <v>1</v>
      </c>
      <c r="P226" s="148"/>
      <c r="Q226" s="138">
        <f t="shared" si="45"/>
        <v>1</v>
      </c>
      <c r="R226" s="201">
        <f t="shared" si="46"/>
        <v>0</v>
      </c>
      <c r="S226" s="137">
        <f t="shared" si="47"/>
        <v>0</v>
      </c>
    </row>
    <row r="227" spans="1:19">
      <c r="A227" s="146"/>
      <c r="B227" s="147"/>
      <c r="C227" s="138">
        <f t="shared" si="38"/>
        <v>1</v>
      </c>
      <c r="D227" s="148"/>
      <c r="E227" s="138">
        <f t="shared" si="39"/>
        <v>1</v>
      </c>
      <c r="F227" s="148"/>
      <c r="G227" s="138">
        <f t="shared" si="40"/>
        <v>1</v>
      </c>
      <c r="H227" s="148"/>
      <c r="I227" s="138">
        <f t="shared" si="41"/>
        <v>1</v>
      </c>
      <c r="J227" s="148"/>
      <c r="K227" s="138">
        <f t="shared" si="42"/>
        <v>1</v>
      </c>
      <c r="L227" s="148"/>
      <c r="M227" s="138">
        <f t="shared" si="43"/>
        <v>1</v>
      </c>
      <c r="N227" s="148"/>
      <c r="O227" s="138">
        <f t="shared" si="44"/>
        <v>1</v>
      </c>
      <c r="P227" s="148"/>
      <c r="Q227" s="138">
        <f t="shared" si="45"/>
        <v>1</v>
      </c>
      <c r="R227" s="201">
        <f t="shared" si="46"/>
        <v>0</v>
      </c>
      <c r="S227" s="137">
        <f t="shared" si="47"/>
        <v>0</v>
      </c>
    </row>
    <row r="228" spans="1:19">
      <c r="A228" s="146"/>
      <c r="B228" s="147"/>
      <c r="C228" s="138">
        <f t="shared" si="38"/>
        <v>1</v>
      </c>
      <c r="D228" s="148"/>
      <c r="E228" s="138">
        <f t="shared" si="39"/>
        <v>1</v>
      </c>
      <c r="F228" s="148"/>
      <c r="G228" s="138">
        <f t="shared" si="40"/>
        <v>1</v>
      </c>
      <c r="H228" s="148"/>
      <c r="I228" s="138">
        <f t="shared" si="41"/>
        <v>1</v>
      </c>
      <c r="J228" s="148"/>
      <c r="K228" s="138">
        <f t="shared" si="42"/>
        <v>1</v>
      </c>
      <c r="L228" s="148"/>
      <c r="M228" s="138">
        <f t="shared" si="43"/>
        <v>1</v>
      </c>
      <c r="N228" s="148"/>
      <c r="O228" s="138">
        <f t="shared" si="44"/>
        <v>1</v>
      </c>
      <c r="P228" s="148"/>
      <c r="Q228" s="138">
        <f t="shared" si="45"/>
        <v>1</v>
      </c>
      <c r="R228" s="201">
        <f t="shared" si="46"/>
        <v>0</v>
      </c>
      <c r="S228" s="137">
        <f t="shared" si="47"/>
        <v>0</v>
      </c>
    </row>
    <row r="229" spans="1:19">
      <c r="A229" s="146"/>
      <c r="B229" s="147"/>
      <c r="C229" s="138">
        <f t="shared" si="38"/>
        <v>1</v>
      </c>
      <c r="D229" s="148"/>
      <c r="E229" s="138">
        <f t="shared" si="39"/>
        <v>1</v>
      </c>
      <c r="F229" s="148"/>
      <c r="G229" s="138">
        <f t="shared" si="40"/>
        <v>1</v>
      </c>
      <c r="H229" s="148"/>
      <c r="I229" s="138">
        <f t="shared" si="41"/>
        <v>1</v>
      </c>
      <c r="J229" s="148"/>
      <c r="K229" s="138">
        <f t="shared" si="42"/>
        <v>1</v>
      </c>
      <c r="L229" s="148"/>
      <c r="M229" s="138">
        <f t="shared" si="43"/>
        <v>1</v>
      </c>
      <c r="N229" s="148"/>
      <c r="O229" s="138">
        <f t="shared" si="44"/>
        <v>1</v>
      </c>
      <c r="P229" s="148"/>
      <c r="Q229" s="138">
        <f t="shared" si="45"/>
        <v>1</v>
      </c>
      <c r="R229" s="201">
        <f t="shared" si="46"/>
        <v>0</v>
      </c>
      <c r="S229" s="137">
        <f t="shared" si="47"/>
        <v>0</v>
      </c>
    </row>
    <row r="230" spans="1:19">
      <c r="A230" s="146"/>
      <c r="B230" s="147"/>
      <c r="C230" s="138">
        <f t="shared" si="38"/>
        <v>1</v>
      </c>
      <c r="D230" s="148"/>
      <c r="E230" s="138">
        <f t="shared" si="39"/>
        <v>1</v>
      </c>
      <c r="F230" s="148"/>
      <c r="G230" s="138">
        <f t="shared" si="40"/>
        <v>1</v>
      </c>
      <c r="H230" s="148"/>
      <c r="I230" s="138">
        <f t="shared" si="41"/>
        <v>1</v>
      </c>
      <c r="J230" s="148"/>
      <c r="K230" s="138">
        <f t="shared" si="42"/>
        <v>1</v>
      </c>
      <c r="L230" s="148"/>
      <c r="M230" s="138">
        <f t="shared" si="43"/>
        <v>1</v>
      </c>
      <c r="N230" s="148"/>
      <c r="O230" s="138">
        <f t="shared" si="44"/>
        <v>1</v>
      </c>
      <c r="P230" s="148"/>
      <c r="Q230" s="138">
        <f t="shared" si="45"/>
        <v>1</v>
      </c>
      <c r="R230" s="201">
        <f t="shared" si="46"/>
        <v>0</v>
      </c>
      <c r="S230" s="137">
        <f t="shared" si="47"/>
        <v>0</v>
      </c>
    </row>
    <row r="231" spans="1:19">
      <c r="A231" s="146"/>
      <c r="B231" s="147"/>
      <c r="C231" s="138">
        <f t="shared" si="38"/>
        <v>1</v>
      </c>
      <c r="D231" s="148"/>
      <c r="E231" s="138">
        <f t="shared" si="39"/>
        <v>1</v>
      </c>
      <c r="F231" s="148"/>
      <c r="G231" s="138">
        <f t="shared" si="40"/>
        <v>1</v>
      </c>
      <c r="H231" s="148"/>
      <c r="I231" s="138">
        <f t="shared" si="41"/>
        <v>1</v>
      </c>
      <c r="J231" s="148"/>
      <c r="K231" s="138">
        <f t="shared" si="42"/>
        <v>1</v>
      </c>
      <c r="L231" s="148"/>
      <c r="M231" s="138">
        <f t="shared" si="43"/>
        <v>1</v>
      </c>
      <c r="N231" s="148"/>
      <c r="O231" s="138">
        <f t="shared" si="44"/>
        <v>1</v>
      </c>
      <c r="P231" s="148"/>
      <c r="Q231" s="138">
        <f t="shared" si="45"/>
        <v>1</v>
      </c>
      <c r="R231" s="201">
        <f t="shared" si="46"/>
        <v>0</v>
      </c>
      <c r="S231" s="137">
        <f t="shared" si="47"/>
        <v>0</v>
      </c>
    </row>
    <row r="232" spans="1:19">
      <c r="A232" s="146"/>
      <c r="B232" s="147"/>
      <c r="C232" s="138">
        <f t="shared" si="38"/>
        <v>1</v>
      </c>
      <c r="D232" s="148"/>
      <c r="E232" s="138">
        <f t="shared" si="39"/>
        <v>1</v>
      </c>
      <c r="F232" s="148"/>
      <c r="G232" s="138">
        <f t="shared" si="40"/>
        <v>1</v>
      </c>
      <c r="H232" s="148"/>
      <c r="I232" s="138">
        <f t="shared" si="41"/>
        <v>1</v>
      </c>
      <c r="J232" s="148"/>
      <c r="K232" s="138">
        <f t="shared" si="42"/>
        <v>1</v>
      </c>
      <c r="L232" s="148"/>
      <c r="M232" s="138">
        <f t="shared" si="43"/>
        <v>1</v>
      </c>
      <c r="N232" s="148"/>
      <c r="O232" s="138">
        <f t="shared" si="44"/>
        <v>1</v>
      </c>
      <c r="P232" s="148"/>
      <c r="Q232" s="138">
        <f t="shared" si="45"/>
        <v>1</v>
      </c>
      <c r="R232" s="201">
        <f t="shared" si="46"/>
        <v>0</v>
      </c>
      <c r="S232" s="137">
        <f t="shared" si="47"/>
        <v>0</v>
      </c>
    </row>
    <row r="233" spans="1:19">
      <c r="A233" s="146"/>
      <c r="B233" s="147"/>
      <c r="C233" s="138">
        <f t="shared" si="38"/>
        <v>1</v>
      </c>
      <c r="D233" s="148"/>
      <c r="E233" s="138">
        <f t="shared" si="39"/>
        <v>1</v>
      </c>
      <c r="F233" s="148"/>
      <c r="G233" s="138">
        <f t="shared" si="40"/>
        <v>1</v>
      </c>
      <c r="H233" s="148"/>
      <c r="I233" s="138">
        <f t="shared" si="41"/>
        <v>1</v>
      </c>
      <c r="J233" s="148"/>
      <c r="K233" s="138">
        <f t="shared" si="42"/>
        <v>1</v>
      </c>
      <c r="L233" s="148"/>
      <c r="M233" s="138">
        <f t="shared" si="43"/>
        <v>1</v>
      </c>
      <c r="N233" s="148"/>
      <c r="O233" s="138">
        <f t="shared" si="44"/>
        <v>1</v>
      </c>
      <c r="P233" s="148"/>
      <c r="Q233" s="138">
        <f t="shared" si="45"/>
        <v>1</v>
      </c>
      <c r="R233" s="201">
        <f t="shared" si="46"/>
        <v>0</v>
      </c>
      <c r="S233" s="137">
        <f t="shared" si="47"/>
        <v>0</v>
      </c>
    </row>
    <row r="234" spans="1:19">
      <c r="A234" s="146"/>
      <c r="B234" s="147"/>
      <c r="C234" s="138">
        <f t="shared" si="38"/>
        <v>1</v>
      </c>
      <c r="D234" s="148"/>
      <c r="E234" s="138">
        <f t="shared" si="39"/>
        <v>1</v>
      </c>
      <c r="F234" s="148"/>
      <c r="G234" s="138">
        <f t="shared" si="40"/>
        <v>1</v>
      </c>
      <c r="H234" s="148"/>
      <c r="I234" s="138">
        <f t="shared" si="41"/>
        <v>1</v>
      </c>
      <c r="J234" s="148"/>
      <c r="K234" s="138">
        <f t="shared" si="42"/>
        <v>1</v>
      </c>
      <c r="L234" s="148"/>
      <c r="M234" s="138">
        <f t="shared" si="43"/>
        <v>1</v>
      </c>
      <c r="N234" s="148"/>
      <c r="O234" s="138">
        <f t="shared" si="44"/>
        <v>1</v>
      </c>
      <c r="P234" s="148"/>
      <c r="Q234" s="138">
        <f t="shared" si="45"/>
        <v>1</v>
      </c>
      <c r="R234" s="201">
        <f t="shared" si="46"/>
        <v>0</v>
      </c>
      <c r="S234" s="137">
        <f t="shared" si="47"/>
        <v>0</v>
      </c>
    </row>
    <row r="235" spans="1:19">
      <c r="A235" s="146"/>
      <c r="B235" s="147"/>
      <c r="C235" s="138">
        <f t="shared" si="38"/>
        <v>1</v>
      </c>
      <c r="D235" s="148"/>
      <c r="E235" s="138">
        <f t="shared" si="39"/>
        <v>1</v>
      </c>
      <c r="F235" s="148"/>
      <c r="G235" s="138">
        <f t="shared" si="40"/>
        <v>1</v>
      </c>
      <c r="H235" s="148"/>
      <c r="I235" s="138">
        <f t="shared" si="41"/>
        <v>1</v>
      </c>
      <c r="J235" s="148"/>
      <c r="K235" s="138">
        <f t="shared" si="42"/>
        <v>1</v>
      </c>
      <c r="L235" s="148"/>
      <c r="M235" s="138">
        <f t="shared" si="43"/>
        <v>1</v>
      </c>
      <c r="N235" s="148"/>
      <c r="O235" s="138">
        <f t="shared" si="44"/>
        <v>1</v>
      </c>
      <c r="P235" s="148"/>
      <c r="Q235" s="138">
        <f t="shared" si="45"/>
        <v>1</v>
      </c>
      <c r="R235" s="201">
        <f t="shared" si="46"/>
        <v>0</v>
      </c>
      <c r="S235" s="137">
        <f t="shared" si="47"/>
        <v>0</v>
      </c>
    </row>
    <row r="236" spans="1:19">
      <c r="A236" s="146"/>
      <c r="B236" s="147"/>
      <c r="C236" s="138">
        <f t="shared" si="38"/>
        <v>1</v>
      </c>
      <c r="D236" s="148"/>
      <c r="E236" s="138">
        <f t="shared" si="39"/>
        <v>1</v>
      </c>
      <c r="F236" s="148"/>
      <c r="G236" s="138">
        <f t="shared" si="40"/>
        <v>1</v>
      </c>
      <c r="H236" s="148"/>
      <c r="I236" s="138">
        <f t="shared" si="41"/>
        <v>1</v>
      </c>
      <c r="J236" s="148"/>
      <c r="K236" s="138">
        <f t="shared" si="42"/>
        <v>1</v>
      </c>
      <c r="L236" s="148"/>
      <c r="M236" s="138">
        <f t="shared" si="43"/>
        <v>1</v>
      </c>
      <c r="N236" s="148"/>
      <c r="O236" s="138">
        <f t="shared" si="44"/>
        <v>1</v>
      </c>
      <c r="P236" s="148"/>
      <c r="Q236" s="138">
        <f t="shared" si="45"/>
        <v>1</v>
      </c>
      <c r="R236" s="201">
        <f t="shared" si="46"/>
        <v>0</v>
      </c>
      <c r="S236" s="137">
        <f t="shared" si="47"/>
        <v>0</v>
      </c>
    </row>
    <row r="237" spans="1:19">
      <c r="A237" s="146"/>
      <c r="B237" s="147"/>
      <c r="C237" s="138">
        <f t="shared" si="38"/>
        <v>1</v>
      </c>
      <c r="D237" s="148"/>
      <c r="E237" s="138">
        <f t="shared" si="39"/>
        <v>1</v>
      </c>
      <c r="F237" s="148"/>
      <c r="G237" s="138">
        <f t="shared" si="40"/>
        <v>1</v>
      </c>
      <c r="H237" s="148"/>
      <c r="I237" s="138">
        <f t="shared" si="41"/>
        <v>1</v>
      </c>
      <c r="J237" s="148"/>
      <c r="K237" s="138">
        <f t="shared" si="42"/>
        <v>1</v>
      </c>
      <c r="L237" s="148"/>
      <c r="M237" s="138">
        <f t="shared" si="43"/>
        <v>1</v>
      </c>
      <c r="N237" s="148"/>
      <c r="O237" s="138">
        <f t="shared" si="44"/>
        <v>1</v>
      </c>
      <c r="P237" s="148"/>
      <c r="Q237" s="138">
        <f t="shared" si="45"/>
        <v>1</v>
      </c>
      <c r="R237" s="201">
        <f t="shared" si="46"/>
        <v>0</v>
      </c>
      <c r="S237" s="137">
        <f t="shared" si="47"/>
        <v>0</v>
      </c>
    </row>
    <row r="238" spans="1:19">
      <c r="A238" s="146"/>
      <c r="B238" s="147"/>
      <c r="C238" s="138">
        <f t="shared" si="38"/>
        <v>1</v>
      </c>
      <c r="D238" s="148"/>
      <c r="E238" s="138">
        <f t="shared" si="39"/>
        <v>1</v>
      </c>
      <c r="F238" s="148"/>
      <c r="G238" s="138">
        <f t="shared" si="40"/>
        <v>1</v>
      </c>
      <c r="H238" s="148"/>
      <c r="I238" s="138">
        <f t="shared" si="41"/>
        <v>1</v>
      </c>
      <c r="J238" s="148"/>
      <c r="K238" s="138">
        <f t="shared" si="42"/>
        <v>1</v>
      </c>
      <c r="L238" s="148"/>
      <c r="M238" s="138">
        <f t="shared" si="43"/>
        <v>1</v>
      </c>
      <c r="N238" s="148"/>
      <c r="O238" s="138">
        <f t="shared" si="44"/>
        <v>1</v>
      </c>
      <c r="P238" s="148"/>
      <c r="Q238" s="138">
        <f t="shared" si="45"/>
        <v>1</v>
      </c>
      <c r="R238" s="201">
        <f t="shared" si="46"/>
        <v>0</v>
      </c>
      <c r="S238" s="137">
        <f t="shared" si="47"/>
        <v>0</v>
      </c>
    </row>
    <row r="239" spans="1:19">
      <c r="A239" s="146"/>
      <c r="B239" s="147"/>
      <c r="C239" s="138">
        <f t="shared" si="38"/>
        <v>1</v>
      </c>
      <c r="D239" s="148"/>
      <c r="E239" s="138">
        <f t="shared" si="39"/>
        <v>1</v>
      </c>
      <c r="F239" s="148"/>
      <c r="G239" s="138">
        <f t="shared" si="40"/>
        <v>1</v>
      </c>
      <c r="H239" s="148"/>
      <c r="I239" s="138">
        <f t="shared" si="41"/>
        <v>1</v>
      </c>
      <c r="J239" s="148"/>
      <c r="K239" s="138">
        <f t="shared" si="42"/>
        <v>1</v>
      </c>
      <c r="L239" s="148"/>
      <c r="M239" s="138">
        <f t="shared" si="43"/>
        <v>1</v>
      </c>
      <c r="N239" s="148"/>
      <c r="O239" s="138">
        <f t="shared" si="44"/>
        <v>1</v>
      </c>
      <c r="P239" s="148"/>
      <c r="Q239" s="138">
        <f t="shared" si="45"/>
        <v>1</v>
      </c>
      <c r="R239" s="201">
        <f t="shared" si="46"/>
        <v>0</v>
      </c>
      <c r="S239" s="137">
        <f t="shared" si="47"/>
        <v>0</v>
      </c>
    </row>
    <row r="240" spans="1:19">
      <c r="A240" s="146"/>
      <c r="B240" s="147"/>
      <c r="C240" s="138">
        <f t="shared" si="38"/>
        <v>1</v>
      </c>
      <c r="D240" s="148"/>
      <c r="E240" s="138">
        <f t="shared" si="39"/>
        <v>1</v>
      </c>
      <c r="F240" s="148"/>
      <c r="G240" s="138">
        <f t="shared" si="40"/>
        <v>1</v>
      </c>
      <c r="H240" s="148"/>
      <c r="I240" s="138">
        <f t="shared" si="41"/>
        <v>1</v>
      </c>
      <c r="J240" s="148"/>
      <c r="K240" s="138">
        <f t="shared" si="42"/>
        <v>1</v>
      </c>
      <c r="L240" s="148"/>
      <c r="M240" s="138">
        <f t="shared" si="43"/>
        <v>1</v>
      </c>
      <c r="N240" s="148"/>
      <c r="O240" s="138">
        <f t="shared" si="44"/>
        <v>1</v>
      </c>
      <c r="P240" s="148"/>
      <c r="Q240" s="138">
        <f t="shared" si="45"/>
        <v>1</v>
      </c>
      <c r="R240" s="201">
        <f t="shared" si="46"/>
        <v>0</v>
      </c>
      <c r="S240" s="137">
        <f t="shared" si="47"/>
        <v>0</v>
      </c>
    </row>
    <row r="241" spans="1:19">
      <c r="A241" s="146"/>
      <c r="B241" s="147"/>
      <c r="C241" s="138">
        <f t="shared" si="38"/>
        <v>1</v>
      </c>
      <c r="D241" s="148"/>
      <c r="E241" s="138">
        <f t="shared" si="39"/>
        <v>1</v>
      </c>
      <c r="F241" s="148"/>
      <c r="G241" s="138">
        <f t="shared" si="40"/>
        <v>1</v>
      </c>
      <c r="H241" s="148"/>
      <c r="I241" s="138">
        <f t="shared" si="41"/>
        <v>1</v>
      </c>
      <c r="J241" s="148"/>
      <c r="K241" s="138">
        <f t="shared" si="42"/>
        <v>1</v>
      </c>
      <c r="L241" s="148"/>
      <c r="M241" s="138">
        <f t="shared" si="43"/>
        <v>1</v>
      </c>
      <c r="N241" s="148"/>
      <c r="O241" s="138">
        <f t="shared" si="44"/>
        <v>1</v>
      </c>
      <c r="P241" s="148"/>
      <c r="Q241" s="138">
        <f t="shared" si="45"/>
        <v>1</v>
      </c>
      <c r="R241" s="201">
        <f t="shared" si="46"/>
        <v>0</v>
      </c>
      <c r="S241" s="137">
        <f t="shared" si="47"/>
        <v>0</v>
      </c>
    </row>
    <row r="242" spans="1:19">
      <c r="A242" s="146"/>
      <c r="B242" s="147"/>
      <c r="C242" s="138">
        <f t="shared" si="38"/>
        <v>1</v>
      </c>
      <c r="D242" s="148"/>
      <c r="E242" s="138">
        <f t="shared" si="39"/>
        <v>1</v>
      </c>
      <c r="F242" s="148"/>
      <c r="G242" s="138">
        <f t="shared" si="40"/>
        <v>1</v>
      </c>
      <c r="H242" s="148"/>
      <c r="I242" s="138">
        <f t="shared" si="41"/>
        <v>1</v>
      </c>
      <c r="J242" s="148"/>
      <c r="K242" s="138">
        <f t="shared" si="42"/>
        <v>1</v>
      </c>
      <c r="L242" s="148"/>
      <c r="M242" s="138">
        <f t="shared" si="43"/>
        <v>1</v>
      </c>
      <c r="N242" s="148"/>
      <c r="O242" s="138">
        <f t="shared" si="44"/>
        <v>1</v>
      </c>
      <c r="P242" s="148"/>
      <c r="Q242" s="138">
        <f t="shared" si="45"/>
        <v>1</v>
      </c>
      <c r="R242" s="201">
        <f t="shared" si="46"/>
        <v>0</v>
      </c>
      <c r="S242" s="137">
        <f t="shared" si="47"/>
        <v>0</v>
      </c>
    </row>
    <row r="243" spans="1:19">
      <c r="A243" s="146"/>
      <c r="B243" s="147"/>
      <c r="C243" s="138">
        <f t="shared" si="38"/>
        <v>1</v>
      </c>
      <c r="D243" s="148"/>
      <c r="E243" s="138">
        <f t="shared" si="39"/>
        <v>1</v>
      </c>
      <c r="F243" s="148"/>
      <c r="G243" s="138">
        <f t="shared" si="40"/>
        <v>1</v>
      </c>
      <c r="H243" s="148"/>
      <c r="I243" s="138">
        <f t="shared" si="41"/>
        <v>1</v>
      </c>
      <c r="J243" s="148"/>
      <c r="K243" s="138">
        <f t="shared" si="42"/>
        <v>1</v>
      </c>
      <c r="L243" s="148"/>
      <c r="M243" s="138">
        <f t="shared" si="43"/>
        <v>1</v>
      </c>
      <c r="N243" s="148"/>
      <c r="O243" s="138">
        <f t="shared" si="44"/>
        <v>1</v>
      </c>
      <c r="P243" s="148"/>
      <c r="Q243" s="138">
        <f t="shared" si="45"/>
        <v>1</v>
      </c>
      <c r="R243" s="201">
        <f t="shared" si="46"/>
        <v>0</v>
      </c>
      <c r="S243" s="137">
        <f t="shared" si="47"/>
        <v>0</v>
      </c>
    </row>
    <row r="244" spans="1:19">
      <c r="A244" s="146"/>
      <c r="B244" s="147"/>
      <c r="C244" s="138">
        <f t="shared" si="38"/>
        <v>1</v>
      </c>
      <c r="D244" s="148"/>
      <c r="E244" s="138">
        <f t="shared" si="39"/>
        <v>1</v>
      </c>
      <c r="F244" s="148"/>
      <c r="G244" s="138">
        <f t="shared" si="40"/>
        <v>1</v>
      </c>
      <c r="H244" s="148"/>
      <c r="I244" s="138">
        <f t="shared" si="41"/>
        <v>1</v>
      </c>
      <c r="J244" s="148"/>
      <c r="K244" s="138">
        <f t="shared" si="42"/>
        <v>1</v>
      </c>
      <c r="L244" s="148"/>
      <c r="M244" s="138">
        <f t="shared" si="43"/>
        <v>1</v>
      </c>
      <c r="N244" s="148"/>
      <c r="O244" s="138">
        <f t="shared" si="44"/>
        <v>1</v>
      </c>
      <c r="P244" s="148"/>
      <c r="Q244" s="138">
        <f t="shared" si="45"/>
        <v>1</v>
      </c>
      <c r="R244" s="201">
        <f t="shared" si="46"/>
        <v>0</v>
      </c>
      <c r="S244" s="137">
        <f t="shared" si="47"/>
        <v>0</v>
      </c>
    </row>
    <row r="245" spans="1:19">
      <c r="A245" s="146"/>
      <c r="B245" s="147"/>
      <c r="C245" s="138">
        <f t="shared" si="38"/>
        <v>1</v>
      </c>
      <c r="D245" s="148"/>
      <c r="E245" s="138">
        <f t="shared" si="39"/>
        <v>1</v>
      </c>
      <c r="F245" s="148"/>
      <c r="G245" s="138">
        <f t="shared" si="40"/>
        <v>1</v>
      </c>
      <c r="H245" s="148"/>
      <c r="I245" s="138">
        <f t="shared" si="41"/>
        <v>1</v>
      </c>
      <c r="J245" s="148"/>
      <c r="K245" s="138">
        <f t="shared" si="42"/>
        <v>1</v>
      </c>
      <c r="L245" s="148"/>
      <c r="M245" s="138">
        <f t="shared" si="43"/>
        <v>1</v>
      </c>
      <c r="N245" s="148"/>
      <c r="O245" s="138">
        <f t="shared" si="44"/>
        <v>1</v>
      </c>
      <c r="P245" s="148"/>
      <c r="Q245" s="138">
        <f t="shared" si="45"/>
        <v>1</v>
      </c>
      <c r="R245" s="201">
        <f t="shared" si="46"/>
        <v>0</v>
      </c>
      <c r="S245" s="137">
        <f t="shared" si="47"/>
        <v>0</v>
      </c>
    </row>
    <row r="246" spans="1:19">
      <c r="A246" s="146"/>
      <c r="B246" s="147"/>
      <c r="C246" s="138">
        <f t="shared" si="38"/>
        <v>1</v>
      </c>
      <c r="D246" s="148"/>
      <c r="E246" s="138">
        <f t="shared" si="39"/>
        <v>1</v>
      </c>
      <c r="F246" s="148"/>
      <c r="G246" s="138">
        <f t="shared" si="40"/>
        <v>1</v>
      </c>
      <c r="H246" s="148"/>
      <c r="I246" s="138">
        <f t="shared" si="41"/>
        <v>1</v>
      </c>
      <c r="J246" s="148"/>
      <c r="K246" s="138">
        <f t="shared" si="42"/>
        <v>1</v>
      </c>
      <c r="L246" s="148"/>
      <c r="M246" s="138">
        <f t="shared" si="43"/>
        <v>1</v>
      </c>
      <c r="N246" s="148"/>
      <c r="O246" s="138">
        <f t="shared" si="44"/>
        <v>1</v>
      </c>
      <c r="P246" s="148"/>
      <c r="Q246" s="138">
        <f t="shared" si="45"/>
        <v>1</v>
      </c>
      <c r="R246" s="201">
        <f t="shared" si="46"/>
        <v>0</v>
      </c>
      <c r="S246" s="137">
        <f t="shared" si="47"/>
        <v>0</v>
      </c>
    </row>
    <row r="247" spans="1:19">
      <c r="A247" s="146"/>
      <c r="B247" s="147"/>
      <c r="C247" s="138">
        <f t="shared" si="38"/>
        <v>1</v>
      </c>
      <c r="D247" s="148"/>
      <c r="E247" s="138">
        <f t="shared" si="39"/>
        <v>1</v>
      </c>
      <c r="F247" s="148"/>
      <c r="G247" s="138">
        <f t="shared" si="40"/>
        <v>1</v>
      </c>
      <c r="H247" s="148"/>
      <c r="I247" s="138">
        <f t="shared" si="41"/>
        <v>1</v>
      </c>
      <c r="J247" s="148"/>
      <c r="K247" s="138">
        <f t="shared" si="42"/>
        <v>1</v>
      </c>
      <c r="L247" s="148"/>
      <c r="M247" s="138">
        <f t="shared" si="43"/>
        <v>1</v>
      </c>
      <c r="N247" s="148"/>
      <c r="O247" s="138">
        <f t="shared" si="44"/>
        <v>1</v>
      </c>
      <c r="P247" s="148"/>
      <c r="Q247" s="138">
        <f t="shared" si="45"/>
        <v>1</v>
      </c>
      <c r="R247" s="201">
        <f t="shared" si="46"/>
        <v>0</v>
      </c>
      <c r="S247" s="137">
        <f t="shared" si="47"/>
        <v>0</v>
      </c>
    </row>
    <row r="248" spans="1:19">
      <c r="A248" s="146"/>
      <c r="B248" s="147"/>
      <c r="C248" s="138">
        <f t="shared" si="38"/>
        <v>1</v>
      </c>
      <c r="D248" s="148"/>
      <c r="E248" s="138">
        <f t="shared" si="39"/>
        <v>1</v>
      </c>
      <c r="F248" s="148"/>
      <c r="G248" s="138">
        <f t="shared" si="40"/>
        <v>1</v>
      </c>
      <c r="H248" s="148"/>
      <c r="I248" s="138">
        <f t="shared" si="41"/>
        <v>1</v>
      </c>
      <c r="J248" s="148"/>
      <c r="K248" s="138">
        <f t="shared" si="42"/>
        <v>1</v>
      </c>
      <c r="L248" s="148"/>
      <c r="M248" s="138">
        <f t="shared" si="43"/>
        <v>1</v>
      </c>
      <c r="N248" s="148"/>
      <c r="O248" s="138">
        <f t="shared" si="44"/>
        <v>1</v>
      </c>
      <c r="P248" s="148"/>
      <c r="Q248" s="138">
        <f t="shared" si="45"/>
        <v>1</v>
      </c>
      <c r="R248" s="201">
        <f t="shared" si="46"/>
        <v>0</v>
      </c>
      <c r="S248" s="137">
        <f t="shared" si="47"/>
        <v>0</v>
      </c>
    </row>
    <row r="249" spans="1:19">
      <c r="A249" s="146"/>
      <c r="B249" s="147"/>
      <c r="C249" s="138">
        <f t="shared" si="38"/>
        <v>1</v>
      </c>
      <c r="D249" s="148"/>
      <c r="E249" s="138">
        <f t="shared" si="39"/>
        <v>1</v>
      </c>
      <c r="F249" s="148"/>
      <c r="G249" s="138">
        <f t="shared" si="40"/>
        <v>1</v>
      </c>
      <c r="H249" s="148"/>
      <c r="I249" s="138">
        <f t="shared" si="41"/>
        <v>1</v>
      </c>
      <c r="J249" s="148"/>
      <c r="K249" s="138">
        <f t="shared" si="42"/>
        <v>1</v>
      </c>
      <c r="L249" s="148"/>
      <c r="M249" s="138">
        <f t="shared" si="43"/>
        <v>1</v>
      </c>
      <c r="N249" s="148"/>
      <c r="O249" s="138">
        <f t="shared" si="44"/>
        <v>1</v>
      </c>
      <c r="P249" s="148"/>
      <c r="Q249" s="138">
        <f t="shared" si="45"/>
        <v>1</v>
      </c>
      <c r="R249" s="201">
        <f t="shared" si="46"/>
        <v>0</v>
      </c>
      <c r="S249" s="137">
        <f t="shared" si="47"/>
        <v>0</v>
      </c>
    </row>
    <row r="250" spans="1:19">
      <c r="A250" s="146"/>
      <c r="B250" s="147"/>
      <c r="C250" s="138">
        <f t="shared" si="38"/>
        <v>1</v>
      </c>
      <c r="D250" s="148"/>
      <c r="E250" s="138">
        <f t="shared" si="39"/>
        <v>1</v>
      </c>
      <c r="F250" s="148"/>
      <c r="G250" s="138">
        <f t="shared" si="40"/>
        <v>1</v>
      </c>
      <c r="H250" s="148"/>
      <c r="I250" s="138">
        <f t="shared" si="41"/>
        <v>1</v>
      </c>
      <c r="J250" s="148"/>
      <c r="K250" s="138">
        <f t="shared" si="42"/>
        <v>1</v>
      </c>
      <c r="L250" s="148"/>
      <c r="M250" s="138">
        <f t="shared" si="43"/>
        <v>1</v>
      </c>
      <c r="N250" s="148"/>
      <c r="O250" s="138">
        <f t="shared" si="44"/>
        <v>1</v>
      </c>
      <c r="P250" s="148"/>
      <c r="Q250" s="138">
        <f t="shared" si="45"/>
        <v>1</v>
      </c>
      <c r="R250" s="201">
        <f t="shared" si="46"/>
        <v>0</v>
      </c>
      <c r="S250" s="137">
        <f t="shared" si="47"/>
        <v>0</v>
      </c>
    </row>
    <row r="251" spans="1:19">
      <c r="A251" s="146"/>
      <c r="B251" s="147"/>
      <c r="C251" s="138">
        <f t="shared" si="38"/>
        <v>1</v>
      </c>
      <c r="D251" s="148"/>
      <c r="E251" s="138">
        <f t="shared" si="39"/>
        <v>1</v>
      </c>
      <c r="F251" s="148"/>
      <c r="G251" s="138">
        <f t="shared" si="40"/>
        <v>1</v>
      </c>
      <c r="H251" s="148"/>
      <c r="I251" s="138">
        <f t="shared" si="41"/>
        <v>1</v>
      </c>
      <c r="J251" s="148"/>
      <c r="K251" s="138">
        <f t="shared" si="42"/>
        <v>1</v>
      </c>
      <c r="L251" s="148"/>
      <c r="M251" s="138">
        <f t="shared" si="43"/>
        <v>1</v>
      </c>
      <c r="N251" s="148"/>
      <c r="O251" s="138">
        <f t="shared" si="44"/>
        <v>1</v>
      </c>
      <c r="P251" s="148"/>
      <c r="Q251" s="138">
        <f t="shared" si="45"/>
        <v>1</v>
      </c>
      <c r="R251" s="201">
        <f t="shared" si="46"/>
        <v>0</v>
      </c>
      <c r="S251" s="137">
        <f t="shared" si="47"/>
        <v>0</v>
      </c>
    </row>
    <row r="252" spans="1:19">
      <c r="A252" s="146"/>
      <c r="B252" s="147"/>
      <c r="C252" s="138">
        <f t="shared" si="38"/>
        <v>1</v>
      </c>
      <c r="D252" s="148"/>
      <c r="E252" s="138">
        <f t="shared" si="39"/>
        <v>1</v>
      </c>
      <c r="F252" s="148"/>
      <c r="G252" s="138">
        <f t="shared" si="40"/>
        <v>1</v>
      </c>
      <c r="H252" s="148"/>
      <c r="I252" s="138">
        <f t="shared" si="41"/>
        <v>1</v>
      </c>
      <c r="J252" s="148"/>
      <c r="K252" s="138">
        <f t="shared" si="42"/>
        <v>1</v>
      </c>
      <c r="L252" s="148"/>
      <c r="M252" s="138">
        <f t="shared" si="43"/>
        <v>1</v>
      </c>
      <c r="N252" s="148"/>
      <c r="O252" s="138">
        <f t="shared" si="44"/>
        <v>1</v>
      </c>
      <c r="P252" s="148"/>
      <c r="Q252" s="138">
        <f t="shared" si="45"/>
        <v>1</v>
      </c>
      <c r="R252" s="201">
        <f t="shared" si="46"/>
        <v>0</v>
      </c>
      <c r="S252" s="137">
        <f t="shared" si="47"/>
        <v>0</v>
      </c>
    </row>
    <row r="253" spans="1:19">
      <c r="A253" s="146"/>
      <c r="B253" s="147"/>
      <c r="C253" s="138">
        <f t="shared" si="38"/>
        <v>1</v>
      </c>
      <c r="D253" s="148"/>
      <c r="E253" s="138">
        <f t="shared" si="39"/>
        <v>1</v>
      </c>
      <c r="F253" s="148"/>
      <c r="G253" s="138">
        <f t="shared" si="40"/>
        <v>1</v>
      </c>
      <c r="H253" s="148"/>
      <c r="I253" s="138">
        <f t="shared" si="41"/>
        <v>1</v>
      </c>
      <c r="J253" s="148"/>
      <c r="K253" s="138">
        <f t="shared" si="42"/>
        <v>1</v>
      </c>
      <c r="L253" s="148"/>
      <c r="M253" s="138">
        <f t="shared" si="43"/>
        <v>1</v>
      </c>
      <c r="N253" s="148"/>
      <c r="O253" s="138">
        <f t="shared" si="44"/>
        <v>1</v>
      </c>
      <c r="P253" s="148"/>
      <c r="Q253" s="138">
        <f t="shared" si="45"/>
        <v>1</v>
      </c>
      <c r="R253" s="201">
        <f t="shared" si="46"/>
        <v>0</v>
      </c>
      <c r="S253" s="137">
        <f t="shared" si="47"/>
        <v>0</v>
      </c>
    </row>
    <row r="254" spans="1:19">
      <c r="A254" s="146"/>
      <c r="B254" s="147"/>
      <c r="C254" s="138">
        <f t="shared" si="38"/>
        <v>1</v>
      </c>
      <c r="D254" s="148"/>
      <c r="E254" s="138">
        <f t="shared" si="39"/>
        <v>1</v>
      </c>
      <c r="F254" s="148"/>
      <c r="G254" s="138">
        <f t="shared" si="40"/>
        <v>1</v>
      </c>
      <c r="H254" s="148"/>
      <c r="I254" s="138">
        <f t="shared" si="41"/>
        <v>1</v>
      </c>
      <c r="J254" s="148"/>
      <c r="K254" s="138">
        <f t="shared" si="42"/>
        <v>1</v>
      </c>
      <c r="L254" s="148"/>
      <c r="M254" s="138">
        <f t="shared" si="43"/>
        <v>1</v>
      </c>
      <c r="N254" s="148"/>
      <c r="O254" s="138">
        <f t="shared" si="44"/>
        <v>1</v>
      </c>
      <c r="P254" s="148"/>
      <c r="Q254" s="138">
        <f t="shared" si="45"/>
        <v>1</v>
      </c>
      <c r="R254" s="201">
        <f t="shared" si="46"/>
        <v>0</v>
      </c>
      <c r="S254" s="137">
        <f t="shared" si="47"/>
        <v>0</v>
      </c>
    </row>
    <row r="255" spans="1:19">
      <c r="A255" s="146"/>
      <c r="B255" s="147"/>
      <c r="C255" s="138">
        <f t="shared" si="38"/>
        <v>1</v>
      </c>
      <c r="D255" s="148"/>
      <c r="E255" s="138">
        <f t="shared" si="39"/>
        <v>1</v>
      </c>
      <c r="F255" s="148"/>
      <c r="G255" s="138">
        <f t="shared" si="40"/>
        <v>1</v>
      </c>
      <c r="H255" s="148"/>
      <c r="I255" s="138">
        <f t="shared" si="41"/>
        <v>1</v>
      </c>
      <c r="J255" s="148"/>
      <c r="K255" s="138">
        <f t="shared" si="42"/>
        <v>1</v>
      </c>
      <c r="L255" s="148"/>
      <c r="M255" s="138">
        <f t="shared" si="43"/>
        <v>1</v>
      </c>
      <c r="N255" s="148"/>
      <c r="O255" s="138">
        <f t="shared" si="44"/>
        <v>1</v>
      </c>
      <c r="P255" s="148"/>
      <c r="Q255" s="138">
        <f t="shared" si="45"/>
        <v>1</v>
      </c>
      <c r="R255" s="201">
        <f t="shared" si="46"/>
        <v>0</v>
      </c>
      <c r="S255" s="137">
        <f t="shared" si="47"/>
        <v>0</v>
      </c>
    </row>
    <row r="256" spans="1:19">
      <c r="A256" s="146"/>
      <c r="B256" s="147"/>
      <c r="C256" s="138">
        <f t="shared" si="38"/>
        <v>1</v>
      </c>
      <c r="D256" s="148"/>
      <c r="E256" s="138">
        <f t="shared" si="39"/>
        <v>1</v>
      </c>
      <c r="F256" s="148"/>
      <c r="G256" s="138">
        <f t="shared" si="40"/>
        <v>1</v>
      </c>
      <c r="H256" s="148"/>
      <c r="I256" s="138">
        <f t="shared" si="41"/>
        <v>1</v>
      </c>
      <c r="J256" s="148"/>
      <c r="K256" s="138">
        <f t="shared" si="42"/>
        <v>1</v>
      </c>
      <c r="L256" s="148"/>
      <c r="M256" s="138">
        <f t="shared" si="43"/>
        <v>1</v>
      </c>
      <c r="N256" s="148"/>
      <c r="O256" s="138">
        <f t="shared" si="44"/>
        <v>1</v>
      </c>
      <c r="P256" s="148"/>
      <c r="Q256" s="138">
        <f t="shared" si="45"/>
        <v>1</v>
      </c>
      <c r="R256" s="201">
        <f t="shared" si="46"/>
        <v>0</v>
      </c>
      <c r="S256" s="137">
        <f t="shared" si="47"/>
        <v>0</v>
      </c>
    </row>
    <row r="257" spans="1:19">
      <c r="A257" s="146"/>
      <c r="B257" s="147"/>
      <c r="C257" s="138">
        <f t="shared" si="38"/>
        <v>1</v>
      </c>
      <c r="D257" s="148"/>
      <c r="E257" s="138">
        <f t="shared" si="39"/>
        <v>1</v>
      </c>
      <c r="F257" s="148"/>
      <c r="G257" s="138">
        <f t="shared" si="40"/>
        <v>1</v>
      </c>
      <c r="H257" s="148"/>
      <c r="I257" s="138">
        <f t="shared" si="41"/>
        <v>1</v>
      </c>
      <c r="J257" s="148"/>
      <c r="K257" s="138">
        <f t="shared" si="42"/>
        <v>1</v>
      </c>
      <c r="L257" s="148"/>
      <c r="M257" s="138">
        <f t="shared" si="43"/>
        <v>1</v>
      </c>
      <c r="N257" s="148"/>
      <c r="O257" s="138">
        <f t="shared" si="44"/>
        <v>1</v>
      </c>
      <c r="P257" s="148"/>
      <c r="Q257" s="138">
        <f t="shared" si="45"/>
        <v>1</v>
      </c>
      <c r="R257" s="201">
        <f t="shared" si="46"/>
        <v>0</v>
      </c>
      <c r="S257" s="137">
        <f t="shared" si="47"/>
        <v>0</v>
      </c>
    </row>
    <row r="258" spans="1:19">
      <c r="A258" s="146"/>
      <c r="B258" s="147"/>
      <c r="C258" s="138">
        <f t="shared" si="38"/>
        <v>1</v>
      </c>
      <c r="D258" s="148"/>
      <c r="E258" s="138">
        <f t="shared" si="39"/>
        <v>1</v>
      </c>
      <c r="F258" s="148"/>
      <c r="G258" s="138">
        <f t="shared" si="40"/>
        <v>1</v>
      </c>
      <c r="H258" s="148"/>
      <c r="I258" s="138">
        <f t="shared" si="41"/>
        <v>1</v>
      </c>
      <c r="J258" s="148"/>
      <c r="K258" s="138">
        <f t="shared" si="42"/>
        <v>1</v>
      </c>
      <c r="L258" s="148"/>
      <c r="M258" s="138">
        <f t="shared" si="43"/>
        <v>1</v>
      </c>
      <c r="N258" s="148"/>
      <c r="O258" s="138">
        <f t="shared" si="44"/>
        <v>1</v>
      </c>
      <c r="P258" s="148"/>
      <c r="Q258" s="138">
        <f t="shared" si="45"/>
        <v>1</v>
      </c>
      <c r="R258" s="201">
        <f t="shared" si="46"/>
        <v>0</v>
      </c>
      <c r="S258" s="137">
        <f t="shared" si="47"/>
        <v>0</v>
      </c>
    </row>
    <row r="259" spans="1:19">
      <c r="A259" s="146"/>
      <c r="B259" s="147"/>
      <c r="C259" s="138">
        <f t="shared" si="38"/>
        <v>1</v>
      </c>
      <c r="D259" s="148"/>
      <c r="E259" s="138">
        <f t="shared" si="39"/>
        <v>1</v>
      </c>
      <c r="F259" s="148"/>
      <c r="G259" s="138">
        <f t="shared" si="40"/>
        <v>1</v>
      </c>
      <c r="H259" s="148"/>
      <c r="I259" s="138">
        <f t="shared" si="41"/>
        <v>1</v>
      </c>
      <c r="J259" s="148"/>
      <c r="K259" s="138">
        <f t="shared" si="42"/>
        <v>1</v>
      </c>
      <c r="L259" s="148"/>
      <c r="M259" s="138">
        <f t="shared" si="43"/>
        <v>1</v>
      </c>
      <c r="N259" s="148"/>
      <c r="O259" s="138">
        <f t="shared" si="44"/>
        <v>1</v>
      </c>
      <c r="P259" s="148"/>
      <c r="Q259" s="138">
        <f t="shared" si="45"/>
        <v>1</v>
      </c>
      <c r="R259" s="201">
        <f t="shared" si="46"/>
        <v>0</v>
      </c>
      <c r="S259" s="137">
        <f t="shared" si="47"/>
        <v>0</v>
      </c>
    </row>
    <row r="260" spans="1:19">
      <c r="A260" s="146"/>
      <c r="B260" s="147"/>
      <c r="C260" s="138">
        <f t="shared" si="38"/>
        <v>1</v>
      </c>
      <c r="D260" s="148"/>
      <c r="E260" s="138">
        <f t="shared" si="39"/>
        <v>1</v>
      </c>
      <c r="F260" s="148"/>
      <c r="G260" s="138">
        <f t="shared" si="40"/>
        <v>1</v>
      </c>
      <c r="H260" s="148"/>
      <c r="I260" s="138">
        <f t="shared" si="41"/>
        <v>1</v>
      </c>
      <c r="J260" s="148"/>
      <c r="K260" s="138">
        <f t="shared" si="42"/>
        <v>1</v>
      </c>
      <c r="L260" s="148"/>
      <c r="M260" s="138">
        <f t="shared" si="43"/>
        <v>1</v>
      </c>
      <c r="N260" s="148"/>
      <c r="O260" s="138">
        <f t="shared" si="44"/>
        <v>1</v>
      </c>
      <c r="P260" s="148"/>
      <c r="Q260" s="138">
        <f t="shared" si="45"/>
        <v>1</v>
      </c>
      <c r="R260" s="201">
        <f t="shared" si="46"/>
        <v>0</v>
      </c>
      <c r="S260" s="137">
        <f t="shared" si="47"/>
        <v>0</v>
      </c>
    </row>
    <row r="261" spans="1:19">
      <c r="A261" s="146"/>
      <c r="B261" s="147"/>
      <c r="C261" s="138">
        <f t="shared" si="38"/>
        <v>1</v>
      </c>
      <c r="D261" s="148"/>
      <c r="E261" s="138">
        <f t="shared" si="39"/>
        <v>1</v>
      </c>
      <c r="F261" s="148"/>
      <c r="G261" s="138">
        <f t="shared" si="40"/>
        <v>1</v>
      </c>
      <c r="H261" s="148"/>
      <c r="I261" s="138">
        <f t="shared" si="41"/>
        <v>1</v>
      </c>
      <c r="J261" s="148"/>
      <c r="K261" s="138">
        <f t="shared" si="42"/>
        <v>1</v>
      </c>
      <c r="L261" s="148"/>
      <c r="M261" s="138">
        <f t="shared" si="43"/>
        <v>1</v>
      </c>
      <c r="N261" s="148"/>
      <c r="O261" s="138">
        <f t="shared" si="44"/>
        <v>1</v>
      </c>
      <c r="P261" s="148"/>
      <c r="Q261" s="138">
        <f t="shared" si="45"/>
        <v>1</v>
      </c>
      <c r="R261" s="201">
        <f t="shared" si="46"/>
        <v>0</v>
      </c>
      <c r="S261" s="137">
        <f t="shared" si="47"/>
        <v>0</v>
      </c>
    </row>
    <row r="262" spans="1:19">
      <c r="A262" s="146"/>
      <c r="B262" s="147"/>
      <c r="C262" s="138">
        <f t="shared" si="38"/>
        <v>1</v>
      </c>
      <c r="D262" s="148"/>
      <c r="E262" s="138">
        <f t="shared" si="39"/>
        <v>1</v>
      </c>
      <c r="F262" s="148"/>
      <c r="G262" s="138">
        <f t="shared" si="40"/>
        <v>1</v>
      </c>
      <c r="H262" s="148"/>
      <c r="I262" s="138">
        <f t="shared" si="41"/>
        <v>1</v>
      </c>
      <c r="J262" s="148"/>
      <c r="K262" s="138">
        <f t="shared" si="42"/>
        <v>1</v>
      </c>
      <c r="L262" s="148"/>
      <c r="M262" s="138">
        <f t="shared" si="43"/>
        <v>1</v>
      </c>
      <c r="N262" s="148"/>
      <c r="O262" s="138">
        <f t="shared" si="44"/>
        <v>1</v>
      </c>
      <c r="P262" s="148"/>
      <c r="Q262" s="138">
        <f t="shared" si="45"/>
        <v>1</v>
      </c>
      <c r="R262" s="201">
        <f t="shared" si="46"/>
        <v>0</v>
      </c>
      <c r="S262" s="137">
        <f t="shared" si="47"/>
        <v>0</v>
      </c>
    </row>
    <row r="263" spans="1:19">
      <c r="A263" s="146"/>
      <c r="B263" s="147"/>
      <c r="C263" s="138">
        <f t="shared" si="38"/>
        <v>1</v>
      </c>
      <c r="D263" s="148"/>
      <c r="E263" s="138">
        <f t="shared" si="39"/>
        <v>1</v>
      </c>
      <c r="F263" s="148"/>
      <c r="G263" s="138">
        <f t="shared" si="40"/>
        <v>1</v>
      </c>
      <c r="H263" s="148"/>
      <c r="I263" s="138">
        <f t="shared" si="41"/>
        <v>1</v>
      </c>
      <c r="J263" s="148"/>
      <c r="K263" s="138">
        <f t="shared" si="42"/>
        <v>1</v>
      </c>
      <c r="L263" s="148"/>
      <c r="M263" s="138">
        <f t="shared" si="43"/>
        <v>1</v>
      </c>
      <c r="N263" s="148"/>
      <c r="O263" s="138">
        <f t="shared" si="44"/>
        <v>1</v>
      </c>
      <c r="P263" s="148"/>
      <c r="Q263" s="138">
        <f t="shared" si="45"/>
        <v>1</v>
      </c>
      <c r="R263" s="201">
        <f t="shared" si="46"/>
        <v>0</v>
      </c>
      <c r="S263" s="137">
        <f t="shared" si="47"/>
        <v>0</v>
      </c>
    </row>
    <row r="264" spans="1:19">
      <c r="A264" s="146"/>
      <c r="B264" s="147"/>
      <c r="C264" s="138">
        <f t="shared" si="38"/>
        <v>1</v>
      </c>
      <c r="D264" s="148"/>
      <c r="E264" s="138">
        <f t="shared" si="39"/>
        <v>1</v>
      </c>
      <c r="F264" s="148"/>
      <c r="G264" s="138">
        <f t="shared" si="40"/>
        <v>1</v>
      </c>
      <c r="H264" s="148"/>
      <c r="I264" s="138">
        <f t="shared" si="41"/>
        <v>1</v>
      </c>
      <c r="J264" s="148"/>
      <c r="K264" s="138">
        <f t="shared" si="42"/>
        <v>1</v>
      </c>
      <c r="L264" s="148"/>
      <c r="M264" s="138">
        <f t="shared" si="43"/>
        <v>1</v>
      </c>
      <c r="N264" s="148"/>
      <c r="O264" s="138">
        <f t="shared" si="44"/>
        <v>1</v>
      </c>
      <c r="P264" s="148"/>
      <c r="Q264" s="138">
        <f t="shared" si="45"/>
        <v>1</v>
      </c>
      <c r="R264" s="201">
        <f t="shared" si="46"/>
        <v>0</v>
      </c>
      <c r="S264" s="137">
        <f t="shared" si="47"/>
        <v>0</v>
      </c>
    </row>
    <row r="265" spans="1:19">
      <c r="A265" s="146"/>
      <c r="B265" s="147"/>
      <c r="C265" s="138">
        <f t="shared" si="38"/>
        <v>1</v>
      </c>
      <c r="D265" s="148"/>
      <c r="E265" s="138">
        <f t="shared" si="39"/>
        <v>1</v>
      </c>
      <c r="F265" s="148"/>
      <c r="G265" s="138">
        <f t="shared" si="40"/>
        <v>1</v>
      </c>
      <c r="H265" s="148"/>
      <c r="I265" s="138">
        <f t="shared" si="41"/>
        <v>1</v>
      </c>
      <c r="J265" s="148"/>
      <c r="K265" s="138">
        <f t="shared" si="42"/>
        <v>1</v>
      </c>
      <c r="L265" s="148"/>
      <c r="M265" s="138">
        <f t="shared" si="43"/>
        <v>1</v>
      </c>
      <c r="N265" s="148"/>
      <c r="O265" s="138">
        <f t="shared" si="44"/>
        <v>1</v>
      </c>
      <c r="P265" s="148"/>
      <c r="Q265" s="138">
        <f t="shared" si="45"/>
        <v>1</v>
      </c>
      <c r="R265" s="201">
        <f t="shared" si="46"/>
        <v>0</v>
      </c>
      <c r="S265" s="137">
        <f t="shared" si="47"/>
        <v>0</v>
      </c>
    </row>
    <row r="266" spans="1:19">
      <c r="A266" s="146"/>
      <c r="B266" s="147"/>
      <c r="C266" s="138">
        <f t="shared" si="38"/>
        <v>1</v>
      </c>
      <c r="D266" s="148"/>
      <c r="E266" s="138">
        <f t="shared" si="39"/>
        <v>1</v>
      </c>
      <c r="F266" s="148"/>
      <c r="G266" s="138">
        <f t="shared" si="40"/>
        <v>1</v>
      </c>
      <c r="H266" s="148"/>
      <c r="I266" s="138">
        <f t="shared" si="41"/>
        <v>1</v>
      </c>
      <c r="J266" s="148"/>
      <c r="K266" s="138">
        <f t="shared" si="42"/>
        <v>1</v>
      </c>
      <c r="L266" s="148"/>
      <c r="M266" s="138">
        <f t="shared" si="43"/>
        <v>1</v>
      </c>
      <c r="N266" s="148"/>
      <c r="O266" s="138">
        <f t="shared" si="44"/>
        <v>1</v>
      </c>
      <c r="P266" s="148"/>
      <c r="Q266" s="138">
        <f t="shared" si="45"/>
        <v>1</v>
      </c>
      <c r="R266" s="201">
        <f t="shared" si="46"/>
        <v>0</v>
      </c>
      <c r="S266" s="137">
        <f t="shared" si="47"/>
        <v>0</v>
      </c>
    </row>
    <row r="267" spans="1:19">
      <c r="A267" s="146"/>
      <c r="B267" s="147"/>
      <c r="C267" s="138">
        <f t="shared" si="38"/>
        <v>1</v>
      </c>
      <c r="D267" s="148"/>
      <c r="E267" s="138">
        <f t="shared" si="39"/>
        <v>1</v>
      </c>
      <c r="F267" s="148"/>
      <c r="G267" s="138">
        <f t="shared" si="40"/>
        <v>1</v>
      </c>
      <c r="H267" s="148"/>
      <c r="I267" s="138">
        <f t="shared" si="41"/>
        <v>1</v>
      </c>
      <c r="J267" s="148"/>
      <c r="K267" s="138">
        <f t="shared" si="42"/>
        <v>1</v>
      </c>
      <c r="L267" s="148"/>
      <c r="M267" s="138">
        <f t="shared" si="43"/>
        <v>1</v>
      </c>
      <c r="N267" s="148"/>
      <c r="O267" s="138">
        <f t="shared" si="44"/>
        <v>1</v>
      </c>
      <c r="P267" s="148"/>
      <c r="Q267" s="138">
        <f t="shared" si="45"/>
        <v>1</v>
      </c>
      <c r="R267" s="201">
        <f t="shared" si="46"/>
        <v>0</v>
      </c>
      <c r="S267" s="137">
        <f t="shared" si="47"/>
        <v>0</v>
      </c>
    </row>
    <row r="268" spans="1:19">
      <c r="A268" s="146"/>
      <c r="B268" s="147"/>
      <c r="C268" s="138">
        <f t="shared" si="38"/>
        <v>1</v>
      </c>
      <c r="D268" s="148"/>
      <c r="E268" s="138">
        <f t="shared" si="39"/>
        <v>1</v>
      </c>
      <c r="F268" s="148"/>
      <c r="G268" s="138">
        <f t="shared" si="40"/>
        <v>1</v>
      </c>
      <c r="H268" s="148"/>
      <c r="I268" s="138">
        <f t="shared" si="41"/>
        <v>1</v>
      </c>
      <c r="J268" s="148"/>
      <c r="K268" s="138">
        <f t="shared" si="42"/>
        <v>1</v>
      </c>
      <c r="L268" s="148"/>
      <c r="M268" s="138">
        <f t="shared" si="43"/>
        <v>1</v>
      </c>
      <c r="N268" s="148"/>
      <c r="O268" s="138">
        <f t="shared" si="44"/>
        <v>1</v>
      </c>
      <c r="P268" s="148"/>
      <c r="Q268" s="138">
        <f t="shared" si="45"/>
        <v>1</v>
      </c>
      <c r="R268" s="201">
        <f t="shared" si="46"/>
        <v>0</v>
      </c>
      <c r="S268" s="137">
        <f t="shared" si="47"/>
        <v>0</v>
      </c>
    </row>
    <row r="269" spans="1:19">
      <c r="A269" s="146"/>
      <c r="B269" s="147"/>
      <c r="C269" s="138">
        <f t="shared" si="38"/>
        <v>1</v>
      </c>
      <c r="D269" s="148"/>
      <c r="E269" s="138">
        <f t="shared" si="39"/>
        <v>1</v>
      </c>
      <c r="F269" s="148"/>
      <c r="G269" s="138">
        <f t="shared" si="40"/>
        <v>1</v>
      </c>
      <c r="H269" s="148"/>
      <c r="I269" s="138">
        <f t="shared" si="41"/>
        <v>1</v>
      </c>
      <c r="J269" s="148"/>
      <c r="K269" s="138">
        <f t="shared" si="42"/>
        <v>1</v>
      </c>
      <c r="L269" s="148"/>
      <c r="M269" s="138">
        <f t="shared" si="43"/>
        <v>1</v>
      </c>
      <c r="N269" s="148"/>
      <c r="O269" s="138">
        <f t="shared" si="44"/>
        <v>1</v>
      </c>
      <c r="P269" s="148"/>
      <c r="Q269" s="138">
        <f t="shared" si="45"/>
        <v>1</v>
      </c>
      <c r="R269" s="201">
        <f t="shared" si="46"/>
        <v>0</v>
      </c>
      <c r="S269" s="137">
        <f t="shared" si="47"/>
        <v>0</v>
      </c>
    </row>
    <row r="270" spans="1:19">
      <c r="A270" s="146"/>
      <c r="B270" s="147"/>
      <c r="C270" s="138">
        <f t="shared" si="38"/>
        <v>1</v>
      </c>
      <c r="D270" s="148"/>
      <c r="E270" s="138">
        <f t="shared" si="39"/>
        <v>1</v>
      </c>
      <c r="F270" s="148"/>
      <c r="G270" s="138">
        <f t="shared" si="40"/>
        <v>1</v>
      </c>
      <c r="H270" s="148"/>
      <c r="I270" s="138">
        <f t="shared" si="41"/>
        <v>1</v>
      </c>
      <c r="J270" s="148"/>
      <c r="K270" s="138">
        <f t="shared" si="42"/>
        <v>1</v>
      </c>
      <c r="L270" s="148"/>
      <c r="M270" s="138">
        <f t="shared" si="43"/>
        <v>1</v>
      </c>
      <c r="N270" s="148"/>
      <c r="O270" s="138">
        <f t="shared" si="44"/>
        <v>1</v>
      </c>
      <c r="P270" s="148"/>
      <c r="Q270" s="138">
        <f t="shared" si="45"/>
        <v>1</v>
      </c>
      <c r="R270" s="201">
        <f t="shared" si="46"/>
        <v>0</v>
      </c>
      <c r="S270" s="137">
        <f t="shared" si="47"/>
        <v>0</v>
      </c>
    </row>
    <row r="271" spans="1:19">
      <c r="A271" s="146"/>
      <c r="B271" s="147"/>
      <c r="C271" s="138">
        <f t="shared" si="38"/>
        <v>1</v>
      </c>
      <c r="D271" s="148"/>
      <c r="E271" s="138">
        <f t="shared" si="39"/>
        <v>1</v>
      </c>
      <c r="F271" s="148"/>
      <c r="G271" s="138">
        <f t="shared" si="40"/>
        <v>1</v>
      </c>
      <c r="H271" s="148"/>
      <c r="I271" s="138">
        <f t="shared" si="41"/>
        <v>1</v>
      </c>
      <c r="J271" s="148"/>
      <c r="K271" s="138">
        <f t="shared" si="42"/>
        <v>1</v>
      </c>
      <c r="L271" s="148"/>
      <c r="M271" s="138">
        <f t="shared" si="43"/>
        <v>1</v>
      </c>
      <c r="N271" s="148"/>
      <c r="O271" s="138">
        <f t="shared" si="44"/>
        <v>1</v>
      </c>
      <c r="P271" s="148"/>
      <c r="Q271" s="138">
        <f t="shared" si="45"/>
        <v>1</v>
      </c>
      <c r="R271" s="201">
        <f t="shared" si="46"/>
        <v>0</v>
      </c>
      <c r="S271" s="137">
        <f t="shared" si="47"/>
        <v>0</v>
      </c>
    </row>
    <row r="272" spans="1:19">
      <c r="A272" s="146"/>
      <c r="B272" s="147"/>
      <c r="C272" s="138">
        <f t="shared" si="38"/>
        <v>1</v>
      </c>
      <c r="D272" s="148"/>
      <c r="E272" s="138">
        <f t="shared" si="39"/>
        <v>1</v>
      </c>
      <c r="F272" s="148"/>
      <c r="G272" s="138">
        <f t="shared" si="40"/>
        <v>1</v>
      </c>
      <c r="H272" s="148"/>
      <c r="I272" s="138">
        <f t="shared" si="41"/>
        <v>1</v>
      </c>
      <c r="J272" s="148"/>
      <c r="K272" s="138">
        <f t="shared" si="42"/>
        <v>1</v>
      </c>
      <c r="L272" s="148"/>
      <c r="M272" s="138">
        <f t="shared" si="43"/>
        <v>1</v>
      </c>
      <c r="N272" s="148"/>
      <c r="O272" s="138">
        <f t="shared" si="44"/>
        <v>1</v>
      </c>
      <c r="P272" s="148"/>
      <c r="Q272" s="138">
        <f t="shared" si="45"/>
        <v>1</v>
      </c>
      <c r="R272" s="201">
        <f t="shared" si="46"/>
        <v>0</v>
      </c>
      <c r="S272" s="137">
        <f t="shared" si="47"/>
        <v>0</v>
      </c>
    </row>
    <row r="273" spans="1:19">
      <c r="A273" s="146"/>
      <c r="B273" s="147"/>
      <c r="C273" s="138">
        <f t="shared" si="38"/>
        <v>1</v>
      </c>
      <c r="D273" s="148"/>
      <c r="E273" s="138">
        <f t="shared" si="39"/>
        <v>1</v>
      </c>
      <c r="F273" s="148"/>
      <c r="G273" s="138">
        <f t="shared" si="40"/>
        <v>1</v>
      </c>
      <c r="H273" s="148"/>
      <c r="I273" s="138">
        <f t="shared" si="41"/>
        <v>1</v>
      </c>
      <c r="J273" s="148"/>
      <c r="K273" s="138">
        <f t="shared" si="42"/>
        <v>1</v>
      </c>
      <c r="L273" s="148"/>
      <c r="M273" s="138">
        <f t="shared" si="43"/>
        <v>1</v>
      </c>
      <c r="N273" s="148"/>
      <c r="O273" s="138">
        <f t="shared" si="44"/>
        <v>1</v>
      </c>
      <c r="P273" s="148"/>
      <c r="Q273" s="138">
        <f t="shared" si="45"/>
        <v>1</v>
      </c>
      <c r="R273" s="201">
        <f t="shared" si="46"/>
        <v>0</v>
      </c>
      <c r="S273" s="137">
        <f t="shared" si="47"/>
        <v>0</v>
      </c>
    </row>
    <row r="274" spans="1:19">
      <c r="A274" s="146"/>
      <c r="B274" s="147"/>
      <c r="C274" s="138">
        <f t="shared" si="38"/>
        <v>1</v>
      </c>
      <c r="D274" s="148"/>
      <c r="E274" s="138">
        <f t="shared" si="39"/>
        <v>1</v>
      </c>
      <c r="F274" s="148"/>
      <c r="G274" s="138">
        <f t="shared" si="40"/>
        <v>1</v>
      </c>
      <c r="H274" s="148"/>
      <c r="I274" s="138">
        <f t="shared" si="41"/>
        <v>1</v>
      </c>
      <c r="J274" s="148"/>
      <c r="K274" s="138">
        <f t="shared" si="42"/>
        <v>1</v>
      </c>
      <c r="L274" s="148"/>
      <c r="M274" s="138">
        <f t="shared" si="43"/>
        <v>1</v>
      </c>
      <c r="N274" s="148"/>
      <c r="O274" s="138">
        <f t="shared" si="44"/>
        <v>1</v>
      </c>
      <c r="P274" s="148"/>
      <c r="Q274" s="138">
        <f t="shared" si="45"/>
        <v>1</v>
      </c>
      <c r="R274" s="201">
        <f t="shared" si="46"/>
        <v>0</v>
      </c>
      <c r="S274" s="137">
        <f t="shared" si="47"/>
        <v>0</v>
      </c>
    </row>
    <row r="275" spans="1:19">
      <c r="A275" s="146"/>
      <c r="B275" s="147"/>
      <c r="C275" s="138">
        <f t="shared" si="38"/>
        <v>1</v>
      </c>
      <c r="D275" s="148"/>
      <c r="E275" s="138">
        <f t="shared" si="39"/>
        <v>1</v>
      </c>
      <c r="F275" s="148"/>
      <c r="G275" s="138">
        <f t="shared" si="40"/>
        <v>1</v>
      </c>
      <c r="H275" s="148"/>
      <c r="I275" s="138">
        <f t="shared" si="41"/>
        <v>1</v>
      </c>
      <c r="J275" s="148"/>
      <c r="K275" s="138">
        <f t="shared" si="42"/>
        <v>1</v>
      </c>
      <c r="L275" s="148"/>
      <c r="M275" s="138">
        <f t="shared" si="43"/>
        <v>1</v>
      </c>
      <c r="N275" s="148"/>
      <c r="O275" s="138">
        <f t="shared" si="44"/>
        <v>1</v>
      </c>
      <c r="P275" s="148"/>
      <c r="Q275" s="138">
        <f t="shared" si="45"/>
        <v>1</v>
      </c>
      <c r="R275" s="201">
        <f t="shared" si="46"/>
        <v>0</v>
      </c>
      <c r="S275" s="137">
        <f t="shared" si="47"/>
        <v>0</v>
      </c>
    </row>
    <row r="276" spans="1:19">
      <c r="A276" s="146"/>
      <c r="B276" s="147"/>
      <c r="C276" s="138">
        <f t="shared" si="38"/>
        <v>1</v>
      </c>
      <c r="D276" s="148"/>
      <c r="E276" s="138">
        <f t="shared" si="39"/>
        <v>1</v>
      </c>
      <c r="F276" s="148"/>
      <c r="G276" s="138">
        <f t="shared" si="40"/>
        <v>1</v>
      </c>
      <c r="H276" s="148"/>
      <c r="I276" s="138">
        <f t="shared" si="41"/>
        <v>1</v>
      </c>
      <c r="J276" s="148"/>
      <c r="K276" s="138">
        <f t="shared" si="42"/>
        <v>1</v>
      </c>
      <c r="L276" s="148"/>
      <c r="M276" s="138">
        <f t="shared" si="43"/>
        <v>1</v>
      </c>
      <c r="N276" s="148"/>
      <c r="O276" s="138">
        <f t="shared" si="44"/>
        <v>1</v>
      </c>
      <c r="P276" s="148"/>
      <c r="Q276" s="138">
        <f t="shared" si="45"/>
        <v>1</v>
      </c>
      <c r="R276" s="201">
        <f t="shared" si="46"/>
        <v>0</v>
      </c>
      <c r="S276" s="137">
        <f t="shared" si="47"/>
        <v>0</v>
      </c>
    </row>
    <row r="277" spans="1:19">
      <c r="A277" s="146"/>
      <c r="B277" s="147"/>
      <c r="C277" s="138">
        <f t="shared" si="38"/>
        <v>1</v>
      </c>
      <c r="D277" s="148"/>
      <c r="E277" s="138">
        <f t="shared" si="39"/>
        <v>1</v>
      </c>
      <c r="F277" s="148"/>
      <c r="G277" s="138">
        <f t="shared" si="40"/>
        <v>1</v>
      </c>
      <c r="H277" s="148"/>
      <c r="I277" s="138">
        <f t="shared" si="41"/>
        <v>1</v>
      </c>
      <c r="J277" s="148"/>
      <c r="K277" s="138">
        <f t="shared" si="42"/>
        <v>1</v>
      </c>
      <c r="L277" s="148"/>
      <c r="M277" s="138">
        <f t="shared" si="43"/>
        <v>1</v>
      </c>
      <c r="N277" s="148"/>
      <c r="O277" s="138">
        <f t="shared" si="44"/>
        <v>1</v>
      </c>
      <c r="P277" s="148"/>
      <c r="Q277" s="138">
        <f t="shared" si="45"/>
        <v>1</v>
      </c>
      <c r="R277" s="201">
        <f t="shared" si="46"/>
        <v>0</v>
      </c>
      <c r="S277" s="137">
        <f t="shared" si="47"/>
        <v>0</v>
      </c>
    </row>
    <row r="278" spans="1:19">
      <c r="A278" s="146"/>
      <c r="B278" s="147"/>
      <c r="C278" s="138">
        <f t="shared" si="38"/>
        <v>1</v>
      </c>
      <c r="D278" s="148"/>
      <c r="E278" s="138">
        <f t="shared" si="39"/>
        <v>1</v>
      </c>
      <c r="F278" s="148"/>
      <c r="G278" s="138">
        <f t="shared" si="40"/>
        <v>1</v>
      </c>
      <c r="H278" s="148"/>
      <c r="I278" s="138">
        <f t="shared" si="41"/>
        <v>1</v>
      </c>
      <c r="J278" s="148"/>
      <c r="K278" s="138">
        <f t="shared" si="42"/>
        <v>1</v>
      </c>
      <c r="L278" s="148"/>
      <c r="M278" s="138">
        <f t="shared" si="43"/>
        <v>1</v>
      </c>
      <c r="N278" s="148"/>
      <c r="O278" s="138">
        <f t="shared" si="44"/>
        <v>1</v>
      </c>
      <c r="P278" s="148"/>
      <c r="Q278" s="138">
        <f t="shared" si="45"/>
        <v>1</v>
      </c>
      <c r="R278" s="201">
        <f t="shared" si="46"/>
        <v>0</v>
      </c>
      <c r="S278" s="137">
        <f t="shared" si="47"/>
        <v>0</v>
      </c>
    </row>
    <row r="279" spans="1:19">
      <c r="A279" s="146"/>
      <c r="B279" s="147"/>
      <c r="C279" s="138">
        <f t="shared" si="38"/>
        <v>1</v>
      </c>
      <c r="D279" s="148"/>
      <c r="E279" s="138">
        <f t="shared" si="39"/>
        <v>1</v>
      </c>
      <c r="F279" s="148"/>
      <c r="G279" s="138">
        <f t="shared" si="40"/>
        <v>1</v>
      </c>
      <c r="H279" s="148"/>
      <c r="I279" s="138">
        <f t="shared" si="41"/>
        <v>1</v>
      </c>
      <c r="J279" s="148"/>
      <c r="K279" s="138">
        <f t="shared" si="42"/>
        <v>1</v>
      </c>
      <c r="L279" s="148"/>
      <c r="M279" s="138">
        <f t="shared" si="43"/>
        <v>1</v>
      </c>
      <c r="N279" s="148"/>
      <c r="O279" s="138">
        <f t="shared" si="44"/>
        <v>1</v>
      </c>
      <c r="P279" s="148"/>
      <c r="Q279" s="138">
        <f t="shared" si="45"/>
        <v>1</v>
      </c>
      <c r="R279" s="201">
        <f t="shared" si="46"/>
        <v>0</v>
      </c>
      <c r="S279" s="137">
        <f t="shared" si="47"/>
        <v>0</v>
      </c>
    </row>
    <row r="280" spans="1:19">
      <c r="A280" s="146"/>
      <c r="B280" s="147"/>
      <c r="C280" s="138">
        <f t="shared" si="38"/>
        <v>1</v>
      </c>
      <c r="D280" s="148"/>
      <c r="E280" s="138">
        <f t="shared" si="39"/>
        <v>1</v>
      </c>
      <c r="F280" s="148"/>
      <c r="G280" s="138">
        <f t="shared" si="40"/>
        <v>1</v>
      </c>
      <c r="H280" s="148"/>
      <c r="I280" s="138">
        <f t="shared" si="41"/>
        <v>1</v>
      </c>
      <c r="J280" s="148"/>
      <c r="K280" s="138">
        <f t="shared" si="42"/>
        <v>1</v>
      </c>
      <c r="L280" s="148"/>
      <c r="M280" s="138">
        <f t="shared" si="43"/>
        <v>1</v>
      </c>
      <c r="N280" s="148"/>
      <c r="O280" s="138">
        <f t="shared" si="44"/>
        <v>1</v>
      </c>
      <c r="P280" s="148"/>
      <c r="Q280" s="138">
        <f t="shared" si="45"/>
        <v>1</v>
      </c>
      <c r="R280" s="201">
        <f t="shared" si="46"/>
        <v>0</v>
      </c>
      <c r="S280" s="137">
        <f t="shared" si="47"/>
        <v>0</v>
      </c>
    </row>
    <row r="281" spans="1:19">
      <c r="A281" s="146"/>
      <c r="B281" s="147"/>
      <c r="C281" s="138">
        <f t="shared" si="38"/>
        <v>1</v>
      </c>
      <c r="D281" s="148"/>
      <c r="E281" s="138">
        <f t="shared" si="39"/>
        <v>1</v>
      </c>
      <c r="F281" s="148"/>
      <c r="G281" s="138">
        <f t="shared" si="40"/>
        <v>1</v>
      </c>
      <c r="H281" s="148"/>
      <c r="I281" s="138">
        <f t="shared" si="41"/>
        <v>1</v>
      </c>
      <c r="J281" s="148"/>
      <c r="K281" s="138">
        <f t="shared" si="42"/>
        <v>1</v>
      </c>
      <c r="L281" s="148"/>
      <c r="M281" s="138">
        <f t="shared" si="43"/>
        <v>1</v>
      </c>
      <c r="N281" s="148"/>
      <c r="O281" s="138">
        <f t="shared" si="44"/>
        <v>1</v>
      </c>
      <c r="P281" s="148"/>
      <c r="Q281" s="138">
        <f t="shared" si="45"/>
        <v>1</v>
      </c>
      <c r="R281" s="201">
        <f t="shared" si="46"/>
        <v>0</v>
      </c>
      <c r="S281" s="137">
        <f t="shared" si="47"/>
        <v>0</v>
      </c>
    </row>
    <row r="282" spans="1:19">
      <c r="A282" s="146"/>
      <c r="B282" s="147"/>
      <c r="C282" s="138">
        <f t="shared" ref="C282:C345" si="48">IF(B282="",1,(LOOKUP(B282,$3:$3,$4:$4)-LOOKUP($B$24,$3:$3,$4:$4)+100)/100)</f>
        <v>1</v>
      </c>
      <c r="D282" s="148"/>
      <c r="E282" s="138">
        <f t="shared" ref="E282:E345" si="49">(SUMIF($5:$5,D282,$6:$6)-SUMIF($5:$5,$D$24,$6:$6)+100)/100</f>
        <v>1</v>
      </c>
      <c r="F282" s="148"/>
      <c r="G282" s="138">
        <f t="shared" ref="G282:G345" si="50">(SUMIF($7:$7,F282,$8:$8)-SUMIF($7:$7,$F$24,$8:$8)+100)/100</f>
        <v>1</v>
      </c>
      <c r="H282" s="148"/>
      <c r="I282" s="138">
        <f t="shared" ref="I282:I345" si="51">(SUMIF($9:$9,H282,$10:$10)-SUMIF($9:$9,$H$24,$10:$10)+100)/100</f>
        <v>1</v>
      </c>
      <c r="J282" s="148"/>
      <c r="K282" s="138">
        <f t="shared" ref="K282:K345" si="52">(SUMIF($11:$11,J282,$12:$12)-SUMIF($11:$11,$J$24,$12:$12)+100)/100</f>
        <v>1</v>
      </c>
      <c r="L282" s="148"/>
      <c r="M282" s="138">
        <f t="shared" ref="M282:M345" si="53">(SUMIF($13:$13,L282,$14:$14)-SUMIF($13:$13,$L$24,$14:$14)+100)/100</f>
        <v>1</v>
      </c>
      <c r="N282" s="148"/>
      <c r="O282" s="138">
        <f t="shared" ref="O282:O345" si="54">(SUMIF($15:$15,N282,$16:$16)-SUMIF($15:$15,$N$24,$16:$16)+100)/100</f>
        <v>1</v>
      </c>
      <c r="P282" s="148"/>
      <c r="Q282" s="138">
        <f t="shared" ref="Q282:Q345" si="55">(SUMIF($17:$17,P282,$18:$18)-SUMIF($17:$17,$P$24,$18:$18)+100)/100</f>
        <v>1</v>
      </c>
      <c r="R282" s="201">
        <f t="shared" ref="R282:R345" si="56">IF(B282="",0,ROUND($R$24*C282*E282*G282*I282*K282*M282*O282*Q282,0))</f>
        <v>0</v>
      </c>
      <c r="S282" s="137">
        <f t="shared" si="47"/>
        <v>0</v>
      </c>
    </row>
    <row r="283" spans="1:19">
      <c r="A283" s="146"/>
      <c r="B283" s="147"/>
      <c r="C283" s="138">
        <f t="shared" si="48"/>
        <v>1</v>
      </c>
      <c r="D283" s="148"/>
      <c r="E283" s="138">
        <f t="shared" si="49"/>
        <v>1</v>
      </c>
      <c r="F283" s="148"/>
      <c r="G283" s="138">
        <f t="shared" si="50"/>
        <v>1</v>
      </c>
      <c r="H283" s="148"/>
      <c r="I283" s="138">
        <f t="shared" si="51"/>
        <v>1</v>
      </c>
      <c r="J283" s="148"/>
      <c r="K283" s="138">
        <f t="shared" si="52"/>
        <v>1</v>
      </c>
      <c r="L283" s="148"/>
      <c r="M283" s="138">
        <f t="shared" si="53"/>
        <v>1</v>
      </c>
      <c r="N283" s="148"/>
      <c r="O283" s="138">
        <f t="shared" si="54"/>
        <v>1</v>
      </c>
      <c r="P283" s="148"/>
      <c r="Q283" s="138">
        <f t="shared" si="55"/>
        <v>1</v>
      </c>
      <c r="R283" s="201">
        <f t="shared" si="56"/>
        <v>0</v>
      </c>
      <c r="S283" s="137">
        <f t="shared" si="47"/>
        <v>0</v>
      </c>
    </row>
    <row r="284" spans="1:19">
      <c r="A284" s="146"/>
      <c r="B284" s="147"/>
      <c r="C284" s="138">
        <f t="shared" si="48"/>
        <v>1</v>
      </c>
      <c r="D284" s="148"/>
      <c r="E284" s="138">
        <f t="shared" si="49"/>
        <v>1</v>
      </c>
      <c r="F284" s="148"/>
      <c r="G284" s="138">
        <f t="shared" si="50"/>
        <v>1</v>
      </c>
      <c r="H284" s="148"/>
      <c r="I284" s="138">
        <f t="shared" si="51"/>
        <v>1</v>
      </c>
      <c r="J284" s="148"/>
      <c r="K284" s="138">
        <f t="shared" si="52"/>
        <v>1</v>
      </c>
      <c r="L284" s="148"/>
      <c r="M284" s="138">
        <f t="shared" si="53"/>
        <v>1</v>
      </c>
      <c r="N284" s="148"/>
      <c r="O284" s="138">
        <f t="shared" si="54"/>
        <v>1</v>
      </c>
      <c r="P284" s="148"/>
      <c r="Q284" s="138">
        <f t="shared" si="55"/>
        <v>1</v>
      </c>
      <c r="R284" s="201">
        <f t="shared" si="56"/>
        <v>0</v>
      </c>
      <c r="S284" s="137">
        <f t="shared" si="47"/>
        <v>0</v>
      </c>
    </row>
    <row r="285" spans="1:19">
      <c r="A285" s="146"/>
      <c r="B285" s="147"/>
      <c r="C285" s="138">
        <f t="shared" si="48"/>
        <v>1</v>
      </c>
      <c r="D285" s="148"/>
      <c r="E285" s="138">
        <f t="shared" si="49"/>
        <v>1</v>
      </c>
      <c r="F285" s="148"/>
      <c r="G285" s="138">
        <f t="shared" si="50"/>
        <v>1</v>
      </c>
      <c r="H285" s="148"/>
      <c r="I285" s="138">
        <f t="shared" si="51"/>
        <v>1</v>
      </c>
      <c r="J285" s="148"/>
      <c r="K285" s="138">
        <f t="shared" si="52"/>
        <v>1</v>
      </c>
      <c r="L285" s="148"/>
      <c r="M285" s="138">
        <f t="shared" si="53"/>
        <v>1</v>
      </c>
      <c r="N285" s="148"/>
      <c r="O285" s="138">
        <f t="shared" si="54"/>
        <v>1</v>
      </c>
      <c r="P285" s="148"/>
      <c r="Q285" s="138">
        <f t="shared" si="55"/>
        <v>1</v>
      </c>
      <c r="R285" s="201">
        <f t="shared" si="56"/>
        <v>0</v>
      </c>
      <c r="S285" s="137">
        <f t="shared" si="47"/>
        <v>0</v>
      </c>
    </row>
    <row r="286" spans="1:19">
      <c r="A286" s="146"/>
      <c r="B286" s="147"/>
      <c r="C286" s="138">
        <f t="shared" si="48"/>
        <v>1</v>
      </c>
      <c r="D286" s="148"/>
      <c r="E286" s="138">
        <f t="shared" si="49"/>
        <v>1</v>
      </c>
      <c r="F286" s="148"/>
      <c r="G286" s="138">
        <f t="shared" si="50"/>
        <v>1</v>
      </c>
      <c r="H286" s="148"/>
      <c r="I286" s="138">
        <f t="shared" si="51"/>
        <v>1</v>
      </c>
      <c r="J286" s="148"/>
      <c r="K286" s="138">
        <f t="shared" si="52"/>
        <v>1</v>
      </c>
      <c r="L286" s="148"/>
      <c r="M286" s="138">
        <f t="shared" si="53"/>
        <v>1</v>
      </c>
      <c r="N286" s="148"/>
      <c r="O286" s="138">
        <f t="shared" si="54"/>
        <v>1</v>
      </c>
      <c r="P286" s="148"/>
      <c r="Q286" s="138">
        <f t="shared" si="55"/>
        <v>1</v>
      </c>
      <c r="R286" s="201">
        <f t="shared" si="56"/>
        <v>0</v>
      </c>
      <c r="S286" s="137">
        <f t="shared" si="47"/>
        <v>0</v>
      </c>
    </row>
    <row r="287" spans="1:19">
      <c r="A287" s="146"/>
      <c r="B287" s="147"/>
      <c r="C287" s="138">
        <f t="shared" si="48"/>
        <v>1</v>
      </c>
      <c r="D287" s="148"/>
      <c r="E287" s="138">
        <f t="shared" si="49"/>
        <v>1</v>
      </c>
      <c r="F287" s="148"/>
      <c r="G287" s="138">
        <f t="shared" si="50"/>
        <v>1</v>
      </c>
      <c r="H287" s="148"/>
      <c r="I287" s="138">
        <f t="shared" si="51"/>
        <v>1</v>
      </c>
      <c r="J287" s="148"/>
      <c r="K287" s="138">
        <f t="shared" si="52"/>
        <v>1</v>
      </c>
      <c r="L287" s="148"/>
      <c r="M287" s="138">
        <f t="shared" si="53"/>
        <v>1</v>
      </c>
      <c r="N287" s="148"/>
      <c r="O287" s="138">
        <f t="shared" si="54"/>
        <v>1</v>
      </c>
      <c r="P287" s="148"/>
      <c r="Q287" s="138">
        <f t="shared" si="55"/>
        <v>1</v>
      </c>
      <c r="R287" s="201">
        <f t="shared" si="56"/>
        <v>0</v>
      </c>
      <c r="S287" s="137">
        <f t="shared" ref="S287:S320" si="57">ROUND(R287*B287/10000,0)</f>
        <v>0</v>
      </c>
    </row>
    <row r="288" spans="1:19">
      <c r="A288" s="146"/>
      <c r="B288" s="147"/>
      <c r="C288" s="138">
        <f t="shared" si="48"/>
        <v>1</v>
      </c>
      <c r="D288" s="148"/>
      <c r="E288" s="138">
        <f t="shared" si="49"/>
        <v>1</v>
      </c>
      <c r="F288" s="148"/>
      <c r="G288" s="138">
        <f t="shared" si="50"/>
        <v>1</v>
      </c>
      <c r="H288" s="148"/>
      <c r="I288" s="138">
        <f t="shared" si="51"/>
        <v>1</v>
      </c>
      <c r="J288" s="148"/>
      <c r="K288" s="138">
        <f t="shared" si="52"/>
        <v>1</v>
      </c>
      <c r="L288" s="148"/>
      <c r="M288" s="138">
        <f t="shared" si="53"/>
        <v>1</v>
      </c>
      <c r="N288" s="148"/>
      <c r="O288" s="138">
        <f t="shared" si="54"/>
        <v>1</v>
      </c>
      <c r="P288" s="148"/>
      <c r="Q288" s="138">
        <f t="shared" si="55"/>
        <v>1</v>
      </c>
      <c r="R288" s="201">
        <f t="shared" si="56"/>
        <v>0</v>
      </c>
      <c r="S288" s="137">
        <f t="shared" si="57"/>
        <v>0</v>
      </c>
    </row>
    <row r="289" spans="1:19">
      <c r="A289" s="146"/>
      <c r="B289" s="147"/>
      <c r="C289" s="138">
        <f t="shared" si="48"/>
        <v>1</v>
      </c>
      <c r="D289" s="148"/>
      <c r="E289" s="138">
        <f t="shared" si="49"/>
        <v>1</v>
      </c>
      <c r="F289" s="148"/>
      <c r="G289" s="138">
        <f t="shared" si="50"/>
        <v>1</v>
      </c>
      <c r="H289" s="148"/>
      <c r="I289" s="138">
        <f t="shared" si="51"/>
        <v>1</v>
      </c>
      <c r="J289" s="148"/>
      <c r="K289" s="138">
        <f t="shared" si="52"/>
        <v>1</v>
      </c>
      <c r="L289" s="148"/>
      <c r="M289" s="138">
        <f t="shared" si="53"/>
        <v>1</v>
      </c>
      <c r="N289" s="148"/>
      <c r="O289" s="138">
        <f t="shared" si="54"/>
        <v>1</v>
      </c>
      <c r="P289" s="148"/>
      <c r="Q289" s="138">
        <f t="shared" si="55"/>
        <v>1</v>
      </c>
      <c r="R289" s="201">
        <f t="shared" si="56"/>
        <v>0</v>
      </c>
      <c r="S289" s="137">
        <f t="shared" si="57"/>
        <v>0</v>
      </c>
    </row>
    <row r="290" spans="1:19">
      <c r="A290" s="146"/>
      <c r="B290" s="147"/>
      <c r="C290" s="138">
        <f t="shared" si="48"/>
        <v>1</v>
      </c>
      <c r="D290" s="148"/>
      <c r="E290" s="138">
        <f t="shared" si="49"/>
        <v>1</v>
      </c>
      <c r="F290" s="148"/>
      <c r="G290" s="138">
        <f t="shared" si="50"/>
        <v>1</v>
      </c>
      <c r="H290" s="148"/>
      <c r="I290" s="138">
        <f t="shared" si="51"/>
        <v>1</v>
      </c>
      <c r="J290" s="148"/>
      <c r="K290" s="138">
        <f t="shared" si="52"/>
        <v>1</v>
      </c>
      <c r="L290" s="148"/>
      <c r="M290" s="138">
        <f t="shared" si="53"/>
        <v>1</v>
      </c>
      <c r="N290" s="148"/>
      <c r="O290" s="138">
        <f t="shared" si="54"/>
        <v>1</v>
      </c>
      <c r="P290" s="148"/>
      <c r="Q290" s="138">
        <f t="shared" si="55"/>
        <v>1</v>
      </c>
      <c r="R290" s="201">
        <f t="shared" si="56"/>
        <v>0</v>
      </c>
      <c r="S290" s="137">
        <f t="shared" si="57"/>
        <v>0</v>
      </c>
    </row>
    <row r="291" spans="1:19">
      <c r="A291" s="146"/>
      <c r="B291" s="147"/>
      <c r="C291" s="138">
        <f t="shared" si="48"/>
        <v>1</v>
      </c>
      <c r="D291" s="148"/>
      <c r="E291" s="138">
        <f t="shared" si="49"/>
        <v>1</v>
      </c>
      <c r="F291" s="148"/>
      <c r="G291" s="138">
        <f t="shared" si="50"/>
        <v>1</v>
      </c>
      <c r="H291" s="148"/>
      <c r="I291" s="138">
        <f t="shared" si="51"/>
        <v>1</v>
      </c>
      <c r="J291" s="148"/>
      <c r="K291" s="138">
        <f t="shared" si="52"/>
        <v>1</v>
      </c>
      <c r="L291" s="148"/>
      <c r="M291" s="138">
        <f t="shared" si="53"/>
        <v>1</v>
      </c>
      <c r="N291" s="148"/>
      <c r="O291" s="138">
        <f t="shared" si="54"/>
        <v>1</v>
      </c>
      <c r="P291" s="148"/>
      <c r="Q291" s="138">
        <f t="shared" si="55"/>
        <v>1</v>
      </c>
      <c r="R291" s="201">
        <f t="shared" si="56"/>
        <v>0</v>
      </c>
      <c r="S291" s="137">
        <f t="shared" si="57"/>
        <v>0</v>
      </c>
    </row>
    <row r="292" spans="1:19">
      <c r="A292" s="146"/>
      <c r="B292" s="147"/>
      <c r="C292" s="138">
        <f t="shared" si="48"/>
        <v>1</v>
      </c>
      <c r="D292" s="148"/>
      <c r="E292" s="138">
        <f t="shared" si="49"/>
        <v>1</v>
      </c>
      <c r="F292" s="148"/>
      <c r="G292" s="138">
        <f t="shared" si="50"/>
        <v>1</v>
      </c>
      <c r="H292" s="148"/>
      <c r="I292" s="138">
        <f t="shared" si="51"/>
        <v>1</v>
      </c>
      <c r="J292" s="148"/>
      <c r="K292" s="138">
        <f t="shared" si="52"/>
        <v>1</v>
      </c>
      <c r="L292" s="148"/>
      <c r="M292" s="138">
        <f t="shared" si="53"/>
        <v>1</v>
      </c>
      <c r="N292" s="148"/>
      <c r="O292" s="138">
        <f t="shared" si="54"/>
        <v>1</v>
      </c>
      <c r="P292" s="148"/>
      <c r="Q292" s="138">
        <f t="shared" si="55"/>
        <v>1</v>
      </c>
      <c r="R292" s="201">
        <f t="shared" si="56"/>
        <v>0</v>
      </c>
      <c r="S292" s="137">
        <f t="shared" si="57"/>
        <v>0</v>
      </c>
    </row>
    <row r="293" spans="1:19">
      <c r="A293" s="146"/>
      <c r="B293" s="147"/>
      <c r="C293" s="138">
        <f t="shared" si="48"/>
        <v>1</v>
      </c>
      <c r="D293" s="148"/>
      <c r="E293" s="138">
        <f t="shared" si="49"/>
        <v>1</v>
      </c>
      <c r="F293" s="148"/>
      <c r="G293" s="138">
        <f t="shared" si="50"/>
        <v>1</v>
      </c>
      <c r="H293" s="148"/>
      <c r="I293" s="138">
        <f t="shared" si="51"/>
        <v>1</v>
      </c>
      <c r="J293" s="148"/>
      <c r="K293" s="138">
        <f t="shared" si="52"/>
        <v>1</v>
      </c>
      <c r="L293" s="148"/>
      <c r="M293" s="138">
        <f t="shared" si="53"/>
        <v>1</v>
      </c>
      <c r="N293" s="148"/>
      <c r="O293" s="138">
        <f t="shared" si="54"/>
        <v>1</v>
      </c>
      <c r="P293" s="148"/>
      <c r="Q293" s="138">
        <f t="shared" si="55"/>
        <v>1</v>
      </c>
      <c r="R293" s="201">
        <f t="shared" si="56"/>
        <v>0</v>
      </c>
      <c r="S293" s="137">
        <f t="shared" si="57"/>
        <v>0</v>
      </c>
    </row>
    <row r="294" spans="1:19">
      <c r="A294" s="146"/>
      <c r="B294" s="147"/>
      <c r="C294" s="138">
        <f t="shared" si="48"/>
        <v>1</v>
      </c>
      <c r="D294" s="148"/>
      <c r="E294" s="138">
        <f t="shared" si="49"/>
        <v>1</v>
      </c>
      <c r="F294" s="148"/>
      <c r="G294" s="138">
        <f t="shared" si="50"/>
        <v>1</v>
      </c>
      <c r="H294" s="148"/>
      <c r="I294" s="138">
        <f t="shared" si="51"/>
        <v>1</v>
      </c>
      <c r="J294" s="148"/>
      <c r="K294" s="138">
        <f t="shared" si="52"/>
        <v>1</v>
      </c>
      <c r="L294" s="148"/>
      <c r="M294" s="138">
        <f t="shared" si="53"/>
        <v>1</v>
      </c>
      <c r="N294" s="148"/>
      <c r="O294" s="138">
        <f t="shared" si="54"/>
        <v>1</v>
      </c>
      <c r="P294" s="148"/>
      <c r="Q294" s="138">
        <f t="shared" si="55"/>
        <v>1</v>
      </c>
      <c r="R294" s="201">
        <f t="shared" si="56"/>
        <v>0</v>
      </c>
      <c r="S294" s="137">
        <f t="shared" si="57"/>
        <v>0</v>
      </c>
    </row>
    <row r="295" spans="1:19">
      <c r="A295" s="146"/>
      <c r="B295" s="147"/>
      <c r="C295" s="138">
        <f t="shared" si="48"/>
        <v>1</v>
      </c>
      <c r="D295" s="148"/>
      <c r="E295" s="138">
        <f t="shared" si="49"/>
        <v>1</v>
      </c>
      <c r="F295" s="148"/>
      <c r="G295" s="138">
        <f t="shared" si="50"/>
        <v>1</v>
      </c>
      <c r="H295" s="148"/>
      <c r="I295" s="138">
        <f t="shared" si="51"/>
        <v>1</v>
      </c>
      <c r="J295" s="148"/>
      <c r="K295" s="138">
        <f t="shared" si="52"/>
        <v>1</v>
      </c>
      <c r="L295" s="148"/>
      <c r="M295" s="138">
        <f t="shared" si="53"/>
        <v>1</v>
      </c>
      <c r="N295" s="148"/>
      <c r="O295" s="138">
        <f t="shared" si="54"/>
        <v>1</v>
      </c>
      <c r="P295" s="148"/>
      <c r="Q295" s="138">
        <f t="shared" si="55"/>
        <v>1</v>
      </c>
      <c r="R295" s="201">
        <f t="shared" si="56"/>
        <v>0</v>
      </c>
      <c r="S295" s="137">
        <f t="shared" si="57"/>
        <v>0</v>
      </c>
    </row>
    <row r="296" spans="1:19">
      <c r="A296" s="146"/>
      <c r="B296" s="147"/>
      <c r="C296" s="138">
        <f t="shared" si="48"/>
        <v>1</v>
      </c>
      <c r="D296" s="148"/>
      <c r="E296" s="138">
        <f t="shared" si="49"/>
        <v>1</v>
      </c>
      <c r="F296" s="148"/>
      <c r="G296" s="138">
        <f t="shared" si="50"/>
        <v>1</v>
      </c>
      <c r="H296" s="148"/>
      <c r="I296" s="138">
        <f t="shared" si="51"/>
        <v>1</v>
      </c>
      <c r="J296" s="148"/>
      <c r="K296" s="138">
        <f t="shared" si="52"/>
        <v>1</v>
      </c>
      <c r="L296" s="148"/>
      <c r="M296" s="138">
        <f t="shared" si="53"/>
        <v>1</v>
      </c>
      <c r="N296" s="148"/>
      <c r="O296" s="138">
        <f t="shared" si="54"/>
        <v>1</v>
      </c>
      <c r="P296" s="148"/>
      <c r="Q296" s="138">
        <f t="shared" si="55"/>
        <v>1</v>
      </c>
      <c r="R296" s="201">
        <f t="shared" si="56"/>
        <v>0</v>
      </c>
      <c r="S296" s="137">
        <f t="shared" si="57"/>
        <v>0</v>
      </c>
    </row>
    <row r="297" spans="1:19">
      <c r="A297" s="146"/>
      <c r="B297" s="147"/>
      <c r="C297" s="138">
        <f t="shared" si="48"/>
        <v>1</v>
      </c>
      <c r="D297" s="148"/>
      <c r="E297" s="138">
        <f t="shared" si="49"/>
        <v>1</v>
      </c>
      <c r="F297" s="148"/>
      <c r="G297" s="138">
        <f t="shared" si="50"/>
        <v>1</v>
      </c>
      <c r="H297" s="148"/>
      <c r="I297" s="138">
        <f t="shared" si="51"/>
        <v>1</v>
      </c>
      <c r="J297" s="148"/>
      <c r="K297" s="138">
        <f t="shared" si="52"/>
        <v>1</v>
      </c>
      <c r="L297" s="148"/>
      <c r="M297" s="138">
        <f t="shared" si="53"/>
        <v>1</v>
      </c>
      <c r="N297" s="148"/>
      <c r="O297" s="138">
        <f t="shared" si="54"/>
        <v>1</v>
      </c>
      <c r="P297" s="148"/>
      <c r="Q297" s="138">
        <f t="shared" si="55"/>
        <v>1</v>
      </c>
      <c r="R297" s="201">
        <f t="shared" si="56"/>
        <v>0</v>
      </c>
      <c r="S297" s="137">
        <f t="shared" si="57"/>
        <v>0</v>
      </c>
    </row>
    <row r="298" spans="1:19">
      <c r="A298" s="146"/>
      <c r="B298" s="147"/>
      <c r="C298" s="138">
        <f t="shared" si="48"/>
        <v>1</v>
      </c>
      <c r="D298" s="148"/>
      <c r="E298" s="138">
        <f t="shared" si="49"/>
        <v>1</v>
      </c>
      <c r="F298" s="148"/>
      <c r="G298" s="138">
        <f t="shared" si="50"/>
        <v>1</v>
      </c>
      <c r="H298" s="148"/>
      <c r="I298" s="138">
        <f t="shared" si="51"/>
        <v>1</v>
      </c>
      <c r="J298" s="148"/>
      <c r="K298" s="138">
        <f t="shared" si="52"/>
        <v>1</v>
      </c>
      <c r="L298" s="148"/>
      <c r="M298" s="138">
        <f t="shared" si="53"/>
        <v>1</v>
      </c>
      <c r="N298" s="148"/>
      <c r="O298" s="138">
        <f t="shared" si="54"/>
        <v>1</v>
      </c>
      <c r="P298" s="148"/>
      <c r="Q298" s="138">
        <f t="shared" si="55"/>
        <v>1</v>
      </c>
      <c r="R298" s="201">
        <f t="shared" si="56"/>
        <v>0</v>
      </c>
      <c r="S298" s="137">
        <f t="shared" si="57"/>
        <v>0</v>
      </c>
    </row>
    <row r="299" spans="1:19">
      <c r="A299" s="146"/>
      <c r="B299" s="147"/>
      <c r="C299" s="138">
        <f t="shared" si="48"/>
        <v>1</v>
      </c>
      <c r="D299" s="148"/>
      <c r="E299" s="138">
        <f t="shared" si="49"/>
        <v>1</v>
      </c>
      <c r="F299" s="148"/>
      <c r="G299" s="138">
        <f t="shared" si="50"/>
        <v>1</v>
      </c>
      <c r="H299" s="148"/>
      <c r="I299" s="138">
        <f t="shared" si="51"/>
        <v>1</v>
      </c>
      <c r="J299" s="148"/>
      <c r="K299" s="138">
        <f t="shared" si="52"/>
        <v>1</v>
      </c>
      <c r="L299" s="148"/>
      <c r="M299" s="138">
        <f t="shared" si="53"/>
        <v>1</v>
      </c>
      <c r="N299" s="148"/>
      <c r="O299" s="138">
        <f t="shared" si="54"/>
        <v>1</v>
      </c>
      <c r="P299" s="148"/>
      <c r="Q299" s="138">
        <f t="shared" si="55"/>
        <v>1</v>
      </c>
      <c r="R299" s="201">
        <f t="shared" si="56"/>
        <v>0</v>
      </c>
      <c r="S299" s="137">
        <f t="shared" si="57"/>
        <v>0</v>
      </c>
    </row>
    <row r="300" spans="1:19">
      <c r="A300" s="146"/>
      <c r="B300" s="147"/>
      <c r="C300" s="138">
        <f t="shared" si="48"/>
        <v>1</v>
      </c>
      <c r="D300" s="148"/>
      <c r="E300" s="138">
        <f t="shared" si="49"/>
        <v>1</v>
      </c>
      <c r="F300" s="148"/>
      <c r="G300" s="138">
        <f t="shared" si="50"/>
        <v>1</v>
      </c>
      <c r="H300" s="148"/>
      <c r="I300" s="138">
        <f t="shared" si="51"/>
        <v>1</v>
      </c>
      <c r="J300" s="148"/>
      <c r="K300" s="138">
        <f t="shared" si="52"/>
        <v>1</v>
      </c>
      <c r="L300" s="148"/>
      <c r="M300" s="138">
        <f t="shared" si="53"/>
        <v>1</v>
      </c>
      <c r="N300" s="148"/>
      <c r="O300" s="138">
        <f t="shared" si="54"/>
        <v>1</v>
      </c>
      <c r="P300" s="148"/>
      <c r="Q300" s="138">
        <f t="shared" si="55"/>
        <v>1</v>
      </c>
      <c r="R300" s="201">
        <f t="shared" si="56"/>
        <v>0</v>
      </c>
      <c r="S300" s="137">
        <f t="shared" si="57"/>
        <v>0</v>
      </c>
    </row>
    <row r="301" spans="1:19">
      <c r="A301" s="146"/>
      <c r="B301" s="147"/>
      <c r="C301" s="138">
        <f t="shared" si="48"/>
        <v>1</v>
      </c>
      <c r="D301" s="148"/>
      <c r="E301" s="138">
        <f t="shared" si="49"/>
        <v>1</v>
      </c>
      <c r="F301" s="148"/>
      <c r="G301" s="138">
        <f t="shared" si="50"/>
        <v>1</v>
      </c>
      <c r="H301" s="148"/>
      <c r="I301" s="138">
        <f t="shared" si="51"/>
        <v>1</v>
      </c>
      <c r="J301" s="148"/>
      <c r="K301" s="138">
        <f t="shared" si="52"/>
        <v>1</v>
      </c>
      <c r="L301" s="148"/>
      <c r="M301" s="138">
        <f t="shared" si="53"/>
        <v>1</v>
      </c>
      <c r="N301" s="148"/>
      <c r="O301" s="138">
        <f t="shared" si="54"/>
        <v>1</v>
      </c>
      <c r="P301" s="148"/>
      <c r="Q301" s="138">
        <f t="shared" si="55"/>
        <v>1</v>
      </c>
      <c r="R301" s="201">
        <f t="shared" si="56"/>
        <v>0</v>
      </c>
      <c r="S301" s="137">
        <f t="shared" si="57"/>
        <v>0</v>
      </c>
    </row>
    <row r="302" spans="1:19">
      <c r="A302" s="146"/>
      <c r="B302" s="147"/>
      <c r="C302" s="138">
        <f t="shared" si="48"/>
        <v>1</v>
      </c>
      <c r="D302" s="148"/>
      <c r="E302" s="138">
        <f t="shared" si="49"/>
        <v>1</v>
      </c>
      <c r="F302" s="148"/>
      <c r="G302" s="138">
        <f t="shared" si="50"/>
        <v>1</v>
      </c>
      <c r="H302" s="148"/>
      <c r="I302" s="138">
        <f t="shared" si="51"/>
        <v>1</v>
      </c>
      <c r="J302" s="148"/>
      <c r="K302" s="138">
        <f t="shared" si="52"/>
        <v>1</v>
      </c>
      <c r="L302" s="148"/>
      <c r="M302" s="138">
        <f t="shared" si="53"/>
        <v>1</v>
      </c>
      <c r="N302" s="148"/>
      <c r="O302" s="138">
        <f t="shared" si="54"/>
        <v>1</v>
      </c>
      <c r="P302" s="148"/>
      <c r="Q302" s="138">
        <f t="shared" si="55"/>
        <v>1</v>
      </c>
      <c r="R302" s="201">
        <f t="shared" si="56"/>
        <v>0</v>
      </c>
      <c r="S302" s="137">
        <f t="shared" si="57"/>
        <v>0</v>
      </c>
    </row>
    <row r="303" spans="1:19">
      <c r="A303" s="146"/>
      <c r="B303" s="147"/>
      <c r="C303" s="138">
        <f t="shared" si="48"/>
        <v>1</v>
      </c>
      <c r="D303" s="148"/>
      <c r="E303" s="138">
        <f t="shared" si="49"/>
        <v>1</v>
      </c>
      <c r="F303" s="148"/>
      <c r="G303" s="138">
        <f t="shared" si="50"/>
        <v>1</v>
      </c>
      <c r="H303" s="148"/>
      <c r="I303" s="138">
        <f t="shared" si="51"/>
        <v>1</v>
      </c>
      <c r="J303" s="148"/>
      <c r="K303" s="138">
        <f t="shared" si="52"/>
        <v>1</v>
      </c>
      <c r="L303" s="148"/>
      <c r="M303" s="138">
        <f t="shared" si="53"/>
        <v>1</v>
      </c>
      <c r="N303" s="148"/>
      <c r="O303" s="138">
        <f t="shared" si="54"/>
        <v>1</v>
      </c>
      <c r="P303" s="148"/>
      <c r="Q303" s="138">
        <f t="shared" si="55"/>
        <v>1</v>
      </c>
      <c r="R303" s="201">
        <f t="shared" si="56"/>
        <v>0</v>
      </c>
      <c r="S303" s="137">
        <f t="shared" si="57"/>
        <v>0</v>
      </c>
    </row>
    <row r="304" spans="1:19">
      <c r="A304" s="146"/>
      <c r="B304" s="147"/>
      <c r="C304" s="138">
        <f t="shared" si="48"/>
        <v>1</v>
      </c>
      <c r="D304" s="148"/>
      <c r="E304" s="138">
        <f t="shared" si="49"/>
        <v>1</v>
      </c>
      <c r="F304" s="148"/>
      <c r="G304" s="138">
        <f t="shared" si="50"/>
        <v>1</v>
      </c>
      <c r="H304" s="148"/>
      <c r="I304" s="138">
        <f t="shared" si="51"/>
        <v>1</v>
      </c>
      <c r="J304" s="148"/>
      <c r="K304" s="138">
        <f t="shared" si="52"/>
        <v>1</v>
      </c>
      <c r="L304" s="148"/>
      <c r="M304" s="138">
        <f t="shared" si="53"/>
        <v>1</v>
      </c>
      <c r="N304" s="148"/>
      <c r="O304" s="138">
        <f t="shared" si="54"/>
        <v>1</v>
      </c>
      <c r="P304" s="148"/>
      <c r="Q304" s="138">
        <f t="shared" si="55"/>
        <v>1</v>
      </c>
      <c r="R304" s="201">
        <f t="shared" si="56"/>
        <v>0</v>
      </c>
      <c r="S304" s="137">
        <f t="shared" si="57"/>
        <v>0</v>
      </c>
    </row>
    <row r="305" spans="1:19">
      <c r="A305" s="146"/>
      <c r="B305" s="147"/>
      <c r="C305" s="138">
        <f t="shared" si="48"/>
        <v>1</v>
      </c>
      <c r="D305" s="148"/>
      <c r="E305" s="138">
        <f t="shared" si="49"/>
        <v>1</v>
      </c>
      <c r="F305" s="148"/>
      <c r="G305" s="138">
        <f t="shared" si="50"/>
        <v>1</v>
      </c>
      <c r="H305" s="148"/>
      <c r="I305" s="138">
        <f t="shared" si="51"/>
        <v>1</v>
      </c>
      <c r="J305" s="148"/>
      <c r="K305" s="138">
        <f t="shared" si="52"/>
        <v>1</v>
      </c>
      <c r="L305" s="148"/>
      <c r="M305" s="138">
        <f t="shared" si="53"/>
        <v>1</v>
      </c>
      <c r="N305" s="148"/>
      <c r="O305" s="138">
        <f t="shared" si="54"/>
        <v>1</v>
      </c>
      <c r="P305" s="148"/>
      <c r="Q305" s="138">
        <f t="shared" si="55"/>
        <v>1</v>
      </c>
      <c r="R305" s="201">
        <f t="shared" si="56"/>
        <v>0</v>
      </c>
      <c r="S305" s="137">
        <f t="shared" si="57"/>
        <v>0</v>
      </c>
    </row>
    <row r="306" spans="1:19">
      <c r="A306" s="146"/>
      <c r="B306" s="147"/>
      <c r="C306" s="138">
        <f t="shared" si="48"/>
        <v>1</v>
      </c>
      <c r="D306" s="148"/>
      <c r="E306" s="138">
        <f t="shared" si="49"/>
        <v>1</v>
      </c>
      <c r="F306" s="148"/>
      <c r="G306" s="138">
        <f t="shared" si="50"/>
        <v>1</v>
      </c>
      <c r="H306" s="148"/>
      <c r="I306" s="138">
        <f t="shared" si="51"/>
        <v>1</v>
      </c>
      <c r="J306" s="148"/>
      <c r="K306" s="138">
        <f t="shared" si="52"/>
        <v>1</v>
      </c>
      <c r="L306" s="148"/>
      <c r="M306" s="138">
        <f t="shared" si="53"/>
        <v>1</v>
      </c>
      <c r="N306" s="148"/>
      <c r="O306" s="138">
        <f t="shared" si="54"/>
        <v>1</v>
      </c>
      <c r="P306" s="148"/>
      <c r="Q306" s="138">
        <f t="shared" si="55"/>
        <v>1</v>
      </c>
      <c r="R306" s="201">
        <f t="shared" si="56"/>
        <v>0</v>
      </c>
      <c r="S306" s="137">
        <f t="shared" si="57"/>
        <v>0</v>
      </c>
    </row>
    <row r="307" spans="1:19">
      <c r="A307" s="146"/>
      <c r="B307" s="147"/>
      <c r="C307" s="138">
        <f t="shared" si="48"/>
        <v>1</v>
      </c>
      <c r="D307" s="148"/>
      <c r="E307" s="138">
        <f t="shared" si="49"/>
        <v>1</v>
      </c>
      <c r="F307" s="148"/>
      <c r="G307" s="138">
        <f t="shared" si="50"/>
        <v>1</v>
      </c>
      <c r="H307" s="148"/>
      <c r="I307" s="138">
        <f t="shared" si="51"/>
        <v>1</v>
      </c>
      <c r="J307" s="148"/>
      <c r="K307" s="138">
        <f t="shared" si="52"/>
        <v>1</v>
      </c>
      <c r="L307" s="148"/>
      <c r="M307" s="138">
        <f t="shared" si="53"/>
        <v>1</v>
      </c>
      <c r="N307" s="148"/>
      <c r="O307" s="138">
        <f t="shared" si="54"/>
        <v>1</v>
      </c>
      <c r="P307" s="148"/>
      <c r="Q307" s="138">
        <f t="shared" si="55"/>
        <v>1</v>
      </c>
      <c r="R307" s="201">
        <f t="shared" si="56"/>
        <v>0</v>
      </c>
      <c r="S307" s="137">
        <f t="shared" si="57"/>
        <v>0</v>
      </c>
    </row>
    <row r="308" spans="1:19">
      <c r="A308" s="146"/>
      <c r="B308" s="147"/>
      <c r="C308" s="138">
        <f t="shared" si="48"/>
        <v>1</v>
      </c>
      <c r="D308" s="148"/>
      <c r="E308" s="138">
        <f t="shared" si="49"/>
        <v>1</v>
      </c>
      <c r="F308" s="148"/>
      <c r="G308" s="138">
        <f t="shared" si="50"/>
        <v>1</v>
      </c>
      <c r="H308" s="148"/>
      <c r="I308" s="138">
        <f t="shared" si="51"/>
        <v>1</v>
      </c>
      <c r="J308" s="148"/>
      <c r="K308" s="138">
        <f t="shared" si="52"/>
        <v>1</v>
      </c>
      <c r="L308" s="148"/>
      <c r="M308" s="138">
        <f t="shared" si="53"/>
        <v>1</v>
      </c>
      <c r="N308" s="148"/>
      <c r="O308" s="138">
        <f t="shared" si="54"/>
        <v>1</v>
      </c>
      <c r="P308" s="148"/>
      <c r="Q308" s="138">
        <f t="shared" si="55"/>
        <v>1</v>
      </c>
      <c r="R308" s="201">
        <f t="shared" si="56"/>
        <v>0</v>
      </c>
      <c r="S308" s="137">
        <f t="shared" si="57"/>
        <v>0</v>
      </c>
    </row>
    <row r="309" spans="1:19">
      <c r="A309" s="146"/>
      <c r="B309" s="147"/>
      <c r="C309" s="138">
        <f t="shared" si="48"/>
        <v>1</v>
      </c>
      <c r="D309" s="148"/>
      <c r="E309" s="138">
        <f t="shared" si="49"/>
        <v>1</v>
      </c>
      <c r="F309" s="148"/>
      <c r="G309" s="138">
        <f t="shared" si="50"/>
        <v>1</v>
      </c>
      <c r="H309" s="148"/>
      <c r="I309" s="138">
        <f t="shared" si="51"/>
        <v>1</v>
      </c>
      <c r="J309" s="148"/>
      <c r="K309" s="138">
        <f t="shared" si="52"/>
        <v>1</v>
      </c>
      <c r="L309" s="148"/>
      <c r="M309" s="138">
        <f t="shared" si="53"/>
        <v>1</v>
      </c>
      <c r="N309" s="148"/>
      <c r="O309" s="138">
        <f t="shared" si="54"/>
        <v>1</v>
      </c>
      <c r="P309" s="148"/>
      <c r="Q309" s="138">
        <f t="shared" si="55"/>
        <v>1</v>
      </c>
      <c r="R309" s="201">
        <f t="shared" si="56"/>
        <v>0</v>
      </c>
      <c r="S309" s="137">
        <f t="shared" si="57"/>
        <v>0</v>
      </c>
    </row>
    <row r="310" spans="1:19">
      <c r="A310" s="146"/>
      <c r="B310" s="147"/>
      <c r="C310" s="138">
        <f t="shared" si="48"/>
        <v>1</v>
      </c>
      <c r="D310" s="148"/>
      <c r="E310" s="138">
        <f t="shared" si="49"/>
        <v>1</v>
      </c>
      <c r="F310" s="148"/>
      <c r="G310" s="138">
        <f t="shared" si="50"/>
        <v>1</v>
      </c>
      <c r="H310" s="148"/>
      <c r="I310" s="138">
        <f t="shared" si="51"/>
        <v>1</v>
      </c>
      <c r="J310" s="148"/>
      <c r="K310" s="138">
        <f t="shared" si="52"/>
        <v>1</v>
      </c>
      <c r="L310" s="148"/>
      <c r="M310" s="138">
        <f t="shared" si="53"/>
        <v>1</v>
      </c>
      <c r="N310" s="148"/>
      <c r="O310" s="138">
        <f t="shared" si="54"/>
        <v>1</v>
      </c>
      <c r="P310" s="148"/>
      <c r="Q310" s="138">
        <f t="shared" si="55"/>
        <v>1</v>
      </c>
      <c r="R310" s="201">
        <f t="shared" si="56"/>
        <v>0</v>
      </c>
      <c r="S310" s="137">
        <f t="shared" si="57"/>
        <v>0</v>
      </c>
    </row>
    <row r="311" spans="1:19">
      <c r="A311" s="146"/>
      <c r="B311" s="147"/>
      <c r="C311" s="138">
        <f t="shared" si="48"/>
        <v>1</v>
      </c>
      <c r="D311" s="148"/>
      <c r="E311" s="138">
        <f t="shared" si="49"/>
        <v>1</v>
      </c>
      <c r="F311" s="148"/>
      <c r="G311" s="138">
        <f t="shared" si="50"/>
        <v>1</v>
      </c>
      <c r="H311" s="148"/>
      <c r="I311" s="138">
        <f t="shared" si="51"/>
        <v>1</v>
      </c>
      <c r="J311" s="148"/>
      <c r="K311" s="138">
        <f t="shared" si="52"/>
        <v>1</v>
      </c>
      <c r="L311" s="148"/>
      <c r="M311" s="138">
        <f t="shared" si="53"/>
        <v>1</v>
      </c>
      <c r="N311" s="148"/>
      <c r="O311" s="138">
        <f t="shared" si="54"/>
        <v>1</v>
      </c>
      <c r="P311" s="148"/>
      <c r="Q311" s="138">
        <f t="shared" si="55"/>
        <v>1</v>
      </c>
      <c r="R311" s="201">
        <f t="shared" si="56"/>
        <v>0</v>
      </c>
      <c r="S311" s="137">
        <f t="shared" si="57"/>
        <v>0</v>
      </c>
    </row>
    <row r="312" spans="1:19">
      <c r="A312" s="146"/>
      <c r="B312" s="147"/>
      <c r="C312" s="138">
        <f t="shared" si="48"/>
        <v>1</v>
      </c>
      <c r="D312" s="148"/>
      <c r="E312" s="138">
        <f t="shared" si="49"/>
        <v>1</v>
      </c>
      <c r="F312" s="148"/>
      <c r="G312" s="138">
        <f t="shared" si="50"/>
        <v>1</v>
      </c>
      <c r="H312" s="148"/>
      <c r="I312" s="138">
        <f t="shared" si="51"/>
        <v>1</v>
      </c>
      <c r="J312" s="148"/>
      <c r="K312" s="138">
        <f t="shared" si="52"/>
        <v>1</v>
      </c>
      <c r="L312" s="148"/>
      <c r="M312" s="138">
        <f t="shared" si="53"/>
        <v>1</v>
      </c>
      <c r="N312" s="148"/>
      <c r="O312" s="138">
        <f t="shared" si="54"/>
        <v>1</v>
      </c>
      <c r="P312" s="148"/>
      <c r="Q312" s="138">
        <f t="shared" si="55"/>
        <v>1</v>
      </c>
      <c r="R312" s="201">
        <f t="shared" si="56"/>
        <v>0</v>
      </c>
      <c r="S312" s="137">
        <f t="shared" si="57"/>
        <v>0</v>
      </c>
    </row>
    <row r="313" spans="1:19">
      <c r="A313" s="146"/>
      <c r="B313" s="147"/>
      <c r="C313" s="138">
        <f t="shared" si="48"/>
        <v>1</v>
      </c>
      <c r="D313" s="148"/>
      <c r="E313" s="138">
        <f t="shared" si="49"/>
        <v>1</v>
      </c>
      <c r="F313" s="148"/>
      <c r="G313" s="138">
        <f t="shared" si="50"/>
        <v>1</v>
      </c>
      <c r="H313" s="148"/>
      <c r="I313" s="138">
        <f t="shared" si="51"/>
        <v>1</v>
      </c>
      <c r="J313" s="148"/>
      <c r="K313" s="138">
        <f t="shared" si="52"/>
        <v>1</v>
      </c>
      <c r="L313" s="148"/>
      <c r="M313" s="138">
        <f t="shared" si="53"/>
        <v>1</v>
      </c>
      <c r="N313" s="148"/>
      <c r="O313" s="138">
        <f t="shared" si="54"/>
        <v>1</v>
      </c>
      <c r="P313" s="148"/>
      <c r="Q313" s="138">
        <f t="shared" si="55"/>
        <v>1</v>
      </c>
      <c r="R313" s="201">
        <f t="shared" si="56"/>
        <v>0</v>
      </c>
      <c r="S313" s="137">
        <f t="shared" si="57"/>
        <v>0</v>
      </c>
    </row>
    <row r="314" spans="1:19">
      <c r="A314" s="146"/>
      <c r="B314" s="147"/>
      <c r="C314" s="138">
        <f t="shared" si="48"/>
        <v>1</v>
      </c>
      <c r="D314" s="148"/>
      <c r="E314" s="138">
        <f t="shared" si="49"/>
        <v>1</v>
      </c>
      <c r="F314" s="148"/>
      <c r="G314" s="138">
        <f t="shared" si="50"/>
        <v>1</v>
      </c>
      <c r="H314" s="148"/>
      <c r="I314" s="138">
        <f t="shared" si="51"/>
        <v>1</v>
      </c>
      <c r="J314" s="148"/>
      <c r="K314" s="138">
        <f t="shared" si="52"/>
        <v>1</v>
      </c>
      <c r="L314" s="148"/>
      <c r="M314" s="138">
        <f t="shared" si="53"/>
        <v>1</v>
      </c>
      <c r="N314" s="148"/>
      <c r="O314" s="138">
        <f t="shared" si="54"/>
        <v>1</v>
      </c>
      <c r="P314" s="148"/>
      <c r="Q314" s="138">
        <f t="shared" si="55"/>
        <v>1</v>
      </c>
      <c r="R314" s="201">
        <f t="shared" si="56"/>
        <v>0</v>
      </c>
      <c r="S314" s="137">
        <f t="shared" si="57"/>
        <v>0</v>
      </c>
    </row>
    <row r="315" spans="1:19">
      <c r="A315" s="146"/>
      <c r="B315" s="147"/>
      <c r="C315" s="138">
        <f t="shared" si="48"/>
        <v>1</v>
      </c>
      <c r="D315" s="148"/>
      <c r="E315" s="138">
        <f t="shared" si="49"/>
        <v>1</v>
      </c>
      <c r="F315" s="148"/>
      <c r="G315" s="138">
        <f t="shared" si="50"/>
        <v>1</v>
      </c>
      <c r="H315" s="148"/>
      <c r="I315" s="138">
        <f t="shared" si="51"/>
        <v>1</v>
      </c>
      <c r="J315" s="148"/>
      <c r="K315" s="138">
        <f t="shared" si="52"/>
        <v>1</v>
      </c>
      <c r="L315" s="148"/>
      <c r="M315" s="138">
        <f t="shared" si="53"/>
        <v>1</v>
      </c>
      <c r="N315" s="148"/>
      <c r="O315" s="138">
        <f t="shared" si="54"/>
        <v>1</v>
      </c>
      <c r="P315" s="148"/>
      <c r="Q315" s="138">
        <f t="shared" si="55"/>
        <v>1</v>
      </c>
      <c r="R315" s="201">
        <f t="shared" si="56"/>
        <v>0</v>
      </c>
      <c r="S315" s="137">
        <f t="shared" si="57"/>
        <v>0</v>
      </c>
    </row>
    <row r="316" spans="1:19">
      <c r="A316" s="146"/>
      <c r="B316" s="147"/>
      <c r="C316" s="138">
        <f t="shared" si="48"/>
        <v>1</v>
      </c>
      <c r="D316" s="148"/>
      <c r="E316" s="138">
        <f t="shared" si="49"/>
        <v>1</v>
      </c>
      <c r="F316" s="148"/>
      <c r="G316" s="138">
        <f t="shared" si="50"/>
        <v>1</v>
      </c>
      <c r="H316" s="148"/>
      <c r="I316" s="138">
        <f t="shared" si="51"/>
        <v>1</v>
      </c>
      <c r="J316" s="148"/>
      <c r="K316" s="138">
        <f t="shared" si="52"/>
        <v>1</v>
      </c>
      <c r="L316" s="148"/>
      <c r="M316" s="138">
        <f t="shared" si="53"/>
        <v>1</v>
      </c>
      <c r="N316" s="148"/>
      <c r="O316" s="138">
        <f t="shared" si="54"/>
        <v>1</v>
      </c>
      <c r="P316" s="148"/>
      <c r="Q316" s="138">
        <f t="shared" si="55"/>
        <v>1</v>
      </c>
      <c r="R316" s="201">
        <f t="shared" si="56"/>
        <v>0</v>
      </c>
      <c r="S316" s="137">
        <f t="shared" si="57"/>
        <v>0</v>
      </c>
    </row>
    <row r="317" spans="1:19">
      <c r="A317" s="146"/>
      <c r="B317" s="147"/>
      <c r="C317" s="138">
        <f t="shared" si="48"/>
        <v>1</v>
      </c>
      <c r="D317" s="148"/>
      <c r="E317" s="138">
        <f t="shared" si="49"/>
        <v>1</v>
      </c>
      <c r="F317" s="148"/>
      <c r="G317" s="138">
        <f t="shared" si="50"/>
        <v>1</v>
      </c>
      <c r="H317" s="148"/>
      <c r="I317" s="138">
        <f t="shared" si="51"/>
        <v>1</v>
      </c>
      <c r="J317" s="148"/>
      <c r="K317" s="138">
        <f t="shared" si="52"/>
        <v>1</v>
      </c>
      <c r="L317" s="148"/>
      <c r="M317" s="138">
        <f t="shared" si="53"/>
        <v>1</v>
      </c>
      <c r="N317" s="148"/>
      <c r="O317" s="138">
        <f t="shared" si="54"/>
        <v>1</v>
      </c>
      <c r="P317" s="148"/>
      <c r="Q317" s="138">
        <f t="shared" si="55"/>
        <v>1</v>
      </c>
      <c r="R317" s="201">
        <f t="shared" si="56"/>
        <v>0</v>
      </c>
      <c r="S317" s="137">
        <f t="shared" si="57"/>
        <v>0</v>
      </c>
    </row>
    <row r="318" spans="1:19">
      <c r="A318" s="146"/>
      <c r="B318" s="147"/>
      <c r="C318" s="138">
        <f t="shared" si="48"/>
        <v>1</v>
      </c>
      <c r="D318" s="148"/>
      <c r="E318" s="138">
        <f t="shared" si="49"/>
        <v>1</v>
      </c>
      <c r="F318" s="148"/>
      <c r="G318" s="138">
        <f t="shared" si="50"/>
        <v>1</v>
      </c>
      <c r="H318" s="148"/>
      <c r="I318" s="138">
        <f t="shared" si="51"/>
        <v>1</v>
      </c>
      <c r="J318" s="148"/>
      <c r="K318" s="138">
        <f t="shared" si="52"/>
        <v>1</v>
      </c>
      <c r="L318" s="148"/>
      <c r="M318" s="138">
        <f t="shared" si="53"/>
        <v>1</v>
      </c>
      <c r="N318" s="148"/>
      <c r="O318" s="138">
        <f t="shared" si="54"/>
        <v>1</v>
      </c>
      <c r="P318" s="148"/>
      <c r="Q318" s="138">
        <f t="shared" si="55"/>
        <v>1</v>
      </c>
      <c r="R318" s="201">
        <f t="shared" si="56"/>
        <v>0</v>
      </c>
      <c r="S318" s="137">
        <f t="shared" si="57"/>
        <v>0</v>
      </c>
    </row>
    <row r="319" spans="1:19">
      <c r="A319" s="146"/>
      <c r="B319" s="147"/>
      <c r="C319" s="138">
        <f t="shared" si="48"/>
        <v>1</v>
      </c>
      <c r="D319" s="148"/>
      <c r="E319" s="138">
        <f t="shared" si="49"/>
        <v>1</v>
      </c>
      <c r="F319" s="148"/>
      <c r="G319" s="138">
        <f t="shared" si="50"/>
        <v>1</v>
      </c>
      <c r="H319" s="148"/>
      <c r="I319" s="138">
        <f t="shared" si="51"/>
        <v>1</v>
      </c>
      <c r="J319" s="148"/>
      <c r="K319" s="138">
        <f t="shared" si="52"/>
        <v>1</v>
      </c>
      <c r="L319" s="148"/>
      <c r="M319" s="138">
        <f t="shared" si="53"/>
        <v>1</v>
      </c>
      <c r="N319" s="148"/>
      <c r="O319" s="138">
        <f t="shared" si="54"/>
        <v>1</v>
      </c>
      <c r="P319" s="148"/>
      <c r="Q319" s="138">
        <f t="shared" si="55"/>
        <v>1</v>
      </c>
      <c r="R319" s="201">
        <f t="shared" si="56"/>
        <v>0</v>
      </c>
      <c r="S319" s="137">
        <f t="shared" si="57"/>
        <v>0</v>
      </c>
    </row>
    <row r="320" spans="1:19">
      <c r="A320" s="146"/>
      <c r="B320" s="147"/>
      <c r="C320" s="138">
        <f t="shared" si="48"/>
        <v>1</v>
      </c>
      <c r="D320" s="148"/>
      <c r="E320" s="138">
        <f t="shared" si="49"/>
        <v>1</v>
      </c>
      <c r="F320" s="148"/>
      <c r="G320" s="138">
        <f t="shared" si="50"/>
        <v>1</v>
      </c>
      <c r="H320" s="148"/>
      <c r="I320" s="138">
        <f t="shared" si="51"/>
        <v>1</v>
      </c>
      <c r="J320" s="148"/>
      <c r="K320" s="138">
        <f t="shared" si="52"/>
        <v>1</v>
      </c>
      <c r="L320" s="148"/>
      <c r="M320" s="138">
        <f t="shared" si="53"/>
        <v>1</v>
      </c>
      <c r="N320" s="148"/>
      <c r="O320" s="138">
        <f t="shared" si="54"/>
        <v>1</v>
      </c>
      <c r="P320" s="148"/>
      <c r="Q320" s="138">
        <f t="shared" si="55"/>
        <v>1</v>
      </c>
      <c r="R320" s="201">
        <f t="shared" si="56"/>
        <v>0</v>
      </c>
      <c r="S320" s="137">
        <f t="shared" si="57"/>
        <v>0</v>
      </c>
    </row>
    <row r="321" spans="1:19">
      <c r="A321" s="146"/>
      <c r="B321" s="147"/>
      <c r="C321" s="138">
        <f t="shared" si="48"/>
        <v>1</v>
      </c>
      <c r="D321" s="148"/>
      <c r="E321" s="138">
        <f t="shared" si="49"/>
        <v>1</v>
      </c>
      <c r="F321" s="148"/>
      <c r="G321" s="138">
        <f t="shared" si="50"/>
        <v>1</v>
      </c>
      <c r="H321" s="148"/>
      <c r="I321" s="138">
        <f t="shared" si="51"/>
        <v>1</v>
      </c>
      <c r="J321" s="148"/>
      <c r="K321" s="138">
        <f t="shared" si="52"/>
        <v>1</v>
      </c>
      <c r="L321" s="148"/>
      <c r="M321" s="138">
        <f t="shared" si="53"/>
        <v>1</v>
      </c>
      <c r="N321" s="148"/>
      <c r="O321" s="138">
        <f t="shared" si="54"/>
        <v>1</v>
      </c>
      <c r="P321" s="148"/>
      <c r="Q321" s="138">
        <f t="shared" si="55"/>
        <v>1</v>
      </c>
      <c r="R321" s="201">
        <f t="shared" si="56"/>
        <v>0</v>
      </c>
      <c r="S321" s="137">
        <f t="shared" ref="S321:S384" si="58">ROUND(R321*B321/10000,0)</f>
        <v>0</v>
      </c>
    </row>
    <row r="322" spans="1:19">
      <c r="A322" s="146"/>
      <c r="B322" s="147"/>
      <c r="C322" s="138">
        <f t="shared" si="48"/>
        <v>1</v>
      </c>
      <c r="D322" s="148"/>
      <c r="E322" s="138">
        <f t="shared" si="49"/>
        <v>1</v>
      </c>
      <c r="F322" s="148"/>
      <c r="G322" s="138">
        <f t="shared" si="50"/>
        <v>1</v>
      </c>
      <c r="H322" s="148"/>
      <c r="I322" s="138">
        <f t="shared" si="51"/>
        <v>1</v>
      </c>
      <c r="J322" s="148"/>
      <c r="K322" s="138">
        <f t="shared" si="52"/>
        <v>1</v>
      </c>
      <c r="L322" s="148"/>
      <c r="M322" s="138">
        <f t="shared" si="53"/>
        <v>1</v>
      </c>
      <c r="N322" s="148"/>
      <c r="O322" s="138">
        <f t="shared" si="54"/>
        <v>1</v>
      </c>
      <c r="P322" s="148"/>
      <c r="Q322" s="138">
        <f t="shared" si="55"/>
        <v>1</v>
      </c>
      <c r="R322" s="201">
        <f t="shared" si="56"/>
        <v>0</v>
      </c>
      <c r="S322" s="137">
        <f t="shared" si="58"/>
        <v>0</v>
      </c>
    </row>
    <row r="323" spans="1:19">
      <c r="A323" s="146"/>
      <c r="B323" s="147"/>
      <c r="C323" s="138">
        <f t="shared" si="48"/>
        <v>1</v>
      </c>
      <c r="D323" s="148"/>
      <c r="E323" s="138">
        <f t="shared" si="49"/>
        <v>1</v>
      </c>
      <c r="F323" s="148"/>
      <c r="G323" s="138">
        <f t="shared" si="50"/>
        <v>1</v>
      </c>
      <c r="H323" s="148"/>
      <c r="I323" s="138">
        <f t="shared" si="51"/>
        <v>1</v>
      </c>
      <c r="J323" s="148"/>
      <c r="K323" s="138">
        <f t="shared" si="52"/>
        <v>1</v>
      </c>
      <c r="L323" s="148"/>
      <c r="M323" s="138">
        <f t="shared" si="53"/>
        <v>1</v>
      </c>
      <c r="N323" s="148"/>
      <c r="O323" s="138">
        <f t="shared" si="54"/>
        <v>1</v>
      </c>
      <c r="P323" s="148"/>
      <c r="Q323" s="138">
        <f t="shared" si="55"/>
        <v>1</v>
      </c>
      <c r="R323" s="201">
        <f t="shared" si="56"/>
        <v>0</v>
      </c>
      <c r="S323" s="137">
        <f t="shared" si="58"/>
        <v>0</v>
      </c>
    </row>
    <row r="324" spans="1:19">
      <c r="A324" s="146"/>
      <c r="B324" s="147"/>
      <c r="C324" s="138">
        <f t="shared" si="48"/>
        <v>1</v>
      </c>
      <c r="D324" s="148"/>
      <c r="E324" s="138">
        <f t="shared" si="49"/>
        <v>1</v>
      </c>
      <c r="F324" s="148"/>
      <c r="G324" s="138">
        <f t="shared" si="50"/>
        <v>1</v>
      </c>
      <c r="H324" s="148"/>
      <c r="I324" s="138">
        <f t="shared" si="51"/>
        <v>1</v>
      </c>
      <c r="J324" s="148"/>
      <c r="K324" s="138">
        <f t="shared" si="52"/>
        <v>1</v>
      </c>
      <c r="L324" s="148"/>
      <c r="M324" s="138">
        <f t="shared" si="53"/>
        <v>1</v>
      </c>
      <c r="N324" s="148"/>
      <c r="O324" s="138">
        <f t="shared" si="54"/>
        <v>1</v>
      </c>
      <c r="P324" s="148"/>
      <c r="Q324" s="138">
        <f t="shared" si="55"/>
        <v>1</v>
      </c>
      <c r="R324" s="201">
        <f t="shared" si="56"/>
        <v>0</v>
      </c>
      <c r="S324" s="137">
        <f t="shared" si="58"/>
        <v>0</v>
      </c>
    </row>
    <row r="325" spans="1:19">
      <c r="A325" s="146"/>
      <c r="B325" s="147"/>
      <c r="C325" s="138">
        <f t="shared" si="48"/>
        <v>1</v>
      </c>
      <c r="D325" s="148"/>
      <c r="E325" s="138">
        <f t="shared" si="49"/>
        <v>1</v>
      </c>
      <c r="F325" s="148"/>
      <c r="G325" s="138">
        <f t="shared" si="50"/>
        <v>1</v>
      </c>
      <c r="H325" s="148"/>
      <c r="I325" s="138">
        <f t="shared" si="51"/>
        <v>1</v>
      </c>
      <c r="J325" s="148"/>
      <c r="K325" s="138">
        <f t="shared" si="52"/>
        <v>1</v>
      </c>
      <c r="L325" s="148"/>
      <c r="M325" s="138">
        <f t="shared" si="53"/>
        <v>1</v>
      </c>
      <c r="N325" s="148"/>
      <c r="O325" s="138">
        <f t="shared" si="54"/>
        <v>1</v>
      </c>
      <c r="P325" s="148"/>
      <c r="Q325" s="138">
        <f t="shared" si="55"/>
        <v>1</v>
      </c>
      <c r="R325" s="201">
        <f t="shared" si="56"/>
        <v>0</v>
      </c>
      <c r="S325" s="137">
        <f t="shared" si="58"/>
        <v>0</v>
      </c>
    </row>
    <row r="326" spans="1:19">
      <c r="A326" s="146"/>
      <c r="B326" s="147"/>
      <c r="C326" s="138">
        <f t="shared" si="48"/>
        <v>1</v>
      </c>
      <c r="D326" s="148"/>
      <c r="E326" s="138">
        <f t="shared" si="49"/>
        <v>1</v>
      </c>
      <c r="F326" s="148"/>
      <c r="G326" s="138">
        <f t="shared" si="50"/>
        <v>1</v>
      </c>
      <c r="H326" s="148"/>
      <c r="I326" s="138">
        <f t="shared" si="51"/>
        <v>1</v>
      </c>
      <c r="J326" s="148"/>
      <c r="K326" s="138">
        <f t="shared" si="52"/>
        <v>1</v>
      </c>
      <c r="L326" s="148"/>
      <c r="M326" s="138">
        <f t="shared" si="53"/>
        <v>1</v>
      </c>
      <c r="N326" s="148"/>
      <c r="O326" s="138">
        <f t="shared" si="54"/>
        <v>1</v>
      </c>
      <c r="P326" s="148"/>
      <c r="Q326" s="138">
        <f t="shared" si="55"/>
        <v>1</v>
      </c>
      <c r="R326" s="201">
        <f t="shared" si="56"/>
        <v>0</v>
      </c>
      <c r="S326" s="137">
        <f t="shared" si="58"/>
        <v>0</v>
      </c>
    </row>
    <row r="327" spans="1:19">
      <c r="A327" s="146"/>
      <c r="B327" s="147"/>
      <c r="C327" s="138">
        <f t="shared" si="48"/>
        <v>1</v>
      </c>
      <c r="D327" s="148"/>
      <c r="E327" s="138">
        <f t="shared" si="49"/>
        <v>1</v>
      </c>
      <c r="F327" s="148"/>
      <c r="G327" s="138">
        <f t="shared" si="50"/>
        <v>1</v>
      </c>
      <c r="H327" s="148"/>
      <c r="I327" s="138">
        <f t="shared" si="51"/>
        <v>1</v>
      </c>
      <c r="J327" s="148"/>
      <c r="K327" s="138">
        <f t="shared" si="52"/>
        <v>1</v>
      </c>
      <c r="L327" s="148"/>
      <c r="M327" s="138">
        <f t="shared" si="53"/>
        <v>1</v>
      </c>
      <c r="N327" s="148"/>
      <c r="O327" s="138">
        <f t="shared" si="54"/>
        <v>1</v>
      </c>
      <c r="P327" s="148"/>
      <c r="Q327" s="138">
        <f t="shared" si="55"/>
        <v>1</v>
      </c>
      <c r="R327" s="201">
        <f t="shared" si="56"/>
        <v>0</v>
      </c>
      <c r="S327" s="137">
        <f t="shared" si="58"/>
        <v>0</v>
      </c>
    </row>
    <row r="328" spans="1:19">
      <c r="A328" s="146"/>
      <c r="B328" s="147"/>
      <c r="C328" s="138">
        <f t="shared" si="48"/>
        <v>1</v>
      </c>
      <c r="D328" s="148"/>
      <c r="E328" s="138">
        <f t="shared" si="49"/>
        <v>1</v>
      </c>
      <c r="F328" s="148"/>
      <c r="G328" s="138">
        <f t="shared" si="50"/>
        <v>1</v>
      </c>
      <c r="H328" s="148"/>
      <c r="I328" s="138">
        <f t="shared" si="51"/>
        <v>1</v>
      </c>
      <c r="J328" s="148"/>
      <c r="K328" s="138">
        <f t="shared" si="52"/>
        <v>1</v>
      </c>
      <c r="L328" s="148"/>
      <c r="M328" s="138">
        <f t="shared" si="53"/>
        <v>1</v>
      </c>
      <c r="N328" s="148"/>
      <c r="O328" s="138">
        <f t="shared" si="54"/>
        <v>1</v>
      </c>
      <c r="P328" s="148"/>
      <c r="Q328" s="138">
        <f t="shared" si="55"/>
        <v>1</v>
      </c>
      <c r="R328" s="201">
        <f t="shared" si="56"/>
        <v>0</v>
      </c>
      <c r="S328" s="137">
        <f t="shared" si="58"/>
        <v>0</v>
      </c>
    </row>
    <row r="329" spans="1:19">
      <c r="A329" s="146"/>
      <c r="B329" s="147"/>
      <c r="C329" s="138">
        <f t="shared" si="48"/>
        <v>1</v>
      </c>
      <c r="D329" s="148"/>
      <c r="E329" s="138">
        <f t="shared" si="49"/>
        <v>1</v>
      </c>
      <c r="F329" s="148"/>
      <c r="G329" s="138">
        <f t="shared" si="50"/>
        <v>1</v>
      </c>
      <c r="H329" s="148"/>
      <c r="I329" s="138">
        <f t="shared" si="51"/>
        <v>1</v>
      </c>
      <c r="J329" s="148"/>
      <c r="K329" s="138">
        <f t="shared" si="52"/>
        <v>1</v>
      </c>
      <c r="L329" s="148"/>
      <c r="M329" s="138">
        <f t="shared" si="53"/>
        <v>1</v>
      </c>
      <c r="N329" s="148"/>
      <c r="O329" s="138">
        <f t="shared" si="54"/>
        <v>1</v>
      </c>
      <c r="P329" s="148"/>
      <c r="Q329" s="138">
        <f t="shared" si="55"/>
        <v>1</v>
      </c>
      <c r="R329" s="201">
        <f t="shared" si="56"/>
        <v>0</v>
      </c>
      <c r="S329" s="137">
        <f t="shared" si="58"/>
        <v>0</v>
      </c>
    </row>
    <row r="330" spans="1:19">
      <c r="A330" s="146"/>
      <c r="B330" s="147"/>
      <c r="C330" s="138">
        <f t="shared" si="48"/>
        <v>1</v>
      </c>
      <c r="D330" s="148"/>
      <c r="E330" s="138">
        <f t="shared" si="49"/>
        <v>1</v>
      </c>
      <c r="F330" s="148"/>
      <c r="G330" s="138">
        <f t="shared" si="50"/>
        <v>1</v>
      </c>
      <c r="H330" s="148"/>
      <c r="I330" s="138">
        <f t="shared" si="51"/>
        <v>1</v>
      </c>
      <c r="J330" s="148"/>
      <c r="K330" s="138">
        <f t="shared" si="52"/>
        <v>1</v>
      </c>
      <c r="L330" s="148"/>
      <c r="M330" s="138">
        <f t="shared" si="53"/>
        <v>1</v>
      </c>
      <c r="N330" s="148"/>
      <c r="O330" s="138">
        <f t="shared" si="54"/>
        <v>1</v>
      </c>
      <c r="P330" s="148"/>
      <c r="Q330" s="138">
        <f t="shared" si="55"/>
        <v>1</v>
      </c>
      <c r="R330" s="201">
        <f t="shared" si="56"/>
        <v>0</v>
      </c>
      <c r="S330" s="137">
        <f t="shared" si="58"/>
        <v>0</v>
      </c>
    </row>
    <row r="331" spans="1:19">
      <c r="A331" s="146"/>
      <c r="B331" s="147"/>
      <c r="C331" s="138">
        <f t="shared" si="48"/>
        <v>1</v>
      </c>
      <c r="D331" s="148"/>
      <c r="E331" s="138">
        <f t="shared" si="49"/>
        <v>1</v>
      </c>
      <c r="F331" s="148"/>
      <c r="G331" s="138">
        <f t="shared" si="50"/>
        <v>1</v>
      </c>
      <c r="H331" s="148"/>
      <c r="I331" s="138">
        <f t="shared" si="51"/>
        <v>1</v>
      </c>
      <c r="J331" s="148"/>
      <c r="K331" s="138">
        <f t="shared" si="52"/>
        <v>1</v>
      </c>
      <c r="L331" s="148"/>
      <c r="M331" s="138">
        <f t="shared" si="53"/>
        <v>1</v>
      </c>
      <c r="N331" s="148"/>
      <c r="O331" s="138">
        <f t="shared" si="54"/>
        <v>1</v>
      </c>
      <c r="P331" s="148"/>
      <c r="Q331" s="138">
        <f t="shared" si="55"/>
        <v>1</v>
      </c>
      <c r="R331" s="201">
        <f t="shared" si="56"/>
        <v>0</v>
      </c>
      <c r="S331" s="137">
        <f t="shared" si="58"/>
        <v>0</v>
      </c>
    </row>
    <row r="332" spans="1:19">
      <c r="A332" s="146"/>
      <c r="B332" s="147"/>
      <c r="C332" s="138">
        <f t="shared" si="48"/>
        <v>1</v>
      </c>
      <c r="D332" s="148"/>
      <c r="E332" s="138">
        <f t="shared" si="49"/>
        <v>1</v>
      </c>
      <c r="F332" s="148"/>
      <c r="G332" s="138">
        <f t="shared" si="50"/>
        <v>1</v>
      </c>
      <c r="H332" s="148"/>
      <c r="I332" s="138">
        <f t="shared" si="51"/>
        <v>1</v>
      </c>
      <c r="J332" s="148"/>
      <c r="K332" s="138">
        <f t="shared" si="52"/>
        <v>1</v>
      </c>
      <c r="L332" s="148"/>
      <c r="M332" s="138">
        <f t="shared" si="53"/>
        <v>1</v>
      </c>
      <c r="N332" s="148"/>
      <c r="O332" s="138">
        <f t="shared" si="54"/>
        <v>1</v>
      </c>
      <c r="P332" s="148"/>
      <c r="Q332" s="138">
        <f t="shared" si="55"/>
        <v>1</v>
      </c>
      <c r="R332" s="201">
        <f t="shared" si="56"/>
        <v>0</v>
      </c>
      <c r="S332" s="137">
        <f t="shared" si="58"/>
        <v>0</v>
      </c>
    </row>
    <row r="333" spans="1:19">
      <c r="A333" s="146"/>
      <c r="B333" s="147"/>
      <c r="C333" s="138">
        <f t="shared" si="48"/>
        <v>1</v>
      </c>
      <c r="D333" s="148"/>
      <c r="E333" s="138">
        <f t="shared" si="49"/>
        <v>1</v>
      </c>
      <c r="F333" s="148"/>
      <c r="G333" s="138">
        <f t="shared" si="50"/>
        <v>1</v>
      </c>
      <c r="H333" s="148"/>
      <c r="I333" s="138">
        <f t="shared" si="51"/>
        <v>1</v>
      </c>
      <c r="J333" s="148"/>
      <c r="K333" s="138">
        <f t="shared" si="52"/>
        <v>1</v>
      </c>
      <c r="L333" s="148"/>
      <c r="M333" s="138">
        <f t="shared" si="53"/>
        <v>1</v>
      </c>
      <c r="N333" s="148"/>
      <c r="O333" s="138">
        <f t="shared" si="54"/>
        <v>1</v>
      </c>
      <c r="P333" s="148"/>
      <c r="Q333" s="138">
        <f t="shared" si="55"/>
        <v>1</v>
      </c>
      <c r="R333" s="201">
        <f t="shared" si="56"/>
        <v>0</v>
      </c>
      <c r="S333" s="137">
        <f t="shared" si="58"/>
        <v>0</v>
      </c>
    </row>
    <row r="334" spans="1:19">
      <c r="A334" s="146"/>
      <c r="B334" s="147"/>
      <c r="C334" s="138">
        <f t="shared" si="48"/>
        <v>1</v>
      </c>
      <c r="D334" s="148"/>
      <c r="E334" s="138">
        <f t="shared" si="49"/>
        <v>1</v>
      </c>
      <c r="F334" s="148"/>
      <c r="G334" s="138">
        <f t="shared" si="50"/>
        <v>1</v>
      </c>
      <c r="H334" s="148"/>
      <c r="I334" s="138">
        <f t="shared" si="51"/>
        <v>1</v>
      </c>
      <c r="J334" s="148"/>
      <c r="K334" s="138">
        <f t="shared" si="52"/>
        <v>1</v>
      </c>
      <c r="L334" s="148"/>
      <c r="M334" s="138">
        <f t="shared" si="53"/>
        <v>1</v>
      </c>
      <c r="N334" s="148"/>
      <c r="O334" s="138">
        <f t="shared" si="54"/>
        <v>1</v>
      </c>
      <c r="P334" s="148"/>
      <c r="Q334" s="138">
        <f t="shared" si="55"/>
        <v>1</v>
      </c>
      <c r="R334" s="201">
        <f t="shared" si="56"/>
        <v>0</v>
      </c>
      <c r="S334" s="137">
        <f t="shared" si="58"/>
        <v>0</v>
      </c>
    </row>
    <row r="335" spans="1:19">
      <c r="A335" s="146"/>
      <c r="B335" s="147"/>
      <c r="C335" s="138">
        <f t="shared" si="48"/>
        <v>1</v>
      </c>
      <c r="D335" s="148"/>
      <c r="E335" s="138">
        <f t="shared" si="49"/>
        <v>1</v>
      </c>
      <c r="F335" s="148"/>
      <c r="G335" s="138">
        <f t="shared" si="50"/>
        <v>1</v>
      </c>
      <c r="H335" s="148"/>
      <c r="I335" s="138">
        <f t="shared" si="51"/>
        <v>1</v>
      </c>
      <c r="J335" s="148"/>
      <c r="K335" s="138">
        <f t="shared" si="52"/>
        <v>1</v>
      </c>
      <c r="L335" s="148"/>
      <c r="M335" s="138">
        <f t="shared" si="53"/>
        <v>1</v>
      </c>
      <c r="N335" s="148"/>
      <c r="O335" s="138">
        <f t="shared" si="54"/>
        <v>1</v>
      </c>
      <c r="P335" s="148"/>
      <c r="Q335" s="138">
        <f t="shared" si="55"/>
        <v>1</v>
      </c>
      <c r="R335" s="201">
        <f t="shared" si="56"/>
        <v>0</v>
      </c>
      <c r="S335" s="137">
        <f t="shared" si="58"/>
        <v>0</v>
      </c>
    </row>
    <row r="336" spans="1:19">
      <c r="A336" s="146"/>
      <c r="B336" s="147"/>
      <c r="C336" s="138">
        <f t="shared" si="48"/>
        <v>1</v>
      </c>
      <c r="D336" s="148"/>
      <c r="E336" s="138">
        <f t="shared" si="49"/>
        <v>1</v>
      </c>
      <c r="F336" s="148"/>
      <c r="G336" s="138">
        <f t="shared" si="50"/>
        <v>1</v>
      </c>
      <c r="H336" s="148"/>
      <c r="I336" s="138">
        <f t="shared" si="51"/>
        <v>1</v>
      </c>
      <c r="J336" s="148"/>
      <c r="K336" s="138">
        <f t="shared" si="52"/>
        <v>1</v>
      </c>
      <c r="L336" s="148"/>
      <c r="M336" s="138">
        <f t="shared" si="53"/>
        <v>1</v>
      </c>
      <c r="N336" s="148"/>
      <c r="O336" s="138">
        <f t="shared" si="54"/>
        <v>1</v>
      </c>
      <c r="P336" s="148"/>
      <c r="Q336" s="138">
        <f t="shared" si="55"/>
        <v>1</v>
      </c>
      <c r="R336" s="201">
        <f t="shared" si="56"/>
        <v>0</v>
      </c>
      <c r="S336" s="137">
        <f t="shared" si="58"/>
        <v>0</v>
      </c>
    </row>
    <row r="337" spans="1:19">
      <c r="A337" s="146"/>
      <c r="B337" s="147"/>
      <c r="C337" s="138">
        <f t="shared" si="48"/>
        <v>1</v>
      </c>
      <c r="D337" s="148"/>
      <c r="E337" s="138">
        <f t="shared" si="49"/>
        <v>1</v>
      </c>
      <c r="F337" s="148"/>
      <c r="G337" s="138">
        <f t="shared" si="50"/>
        <v>1</v>
      </c>
      <c r="H337" s="148"/>
      <c r="I337" s="138">
        <f t="shared" si="51"/>
        <v>1</v>
      </c>
      <c r="J337" s="148"/>
      <c r="K337" s="138">
        <f t="shared" si="52"/>
        <v>1</v>
      </c>
      <c r="L337" s="148"/>
      <c r="M337" s="138">
        <f t="shared" si="53"/>
        <v>1</v>
      </c>
      <c r="N337" s="148"/>
      <c r="O337" s="138">
        <f t="shared" si="54"/>
        <v>1</v>
      </c>
      <c r="P337" s="148"/>
      <c r="Q337" s="138">
        <f t="shared" si="55"/>
        <v>1</v>
      </c>
      <c r="R337" s="201">
        <f t="shared" si="56"/>
        <v>0</v>
      </c>
      <c r="S337" s="137">
        <f t="shared" si="58"/>
        <v>0</v>
      </c>
    </row>
    <row r="338" spans="1:19">
      <c r="A338" s="146"/>
      <c r="B338" s="147"/>
      <c r="C338" s="138">
        <f t="shared" si="48"/>
        <v>1</v>
      </c>
      <c r="D338" s="148"/>
      <c r="E338" s="138">
        <f t="shared" si="49"/>
        <v>1</v>
      </c>
      <c r="F338" s="148"/>
      <c r="G338" s="138">
        <f t="shared" si="50"/>
        <v>1</v>
      </c>
      <c r="H338" s="148"/>
      <c r="I338" s="138">
        <f t="shared" si="51"/>
        <v>1</v>
      </c>
      <c r="J338" s="148"/>
      <c r="K338" s="138">
        <f t="shared" si="52"/>
        <v>1</v>
      </c>
      <c r="L338" s="148"/>
      <c r="M338" s="138">
        <f t="shared" si="53"/>
        <v>1</v>
      </c>
      <c r="N338" s="148"/>
      <c r="O338" s="138">
        <f t="shared" si="54"/>
        <v>1</v>
      </c>
      <c r="P338" s="148"/>
      <c r="Q338" s="138">
        <f t="shared" si="55"/>
        <v>1</v>
      </c>
      <c r="R338" s="201">
        <f t="shared" si="56"/>
        <v>0</v>
      </c>
      <c r="S338" s="137">
        <f t="shared" si="58"/>
        <v>0</v>
      </c>
    </row>
    <row r="339" spans="1:19">
      <c r="A339" s="146"/>
      <c r="B339" s="147"/>
      <c r="C339" s="138">
        <f t="shared" si="48"/>
        <v>1</v>
      </c>
      <c r="D339" s="148"/>
      <c r="E339" s="138">
        <f t="shared" si="49"/>
        <v>1</v>
      </c>
      <c r="F339" s="148"/>
      <c r="G339" s="138">
        <f t="shared" si="50"/>
        <v>1</v>
      </c>
      <c r="H339" s="148"/>
      <c r="I339" s="138">
        <f t="shared" si="51"/>
        <v>1</v>
      </c>
      <c r="J339" s="148"/>
      <c r="K339" s="138">
        <f t="shared" si="52"/>
        <v>1</v>
      </c>
      <c r="L339" s="148"/>
      <c r="M339" s="138">
        <f t="shared" si="53"/>
        <v>1</v>
      </c>
      <c r="N339" s="148"/>
      <c r="O339" s="138">
        <f t="shared" si="54"/>
        <v>1</v>
      </c>
      <c r="P339" s="148"/>
      <c r="Q339" s="138">
        <f t="shared" si="55"/>
        <v>1</v>
      </c>
      <c r="R339" s="201">
        <f t="shared" si="56"/>
        <v>0</v>
      </c>
      <c r="S339" s="137">
        <f t="shared" si="58"/>
        <v>0</v>
      </c>
    </row>
    <row r="340" spans="1:19">
      <c r="A340" s="146"/>
      <c r="B340" s="147"/>
      <c r="C340" s="138">
        <f t="shared" si="48"/>
        <v>1</v>
      </c>
      <c r="D340" s="148"/>
      <c r="E340" s="138">
        <f t="shared" si="49"/>
        <v>1</v>
      </c>
      <c r="F340" s="148"/>
      <c r="G340" s="138">
        <f t="shared" si="50"/>
        <v>1</v>
      </c>
      <c r="H340" s="148"/>
      <c r="I340" s="138">
        <f t="shared" si="51"/>
        <v>1</v>
      </c>
      <c r="J340" s="148"/>
      <c r="K340" s="138">
        <f t="shared" si="52"/>
        <v>1</v>
      </c>
      <c r="L340" s="148"/>
      <c r="M340" s="138">
        <f t="shared" si="53"/>
        <v>1</v>
      </c>
      <c r="N340" s="148"/>
      <c r="O340" s="138">
        <f t="shared" si="54"/>
        <v>1</v>
      </c>
      <c r="P340" s="148"/>
      <c r="Q340" s="138">
        <f t="shared" si="55"/>
        <v>1</v>
      </c>
      <c r="R340" s="201">
        <f t="shared" si="56"/>
        <v>0</v>
      </c>
      <c r="S340" s="137">
        <f t="shared" si="58"/>
        <v>0</v>
      </c>
    </row>
    <row r="341" spans="1:19">
      <c r="A341" s="146"/>
      <c r="B341" s="147"/>
      <c r="C341" s="138">
        <f t="shared" si="48"/>
        <v>1</v>
      </c>
      <c r="D341" s="148"/>
      <c r="E341" s="138">
        <f t="shared" si="49"/>
        <v>1</v>
      </c>
      <c r="F341" s="148"/>
      <c r="G341" s="138">
        <f t="shared" si="50"/>
        <v>1</v>
      </c>
      <c r="H341" s="148"/>
      <c r="I341" s="138">
        <f t="shared" si="51"/>
        <v>1</v>
      </c>
      <c r="J341" s="148"/>
      <c r="K341" s="138">
        <f t="shared" si="52"/>
        <v>1</v>
      </c>
      <c r="L341" s="148"/>
      <c r="M341" s="138">
        <f t="shared" si="53"/>
        <v>1</v>
      </c>
      <c r="N341" s="148"/>
      <c r="O341" s="138">
        <f t="shared" si="54"/>
        <v>1</v>
      </c>
      <c r="P341" s="148"/>
      <c r="Q341" s="138">
        <f t="shared" si="55"/>
        <v>1</v>
      </c>
      <c r="R341" s="201">
        <f t="shared" si="56"/>
        <v>0</v>
      </c>
      <c r="S341" s="137">
        <f t="shared" si="58"/>
        <v>0</v>
      </c>
    </row>
    <row r="342" spans="1:19">
      <c r="A342" s="146"/>
      <c r="B342" s="147"/>
      <c r="C342" s="138">
        <f t="shared" si="48"/>
        <v>1</v>
      </c>
      <c r="D342" s="148"/>
      <c r="E342" s="138">
        <f t="shared" si="49"/>
        <v>1</v>
      </c>
      <c r="F342" s="148"/>
      <c r="G342" s="138">
        <f t="shared" si="50"/>
        <v>1</v>
      </c>
      <c r="H342" s="148"/>
      <c r="I342" s="138">
        <f t="shared" si="51"/>
        <v>1</v>
      </c>
      <c r="J342" s="148"/>
      <c r="K342" s="138">
        <f t="shared" si="52"/>
        <v>1</v>
      </c>
      <c r="L342" s="148"/>
      <c r="M342" s="138">
        <f t="shared" si="53"/>
        <v>1</v>
      </c>
      <c r="N342" s="148"/>
      <c r="O342" s="138">
        <f t="shared" si="54"/>
        <v>1</v>
      </c>
      <c r="P342" s="148"/>
      <c r="Q342" s="138">
        <f t="shared" si="55"/>
        <v>1</v>
      </c>
      <c r="R342" s="201">
        <f t="shared" si="56"/>
        <v>0</v>
      </c>
      <c r="S342" s="137">
        <f t="shared" si="58"/>
        <v>0</v>
      </c>
    </row>
    <row r="343" spans="1:19">
      <c r="A343" s="146"/>
      <c r="B343" s="147"/>
      <c r="C343" s="138">
        <f t="shared" si="48"/>
        <v>1</v>
      </c>
      <c r="D343" s="148"/>
      <c r="E343" s="138">
        <f t="shared" si="49"/>
        <v>1</v>
      </c>
      <c r="F343" s="148"/>
      <c r="G343" s="138">
        <f t="shared" si="50"/>
        <v>1</v>
      </c>
      <c r="H343" s="148"/>
      <c r="I343" s="138">
        <f t="shared" si="51"/>
        <v>1</v>
      </c>
      <c r="J343" s="148"/>
      <c r="K343" s="138">
        <f t="shared" si="52"/>
        <v>1</v>
      </c>
      <c r="L343" s="148"/>
      <c r="M343" s="138">
        <f t="shared" si="53"/>
        <v>1</v>
      </c>
      <c r="N343" s="148"/>
      <c r="O343" s="138">
        <f t="shared" si="54"/>
        <v>1</v>
      </c>
      <c r="P343" s="148"/>
      <c r="Q343" s="138">
        <f t="shared" si="55"/>
        <v>1</v>
      </c>
      <c r="R343" s="201">
        <f t="shared" si="56"/>
        <v>0</v>
      </c>
      <c r="S343" s="137">
        <f t="shared" si="58"/>
        <v>0</v>
      </c>
    </row>
    <row r="344" spans="1:19">
      <c r="A344" s="146"/>
      <c r="B344" s="147"/>
      <c r="C344" s="138">
        <f t="shared" si="48"/>
        <v>1</v>
      </c>
      <c r="D344" s="148"/>
      <c r="E344" s="138">
        <f t="shared" si="49"/>
        <v>1</v>
      </c>
      <c r="F344" s="148"/>
      <c r="G344" s="138">
        <f t="shared" si="50"/>
        <v>1</v>
      </c>
      <c r="H344" s="148"/>
      <c r="I344" s="138">
        <f t="shared" si="51"/>
        <v>1</v>
      </c>
      <c r="J344" s="148"/>
      <c r="K344" s="138">
        <f t="shared" si="52"/>
        <v>1</v>
      </c>
      <c r="L344" s="148"/>
      <c r="M344" s="138">
        <f t="shared" si="53"/>
        <v>1</v>
      </c>
      <c r="N344" s="148"/>
      <c r="O344" s="138">
        <f t="shared" si="54"/>
        <v>1</v>
      </c>
      <c r="P344" s="148"/>
      <c r="Q344" s="138">
        <f t="shared" si="55"/>
        <v>1</v>
      </c>
      <c r="R344" s="201">
        <f t="shared" si="56"/>
        <v>0</v>
      </c>
      <c r="S344" s="137">
        <f t="shared" si="58"/>
        <v>0</v>
      </c>
    </row>
    <row r="345" spans="1:19">
      <c r="A345" s="146"/>
      <c r="B345" s="147"/>
      <c r="C345" s="138">
        <f t="shared" si="48"/>
        <v>1</v>
      </c>
      <c r="D345" s="148"/>
      <c r="E345" s="138">
        <f t="shared" si="49"/>
        <v>1</v>
      </c>
      <c r="F345" s="148"/>
      <c r="G345" s="138">
        <f t="shared" si="50"/>
        <v>1</v>
      </c>
      <c r="H345" s="148"/>
      <c r="I345" s="138">
        <f t="shared" si="51"/>
        <v>1</v>
      </c>
      <c r="J345" s="148"/>
      <c r="K345" s="138">
        <f t="shared" si="52"/>
        <v>1</v>
      </c>
      <c r="L345" s="148"/>
      <c r="M345" s="138">
        <f t="shared" si="53"/>
        <v>1</v>
      </c>
      <c r="N345" s="148"/>
      <c r="O345" s="138">
        <f t="shared" si="54"/>
        <v>1</v>
      </c>
      <c r="P345" s="148"/>
      <c r="Q345" s="138">
        <f t="shared" si="55"/>
        <v>1</v>
      </c>
      <c r="R345" s="201">
        <f t="shared" si="56"/>
        <v>0</v>
      </c>
      <c r="S345" s="137">
        <f t="shared" si="58"/>
        <v>0</v>
      </c>
    </row>
    <row r="346" spans="1:19">
      <c r="A346" s="146"/>
      <c r="B346" s="147"/>
      <c r="C346" s="138">
        <f t="shared" ref="C346:C409" si="59">IF(B346="",1,(LOOKUP(B346,$3:$3,$4:$4)-LOOKUP($B$24,$3:$3,$4:$4)+100)/100)</f>
        <v>1</v>
      </c>
      <c r="D346" s="148"/>
      <c r="E346" s="138">
        <f t="shared" ref="E346:E409" si="60">(SUMIF($5:$5,D346,$6:$6)-SUMIF($5:$5,$D$24,$6:$6)+100)/100</f>
        <v>1</v>
      </c>
      <c r="F346" s="148"/>
      <c r="G346" s="138">
        <f t="shared" ref="G346:G409" si="61">(SUMIF($7:$7,F346,$8:$8)-SUMIF($7:$7,$F$24,$8:$8)+100)/100</f>
        <v>1</v>
      </c>
      <c r="H346" s="148"/>
      <c r="I346" s="138">
        <f t="shared" ref="I346:I409" si="62">(SUMIF($9:$9,H346,$10:$10)-SUMIF($9:$9,$H$24,$10:$10)+100)/100</f>
        <v>1</v>
      </c>
      <c r="J346" s="148"/>
      <c r="K346" s="138">
        <f t="shared" ref="K346:K409" si="63">(SUMIF($11:$11,J346,$12:$12)-SUMIF($11:$11,$J$24,$12:$12)+100)/100</f>
        <v>1</v>
      </c>
      <c r="L346" s="148"/>
      <c r="M346" s="138">
        <f t="shared" ref="M346:M409" si="64">(SUMIF($13:$13,L346,$14:$14)-SUMIF($13:$13,$L$24,$14:$14)+100)/100</f>
        <v>1</v>
      </c>
      <c r="N346" s="148"/>
      <c r="O346" s="138">
        <f t="shared" ref="O346:O409" si="65">(SUMIF($15:$15,N346,$16:$16)-SUMIF($15:$15,$N$24,$16:$16)+100)/100</f>
        <v>1</v>
      </c>
      <c r="P346" s="148"/>
      <c r="Q346" s="138">
        <f t="shared" ref="Q346:Q409" si="66">(SUMIF($17:$17,P346,$18:$18)-SUMIF($17:$17,$P$24,$18:$18)+100)/100</f>
        <v>1</v>
      </c>
      <c r="R346" s="201">
        <f t="shared" ref="R346:R409" si="67">IF(B346="",0,ROUND($R$24*C346*E346*G346*I346*K346*M346*O346*Q346,0))</f>
        <v>0</v>
      </c>
      <c r="S346" s="137">
        <f t="shared" si="58"/>
        <v>0</v>
      </c>
    </row>
    <row r="347" spans="1:19">
      <c r="A347" s="146"/>
      <c r="B347" s="147"/>
      <c r="C347" s="138">
        <f t="shared" si="59"/>
        <v>1</v>
      </c>
      <c r="D347" s="148"/>
      <c r="E347" s="138">
        <f t="shared" si="60"/>
        <v>1</v>
      </c>
      <c r="F347" s="148"/>
      <c r="G347" s="138">
        <f t="shared" si="61"/>
        <v>1</v>
      </c>
      <c r="H347" s="148"/>
      <c r="I347" s="138">
        <f t="shared" si="62"/>
        <v>1</v>
      </c>
      <c r="J347" s="148"/>
      <c r="K347" s="138">
        <f t="shared" si="63"/>
        <v>1</v>
      </c>
      <c r="L347" s="148"/>
      <c r="M347" s="138">
        <f t="shared" si="64"/>
        <v>1</v>
      </c>
      <c r="N347" s="148"/>
      <c r="O347" s="138">
        <f t="shared" si="65"/>
        <v>1</v>
      </c>
      <c r="P347" s="148"/>
      <c r="Q347" s="138">
        <f t="shared" si="66"/>
        <v>1</v>
      </c>
      <c r="R347" s="201">
        <f t="shared" si="67"/>
        <v>0</v>
      </c>
      <c r="S347" s="137">
        <f t="shared" si="58"/>
        <v>0</v>
      </c>
    </row>
    <row r="348" spans="1:19">
      <c r="A348" s="146"/>
      <c r="B348" s="147"/>
      <c r="C348" s="138">
        <f t="shared" si="59"/>
        <v>1</v>
      </c>
      <c r="D348" s="148"/>
      <c r="E348" s="138">
        <f t="shared" si="60"/>
        <v>1</v>
      </c>
      <c r="F348" s="148"/>
      <c r="G348" s="138">
        <f t="shared" si="61"/>
        <v>1</v>
      </c>
      <c r="H348" s="148"/>
      <c r="I348" s="138">
        <f t="shared" si="62"/>
        <v>1</v>
      </c>
      <c r="J348" s="148"/>
      <c r="K348" s="138">
        <f t="shared" si="63"/>
        <v>1</v>
      </c>
      <c r="L348" s="148"/>
      <c r="M348" s="138">
        <f t="shared" si="64"/>
        <v>1</v>
      </c>
      <c r="N348" s="148"/>
      <c r="O348" s="138">
        <f t="shared" si="65"/>
        <v>1</v>
      </c>
      <c r="P348" s="148"/>
      <c r="Q348" s="138">
        <f t="shared" si="66"/>
        <v>1</v>
      </c>
      <c r="R348" s="201">
        <f t="shared" si="67"/>
        <v>0</v>
      </c>
      <c r="S348" s="137">
        <f t="shared" si="58"/>
        <v>0</v>
      </c>
    </row>
    <row r="349" spans="1:19">
      <c r="A349" s="146"/>
      <c r="B349" s="147"/>
      <c r="C349" s="138">
        <f t="shared" si="59"/>
        <v>1</v>
      </c>
      <c r="D349" s="148"/>
      <c r="E349" s="138">
        <f t="shared" si="60"/>
        <v>1</v>
      </c>
      <c r="F349" s="148"/>
      <c r="G349" s="138">
        <f t="shared" si="61"/>
        <v>1</v>
      </c>
      <c r="H349" s="148"/>
      <c r="I349" s="138">
        <f t="shared" si="62"/>
        <v>1</v>
      </c>
      <c r="J349" s="148"/>
      <c r="K349" s="138">
        <f t="shared" si="63"/>
        <v>1</v>
      </c>
      <c r="L349" s="148"/>
      <c r="M349" s="138">
        <f t="shared" si="64"/>
        <v>1</v>
      </c>
      <c r="N349" s="148"/>
      <c r="O349" s="138">
        <f t="shared" si="65"/>
        <v>1</v>
      </c>
      <c r="P349" s="148"/>
      <c r="Q349" s="138">
        <f t="shared" si="66"/>
        <v>1</v>
      </c>
      <c r="R349" s="201">
        <f t="shared" si="67"/>
        <v>0</v>
      </c>
      <c r="S349" s="137">
        <f t="shared" si="58"/>
        <v>0</v>
      </c>
    </row>
    <row r="350" spans="1:19">
      <c r="A350" s="146"/>
      <c r="B350" s="147"/>
      <c r="C350" s="138">
        <f t="shared" si="59"/>
        <v>1</v>
      </c>
      <c r="D350" s="148"/>
      <c r="E350" s="138">
        <f t="shared" si="60"/>
        <v>1</v>
      </c>
      <c r="F350" s="148"/>
      <c r="G350" s="138">
        <f t="shared" si="61"/>
        <v>1</v>
      </c>
      <c r="H350" s="148"/>
      <c r="I350" s="138">
        <f t="shared" si="62"/>
        <v>1</v>
      </c>
      <c r="J350" s="148"/>
      <c r="K350" s="138">
        <f t="shared" si="63"/>
        <v>1</v>
      </c>
      <c r="L350" s="148"/>
      <c r="M350" s="138">
        <f t="shared" si="64"/>
        <v>1</v>
      </c>
      <c r="N350" s="148"/>
      <c r="O350" s="138">
        <f t="shared" si="65"/>
        <v>1</v>
      </c>
      <c r="P350" s="148"/>
      <c r="Q350" s="138">
        <f t="shared" si="66"/>
        <v>1</v>
      </c>
      <c r="R350" s="201">
        <f t="shared" si="67"/>
        <v>0</v>
      </c>
      <c r="S350" s="137">
        <f t="shared" si="58"/>
        <v>0</v>
      </c>
    </row>
    <row r="351" spans="1:19">
      <c r="A351" s="146"/>
      <c r="B351" s="147"/>
      <c r="C351" s="138">
        <f t="shared" si="59"/>
        <v>1</v>
      </c>
      <c r="D351" s="148"/>
      <c r="E351" s="138">
        <f t="shared" si="60"/>
        <v>1</v>
      </c>
      <c r="F351" s="148"/>
      <c r="G351" s="138">
        <f t="shared" si="61"/>
        <v>1</v>
      </c>
      <c r="H351" s="148"/>
      <c r="I351" s="138">
        <f t="shared" si="62"/>
        <v>1</v>
      </c>
      <c r="J351" s="148"/>
      <c r="K351" s="138">
        <f t="shared" si="63"/>
        <v>1</v>
      </c>
      <c r="L351" s="148"/>
      <c r="M351" s="138">
        <f t="shared" si="64"/>
        <v>1</v>
      </c>
      <c r="N351" s="148"/>
      <c r="O351" s="138">
        <f t="shared" si="65"/>
        <v>1</v>
      </c>
      <c r="P351" s="148"/>
      <c r="Q351" s="138">
        <f t="shared" si="66"/>
        <v>1</v>
      </c>
      <c r="R351" s="201">
        <f t="shared" si="67"/>
        <v>0</v>
      </c>
      <c r="S351" s="137">
        <f t="shared" si="58"/>
        <v>0</v>
      </c>
    </row>
    <row r="352" spans="1:19">
      <c r="A352" s="146"/>
      <c r="B352" s="147"/>
      <c r="C352" s="138">
        <f t="shared" si="59"/>
        <v>1</v>
      </c>
      <c r="D352" s="148"/>
      <c r="E352" s="138">
        <f t="shared" si="60"/>
        <v>1</v>
      </c>
      <c r="F352" s="148"/>
      <c r="G352" s="138">
        <f t="shared" si="61"/>
        <v>1</v>
      </c>
      <c r="H352" s="148"/>
      <c r="I352" s="138">
        <f t="shared" si="62"/>
        <v>1</v>
      </c>
      <c r="J352" s="148"/>
      <c r="K352" s="138">
        <f t="shared" si="63"/>
        <v>1</v>
      </c>
      <c r="L352" s="148"/>
      <c r="M352" s="138">
        <f t="shared" si="64"/>
        <v>1</v>
      </c>
      <c r="N352" s="148"/>
      <c r="O352" s="138">
        <f t="shared" si="65"/>
        <v>1</v>
      </c>
      <c r="P352" s="148"/>
      <c r="Q352" s="138">
        <f t="shared" si="66"/>
        <v>1</v>
      </c>
      <c r="R352" s="201">
        <f t="shared" si="67"/>
        <v>0</v>
      </c>
      <c r="S352" s="137">
        <f t="shared" si="58"/>
        <v>0</v>
      </c>
    </row>
    <row r="353" spans="1:19">
      <c r="A353" s="146"/>
      <c r="B353" s="147"/>
      <c r="C353" s="138">
        <f t="shared" si="59"/>
        <v>1</v>
      </c>
      <c r="D353" s="148"/>
      <c r="E353" s="138">
        <f t="shared" si="60"/>
        <v>1</v>
      </c>
      <c r="F353" s="148"/>
      <c r="G353" s="138">
        <f t="shared" si="61"/>
        <v>1</v>
      </c>
      <c r="H353" s="148"/>
      <c r="I353" s="138">
        <f t="shared" si="62"/>
        <v>1</v>
      </c>
      <c r="J353" s="148"/>
      <c r="K353" s="138">
        <f t="shared" si="63"/>
        <v>1</v>
      </c>
      <c r="L353" s="148"/>
      <c r="M353" s="138">
        <f t="shared" si="64"/>
        <v>1</v>
      </c>
      <c r="N353" s="148"/>
      <c r="O353" s="138">
        <f t="shared" si="65"/>
        <v>1</v>
      </c>
      <c r="P353" s="148"/>
      <c r="Q353" s="138">
        <f t="shared" si="66"/>
        <v>1</v>
      </c>
      <c r="R353" s="201">
        <f t="shared" si="67"/>
        <v>0</v>
      </c>
      <c r="S353" s="137">
        <f t="shared" si="58"/>
        <v>0</v>
      </c>
    </row>
    <row r="354" spans="1:19">
      <c r="A354" s="146"/>
      <c r="B354" s="147"/>
      <c r="C354" s="138">
        <f t="shared" si="59"/>
        <v>1</v>
      </c>
      <c r="D354" s="148"/>
      <c r="E354" s="138">
        <f t="shared" si="60"/>
        <v>1</v>
      </c>
      <c r="F354" s="148"/>
      <c r="G354" s="138">
        <f t="shared" si="61"/>
        <v>1</v>
      </c>
      <c r="H354" s="148"/>
      <c r="I354" s="138">
        <f t="shared" si="62"/>
        <v>1</v>
      </c>
      <c r="J354" s="148"/>
      <c r="K354" s="138">
        <f t="shared" si="63"/>
        <v>1</v>
      </c>
      <c r="L354" s="148"/>
      <c r="M354" s="138">
        <f t="shared" si="64"/>
        <v>1</v>
      </c>
      <c r="N354" s="148"/>
      <c r="O354" s="138">
        <f t="shared" si="65"/>
        <v>1</v>
      </c>
      <c r="P354" s="148"/>
      <c r="Q354" s="138">
        <f t="shared" si="66"/>
        <v>1</v>
      </c>
      <c r="R354" s="201">
        <f t="shared" si="67"/>
        <v>0</v>
      </c>
      <c r="S354" s="137">
        <f t="shared" si="58"/>
        <v>0</v>
      </c>
    </row>
    <row r="355" spans="1:19">
      <c r="A355" s="146"/>
      <c r="B355" s="147"/>
      <c r="C355" s="138">
        <f t="shared" si="59"/>
        <v>1</v>
      </c>
      <c r="D355" s="148"/>
      <c r="E355" s="138">
        <f t="shared" si="60"/>
        <v>1</v>
      </c>
      <c r="F355" s="148"/>
      <c r="G355" s="138">
        <f t="shared" si="61"/>
        <v>1</v>
      </c>
      <c r="H355" s="148"/>
      <c r="I355" s="138">
        <f t="shared" si="62"/>
        <v>1</v>
      </c>
      <c r="J355" s="148"/>
      <c r="K355" s="138">
        <f t="shared" si="63"/>
        <v>1</v>
      </c>
      <c r="L355" s="148"/>
      <c r="M355" s="138">
        <f t="shared" si="64"/>
        <v>1</v>
      </c>
      <c r="N355" s="148"/>
      <c r="O355" s="138">
        <f t="shared" si="65"/>
        <v>1</v>
      </c>
      <c r="P355" s="148"/>
      <c r="Q355" s="138">
        <f t="shared" si="66"/>
        <v>1</v>
      </c>
      <c r="R355" s="201">
        <f t="shared" si="67"/>
        <v>0</v>
      </c>
      <c r="S355" s="137">
        <f t="shared" si="58"/>
        <v>0</v>
      </c>
    </row>
    <row r="356" spans="1:19">
      <c r="A356" s="146"/>
      <c r="B356" s="147"/>
      <c r="C356" s="138">
        <f t="shared" si="59"/>
        <v>1</v>
      </c>
      <c r="D356" s="148"/>
      <c r="E356" s="138">
        <f t="shared" si="60"/>
        <v>1</v>
      </c>
      <c r="F356" s="148"/>
      <c r="G356" s="138">
        <f t="shared" si="61"/>
        <v>1</v>
      </c>
      <c r="H356" s="148"/>
      <c r="I356" s="138">
        <f t="shared" si="62"/>
        <v>1</v>
      </c>
      <c r="J356" s="148"/>
      <c r="K356" s="138">
        <f t="shared" si="63"/>
        <v>1</v>
      </c>
      <c r="L356" s="148"/>
      <c r="M356" s="138">
        <f t="shared" si="64"/>
        <v>1</v>
      </c>
      <c r="N356" s="148"/>
      <c r="O356" s="138">
        <f t="shared" si="65"/>
        <v>1</v>
      </c>
      <c r="P356" s="148"/>
      <c r="Q356" s="138">
        <f t="shared" si="66"/>
        <v>1</v>
      </c>
      <c r="R356" s="201">
        <f t="shared" si="67"/>
        <v>0</v>
      </c>
      <c r="S356" s="137">
        <f t="shared" si="58"/>
        <v>0</v>
      </c>
    </row>
    <row r="357" spans="1:19">
      <c r="A357" s="146"/>
      <c r="B357" s="147"/>
      <c r="C357" s="138">
        <f t="shared" si="59"/>
        <v>1</v>
      </c>
      <c r="D357" s="148"/>
      <c r="E357" s="138">
        <f t="shared" si="60"/>
        <v>1</v>
      </c>
      <c r="F357" s="148"/>
      <c r="G357" s="138">
        <f t="shared" si="61"/>
        <v>1</v>
      </c>
      <c r="H357" s="148"/>
      <c r="I357" s="138">
        <f t="shared" si="62"/>
        <v>1</v>
      </c>
      <c r="J357" s="148"/>
      <c r="K357" s="138">
        <f t="shared" si="63"/>
        <v>1</v>
      </c>
      <c r="L357" s="148"/>
      <c r="M357" s="138">
        <f t="shared" si="64"/>
        <v>1</v>
      </c>
      <c r="N357" s="148"/>
      <c r="O357" s="138">
        <f t="shared" si="65"/>
        <v>1</v>
      </c>
      <c r="P357" s="148"/>
      <c r="Q357" s="138">
        <f t="shared" si="66"/>
        <v>1</v>
      </c>
      <c r="R357" s="201">
        <f t="shared" si="67"/>
        <v>0</v>
      </c>
      <c r="S357" s="137">
        <f t="shared" si="58"/>
        <v>0</v>
      </c>
    </row>
    <row r="358" spans="1:19">
      <c r="A358" s="146"/>
      <c r="B358" s="147"/>
      <c r="C358" s="138">
        <f t="shared" si="59"/>
        <v>1</v>
      </c>
      <c r="D358" s="148"/>
      <c r="E358" s="138">
        <f t="shared" si="60"/>
        <v>1</v>
      </c>
      <c r="F358" s="148"/>
      <c r="G358" s="138">
        <f t="shared" si="61"/>
        <v>1</v>
      </c>
      <c r="H358" s="148"/>
      <c r="I358" s="138">
        <f t="shared" si="62"/>
        <v>1</v>
      </c>
      <c r="J358" s="148"/>
      <c r="K358" s="138">
        <f t="shared" si="63"/>
        <v>1</v>
      </c>
      <c r="L358" s="148"/>
      <c r="M358" s="138">
        <f t="shared" si="64"/>
        <v>1</v>
      </c>
      <c r="N358" s="148"/>
      <c r="O358" s="138">
        <f t="shared" si="65"/>
        <v>1</v>
      </c>
      <c r="P358" s="148"/>
      <c r="Q358" s="138">
        <f t="shared" si="66"/>
        <v>1</v>
      </c>
      <c r="R358" s="201">
        <f t="shared" si="67"/>
        <v>0</v>
      </c>
      <c r="S358" s="137">
        <f t="shared" si="58"/>
        <v>0</v>
      </c>
    </row>
    <row r="359" spans="1:19">
      <c r="A359" s="146"/>
      <c r="B359" s="147"/>
      <c r="C359" s="138">
        <f t="shared" si="59"/>
        <v>1</v>
      </c>
      <c r="D359" s="148"/>
      <c r="E359" s="138">
        <f t="shared" si="60"/>
        <v>1</v>
      </c>
      <c r="F359" s="148"/>
      <c r="G359" s="138">
        <f t="shared" si="61"/>
        <v>1</v>
      </c>
      <c r="H359" s="148"/>
      <c r="I359" s="138">
        <f t="shared" si="62"/>
        <v>1</v>
      </c>
      <c r="J359" s="148"/>
      <c r="K359" s="138">
        <f t="shared" si="63"/>
        <v>1</v>
      </c>
      <c r="L359" s="148"/>
      <c r="M359" s="138">
        <f t="shared" si="64"/>
        <v>1</v>
      </c>
      <c r="N359" s="148"/>
      <c r="O359" s="138">
        <f t="shared" si="65"/>
        <v>1</v>
      </c>
      <c r="P359" s="148"/>
      <c r="Q359" s="138">
        <f t="shared" si="66"/>
        <v>1</v>
      </c>
      <c r="R359" s="201">
        <f t="shared" si="67"/>
        <v>0</v>
      </c>
      <c r="S359" s="137">
        <f t="shared" si="58"/>
        <v>0</v>
      </c>
    </row>
    <row r="360" spans="1:19">
      <c r="A360" s="146"/>
      <c r="B360" s="147"/>
      <c r="C360" s="138">
        <f t="shared" si="59"/>
        <v>1</v>
      </c>
      <c r="D360" s="148"/>
      <c r="E360" s="138">
        <f t="shared" si="60"/>
        <v>1</v>
      </c>
      <c r="F360" s="148"/>
      <c r="G360" s="138">
        <f t="shared" si="61"/>
        <v>1</v>
      </c>
      <c r="H360" s="148"/>
      <c r="I360" s="138">
        <f t="shared" si="62"/>
        <v>1</v>
      </c>
      <c r="J360" s="148"/>
      <c r="K360" s="138">
        <f t="shared" si="63"/>
        <v>1</v>
      </c>
      <c r="L360" s="148"/>
      <c r="M360" s="138">
        <f t="shared" si="64"/>
        <v>1</v>
      </c>
      <c r="N360" s="148"/>
      <c r="O360" s="138">
        <f t="shared" si="65"/>
        <v>1</v>
      </c>
      <c r="P360" s="148"/>
      <c r="Q360" s="138">
        <f t="shared" si="66"/>
        <v>1</v>
      </c>
      <c r="R360" s="201">
        <f t="shared" si="67"/>
        <v>0</v>
      </c>
      <c r="S360" s="137">
        <f t="shared" si="58"/>
        <v>0</v>
      </c>
    </row>
    <row r="361" spans="1:19">
      <c r="A361" s="146"/>
      <c r="B361" s="147"/>
      <c r="C361" s="138">
        <f t="shared" si="59"/>
        <v>1</v>
      </c>
      <c r="D361" s="148"/>
      <c r="E361" s="138">
        <f t="shared" si="60"/>
        <v>1</v>
      </c>
      <c r="F361" s="148"/>
      <c r="G361" s="138">
        <f t="shared" si="61"/>
        <v>1</v>
      </c>
      <c r="H361" s="148"/>
      <c r="I361" s="138">
        <f t="shared" si="62"/>
        <v>1</v>
      </c>
      <c r="J361" s="148"/>
      <c r="K361" s="138">
        <f t="shared" si="63"/>
        <v>1</v>
      </c>
      <c r="L361" s="148"/>
      <c r="M361" s="138">
        <f t="shared" si="64"/>
        <v>1</v>
      </c>
      <c r="N361" s="148"/>
      <c r="O361" s="138">
        <f t="shared" si="65"/>
        <v>1</v>
      </c>
      <c r="P361" s="148"/>
      <c r="Q361" s="138">
        <f t="shared" si="66"/>
        <v>1</v>
      </c>
      <c r="R361" s="201">
        <f t="shared" si="67"/>
        <v>0</v>
      </c>
      <c r="S361" s="137">
        <f t="shared" si="58"/>
        <v>0</v>
      </c>
    </row>
    <row r="362" spans="1:19">
      <c r="A362" s="146"/>
      <c r="B362" s="147"/>
      <c r="C362" s="138">
        <f t="shared" si="59"/>
        <v>1</v>
      </c>
      <c r="D362" s="148"/>
      <c r="E362" s="138">
        <f t="shared" si="60"/>
        <v>1</v>
      </c>
      <c r="F362" s="148"/>
      <c r="G362" s="138">
        <f t="shared" si="61"/>
        <v>1</v>
      </c>
      <c r="H362" s="148"/>
      <c r="I362" s="138">
        <f t="shared" si="62"/>
        <v>1</v>
      </c>
      <c r="J362" s="148"/>
      <c r="K362" s="138">
        <f t="shared" si="63"/>
        <v>1</v>
      </c>
      <c r="L362" s="148"/>
      <c r="M362" s="138">
        <f t="shared" si="64"/>
        <v>1</v>
      </c>
      <c r="N362" s="148"/>
      <c r="O362" s="138">
        <f t="shared" si="65"/>
        <v>1</v>
      </c>
      <c r="P362" s="148"/>
      <c r="Q362" s="138">
        <f t="shared" si="66"/>
        <v>1</v>
      </c>
      <c r="R362" s="201">
        <f t="shared" si="67"/>
        <v>0</v>
      </c>
      <c r="S362" s="137">
        <f t="shared" si="58"/>
        <v>0</v>
      </c>
    </row>
    <row r="363" spans="1:19">
      <c r="A363" s="146"/>
      <c r="B363" s="147"/>
      <c r="C363" s="138">
        <f t="shared" si="59"/>
        <v>1</v>
      </c>
      <c r="D363" s="148"/>
      <c r="E363" s="138">
        <f t="shared" si="60"/>
        <v>1</v>
      </c>
      <c r="F363" s="148"/>
      <c r="G363" s="138">
        <f t="shared" si="61"/>
        <v>1</v>
      </c>
      <c r="H363" s="148"/>
      <c r="I363" s="138">
        <f t="shared" si="62"/>
        <v>1</v>
      </c>
      <c r="J363" s="148"/>
      <c r="K363" s="138">
        <f t="shared" si="63"/>
        <v>1</v>
      </c>
      <c r="L363" s="148"/>
      <c r="M363" s="138">
        <f t="shared" si="64"/>
        <v>1</v>
      </c>
      <c r="N363" s="148"/>
      <c r="O363" s="138">
        <f t="shared" si="65"/>
        <v>1</v>
      </c>
      <c r="P363" s="148"/>
      <c r="Q363" s="138">
        <f t="shared" si="66"/>
        <v>1</v>
      </c>
      <c r="R363" s="201">
        <f t="shared" si="67"/>
        <v>0</v>
      </c>
      <c r="S363" s="137">
        <f t="shared" si="58"/>
        <v>0</v>
      </c>
    </row>
    <row r="364" spans="1:19">
      <c r="A364" s="146"/>
      <c r="B364" s="147"/>
      <c r="C364" s="138">
        <f t="shared" si="59"/>
        <v>1</v>
      </c>
      <c r="D364" s="148"/>
      <c r="E364" s="138">
        <f t="shared" si="60"/>
        <v>1</v>
      </c>
      <c r="F364" s="148"/>
      <c r="G364" s="138">
        <f t="shared" si="61"/>
        <v>1</v>
      </c>
      <c r="H364" s="148"/>
      <c r="I364" s="138">
        <f t="shared" si="62"/>
        <v>1</v>
      </c>
      <c r="J364" s="148"/>
      <c r="K364" s="138">
        <f t="shared" si="63"/>
        <v>1</v>
      </c>
      <c r="L364" s="148"/>
      <c r="M364" s="138">
        <f t="shared" si="64"/>
        <v>1</v>
      </c>
      <c r="N364" s="148"/>
      <c r="O364" s="138">
        <f t="shared" si="65"/>
        <v>1</v>
      </c>
      <c r="P364" s="148"/>
      <c r="Q364" s="138">
        <f t="shared" si="66"/>
        <v>1</v>
      </c>
      <c r="R364" s="201">
        <f t="shared" si="67"/>
        <v>0</v>
      </c>
      <c r="S364" s="137">
        <f t="shared" si="58"/>
        <v>0</v>
      </c>
    </row>
    <row r="365" spans="1:19">
      <c r="A365" s="146"/>
      <c r="B365" s="147"/>
      <c r="C365" s="138">
        <f t="shared" si="59"/>
        <v>1</v>
      </c>
      <c r="D365" s="148"/>
      <c r="E365" s="138">
        <f t="shared" si="60"/>
        <v>1</v>
      </c>
      <c r="F365" s="148"/>
      <c r="G365" s="138">
        <f t="shared" si="61"/>
        <v>1</v>
      </c>
      <c r="H365" s="148"/>
      <c r="I365" s="138">
        <f t="shared" si="62"/>
        <v>1</v>
      </c>
      <c r="J365" s="148"/>
      <c r="K365" s="138">
        <f t="shared" si="63"/>
        <v>1</v>
      </c>
      <c r="L365" s="148"/>
      <c r="M365" s="138">
        <f t="shared" si="64"/>
        <v>1</v>
      </c>
      <c r="N365" s="148"/>
      <c r="O365" s="138">
        <f t="shared" si="65"/>
        <v>1</v>
      </c>
      <c r="P365" s="148"/>
      <c r="Q365" s="138">
        <f t="shared" si="66"/>
        <v>1</v>
      </c>
      <c r="R365" s="201">
        <f t="shared" si="67"/>
        <v>0</v>
      </c>
      <c r="S365" s="137">
        <f t="shared" si="58"/>
        <v>0</v>
      </c>
    </row>
    <row r="366" spans="1:19">
      <c r="A366" s="146"/>
      <c r="B366" s="147"/>
      <c r="C366" s="138">
        <f t="shared" si="59"/>
        <v>1</v>
      </c>
      <c r="D366" s="148"/>
      <c r="E366" s="138">
        <f t="shared" si="60"/>
        <v>1</v>
      </c>
      <c r="F366" s="148"/>
      <c r="G366" s="138">
        <f t="shared" si="61"/>
        <v>1</v>
      </c>
      <c r="H366" s="148"/>
      <c r="I366" s="138">
        <f t="shared" si="62"/>
        <v>1</v>
      </c>
      <c r="J366" s="148"/>
      <c r="K366" s="138">
        <f t="shared" si="63"/>
        <v>1</v>
      </c>
      <c r="L366" s="148"/>
      <c r="M366" s="138">
        <f t="shared" si="64"/>
        <v>1</v>
      </c>
      <c r="N366" s="148"/>
      <c r="O366" s="138">
        <f t="shared" si="65"/>
        <v>1</v>
      </c>
      <c r="P366" s="148"/>
      <c r="Q366" s="138">
        <f t="shared" si="66"/>
        <v>1</v>
      </c>
      <c r="R366" s="201">
        <f t="shared" si="67"/>
        <v>0</v>
      </c>
      <c r="S366" s="137">
        <f t="shared" si="58"/>
        <v>0</v>
      </c>
    </row>
    <row r="367" spans="1:19">
      <c r="A367" s="146"/>
      <c r="B367" s="147"/>
      <c r="C367" s="138">
        <f t="shared" si="59"/>
        <v>1</v>
      </c>
      <c r="D367" s="148"/>
      <c r="E367" s="138">
        <f t="shared" si="60"/>
        <v>1</v>
      </c>
      <c r="F367" s="148"/>
      <c r="G367" s="138">
        <f t="shared" si="61"/>
        <v>1</v>
      </c>
      <c r="H367" s="148"/>
      <c r="I367" s="138">
        <f t="shared" si="62"/>
        <v>1</v>
      </c>
      <c r="J367" s="148"/>
      <c r="K367" s="138">
        <f t="shared" si="63"/>
        <v>1</v>
      </c>
      <c r="L367" s="148"/>
      <c r="M367" s="138">
        <f t="shared" si="64"/>
        <v>1</v>
      </c>
      <c r="N367" s="148"/>
      <c r="O367" s="138">
        <f t="shared" si="65"/>
        <v>1</v>
      </c>
      <c r="P367" s="148"/>
      <c r="Q367" s="138">
        <f t="shared" si="66"/>
        <v>1</v>
      </c>
      <c r="R367" s="201">
        <f t="shared" si="67"/>
        <v>0</v>
      </c>
      <c r="S367" s="137">
        <f t="shared" si="58"/>
        <v>0</v>
      </c>
    </row>
    <row r="368" spans="1:19">
      <c r="A368" s="146"/>
      <c r="B368" s="147"/>
      <c r="C368" s="138">
        <f t="shared" si="59"/>
        <v>1</v>
      </c>
      <c r="D368" s="148"/>
      <c r="E368" s="138">
        <f t="shared" si="60"/>
        <v>1</v>
      </c>
      <c r="F368" s="148"/>
      <c r="G368" s="138">
        <f t="shared" si="61"/>
        <v>1</v>
      </c>
      <c r="H368" s="148"/>
      <c r="I368" s="138">
        <f t="shared" si="62"/>
        <v>1</v>
      </c>
      <c r="J368" s="148"/>
      <c r="K368" s="138">
        <f t="shared" si="63"/>
        <v>1</v>
      </c>
      <c r="L368" s="148"/>
      <c r="M368" s="138">
        <f t="shared" si="64"/>
        <v>1</v>
      </c>
      <c r="N368" s="148"/>
      <c r="O368" s="138">
        <f t="shared" si="65"/>
        <v>1</v>
      </c>
      <c r="P368" s="148"/>
      <c r="Q368" s="138">
        <f t="shared" si="66"/>
        <v>1</v>
      </c>
      <c r="R368" s="201">
        <f t="shared" si="67"/>
        <v>0</v>
      </c>
      <c r="S368" s="137">
        <f t="shared" si="58"/>
        <v>0</v>
      </c>
    </row>
    <row r="369" spans="1:19">
      <c r="A369" s="146"/>
      <c r="B369" s="147"/>
      <c r="C369" s="138">
        <f t="shared" si="59"/>
        <v>1</v>
      </c>
      <c r="D369" s="148"/>
      <c r="E369" s="138">
        <f t="shared" si="60"/>
        <v>1</v>
      </c>
      <c r="F369" s="148"/>
      <c r="G369" s="138">
        <f t="shared" si="61"/>
        <v>1</v>
      </c>
      <c r="H369" s="148"/>
      <c r="I369" s="138">
        <f t="shared" si="62"/>
        <v>1</v>
      </c>
      <c r="J369" s="148"/>
      <c r="K369" s="138">
        <f t="shared" si="63"/>
        <v>1</v>
      </c>
      <c r="L369" s="148"/>
      <c r="M369" s="138">
        <f t="shared" si="64"/>
        <v>1</v>
      </c>
      <c r="N369" s="148"/>
      <c r="O369" s="138">
        <f t="shared" si="65"/>
        <v>1</v>
      </c>
      <c r="P369" s="148"/>
      <c r="Q369" s="138">
        <f t="shared" si="66"/>
        <v>1</v>
      </c>
      <c r="R369" s="201">
        <f t="shared" si="67"/>
        <v>0</v>
      </c>
      <c r="S369" s="137">
        <f t="shared" si="58"/>
        <v>0</v>
      </c>
    </row>
    <row r="370" spans="1:19">
      <c r="A370" s="146"/>
      <c r="B370" s="147"/>
      <c r="C370" s="138">
        <f t="shared" si="59"/>
        <v>1</v>
      </c>
      <c r="D370" s="148"/>
      <c r="E370" s="138">
        <f t="shared" si="60"/>
        <v>1</v>
      </c>
      <c r="F370" s="148"/>
      <c r="G370" s="138">
        <f t="shared" si="61"/>
        <v>1</v>
      </c>
      <c r="H370" s="148"/>
      <c r="I370" s="138">
        <f t="shared" si="62"/>
        <v>1</v>
      </c>
      <c r="J370" s="148"/>
      <c r="K370" s="138">
        <f t="shared" si="63"/>
        <v>1</v>
      </c>
      <c r="L370" s="148"/>
      <c r="M370" s="138">
        <f t="shared" si="64"/>
        <v>1</v>
      </c>
      <c r="N370" s="148"/>
      <c r="O370" s="138">
        <f t="shared" si="65"/>
        <v>1</v>
      </c>
      <c r="P370" s="148"/>
      <c r="Q370" s="138">
        <f t="shared" si="66"/>
        <v>1</v>
      </c>
      <c r="R370" s="201">
        <f t="shared" si="67"/>
        <v>0</v>
      </c>
      <c r="S370" s="137">
        <f t="shared" si="58"/>
        <v>0</v>
      </c>
    </row>
    <row r="371" spans="1:19">
      <c r="A371" s="146"/>
      <c r="B371" s="147"/>
      <c r="C371" s="138">
        <f t="shared" si="59"/>
        <v>1</v>
      </c>
      <c r="D371" s="148"/>
      <c r="E371" s="138">
        <f t="shared" si="60"/>
        <v>1</v>
      </c>
      <c r="F371" s="148"/>
      <c r="G371" s="138">
        <f t="shared" si="61"/>
        <v>1</v>
      </c>
      <c r="H371" s="148"/>
      <c r="I371" s="138">
        <f t="shared" si="62"/>
        <v>1</v>
      </c>
      <c r="J371" s="148"/>
      <c r="K371" s="138">
        <f t="shared" si="63"/>
        <v>1</v>
      </c>
      <c r="L371" s="148"/>
      <c r="M371" s="138">
        <f t="shared" si="64"/>
        <v>1</v>
      </c>
      <c r="N371" s="148"/>
      <c r="O371" s="138">
        <f t="shared" si="65"/>
        <v>1</v>
      </c>
      <c r="P371" s="148"/>
      <c r="Q371" s="138">
        <f t="shared" si="66"/>
        <v>1</v>
      </c>
      <c r="R371" s="201">
        <f t="shared" si="67"/>
        <v>0</v>
      </c>
      <c r="S371" s="137">
        <f t="shared" si="58"/>
        <v>0</v>
      </c>
    </row>
    <row r="372" spans="1:19">
      <c r="A372" s="146"/>
      <c r="B372" s="147"/>
      <c r="C372" s="138">
        <f t="shared" si="59"/>
        <v>1</v>
      </c>
      <c r="D372" s="148"/>
      <c r="E372" s="138">
        <f t="shared" si="60"/>
        <v>1</v>
      </c>
      <c r="F372" s="148"/>
      <c r="G372" s="138">
        <f t="shared" si="61"/>
        <v>1</v>
      </c>
      <c r="H372" s="148"/>
      <c r="I372" s="138">
        <f t="shared" si="62"/>
        <v>1</v>
      </c>
      <c r="J372" s="148"/>
      <c r="K372" s="138">
        <f t="shared" si="63"/>
        <v>1</v>
      </c>
      <c r="L372" s="148"/>
      <c r="M372" s="138">
        <f t="shared" si="64"/>
        <v>1</v>
      </c>
      <c r="N372" s="148"/>
      <c r="O372" s="138">
        <f t="shared" si="65"/>
        <v>1</v>
      </c>
      <c r="P372" s="148"/>
      <c r="Q372" s="138">
        <f t="shared" si="66"/>
        <v>1</v>
      </c>
      <c r="R372" s="201">
        <f t="shared" si="67"/>
        <v>0</v>
      </c>
      <c r="S372" s="137">
        <f t="shared" si="58"/>
        <v>0</v>
      </c>
    </row>
    <row r="373" spans="1:19">
      <c r="A373" s="146"/>
      <c r="B373" s="147"/>
      <c r="C373" s="138">
        <f t="shared" si="59"/>
        <v>1</v>
      </c>
      <c r="D373" s="148"/>
      <c r="E373" s="138">
        <f t="shared" si="60"/>
        <v>1</v>
      </c>
      <c r="F373" s="148"/>
      <c r="G373" s="138">
        <f t="shared" si="61"/>
        <v>1</v>
      </c>
      <c r="H373" s="148"/>
      <c r="I373" s="138">
        <f t="shared" si="62"/>
        <v>1</v>
      </c>
      <c r="J373" s="148"/>
      <c r="K373" s="138">
        <f t="shared" si="63"/>
        <v>1</v>
      </c>
      <c r="L373" s="148"/>
      <c r="M373" s="138">
        <f t="shared" si="64"/>
        <v>1</v>
      </c>
      <c r="N373" s="148"/>
      <c r="O373" s="138">
        <f t="shared" si="65"/>
        <v>1</v>
      </c>
      <c r="P373" s="148"/>
      <c r="Q373" s="138">
        <f t="shared" si="66"/>
        <v>1</v>
      </c>
      <c r="R373" s="201">
        <f t="shared" si="67"/>
        <v>0</v>
      </c>
      <c r="S373" s="137">
        <f t="shared" si="58"/>
        <v>0</v>
      </c>
    </row>
    <row r="374" spans="1:19">
      <c r="A374" s="146"/>
      <c r="B374" s="147"/>
      <c r="C374" s="138">
        <f t="shared" si="59"/>
        <v>1</v>
      </c>
      <c r="D374" s="148"/>
      <c r="E374" s="138">
        <f t="shared" si="60"/>
        <v>1</v>
      </c>
      <c r="F374" s="148"/>
      <c r="G374" s="138">
        <f t="shared" si="61"/>
        <v>1</v>
      </c>
      <c r="H374" s="148"/>
      <c r="I374" s="138">
        <f t="shared" si="62"/>
        <v>1</v>
      </c>
      <c r="J374" s="148"/>
      <c r="K374" s="138">
        <f t="shared" si="63"/>
        <v>1</v>
      </c>
      <c r="L374" s="148"/>
      <c r="M374" s="138">
        <f t="shared" si="64"/>
        <v>1</v>
      </c>
      <c r="N374" s="148"/>
      <c r="O374" s="138">
        <f t="shared" si="65"/>
        <v>1</v>
      </c>
      <c r="P374" s="148"/>
      <c r="Q374" s="138">
        <f t="shared" si="66"/>
        <v>1</v>
      </c>
      <c r="R374" s="201">
        <f t="shared" si="67"/>
        <v>0</v>
      </c>
      <c r="S374" s="137">
        <f t="shared" si="58"/>
        <v>0</v>
      </c>
    </row>
    <row r="375" spans="1:19">
      <c r="A375" s="146"/>
      <c r="B375" s="147"/>
      <c r="C375" s="138">
        <f t="shared" si="59"/>
        <v>1</v>
      </c>
      <c r="D375" s="148"/>
      <c r="E375" s="138">
        <f t="shared" si="60"/>
        <v>1</v>
      </c>
      <c r="F375" s="148"/>
      <c r="G375" s="138">
        <f t="shared" si="61"/>
        <v>1</v>
      </c>
      <c r="H375" s="148"/>
      <c r="I375" s="138">
        <f t="shared" si="62"/>
        <v>1</v>
      </c>
      <c r="J375" s="148"/>
      <c r="K375" s="138">
        <f t="shared" si="63"/>
        <v>1</v>
      </c>
      <c r="L375" s="148"/>
      <c r="M375" s="138">
        <f t="shared" si="64"/>
        <v>1</v>
      </c>
      <c r="N375" s="148"/>
      <c r="O375" s="138">
        <f t="shared" si="65"/>
        <v>1</v>
      </c>
      <c r="P375" s="148"/>
      <c r="Q375" s="138">
        <f t="shared" si="66"/>
        <v>1</v>
      </c>
      <c r="R375" s="201">
        <f t="shared" si="67"/>
        <v>0</v>
      </c>
      <c r="S375" s="137">
        <f t="shared" si="58"/>
        <v>0</v>
      </c>
    </row>
    <row r="376" spans="1:19">
      <c r="A376" s="146"/>
      <c r="B376" s="147"/>
      <c r="C376" s="138">
        <f t="shared" si="59"/>
        <v>1</v>
      </c>
      <c r="D376" s="148"/>
      <c r="E376" s="138">
        <f t="shared" si="60"/>
        <v>1</v>
      </c>
      <c r="F376" s="148"/>
      <c r="G376" s="138">
        <f t="shared" si="61"/>
        <v>1</v>
      </c>
      <c r="H376" s="148"/>
      <c r="I376" s="138">
        <f t="shared" si="62"/>
        <v>1</v>
      </c>
      <c r="J376" s="148"/>
      <c r="K376" s="138">
        <f t="shared" si="63"/>
        <v>1</v>
      </c>
      <c r="L376" s="148"/>
      <c r="M376" s="138">
        <f t="shared" si="64"/>
        <v>1</v>
      </c>
      <c r="N376" s="148"/>
      <c r="O376" s="138">
        <f t="shared" si="65"/>
        <v>1</v>
      </c>
      <c r="P376" s="148"/>
      <c r="Q376" s="138">
        <f t="shared" si="66"/>
        <v>1</v>
      </c>
      <c r="R376" s="201">
        <f t="shared" si="67"/>
        <v>0</v>
      </c>
      <c r="S376" s="137">
        <f t="shared" si="58"/>
        <v>0</v>
      </c>
    </row>
    <row r="377" spans="1:19">
      <c r="A377" s="146"/>
      <c r="B377" s="147"/>
      <c r="C377" s="138">
        <f t="shared" si="59"/>
        <v>1</v>
      </c>
      <c r="D377" s="148"/>
      <c r="E377" s="138">
        <f t="shared" si="60"/>
        <v>1</v>
      </c>
      <c r="F377" s="148"/>
      <c r="G377" s="138">
        <f t="shared" si="61"/>
        <v>1</v>
      </c>
      <c r="H377" s="148"/>
      <c r="I377" s="138">
        <f t="shared" si="62"/>
        <v>1</v>
      </c>
      <c r="J377" s="148"/>
      <c r="K377" s="138">
        <f t="shared" si="63"/>
        <v>1</v>
      </c>
      <c r="L377" s="148"/>
      <c r="M377" s="138">
        <f t="shared" si="64"/>
        <v>1</v>
      </c>
      <c r="N377" s="148"/>
      <c r="O377" s="138">
        <f t="shared" si="65"/>
        <v>1</v>
      </c>
      <c r="P377" s="148"/>
      <c r="Q377" s="138">
        <f t="shared" si="66"/>
        <v>1</v>
      </c>
      <c r="R377" s="201">
        <f t="shared" si="67"/>
        <v>0</v>
      </c>
      <c r="S377" s="137">
        <f t="shared" si="58"/>
        <v>0</v>
      </c>
    </row>
    <row r="378" spans="1:19">
      <c r="A378" s="146"/>
      <c r="B378" s="147"/>
      <c r="C378" s="138">
        <f t="shared" si="59"/>
        <v>1</v>
      </c>
      <c r="D378" s="148"/>
      <c r="E378" s="138">
        <f t="shared" si="60"/>
        <v>1</v>
      </c>
      <c r="F378" s="148"/>
      <c r="G378" s="138">
        <f t="shared" si="61"/>
        <v>1</v>
      </c>
      <c r="H378" s="148"/>
      <c r="I378" s="138">
        <f t="shared" si="62"/>
        <v>1</v>
      </c>
      <c r="J378" s="148"/>
      <c r="K378" s="138">
        <f t="shared" si="63"/>
        <v>1</v>
      </c>
      <c r="L378" s="148"/>
      <c r="M378" s="138">
        <f t="shared" si="64"/>
        <v>1</v>
      </c>
      <c r="N378" s="148"/>
      <c r="O378" s="138">
        <f t="shared" si="65"/>
        <v>1</v>
      </c>
      <c r="P378" s="148"/>
      <c r="Q378" s="138">
        <f t="shared" si="66"/>
        <v>1</v>
      </c>
      <c r="R378" s="201">
        <f t="shared" si="67"/>
        <v>0</v>
      </c>
      <c r="S378" s="137">
        <f t="shared" si="58"/>
        <v>0</v>
      </c>
    </row>
    <row r="379" spans="1:19">
      <c r="A379" s="146"/>
      <c r="B379" s="147"/>
      <c r="C379" s="138">
        <f t="shared" si="59"/>
        <v>1</v>
      </c>
      <c r="D379" s="148"/>
      <c r="E379" s="138">
        <f t="shared" si="60"/>
        <v>1</v>
      </c>
      <c r="F379" s="148"/>
      <c r="G379" s="138">
        <f t="shared" si="61"/>
        <v>1</v>
      </c>
      <c r="H379" s="148"/>
      <c r="I379" s="138">
        <f t="shared" si="62"/>
        <v>1</v>
      </c>
      <c r="J379" s="148"/>
      <c r="K379" s="138">
        <f t="shared" si="63"/>
        <v>1</v>
      </c>
      <c r="L379" s="148"/>
      <c r="M379" s="138">
        <f t="shared" si="64"/>
        <v>1</v>
      </c>
      <c r="N379" s="148"/>
      <c r="O379" s="138">
        <f t="shared" si="65"/>
        <v>1</v>
      </c>
      <c r="P379" s="148"/>
      <c r="Q379" s="138">
        <f t="shared" si="66"/>
        <v>1</v>
      </c>
      <c r="R379" s="201">
        <f t="shared" si="67"/>
        <v>0</v>
      </c>
      <c r="S379" s="137">
        <f t="shared" si="58"/>
        <v>0</v>
      </c>
    </row>
    <row r="380" spans="1:19">
      <c r="A380" s="146"/>
      <c r="B380" s="147"/>
      <c r="C380" s="138">
        <f t="shared" si="59"/>
        <v>1</v>
      </c>
      <c r="D380" s="148"/>
      <c r="E380" s="138">
        <f t="shared" si="60"/>
        <v>1</v>
      </c>
      <c r="F380" s="148"/>
      <c r="G380" s="138">
        <f t="shared" si="61"/>
        <v>1</v>
      </c>
      <c r="H380" s="148"/>
      <c r="I380" s="138">
        <f t="shared" si="62"/>
        <v>1</v>
      </c>
      <c r="J380" s="148"/>
      <c r="K380" s="138">
        <f t="shared" si="63"/>
        <v>1</v>
      </c>
      <c r="L380" s="148"/>
      <c r="M380" s="138">
        <f t="shared" si="64"/>
        <v>1</v>
      </c>
      <c r="N380" s="148"/>
      <c r="O380" s="138">
        <f t="shared" si="65"/>
        <v>1</v>
      </c>
      <c r="P380" s="148"/>
      <c r="Q380" s="138">
        <f t="shared" si="66"/>
        <v>1</v>
      </c>
      <c r="R380" s="201">
        <f t="shared" si="67"/>
        <v>0</v>
      </c>
      <c r="S380" s="137">
        <f t="shared" si="58"/>
        <v>0</v>
      </c>
    </row>
    <row r="381" spans="1:19">
      <c r="A381" s="146"/>
      <c r="B381" s="147"/>
      <c r="C381" s="138">
        <f t="shared" si="59"/>
        <v>1</v>
      </c>
      <c r="D381" s="148"/>
      <c r="E381" s="138">
        <f t="shared" si="60"/>
        <v>1</v>
      </c>
      <c r="F381" s="148"/>
      <c r="G381" s="138">
        <f t="shared" si="61"/>
        <v>1</v>
      </c>
      <c r="H381" s="148"/>
      <c r="I381" s="138">
        <f t="shared" si="62"/>
        <v>1</v>
      </c>
      <c r="J381" s="148"/>
      <c r="K381" s="138">
        <f t="shared" si="63"/>
        <v>1</v>
      </c>
      <c r="L381" s="148"/>
      <c r="M381" s="138">
        <f t="shared" si="64"/>
        <v>1</v>
      </c>
      <c r="N381" s="148"/>
      <c r="O381" s="138">
        <f t="shared" si="65"/>
        <v>1</v>
      </c>
      <c r="P381" s="148"/>
      <c r="Q381" s="138">
        <f t="shared" si="66"/>
        <v>1</v>
      </c>
      <c r="R381" s="201">
        <f t="shared" si="67"/>
        <v>0</v>
      </c>
      <c r="S381" s="137">
        <f t="shared" si="58"/>
        <v>0</v>
      </c>
    </row>
    <row r="382" spans="1:19">
      <c r="A382" s="146"/>
      <c r="B382" s="147"/>
      <c r="C382" s="138">
        <f t="shared" si="59"/>
        <v>1</v>
      </c>
      <c r="D382" s="148"/>
      <c r="E382" s="138">
        <f t="shared" si="60"/>
        <v>1</v>
      </c>
      <c r="F382" s="148"/>
      <c r="G382" s="138">
        <f t="shared" si="61"/>
        <v>1</v>
      </c>
      <c r="H382" s="148"/>
      <c r="I382" s="138">
        <f t="shared" si="62"/>
        <v>1</v>
      </c>
      <c r="J382" s="148"/>
      <c r="K382" s="138">
        <f t="shared" si="63"/>
        <v>1</v>
      </c>
      <c r="L382" s="148"/>
      <c r="M382" s="138">
        <f t="shared" si="64"/>
        <v>1</v>
      </c>
      <c r="N382" s="148"/>
      <c r="O382" s="138">
        <f t="shared" si="65"/>
        <v>1</v>
      </c>
      <c r="P382" s="148"/>
      <c r="Q382" s="138">
        <f t="shared" si="66"/>
        <v>1</v>
      </c>
      <c r="R382" s="201">
        <f t="shared" si="67"/>
        <v>0</v>
      </c>
      <c r="S382" s="137">
        <f t="shared" si="58"/>
        <v>0</v>
      </c>
    </row>
    <row r="383" spans="1:19">
      <c r="A383" s="146"/>
      <c r="B383" s="147"/>
      <c r="C383" s="138">
        <f t="shared" si="59"/>
        <v>1</v>
      </c>
      <c r="D383" s="148"/>
      <c r="E383" s="138">
        <f t="shared" si="60"/>
        <v>1</v>
      </c>
      <c r="F383" s="148"/>
      <c r="G383" s="138">
        <f t="shared" si="61"/>
        <v>1</v>
      </c>
      <c r="H383" s="148"/>
      <c r="I383" s="138">
        <f t="shared" si="62"/>
        <v>1</v>
      </c>
      <c r="J383" s="148"/>
      <c r="K383" s="138">
        <f t="shared" si="63"/>
        <v>1</v>
      </c>
      <c r="L383" s="148"/>
      <c r="M383" s="138">
        <f t="shared" si="64"/>
        <v>1</v>
      </c>
      <c r="N383" s="148"/>
      <c r="O383" s="138">
        <f t="shared" si="65"/>
        <v>1</v>
      </c>
      <c r="P383" s="148"/>
      <c r="Q383" s="138">
        <f t="shared" si="66"/>
        <v>1</v>
      </c>
      <c r="R383" s="201">
        <f t="shared" si="67"/>
        <v>0</v>
      </c>
      <c r="S383" s="137">
        <f t="shared" si="58"/>
        <v>0</v>
      </c>
    </row>
    <row r="384" spans="1:19">
      <c r="A384" s="146"/>
      <c r="B384" s="147"/>
      <c r="C384" s="138">
        <f t="shared" si="59"/>
        <v>1</v>
      </c>
      <c r="D384" s="148"/>
      <c r="E384" s="138">
        <f t="shared" si="60"/>
        <v>1</v>
      </c>
      <c r="F384" s="148"/>
      <c r="G384" s="138">
        <f t="shared" si="61"/>
        <v>1</v>
      </c>
      <c r="H384" s="148"/>
      <c r="I384" s="138">
        <f t="shared" si="62"/>
        <v>1</v>
      </c>
      <c r="J384" s="148"/>
      <c r="K384" s="138">
        <f t="shared" si="63"/>
        <v>1</v>
      </c>
      <c r="L384" s="148"/>
      <c r="M384" s="138">
        <f t="shared" si="64"/>
        <v>1</v>
      </c>
      <c r="N384" s="148"/>
      <c r="O384" s="138">
        <f t="shared" si="65"/>
        <v>1</v>
      </c>
      <c r="P384" s="148"/>
      <c r="Q384" s="138">
        <f t="shared" si="66"/>
        <v>1</v>
      </c>
      <c r="R384" s="201">
        <f t="shared" si="67"/>
        <v>0</v>
      </c>
      <c r="S384" s="137">
        <f t="shared" si="58"/>
        <v>0</v>
      </c>
    </row>
    <row r="385" spans="1:19">
      <c r="A385" s="146"/>
      <c r="B385" s="147"/>
      <c r="C385" s="138">
        <f t="shared" si="59"/>
        <v>1</v>
      </c>
      <c r="D385" s="148"/>
      <c r="E385" s="138">
        <f t="shared" si="60"/>
        <v>1</v>
      </c>
      <c r="F385" s="148"/>
      <c r="G385" s="138">
        <f t="shared" si="61"/>
        <v>1</v>
      </c>
      <c r="H385" s="148"/>
      <c r="I385" s="138">
        <f t="shared" si="62"/>
        <v>1</v>
      </c>
      <c r="J385" s="148"/>
      <c r="K385" s="138">
        <f t="shared" si="63"/>
        <v>1</v>
      </c>
      <c r="L385" s="148"/>
      <c r="M385" s="138">
        <f t="shared" si="64"/>
        <v>1</v>
      </c>
      <c r="N385" s="148"/>
      <c r="O385" s="138">
        <f t="shared" si="65"/>
        <v>1</v>
      </c>
      <c r="P385" s="148"/>
      <c r="Q385" s="138">
        <f t="shared" si="66"/>
        <v>1</v>
      </c>
      <c r="R385" s="201">
        <f t="shared" si="67"/>
        <v>0</v>
      </c>
      <c r="S385" s="137">
        <f t="shared" ref="S385:S422" si="68">ROUND(R385*B385/10000,0)</f>
        <v>0</v>
      </c>
    </row>
    <row r="386" spans="1:19">
      <c r="A386" s="146"/>
      <c r="B386" s="147"/>
      <c r="C386" s="138">
        <f t="shared" si="59"/>
        <v>1</v>
      </c>
      <c r="D386" s="148"/>
      <c r="E386" s="138">
        <f t="shared" si="60"/>
        <v>1</v>
      </c>
      <c r="F386" s="148"/>
      <c r="G386" s="138">
        <f t="shared" si="61"/>
        <v>1</v>
      </c>
      <c r="H386" s="148"/>
      <c r="I386" s="138">
        <f t="shared" si="62"/>
        <v>1</v>
      </c>
      <c r="J386" s="148"/>
      <c r="K386" s="138">
        <f t="shared" si="63"/>
        <v>1</v>
      </c>
      <c r="L386" s="148"/>
      <c r="M386" s="138">
        <f t="shared" si="64"/>
        <v>1</v>
      </c>
      <c r="N386" s="148"/>
      <c r="O386" s="138">
        <f t="shared" si="65"/>
        <v>1</v>
      </c>
      <c r="P386" s="148"/>
      <c r="Q386" s="138">
        <f t="shared" si="66"/>
        <v>1</v>
      </c>
      <c r="R386" s="201">
        <f t="shared" si="67"/>
        <v>0</v>
      </c>
      <c r="S386" s="137">
        <f t="shared" si="68"/>
        <v>0</v>
      </c>
    </row>
    <row r="387" spans="1:19">
      <c r="A387" s="146"/>
      <c r="B387" s="147"/>
      <c r="C387" s="138">
        <f t="shared" si="59"/>
        <v>1</v>
      </c>
      <c r="D387" s="148"/>
      <c r="E387" s="138">
        <f t="shared" si="60"/>
        <v>1</v>
      </c>
      <c r="F387" s="148"/>
      <c r="G387" s="138">
        <f t="shared" si="61"/>
        <v>1</v>
      </c>
      <c r="H387" s="148"/>
      <c r="I387" s="138">
        <f t="shared" si="62"/>
        <v>1</v>
      </c>
      <c r="J387" s="148"/>
      <c r="K387" s="138">
        <f t="shared" si="63"/>
        <v>1</v>
      </c>
      <c r="L387" s="148"/>
      <c r="M387" s="138">
        <f t="shared" si="64"/>
        <v>1</v>
      </c>
      <c r="N387" s="148"/>
      <c r="O387" s="138">
        <f t="shared" si="65"/>
        <v>1</v>
      </c>
      <c r="P387" s="148"/>
      <c r="Q387" s="138">
        <f t="shared" si="66"/>
        <v>1</v>
      </c>
      <c r="R387" s="201">
        <f t="shared" si="67"/>
        <v>0</v>
      </c>
      <c r="S387" s="137">
        <f t="shared" si="68"/>
        <v>0</v>
      </c>
    </row>
    <row r="388" spans="1:19">
      <c r="A388" s="146"/>
      <c r="B388" s="147"/>
      <c r="C388" s="138">
        <f t="shared" si="59"/>
        <v>1</v>
      </c>
      <c r="D388" s="148"/>
      <c r="E388" s="138">
        <f t="shared" si="60"/>
        <v>1</v>
      </c>
      <c r="F388" s="148"/>
      <c r="G388" s="138">
        <f t="shared" si="61"/>
        <v>1</v>
      </c>
      <c r="H388" s="148"/>
      <c r="I388" s="138">
        <f t="shared" si="62"/>
        <v>1</v>
      </c>
      <c r="J388" s="148"/>
      <c r="K388" s="138">
        <f t="shared" si="63"/>
        <v>1</v>
      </c>
      <c r="L388" s="148"/>
      <c r="M388" s="138">
        <f t="shared" si="64"/>
        <v>1</v>
      </c>
      <c r="N388" s="148"/>
      <c r="O388" s="138">
        <f t="shared" si="65"/>
        <v>1</v>
      </c>
      <c r="P388" s="148"/>
      <c r="Q388" s="138">
        <f t="shared" si="66"/>
        <v>1</v>
      </c>
      <c r="R388" s="201">
        <f t="shared" si="67"/>
        <v>0</v>
      </c>
      <c r="S388" s="137">
        <f t="shared" si="68"/>
        <v>0</v>
      </c>
    </row>
    <row r="389" spans="1:19">
      <c r="A389" s="146"/>
      <c r="B389" s="147"/>
      <c r="C389" s="138">
        <f t="shared" si="59"/>
        <v>1</v>
      </c>
      <c r="D389" s="148"/>
      <c r="E389" s="138">
        <f t="shared" si="60"/>
        <v>1</v>
      </c>
      <c r="F389" s="148"/>
      <c r="G389" s="138">
        <f t="shared" si="61"/>
        <v>1</v>
      </c>
      <c r="H389" s="148"/>
      <c r="I389" s="138">
        <f t="shared" si="62"/>
        <v>1</v>
      </c>
      <c r="J389" s="148"/>
      <c r="K389" s="138">
        <f t="shared" si="63"/>
        <v>1</v>
      </c>
      <c r="L389" s="148"/>
      <c r="M389" s="138">
        <f t="shared" si="64"/>
        <v>1</v>
      </c>
      <c r="N389" s="148"/>
      <c r="O389" s="138">
        <f t="shared" si="65"/>
        <v>1</v>
      </c>
      <c r="P389" s="148"/>
      <c r="Q389" s="138">
        <f t="shared" si="66"/>
        <v>1</v>
      </c>
      <c r="R389" s="201">
        <f t="shared" si="67"/>
        <v>0</v>
      </c>
      <c r="S389" s="137">
        <f t="shared" si="68"/>
        <v>0</v>
      </c>
    </row>
    <row r="390" spans="1:19">
      <c r="A390" s="146"/>
      <c r="B390" s="147"/>
      <c r="C390" s="138">
        <f t="shared" si="59"/>
        <v>1</v>
      </c>
      <c r="D390" s="148"/>
      <c r="E390" s="138">
        <f t="shared" si="60"/>
        <v>1</v>
      </c>
      <c r="F390" s="148"/>
      <c r="G390" s="138">
        <f t="shared" si="61"/>
        <v>1</v>
      </c>
      <c r="H390" s="148"/>
      <c r="I390" s="138">
        <f t="shared" si="62"/>
        <v>1</v>
      </c>
      <c r="J390" s="148"/>
      <c r="K390" s="138">
        <f t="shared" si="63"/>
        <v>1</v>
      </c>
      <c r="L390" s="148"/>
      <c r="M390" s="138">
        <f t="shared" si="64"/>
        <v>1</v>
      </c>
      <c r="N390" s="148"/>
      <c r="O390" s="138">
        <f t="shared" si="65"/>
        <v>1</v>
      </c>
      <c r="P390" s="148"/>
      <c r="Q390" s="138">
        <f t="shared" si="66"/>
        <v>1</v>
      </c>
      <c r="R390" s="201">
        <f t="shared" si="67"/>
        <v>0</v>
      </c>
      <c r="S390" s="137">
        <f t="shared" si="68"/>
        <v>0</v>
      </c>
    </row>
    <row r="391" spans="1:19">
      <c r="A391" s="146"/>
      <c r="B391" s="147"/>
      <c r="C391" s="138">
        <f t="shared" si="59"/>
        <v>1</v>
      </c>
      <c r="D391" s="148"/>
      <c r="E391" s="138">
        <f t="shared" si="60"/>
        <v>1</v>
      </c>
      <c r="F391" s="148"/>
      <c r="G391" s="138">
        <f t="shared" si="61"/>
        <v>1</v>
      </c>
      <c r="H391" s="148"/>
      <c r="I391" s="138">
        <f t="shared" si="62"/>
        <v>1</v>
      </c>
      <c r="J391" s="148"/>
      <c r="K391" s="138">
        <f t="shared" si="63"/>
        <v>1</v>
      </c>
      <c r="L391" s="148"/>
      <c r="M391" s="138">
        <f t="shared" si="64"/>
        <v>1</v>
      </c>
      <c r="N391" s="148"/>
      <c r="O391" s="138">
        <f t="shared" si="65"/>
        <v>1</v>
      </c>
      <c r="P391" s="148"/>
      <c r="Q391" s="138">
        <f t="shared" si="66"/>
        <v>1</v>
      </c>
      <c r="R391" s="201">
        <f t="shared" si="67"/>
        <v>0</v>
      </c>
      <c r="S391" s="137">
        <f t="shared" si="68"/>
        <v>0</v>
      </c>
    </row>
    <row r="392" spans="1:19">
      <c r="A392" s="146"/>
      <c r="B392" s="147"/>
      <c r="C392" s="138">
        <f t="shared" si="59"/>
        <v>1</v>
      </c>
      <c r="D392" s="148"/>
      <c r="E392" s="138">
        <f t="shared" si="60"/>
        <v>1</v>
      </c>
      <c r="F392" s="148"/>
      <c r="G392" s="138">
        <f t="shared" si="61"/>
        <v>1</v>
      </c>
      <c r="H392" s="148"/>
      <c r="I392" s="138">
        <f t="shared" si="62"/>
        <v>1</v>
      </c>
      <c r="J392" s="148"/>
      <c r="K392" s="138">
        <f t="shared" si="63"/>
        <v>1</v>
      </c>
      <c r="L392" s="148"/>
      <c r="M392" s="138">
        <f t="shared" si="64"/>
        <v>1</v>
      </c>
      <c r="N392" s="148"/>
      <c r="O392" s="138">
        <f t="shared" si="65"/>
        <v>1</v>
      </c>
      <c r="P392" s="148"/>
      <c r="Q392" s="138">
        <f t="shared" si="66"/>
        <v>1</v>
      </c>
      <c r="R392" s="201">
        <f t="shared" si="67"/>
        <v>0</v>
      </c>
      <c r="S392" s="137">
        <f t="shared" si="68"/>
        <v>0</v>
      </c>
    </row>
    <row r="393" spans="1:19">
      <c r="A393" s="146"/>
      <c r="B393" s="147"/>
      <c r="C393" s="138">
        <f t="shared" si="59"/>
        <v>1</v>
      </c>
      <c r="D393" s="148"/>
      <c r="E393" s="138">
        <f t="shared" si="60"/>
        <v>1</v>
      </c>
      <c r="F393" s="148"/>
      <c r="G393" s="138">
        <f t="shared" si="61"/>
        <v>1</v>
      </c>
      <c r="H393" s="148"/>
      <c r="I393" s="138">
        <f t="shared" si="62"/>
        <v>1</v>
      </c>
      <c r="J393" s="148"/>
      <c r="K393" s="138">
        <f t="shared" si="63"/>
        <v>1</v>
      </c>
      <c r="L393" s="148"/>
      <c r="M393" s="138">
        <f t="shared" si="64"/>
        <v>1</v>
      </c>
      <c r="N393" s="148"/>
      <c r="O393" s="138">
        <f t="shared" si="65"/>
        <v>1</v>
      </c>
      <c r="P393" s="148"/>
      <c r="Q393" s="138">
        <f t="shared" si="66"/>
        <v>1</v>
      </c>
      <c r="R393" s="201">
        <f t="shared" si="67"/>
        <v>0</v>
      </c>
      <c r="S393" s="137">
        <f t="shared" si="68"/>
        <v>0</v>
      </c>
    </row>
    <row r="394" spans="1:19">
      <c r="A394" s="146"/>
      <c r="B394" s="147"/>
      <c r="C394" s="138">
        <f t="shared" si="59"/>
        <v>1</v>
      </c>
      <c r="D394" s="148"/>
      <c r="E394" s="138">
        <f t="shared" si="60"/>
        <v>1</v>
      </c>
      <c r="F394" s="148"/>
      <c r="G394" s="138">
        <f t="shared" si="61"/>
        <v>1</v>
      </c>
      <c r="H394" s="148"/>
      <c r="I394" s="138">
        <f t="shared" si="62"/>
        <v>1</v>
      </c>
      <c r="J394" s="148"/>
      <c r="K394" s="138">
        <f t="shared" si="63"/>
        <v>1</v>
      </c>
      <c r="L394" s="148"/>
      <c r="M394" s="138">
        <f t="shared" si="64"/>
        <v>1</v>
      </c>
      <c r="N394" s="148"/>
      <c r="O394" s="138">
        <f t="shared" si="65"/>
        <v>1</v>
      </c>
      <c r="P394" s="148"/>
      <c r="Q394" s="138">
        <f t="shared" si="66"/>
        <v>1</v>
      </c>
      <c r="R394" s="201">
        <f t="shared" si="67"/>
        <v>0</v>
      </c>
      <c r="S394" s="137">
        <f t="shared" si="68"/>
        <v>0</v>
      </c>
    </row>
    <row r="395" spans="1:19">
      <c r="A395" s="146"/>
      <c r="B395" s="147"/>
      <c r="C395" s="138">
        <f t="shared" si="59"/>
        <v>1</v>
      </c>
      <c r="D395" s="148"/>
      <c r="E395" s="138">
        <f t="shared" si="60"/>
        <v>1</v>
      </c>
      <c r="F395" s="148"/>
      <c r="G395" s="138">
        <f t="shared" si="61"/>
        <v>1</v>
      </c>
      <c r="H395" s="148"/>
      <c r="I395" s="138">
        <f t="shared" si="62"/>
        <v>1</v>
      </c>
      <c r="J395" s="148"/>
      <c r="K395" s="138">
        <f t="shared" si="63"/>
        <v>1</v>
      </c>
      <c r="L395" s="148"/>
      <c r="M395" s="138">
        <f t="shared" si="64"/>
        <v>1</v>
      </c>
      <c r="N395" s="148"/>
      <c r="O395" s="138">
        <f t="shared" si="65"/>
        <v>1</v>
      </c>
      <c r="P395" s="148"/>
      <c r="Q395" s="138">
        <f t="shared" si="66"/>
        <v>1</v>
      </c>
      <c r="R395" s="201">
        <f t="shared" si="67"/>
        <v>0</v>
      </c>
      <c r="S395" s="137">
        <f t="shared" si="68"/>
        <v>0</v>
      </c>
    </row>
    <row r="396" spans="1:19">
      <c r="A396" s="146"/>
      <c r="B396" s="147"/>
      <c r="C396" s="138">
        <f t="shared" si="59"/>
        <v>1</v>
      </c>
      <c r="D396" s="148"/>
      <c r="E396" s="138">
        <f t="shared" si="60"/>
        <v>1</v>
      </c>
      <c r="F396" s="148"/>
      <c r="G396" s="138">
        <f t="shared" si="61"/>
        <v>1</v>
      </c>
      <c r="H396" s="148"/>
      <c r="I396" s="138">
        <f t="shared" si="62"/>
        <v>1</v>
      </c>
      <c r="J396" s="148"/>
      <c r="K396" s="138">
        <f t="shared" si="63"/>
        <v>1</v>
      </c>
      <c r="L396" s="148"/>
      <c r="M396" s="138">
        <f t="shared" si="64"/>
        <v>1</v>
      </c>
      <c r="N396" s="148"/>
      <c r="O396" s="138">
        <f t="shared" si="65"/>
        <v>1</v>
      </c>
      <c r="P396" s="148"/>
      <c r="Q396" s="138">
        <f t="shared" si="66"/>
        <v>1</v>
      </c>
      <c r="R396" s="201">
        <f t="shared" si="67"/>
        <v>0</v>
      </c>
      <c r="S396" s="137">
        <f t="shared" si="68"/>
        <v>0</v>
      </c>
    </row>
    <row r="397" spans="1:19">
      <c r="A397" s="146"/>
      <c r="B397" s="147"/>
      <c r="C397" s="138">
        <f t="shared" si="59"/>
        <v>1</v>
      </c>
      <c r="D397" s="148"/>
      <c r="E397" s="138">
        <f t="shared" si="60"/>
        <v>1</v>
      </c>
      <c r="F397" s="148"/>
      <c r="G397" s="138">
        <f t="shared" si="61"/>
        <v>1</v>
      </c>
      <c r="H397" s="148"/>
      <c r="I397" s="138">
        <f t="shared" si="62"/>
        <v>1</v>
      </c>
      <c r="J397" s="148"/>
      <c r="K397" s="138">
        <f t="shared" si="63"/>
        <v>1</v>
      </c>
      <c r="L397" s="148"/>
      <c r="M397" s="138">
        <f t="shared" si="64"/>
        <v>1</v>
      </c>
      <c r="N397" s="148"/>
      <c r="O397" s="138">
        <f t="shared" si="65"/>
        <v>1</v>
      </c>
      <c r="P397" s="148"/>
      <c r="Q397" s="138">
        <f t="shared" si="66"/>
        <v>1</v>
      </c>
      <c r="R397" s="201">
        <f t="shared" si="67"/>
        <v>0</v>
      </c>
      <c r="S397" s="137">
        <f t="shared" si="68"/>
        <v>0</v>
      </c>
    </row>
    <row r="398" spans="1:19">
      <c r="A398" s="146"/>
      <c r="B398" s="147"/>
      <c r="C398" s="138">
        <f t="shared" si="59"/>
        <v>1</v>
      </c>
      <c r="D398" s="148"/>
      <c r="E398" s="138">
        <f t="shared" si="60"/>
        <v>1</v>
      </c>
      <c r="F398" s="148"/>
      <c r="G398" s="138">
        <f t="shared" si="61"/>
        <v>1</v>
      </c>
      <c r="H398" s="148"/>
      <c r="I398" s="138">
        <f t="shared" si="62"/>
        <v>1</v>
      </c>
      <c r="J398" s="148"/>
      <c r="K398" s="138">
        <f t="shared" si="63"/>
        <v>1</v>
      </c>
      <c r="L398" s="148"/>
      <c r="M398" s="138">
        <f t="shared" si="64"/>
        <v>1</v>
      </c>
      <c r="N398" s="148"/>
      <c r="O398" s="138">
        <f t="shared" si="65"/>
        <v>1</v>
      </c>
      <c r="P398" s="148"/>
      <c r="Q398" s="138">
        <f t="shared" si="66"/>
        <v>1</v>
      </c>
      <c r="R398" s="201">
        <f t="shared" si="67"/>
        <v>0</v>
      </c>
      <c r="S398" s="137">
        <f t="shared" si="68"/>
        <v>0</v>
      </c>
    </row>
    <row r="399" spans="1:19">
      <c r="A399" s="146"/>
      <c r="B399" s="147"/>
      <c r="C399" s="138">
        <f t="shared" si="59"/>
        <v>1</v>
      </c>
      <c r="D399" s="148"/>
      <c r="E399" s="138">
        <f t="shared" si="60"/>
        <v>1</v>
      </c>
      <c r="F399" s="148"/>
      <c r="G399" s="138">
        <f t="shared" si="61"/>
        <v>1</v>
      </c>
      <c r="H399" s="148"/>
      <c r="I399" s="138">
        <f t="shared" si="62"/>
        <v>1</v>
      </c>
      <c r="J399" s="148"/>
      <c r="K399" s="138">
        <f t="shared" si="63"/>
        <v>1</v>
      </c>
      <c r="L399" s="148"/>
      <c r="M399" s="138">
        <f t="shared" si="64"/>
        <v>1</v>
      </c>
      <c r="N399" s="148"/>
      <c r="O399" s="138">
        <f t="shared" si="65"/>
        <v>1</v>
      </c>
      <c r="P399" s="148"/>
      <c r="Q399" s="138">
        <f t="shared" si="66"/>
        <v>1</v>
      </c>
      <c r="R399" s="201">
        <f t="shared" si="67"/>
        <v>0</v>
      </c>
      <c r="S399" s="137">
        <f t="shared" si="68"/>
        <v>0</v>
      </c>
    </row>
    <row r="400" spans="1:19">
      <c r="A400" s="146"/>
      <c r="B400" s="147"/>
      <c r="C400" s="138">
        <f t="shared" si="59"/>
        <v>1</v>
      </c>
      <c r="D400" s="148"/>
      <c r="E400" s="138">
        <f t="shared" si="60"/>
        <v>1</v>
      </c>
      <c r="F400" s="148"/>
      <c r="G400" s="138">
        <f t="shared" si="61"/>
        <v>1</v>
      </c>
      <c r="H400" s="148"/>
      <c r="I400" s="138">
        <f t="shared" si="62"/>
        <v>1</v>
      </c>
      <c r="J400" s="148"/>
      <c r="K400" s="138">
        <f t="shared" si="63"/>
        <v>1</v>
      </c>
      <c r="L400" s="148"/>
      <c r="M400" s="138">
        <f t="shared" si="64"/>
        <v>1</v>
      </c>
      <c r="N400" s="148"/>
      <c r="O400" s="138">
        <f t="shared" si="65"/>
        <v>1</v>
      </c>
      <c r="P400" s="148"/>
      <c r="Q400" s="138">
        <f t="shared" si="66"/>
        <v>1</v>
      </c>
      <c r="R400" s="201">
        <f t="shared" si="67"/>
        <v>0</v>
      </c>
      <c r="S400" s="137">
        <f t="shared" si="68"/>
        <v>0</v>
      </c>
    </row>
    <row r="401" spans="1:19">
      <c r="A401" s="146"/>
      <c r="B401" s="147"/>
      <c r="C401" s="138">
        <f t="shared" si="59"/>
        <v>1</v>
      </c>
      <c r="D401" s="148"/>
      <c r="E401" s="138">
        <f t="shared" si="60"/>
        <v>1</v>
      </c>
      <c r="F401" s="148"/>
      <c r="G401" s="138">
        <f t="shared" si="61"/>
        <v>1</v>
      </c>
      <c r="H401" s="148"/>
      <c r="I401" s="138">
        <f t="shared" si="62"/>
        <v>1</v>
      </c>
      <c r="J401" s="148"/>
      <c r="K401" s="138">
        <f t="shared" si="63"/>
        <v>1</v>
      </c>
      <c r="L401" s="148"/>
      <c r="M401" s="138">
        <f t="shared" si="64"/>
        <v>1</v>
      </c>
      <c r="N401" s="148"/>
      <c r="O401" s="138">
        <f t="shared" si="65"/>
        <v>1</v>
      </c>
      <c r="P401" s="148"/>
      <c r="Q401" s="138">
        <f t="shared" si="66"/>
        <v>1</v>
      </c>
      <c r="R401" s="201">
        <f t="shared" si="67"/>
        <v>0</v>
      </c>
      <c r="S401" s="137">
        <f t="shared" si="68"/>
        <v>0</v>
      </c>
    </row>
    <row r="402" spans="1:19">
      <c r="A402" s="146"/>
      <c r="B402" s="147"/>
      <c r="C402" s="138">
        <f t="shared" si="59"/>
        <v>1</v>
      </c>
      <c r="D402" s="148"/>
      <c r="E402" s="138">
        <f t="shared" si="60"/>
        <v>1</v>
      </c>
      <c r="F402" s="148"/>
      <c r="G402" s="138">
        <f t="shared" si="61"/>
        <v>1</v>
      </c>
      <c r="H402" s="148"/>
      <c r="I402" s="138">
        <f t="shared" si="62"/>
        <v>1</v>
      </c>
      <c r="J402" s="148"/>
      <c r="K402" s="138">
        <f t="shared" si="63"/>
        <v>1</v>
      </c>
      <c r="L402" s="148"/>
      <c r="M402" s="138">
        <f t="shared" si="64"/>
        <v>1</v>
      </c>
      <c r="N402" s="148"/>
      <c r="O402" s="138">
        <f t="shared" si="65"/>
        <v>1</v>
      </c>
      <c r="P402" s="148"/>
      <c r="Q402" s="138">
        <f t="shared" si="66"/>
        <v>1</v>
      </c>
      <c r="R402" s="201">
        <f t="shared" si="67"/>
        <v>0</v>
      </c>
      <c r="S402" s="137">
        <f t="shared" si="68"/>
        <v>0</v>
      </c>
    </row>
    <row r="403" spans="1:19">
      <c r="A403" s="146"/>
      <c r="B403" s="147"/>
      <c r="C403" s="138">
        <f t="shared" si="59"/>
        <v>1</v>
      </c>
      <c r="D403" s="148"/>
      <c r="E403" s="138">
        <f t="shared" si="60"/>
        <v>1</v>
      </c>
      <c r="F403" s="148"/>
      <c r="G403" s="138">
        <f t="shared" si="61"/>
        <v>1</v>
      </c>
      <c r="H403" s="148"/>
      <c r="I403" s="138">
        <f t="shared" si="62"/>
        <v>1</v>
      </c>
      <c r="J403" s="148"/>
      <c r="K403" s="138">
        <f t="shared" si="63"/>
        <v>1</v>
      </c>
      <c r="L403" s="148"/>
      <c r="M403" s="138">
        <f t="shared" si="64"/>
        <v>1</v>
      </c>
      <c r="N403" s="148"/>
      <c r="O403" s="138">
        <f t="shared" si="65"/>
        <v>1</v>
      </c>
      <c r="P403" s="148"/>
      <c r="Q403" s="138">
        <f t="shared" si="66"/>
        <v>1</v>
      </c>
      <c r="R403" s="201">
        <f t="shared" si="67"/>
        <v>0</v>
      </c>
      <c r="S403" s="137">
        <f t="shared" si="68"/>
        <v>0</v>
      </c>
    </row>
    <row r="404" spans="1:19">
      <c r="A404" s="146"/>
      <c r="B404" s="147"/>
      <c r="C404" s="138">
        <f t="shared" si="59"/>
        <v>1</v>
      </c>
      <c r="D404" s="148"/>
      <c r="E404" s="138">
        <f t="shared" si="60"/>
        <v>1</v>
      </c>
      <c r="F404" s="148"/>
      <c r="G404" s="138">
        <f t="shared" si="61"/>
        <v>1</v>
      </c>
      <c r="H404" s="148"/>
      <c r="I404" s="138">
        <f t="shared" si="62"/>
        <v>1</v>
      </c>
      <c r="J404" s="148"/>
      <c r="K404" s="138">
        <f t="shared" si="63"/>
        <v>1</v>
      </c>
      <c r="L404" s="148"/>
      <c r="M404" s="138">
        <f t="shared" si="64"/>
        <v>1</v>
      </c>
      <c r="N404" s="148"/>
      <c r="O404" s="138">
        <f t="shared" si="65"/>
        <v>1</v>
      </c>
      <c r="P404" s="148"/>
      <c r="Q404" s="138">
        <f t="shared" si="66"/>
        <v>1</v>
      </c>
      <c r="R404" s="201">
        <f t="shared" si="67"/>
        <v>0</v>
      </c>
      <c r="S404" s="137">
        <f t="shared" si="68"/>
        <v>0</v>
      </c>
    </row>
    <row r="405" spans="1:19">
      <c r="A405" s="146"/>
      <c r="B405" s="147"/>
      <c r="C405" s="138">
        <f t="shared" si="59"/>
        <v>1</v>
      </c>
      <c r="D405" s="148"/>
      <c r="E405" s="138">
        <f t="shared" si="60"/>
        <v>1</v>
      </c>
      <c r="F405" s="148"/>
      <c r="G405" s="138">
        <f t="shared" si="61"/>
        <v>1</v>
      </c>
      <c r="H405" s="148"/>
      <c r="I405" s="138">
        <f t="shared" si="62"/>
        <v>1</v>
      </c>
      <c r="J405" s="148"/>
      <c r="K405" s="138">
        <f t="shared" si="63"/>
        <v>1</v>
      </c>
      <c r="L405" s="148"/>
      <c r="M405" s="138">
        <f t="shared" si="64"/>
        <v>1</v>
      </c>
      <c r="N405" s="148"/>
      <c r="O405" s="138">
        <f t="shared" si="65"/>
        <v>1</v>
      </c>
      <c r="P405" s="148"/>
      <c r="Q405" s="138">
        <f t="shared" si="66"/>
        <v>1</v>
      </c>
      <c r="R405" s="201">
        <f t="shared" si="67"/>
        <v>0</v>
      </c>
      <c r="S405" s="137">
        <f t="shared" si="68"/>
        <v>0</v>
      </c>
    </row>
    <row r="406" spans="1:19">
      <c r="A406" s="146"/>
      <c r="B406" s="147"/>
      <c r="C406" s="138">
        <f t="shared" si="59"/>
        <v>1</v>
      </c>
      <c r="D406" s="148"/>
      <c r="E406" s="138">
        <f t="shared" si="60"/>
        <v>1</v>
      </c>
      <c r="F406" s="148"/>
      <c r="G406" s="138">
        <f t="shared" si="61"/>
        <v>1</v>
      </c>
      <c r="H406" s="148"/>
      <c r="I406" s="138">
        <f t="shared" si="62"/>
        <v>1</v>
      </c>
      <c r="J406" s="148"/>
      <c r="K406" s="138">
        <f t="shared" si="63"/>
        <v>1</v>
      </c>
      <c r="L406" s="148"/>
      <c r="M406" s="138">
        <f t="shared" si="64"/>
        <v>1</v>
      </c>
      <c r="N406" s="148"/>
      <c r="O406" s="138">
        <f t="shared" si="65"/>
        <v>1</v>
      </c>
      <c r="P406" s="148"/>
      <c r="Q406" s="138">
        <f t="shared" si="66"/>
        <v>1</v>
      </c>
      <c r="R406" s="201">
        <f t="shared" si="67"/>
        <v>0</v>
      </c>
      <c r="S406" s="137">
        <f t="shared" si="68"/>
        <v>0</v>
      </c>
    </row>
    <row r="407" spans="1:19">
      <c r="A407" s="146"/>
      <c r="B407" s="147"/>
      <c r="C407" s="138">
        <f t="shared" si="59"/>
        <v>1</v>
      </c>
      <c r="D407" s="148"/>
      <c r="E407" s="138">
        <f t="shared" si="60"/>
        <v>1</v>
      </c>
      <c r="F407" s="148"/>
      <c r="G407" s="138">
        <f t="shared" si="61"/>
        <v>1</v>
      </c>
      <c r="H407" s="148"/>
      <c r="I407" s="138">
        <f t="shared" si="62"/>
        <v>1</v>
      </c>
      <c r="J407" s="148"/>
      <c r="K407" s="138">
        <f t="shared" si="63"/>
        <v>1</v>
      </c>
      <c r="L407" s="148"/>
      <c r="M407" s="138">
        <f t="shared" si="64"/>
        <v>1</v>
      </c>
      <c r="N407" s="148"/>
      <c r="O407" s="138">
        <f t="shared" si="65"/>
        <v>1</v>
      </c>
      <c r="P407" s="148"/>
      <c r="Q407" s="138">
        <f t="shared" si="66"/>
        <v>1</v>
      </c>
      <c r="R407" s="201">
        <f t="shared" si="67"/>
        <v>0</v>
      </c>
      <c r="S407" s="137">
        <f t="shared" si="68"/>
        <v>0</v>
      </c>
    </row>
    <row r="408" spans="1:19">
      <c r="A408" s="146"/>
      <c r="B408" s="147"/>
      <c r="C408" s="138">
        <f t="shared" si="59"/>
        <v>1</v>
      </c>
      <c r="D408" s="148"/>
      <c r="E408" s="138">
        <f t="shared" si="60"/>
        <v>1</v>
      </c>
      <c r="F408" s="148"/>
      <c r="G408" s="138">
        <f t="shared" si="61"/>
        <v>1</v>
      </c>
      <c r="H408" s="148"/>
      <c r="I408" s="138">
        <f t="shared" si="62"/>
        <v>1</v>
      </c>
      <c r="J408" s="148"/>
      <c r="K408" s="138">
        <f t="shared" si="63"/>
        <v>1</v>
      </c>
      <c r="L408" s="148"/>
      <c r="M408" s="138">
        <f t="shared" si="64"/>
        <v>1</v>
      </c>
      <c r="N408" s="148"/>
      <c r="O408" s="138">
        <f t="shared" si="65"/>
        <v>1</v>
      </c>
      <c r="P408" s="148"/>
      <c r="Q408" s="138">
        <f t="shared" si="66"/>
        <v>1</v>
      </c>
      <c r="R408" s="201">
        <f t="shared" si="67"/>
        <v>0</v>
      </c>
      <c r="S408" s="137">
        <f t="shared" si="68"/>
        <v>0</v>
      </c>
    </row>
    <row r="409" spans="1:19">
      <c r="A409" s="146"/>
      <c r="B409" s="147"/>
      <c r="C409" s="138">
        <f t="shared" si="59"/>
        <v>1</v>
      </c>
      <c r="D409" s="148"/>
      <c r="E409" s="138">
        <f t="shared" si="60"/>
        <v>1</v>
      </c>
      <c r="F409" s="148"/>
      <c r="G409" s="138">
        <f t="shared" si="61"/>
        <v>1</v>
      </c>
      <c r="H409" s="148"/>
      <c r="I409" s="138">
        <f t="shared" si="62"/>
        <v>1</v>
      </c>
      <c r="J409" s="148"/>
      <c r="K409" s="138">
        <f t="shared" si="63"/>
        <v>1</v>
      </c>
      <c r="L409" s="148"/>
      <c r="M409" s="138">
        <f t="shared" si="64"/>
        <v>1</v>
      </c>
      <c r="N409" s="148"/>
      <c r="O409" s="138">
        <f t="shared" si="65"/>
        <v>1</v>
      </c>
      <c r="P409" s="148"/>
      <c r="Q409" s="138">
        <f t="shared" si="66"/>
        <v>1</v>
      </c>
      <c r="R409" s="201">
        <f t="shared" si="67"/>
        <v>0</v>
      </c>
      <c r="S409" s="137">
        <f t="shared" si="68"/>
        <v>0</v>
      </c>
    </row>
    <row r="410" spans="1:19">
      <c r="A410" s="146"/>
      <c r="B410" s="147"/>
      <c r="C410" s="138">
        <f t="shared" ref="C410:C473" si="69">IF(B410="",1,(LOOKUP(B410,$3:$3,$4:$4)-LOOKUP($B$24,$3:$3,$4:$4)+100)/100)</f>
        <v>1</v>
      </c>
      <c r="D410" s="148"/>
      <c r="E410" s="138">
        <f t="shared" ref="E410:E473" si="70">(SUMIF($5:$5,D410,$6:$6)-SUMIF($5:$5,$D$24,$6:$6)+100)/100</f>
        <v>1</v>
      </c>
      <c r="F410" s="148"/>
      <c r="G410" s="138">
        <f t="shared" ref="G410:G473" si="71">(SUMIF($7:$7,F410,$8:$8)-SUMIF($7:$7,$F$24,$8:$8)+100)/100</f>
        <v>1</v>
      </c>
      <c r="H410" s="148"/>
      <c r="I410" s="138">
        <f t="shared" ref="I410:I473" si="72">(SUMIF($9:$9,H410,$10:$10)-SUMIF($9:$9,$H$24,$10:$10)+100)/100</f>
        <v>1</v>
      </c>
      <c r="J410" s="148"/>
      <c r="K410" s="138">
        <f t="shared" ref="K410:K473" si="73">(SUMIF($11:$11,J410,$12:$12)-SUMIF($11:$11,$J$24,$12:$12)+100)/100</f>
        <v>1</v>
      </c>
      <c r="L410" s="148"/>
      <c r="M410" s="138">
        <f t="shared" ref="M410:M473" si="74">(SUMIF($13:$13,L410,$14:$14)-SUMIF($13:$13,$L$24,$14:$14)+100)/100</f>
        <v>1</v>
      </c>
      <c r="N410" s="148"/>
      <c r="O410" s="138">
        <f t="shared" ref="O410:O473" si="75">(SUMIF($15:$15,N410,$16:$16)-SUMIF($15:$15,$N$24,$16:$16)+100)/100</f>
        <v>1</v>
      </c>
      <c r="P410" s="148"/>
      <c r="Q410" s="138">
        <f t="shared" ref="Q410:Q473" si="76">(SUMIF($17:$17,P410,$18:$18)-SUMIF($17:$17,$P$24,$18:$18)+100)/100</f>
        <v>1</v>
      </c>
      <c r="R410" s="201">
        <f t="shared" ref="R410:R473" si="77">IF(B410="",0,ROUND($R$24*C410*E410*G410*I410*K410*M410*O410*Q410,0))</f>
        <v>0</v>
      </c>
      <c r="S410" s="137">
        <f t="shared" si="68"/>
        <v>0</v>
      </c>
    </row>
    <row r="411" spans="1:19">
      <c r="A411" s="146"/>
      <c r="B411" s="147"/>
      <c r="C411" s="138">
        <f t="shared" si="69"/>
        <v>1</v>
      </c>
      <c r="D411" s="148"/>
      <c r="E411" s="138">
        <f t="shared" si="70"/>
        <v>1</v>
      </c>
      <c r="F411" s="148"/>
      <c r="G411" s="138">
        <f t="shared" si="71"/>
        <v>1</v>
      </c>
      <c r="H411" s="148"/>
      <c r="I411" s="138">
        <f t="shared" si="72"/>
        <v>1</v>
      </c>
      <c r="J411" s="148"/>
      <c r="K411" s="138">
        <f t="shared" si="73"/>
        <v>1</v>
      </c>
      <c r="L411" s="148"/>
      <c r="M411" s="138">
        <f t="shared" si="74"/>
        <v>1</v>
      </c>
      <c r="N411" s="148"/>
      <c r="O411" s="138">
        <f t="shared" si="75"/>
        <v>1</v>
      </c>
      <c r="P411" s="148"/>
      <c r="Q411" s="138">
        <f t="shared" si="76"/>
        <v>1</v>
      </c>
      <c r="R411" s="201">
        <f t="shared" si="77"/>
        <v>0</v>
      </c>
      <c r="S411" s="137">
        <f t="shared" si="68"/>
        <v>0</v>
      </c>
    </row>
    <row r="412" spans="1:19">
      <c r="A412" s="146"/>
      <c r="B412" s="147"/>
      <c r="C412" s="138">
        <f t="shared" si="69"/>
        <v>1</v>
      </c>
      <c r="D412" s="148"/>
      <c r="E412" s="138">
        <f t="shared" si="70"/>
        <v>1</v>
      </c>
      <c r="F412" s="148"/>
      <c r="G412" s="138">
        <f t="shared" si="71"/>
        <v>1</v>
      </c>
      <c r="H412" s="148"/>
      <c r="I412" s="138">
        <f t="shared" si="72"/>
        <v>1</v>
      </c>
      <c r="J412" s="148"/>
      <c r="K412" s="138">
        <f t="shared" si="73"/>
        <v>1</v>
      </c>
      <c r="L412" s="148"/>
      <c r="M412" s="138">
        <f t="shared" si="74"/>
        <v>1</v>
      </c>
      <c r="N412" s="148"/>
      <c r="O412" s="138">
        <f t="shared" si="75"/>
        <v>1</v>
      </c>
      <c r="P412" s="148"/>
      <c r="Q412" s="138">
        <f t="shared" si="76"/>
        <v>1</v>
      </c>
      <c r="R412" s="201">
        <f t="shared" si="77"/>
        <v>0</v>
      </c>
      <c r="S412" s="137">
        <f t="shared" si="68"/>
        <v>0</v>
      </c>
    </row>
    <row r="413" spans="1:19">
      <c r="A413" s="146"/>
      <c r="B413" s="147"/>
      <c r="C413" s="138">
        <f t="shared" si="69"/>
        <v>1</v>
      </c>
      <c r="D413" s="148"/>
      <c r="E413" s="138">
        <f t="shared" si="70"/>
        <v>1</v>
      </c>
      <c r="F413" s="148"/>
      <c r="G413" s="138">
        <f t="shared" si="71"/>
        <v>1</v>
      </c>
      <c r="H413" s="148"/>
      <c r="I413" s="138">
        <f t="shared" si="72"/>
        <v>1</v>
      </c>
      <c r="J413" s="148"/>
      <c r="K413" s="138">
        <f t="shared" si="73"/>
        <v>1</v>
      </c>
      <c r="L413" s="148"/>
      <c r="M413" s="138">
        <f t="shared" si="74"/>
        <v>1</v>
      </c>
      <c r="N413" s="148"/>
      <c r="O413" s="138">
        <f t="shared" si="75"/>
        <v>1</v>
      </c>
      <c r="P413" s="148"/>
      <c r="Q413" s="138">
        <f t="shared" si="76"/>
        <v>1</v>
      </c>
      <c r="R413" s="201">
        <f t="shared" si="77"/>
        <v>0</v>
      </c>
      <c r="S413" s="137">
        <f t="shared" si="68"/>
        <v>0</v>
      </c>
    </row>
    <row r="414" spans="1:19">
      <c r="A414" s="146"/>
      <c r="B414" s="147"/>
      <c r="C414" s="138">
        <f t="shared" si="69"/>
        <v>1</v>
      </c>
      <c r="D414" s="148"/>
      <c r="E414" s="138">
        <f t="shared" si="70"/>
        <v>1</v>
      </c>
      <c r="F414" s="148"/>
      <c r="G414" s="138">
        <f t="shared" si="71"/>
        <v>1</v>
      </c>
      <c r="H414" s="148"/>
      <c r="I414" s="138">
        <f t="shared" si="72"/>
        <v>1</v>
      </c>
      <c r="J414" s="148"/>
      <c r="K414" s="138">
        <f t="shared" si="73"/>
        <v>1</v>
      </c>
      <c r="L414" s="148"/>
      <c r="M414" s="138">
        <f t="shared" si="74"/>
        <v>1</v>
      </c>
      <c r="N414" s="148"/>
      <c r="O414" s="138">
        <f t="shared" si="75"/>
        <v>1</v>
      </c>
      <c r="P414" s="148"/>
      <c r="Q414" s="138">
        <f t="shared" si="76"/>
        <v>1</v>
      </c>
      <c r="R414" s="201">
        <f t="shared" si="77"/>
        <v>0</v>
      </c>
      <c r="S414" s="137">
        <f t="shared" si="68"/>
        <v>0</v>
      </c>
    </row>
    <row r="415" spans="1:19">
      <c r="A415" s="146"/>
      <c r="B415" s="147"/>
      <c r="C415" s="138">
        <f t="shared" si="69"/>
        <v>1</v>
      </c>
      <c r="D415" s="148"/>
      <c r="E415" s="138">
        <f t="shared" si="70"/>
        <v>1</v>
      </c>
      <c r="F415" s="148"/>
      <c r="G415" s="138">
        <f t="shared" si="71"/>
        <v>1</v>
      </c>
      <c r="H415" s="148"/>
      <c r="I415" s="138">
        <f t="shared" si="72"/>
        <v>1</v>
      </c>
      <c r="J415" s="148"/>
      <c r="K415" s="138">
        <f t="shared" si="73"/>
        <v>1</v>
      </c>
      <c r="L415" s="148"/>
      <c r="M415" s="138">
        <f t="shared" si="74"/>
        <v>1</v>
      </c>
      <c r="N415" s="148"/>
      <c r="O415" s="138">
        <f t="shared" si="75"/>
        <v>1</v>
      </c>
      <c r="P415" s="148"/>
      <c r="Q415" s="138">
        <f t="shared" si="76"/>
        <v>1</v>
      </c>
      <c r="R415" s="201">
        <f t="shared" si="77"/>
        <v>0</v>
      </c>
      <c r="S415" s="137">
        <f t="shared" si="68"/>
        <v>0</v>
      </c>
    </row>
    <row r="416" spans="1:19">
      <c r="A416" s="146"/>
      <c r="B416" s="147"/>
      <c r="C416" s="138">
        <f t="shared" si="69"/>
        <v>1</v>
      </c>
      <c r="D416" s="148"/>
      <c r="E416" s="138">
        <f t="shared" si="70"/>
        <v>1</v>
      </c>
      <c r="F416" s="148"/>
      <c r="G416" s="138">
        <f t="shared" si="71"/>
        <v>1</v>
      </c>
      <c r="H416" s="148"/>
      <c r="I416" s="138">
        <f t="shared" si="72"/>
        <v>1</v>
      </c>
      <c r="J416" s="148"/>
      <c r="K416" s="138">
        <f t="shared" si="73"/>
        <v>1</v>
      </c>
      <c r="L416" s="148"/>
      <c r="M416" s="138">
        <f t="shared" si="74"/>
        <v>1</v>
      </c>
      <c r="N416" s="148"/>
      <c r="O416" s="138">
        <f t="shared" si="75"/>
        <v>1</v>
      </c>
      <c r="P416" s="148"/>
      <c r="Q416" s="138">
        <f t="shared" si="76"/>
        <v>1</v>
      </c>
      <c r="R416" s="201">
        <f t="shared" si="77"/>
        <v>0</v>
      </c>
      <c r="S416" s="137">
        <f t="shared" si="68"/>
        <v>0</v>
      </c>
    </row>
    <row r="417" spans="1:19">
      <c r="A417" s="146"/>
      <c r="B417" s="147"/>
      <c r="C417" s="138">
        <f t="shared" si="69"/>
        <v>1</v>
      </c>
      <c r="D417" s="148"/>
      <c r="E417" s="138">
        <f t="shared" si="70"/>
        <v>1</v>
      </c>
      <c r="F417" s="148"/>
      <c r="G417" s="138">
        <f t="shared" si="71"/>
        <v>1</v>
      </c>
      <c r="H417" s="148"/>
      <c r="I417" s="138">
        <f t="shared" si="72"/>
        <v>1</v>
      </c>
      <c r="J417" s="148"/>
      <c r="K417" s="138">
        <f t="shared" si="73"/>
        <v>1</v>
      </c>
      <c r="L417" s="148"/>
      <c r="M417" s="138">
        <f t="shared" si="74"/>
        <v>1</v>
      </c>
      <c r="N417" s="148"/>
      <c r="O417" s="138">
        <f t="shared" si="75"/>
        <v>1</v>
      </c>
      <c r="P417" s="148"/>
      <c r="Q417" s="138">
        <f t="shared" si="76"/>
        <v>1</v>
      </c>
      <c r="R417" s="201">
        <f t="shared" si="77"/>
        <v>0</v>
      </c>
      <c r="S417" s="137">
        <f t="shared" si="68"/>
        <v>0</v>
      </c>
    </row>
    <row r="418" spans="1:19">
      <c r="A418" s="146"/>
      <c r="B418" s="147"/>
      <c r="C418" s="138">
        <f t="shared" si="69"/>
        <v>1</v>
      </c>
      <c r="D418" s="148"/>
      <c r="E418" s="138">
        <f t="shared" si="70"/>
        <v>1</v>
      </c>
      <c r="F418" s="148"/>
      <c r="G418" s="138">
        <f t="shared" si="71"/>
        <v>1</v>
      </c>
      <c r="H418" s="148"/>
      <c r="I418" s="138">
        <f t="shared" si="72"/>
        <v>1</v>
      </c>
      <c r="J418" s="148"/>
      <c r="K418" s="138">
        <f t="shared" si="73"/>
        <v>1</v>
      </c>
      <c r="L418" s="148"/>
      <c r="M418" s="138">
        <f t="shared" si="74"/>
        <v>1</v>
      </c>
      <c r="N418" s="148"/>
      <c r="O418" s="138">
        <f t="shared" si="75"/>
        <v>1</v>
      </c>
      <c r="P418" s="148"/>
      <c r="Q418" s="138">
        <f t="shared" si="76"/>
        <v>1</v>
      </c>
      <c r="R418" s="201">
        <f t="shared" si="77"/>
        <v>0</v>
      </c>
      <c r="S418" s="137">
        <f t="shared" si="68"/>
        <v>0</v>
      </c>
    </row>
    <row r="419" spans="1:19">
      <c r="A419" s="146"/>
      <c r="B419" s="147"/>
      <c r="C419" s="138">
        <f t="shared" si="69"/>
        <v>1</v>
      </c>
      <c r="D419" s="148"/>
      <c r="E419" s="138">
        <f t="shared" si="70"/>
        <v>1</v>
      </c>
      <c r="F419" s="148"/>
      <c r="G419" s="138">
        <f t="shared" si="71"/>
        <v>1</v>
      </c>
      <c r="H419" s="148"/>
      <c r="I419" s="138">
        <f t="shared" si="72"/>
        <v>1</v>
      </c>
      <c r="J419" s="148"/>
      <c r="K419" s="138">
        <f t="shared" si="73"/>
        <v>1</v>
      </c>
      <c r="L419" s="148"/>
      <c r="M419" s="138">
        <f t="shared" si="74"/>
        <v>1</v>
      </c>
      <c r="N419" s="148"/>
      <c r="O419" s="138">
        <f t="shared" si="75"/>
        <v>1</v>
      </c>
      <c r="P419" s="148"/>
      <c r="Q419" s="138">
        <f t="shared" si="76"/>
        <v>1</v>
      </c>
      <c r="R419" s="201">
        <f t="shared" si="77"/>
        <v>0</v>
      </c>
      <c r="S419" s="137">
        <f t="shared" si="68"/>
        <v>0</v>
      </c>
    </row>
    <row r="420" spans="1:19">
      <c r="A420" s="146"/>
      <c r="B420" s="147"/>
      <c r="C420" s="138">
        <f t="shared" si="69"/>
        <v>1</v>
      </c>
      <c r="D420" s="148"/>
      <c r="E420" s="138">
        <f t="shared" si="70"/>
        <v>1</v>
      </c>
      <c r="F420" s="148"/>
      <c r="G420" s="138">
        <f t="shared" si="71"/>
        <v>1</v>
      </c>
      <c r="H420" s="148"/>
      <c r="I420" s="138">
        <f t="shared" si="72"/>
        <v>1</v>
      </c>
      <c r="J420" s="148"/>
      <c r="K420" s="138">
        <f t="shared" si="73"/>
        <v>1</v>
      </c>
      <c r="L420" s="148"/>
      <c r="M420" s="138">
        <f t="shared" si="74"/>
        <v>1</v>
      </c>
      <c r="N420" s="148"/>
      <c r="O420" s="138">
        <f t="shared" si="75"/>
        <v>1</v>
      </c>
      <c r="P420" s="148"/>
      <c r="Q420" s="138">
        <f t="shared" si="76"/>
        <v>1</v>
      </c>
      <c r="R420" s="201">
        <f t="shared" si="77"/>
        <v>0</v>
      </c>
      <c r="S420" s="137">
        <f t="shared" si="68"/>
        <v>0</v>
      </c>
    </row>
    <row r="421" spans="1:19">
      <c r="A421" s="146"/>
      <c r="B421" s="147"/>
      <c r="C421" s="138">
        <f t="shared" si="69"/>
        <v>1</v>
      </c>
      <c r="D421" s="148"/>
      <c r="E421" s="138">
        <f t="shared" si="70"/>
        <v>1</v>
      </c>
      <c r="F421" s="148"/>
      <c r="G421" s="138">
        <f t="shared" si="71"/>
        <v>1</v>
      </c>
      <c r="H421" s="148"/>
      <c r="I421" s="138">
        <f t="shared" si="72"/>
        <v>1</v>
      </c>
      <c r="J421" s="148"/>
      <c r="K421" s="138">
        <f t="shared" si="73"/>
        <v>1</v>
      </c>
      <c r="L421" s="148"/>
      <c r="M421" s="138">
        <f t="shared" si="74"/>
        <v>1</v>
      </c>
      <c r="N421" s="148"/>
      <c r="O421" s="138">
        <f t="shared" si="75"/>
        <v>1</v>
      </c>
      <c r="P421" s="148"/>
      <c r="Q421" s="138">
        <f t="shared" si="76"/>
        <v>1</v>
      </c>
      <c r="R421" s="201">
        <f t="shared" si="77"/>
        <v>0</v>
      </c>
      <c r="S421" s="137">
        <f t="shared" si="68"/>
        <v>0</v>
      </c>
    </row>
    <row r="422" spans="1:19">
      <c r="A422" s="146"/>
      <c r="B422" s="147"/>
      <c r="C422" s="138">
        <f t="shared" si="69"/>
        <v>1</v>
      </c>
      <c r="D422" s="148"/>
      <c r="E422" s="138">
        <f t="shared" si="70"/>
        <v>1</v>
      </c>
      <c r="F422" s="148"/>
      <c r="G422" s="138">
        <f t="shared" si="71"/>
        <v>1</v>
      </c>
      <c r="H422" s="148"/>
      <c r="I422" s="138">
        <f t="shared" si="72"/>
        <v>1</v>
      </c>
      <c r="J422" s="148"/>
      <c r="K422" s="138">
        <f t="shared" si="73"/>
        <v>1</v>
      </c>
      <c r="L422" s="148"/>
      <c r="M422" s="138">
        <f t="shared" si="74"/>
        <v>1</v>
      </c>
      <c r="N422" s="148"/>
      <c r="O422" s="138">
        <f t="shared" si="75"/>
        <v>1</v>
      </c>
      <c r="P422" s="148"/>
      <c r="Q422" s="138">
        <f t="shared" si="76"/>
        <v>1</v>
      </c>
      <c r="R422" s="201">
        <f t="shared" si="77"/>
        <v>0</v>
      </c>
      <c r="S422" s="137">
        <f t="shared" si="68"/>
        <v>0</v>
      </c>
    </row>
    <row r="423" spans="1:19">
      <c r="A423" s="146"/>
      <c r="B423" s="147"/>
      <c r="C423" s="138">
        <f t="shared" si="69"/>
        <v>1</v>
      </c>
      <c r="D423" s="148"/>
      <c r="E423" s="138">
        <f t="shared" si="70"/>
        <v>1</v>
      </c>
      <c r="F423" s="148"/>
      <c r="G423" s="138">
        <f t="shared" si="71"/>
        <v>1</v>
      </c>
      <c r="H423" s="148"/>
      <c r="I423" s="138">
        <f t="shared" si="72"/>
        <v>1</v>
      </c>
      <c r="J423" s="148"/>
      <c r="K423" s="138">
        <f t="shared" si="73"/>
        <v>1</v>
      </c>
      <c r="L423" s="148"/>
      <c r="M423" s="138">
        <f t="shared" si="74"/>
        <v>1</v>
      </c>
      <c r="N423" s="148"/>
      <c r="O423" s="138">
        <f t="shared" si="75"/>
        <v>1</v>
      </c>
      <c r="P423" s="148"/>
      <c r="Q423" s="138">
        <f t="shared" si="76"/>
        <v>1</v>
      </c>
      <c r="R423" s="201">
        <f t="shared" si="77"/>
        <v>0</v>
      </c>
      <c r="S423" s="137">
        <f t="shared" ref="S423:S467" si="78">ROUND(R423*B423/10000,0)</f>
        <v>0</v>
      </c>
    </row>
    <row r="424" spans="1:19">
      <c r="A424" s="146"/>
      <c r="B424" s="147"/>
      <c r="C424" s="138">
        <f t="shared" si="69"/>
        <v>1</v>
      </c>
      <c r="D424" s="148"/>
      <c r="E424" s="138">
        <f t="shared" si="70"/>
        <v>1</v>
      </c>
      <c r="F424" s="148"/>
      <c r="G424" s="138">
        <f t="shared" si="71"/>
        <v>1</v>
      </c>
      <c r="H424" s="148"/>
      <c r="I424" s="138">
        <f t="shared" si="72"/>
        <v>1</v>
      </c>
      <c r="J424" s="148"/>
      <c r="K424" s="138">
        <f t="shared" si="73"/>
        <v>1</v>
      </c>
      <c r="L424" s="148"/>
      <c r="M424" s="138">
        <f t="shared" si="74"/>
        <v>1</v>
      </c>
      <c r="N424" s="148"/>
      <c r="O424" s="138">
        <f t="shared" si="75"/>
        <v>1</v>
      </c>
      <c r="P424" s="148"/>
      <c r="Q424" s="138">
        <f t="shared" si="76"/>
        <v>1</v>
      </c>
      <c r="R424" s="201">
        <f t="shared" si="77"/>
        <v>0</v>
      </c>
      <c r="S424" s="137">
        <f t="shared" si="78"/>
        <v>0</v>
      </c>
    </row>
    <row r="425" spans="1:19">
      <c r="A425" s="146"/>
      <c r="B425" s="147"/>
      <c r="C425" s="138">
        <f t="shared" si="69"/>
        <v>1</v>
      </c>
      <c r="D425" s="148"/>
      <c r="E425" s="138">
        <f t="shared" si="70"/>
        <v>1</v>
      </c>
      <c r="F425" s="148"/>
      <c r="G425" s="138">
        <f t="shared" si="71"/>
        <v>1</v>
      </c>
      <c r="H425" s="148"/>
      <c r="I425" s="138">
        <f t="shared" si="72"/>
        <v>1</v>
      </c>
      <c r="J425" s="148"/>
      <c r="K425" s="138">
        <f t="shared" si="73"/>
        <v>1</v>
      </c>
      <c r="L425" s="148"/>
      <c r="M425" s="138">
        <f t="shared" si="74"/>
        <v>1</v>
      </c>
      <c r="N425" s="148"/>
      <c r="O425" s="138">
        <f t="shared" si="75"/>
        <v>1</v>
      </c>
      <c r="P425" s="148"/>
      <c r="Q425" s="138">
        <f t="shared" si="76"/>
        <v>1</v>
      </c>
      <c r="R425" s="201">
        <f t="shared" si="77"/>
        <v>0</v>
      </c>
      <c r="S425" s="137">
        <f t="shared" si="78"/>
        <v>0</v>
      </c>
    </row>
    <row r="426" spans="1:19">
      <c r="A426" s="146"/>
      <c r="B426" s="147"/>
      <c r="C426" s="138">
        <f t="shared" si="69"/>
        <v>1</v>
      </c>
      <c r="D426" s="148"/>
      <c r="E426" s="138">
        <f t="shared" si="70"/>
        <v>1</v>
      </c>
      <c r="F426" s="148"/>
      <c r="G426" s="138">
        <f t="shared" si="71"/>
        <v>1</v>
      </c>
      <c r="H426" s="148"/>
      <c r="I426" s="138">
        <f t="shared" si="72"/>
        <v>1</v>
      </c>
      <c r="J426" s="148"/>
      <c r="K426" s="138">
        <f t="shared" si="73"/>
        <v>1</v>
      </c>
      <c r="L426" s="148"/>
      <c r="M426" s="138">
        <f t="shared" si="74"/>
        <v>1</v>
      </c>
      <c r="N426" s="148"/>
      <c r="O426" s="138">
        <f t="shared" si="75"/>
        <v>1</v>
      </c>
      <c r="P426" s="148"/>
      <c r="Q426" s="138">
        <f t="shared" si="76"/>
        <v>1</v>
      </c>
      <c r="R426" s="201">
        <f t="shared" si="77"/>
        <v>0</v>
      </c>
      <c r="S426" s="137">
        <f t="shared" si="78"/>
        <v>0</v>
      </c>
    </row>
    <row r="427" spans="1:19">
      <c r="A427" s="146"/>
      <c r="B427" s="147"/>
      <c r="C427" s="138">
        <f t="shared" si="69"/>
        <v>1</v>
      </c>
      <c r="D427" s="148"/>
      <c r="E427" s="138">
        <f t="shared" si="70"/>
        <v>1</v>
      </c>
      <c r="F427" s="148"/>
      <c r="G427" s="138">
        <f t="shared" si="71"/>
        <v>1</v>
      </c>
      <c r="H427" s="148"/>
      <c r="I427" s="138">
        <f t="shared" si="72"/>
        <v>1</v>
      </c>
      <c r="J427" s="148"/>
      <c r="K427" s="138">
        <f t="shared" si="73"/>
        <v>1</v>
      </c>
      <c r="L427" s="148"/>
      <c r="M427" s="138">
        <f t="shared" si="74"/>
        <v>1</v>
      </c>
      <c r="N427" s="148"/>
      <c r="O427" s="138">
        <f t="shared" si="75"/>
        <v>1</v>
      </c>
      <c r="P427" s="148"/>
      <c r="Q427" s="138">
        <f t="shared" si="76"/>
        <v>1</v>
      </c>
      <c r="R427" s="201">
        <f t="shared" si="77"/>
        <v>0</v>
      </c>
      <c r="S427" s="137">
        <f t="shared" si="78"/>
        <v>0</v>
      </c>
    </row>
    <row r="428" spans="1:19">
      <c r="A428" s="146"/>
      <c r="B428" s="147"/>
      <c r="C428" s="138">
        <f t="shared" si="69"/>
        <v>1</v>
      </c>
      <c r="D428" s="148"/>
      <c r="E428" s="138">
        <f t="shared" si="70"/>
        <v>1</v>
      </c>
      <c r="F428" s="148"/>
      <c r="G428" s="138">
        <f t="shared" si="71"/>
        <v>1</v>
      </c>
      <c r="H428" s="148"/>
      <c r="I428" s="138">
        <f t="shared" si="72"/>
        <v>1</v>
      </c>
      <c r="J428" s="148"/>
      <c r="K428" s="138">
        <f t="shared" si="73"/>
        <v>1</v>
      </c>
      <c r="L428" s="148"/>
      <c r="M428" s="138">
        <f t="shared" si="74"/>
        <v>1</v>
      </c>
      <c r="N428" s="148"/>
      <c r="O428" s="138">
        <f t="shared" si="75"/>
        <v>1</v>
      </c>
      <c r="P428" s="148"/>
      <c r="Q428" s="138">
        <f t="shared" si="76"/>
        <v>1</v>
      </c>
      <c r="R428" s="201">
        <f t="shared" si="77"/>
        <v>0</v>
      </c>
      <c r="S428" s="137">
        <f t="shared" si="78"/>
        <v>0</v>
      </c>
    </row>
    <row r="429" spans="1:19">
      <c r="A429" s="146"/>
      <c r="B429" s="147"/>
      <c r="C429" s="138">
        <f t="shared" si="69"/>
        <v>1</v>
      </c>
      <c r="D429" s="148"/>
      <c r="E429" s="138">
        <f t="shared" si="70"/>
        <v>1</v>
      </c>
      <c r="F429" s="148"/>
      <c r="G429" s="138">
        <f t="shared" si="71"/>
        <v>1</v>
      </c>
      <c r="H429" s="148"/>
      <c r="I429" s="138">
        <f t="shared" si="72"/>
        <v>1</v>
      </c>
      <c r="J429" s="148"/>
      <c r="K429" s="138">
        <f t="shared" si="73"/>
        <v>1</v>
      </c>
      <c r="L429" s="148"/>
      <c r="M429" s="138">
        <f t="shared" si="74"/>
        <v>1</v>
      </c>
      <c r="N429" s="148"/>
      <c r="O429" s="138">
        <f t="shared" si="75"/>
        <v>1</v>
      </c>
      <c r="P429" s="148"/>
      <c r="Q429" s="138">
        <f t="shared" si="76"/>
        <v>1</v>
      </c>
      <c r="R429" s="201">
        <f t="shared" si="77"/>
        <v>0</v>
      </c>
      <c r="S429" s="137">
        <f t="shared" si="78"/>
        <v>0</v>
      </c>
    </row>
    <row r="430" spans="1:19">
      <c r="A430" s="146"/>
      <c r="B430" s="147"/>
      <c r="C430" s="138">
        <f t="shared" si="69"/>
        <v>1</v>
      </c>
      <c r="D430" s="148"/>
      <c r="E430" s="138">
        <f t="shared" si="70"/>
        <v>1</v>
      </c>
      <c r="F430" s="148"/>
      <c r="G430" s="138">
        <f t="shared" si="71"/>
        <v>1</v>
      </c>
      <c r="H430" s="148"/>
      <c r="I430" s="138">
        <f t="shared" si="72"/>
        <v>1</v>
      </c>
      <c r="J430" s="148"/>
      <c r="K430" s="138">
        <f t="shared" si="73"/>
        <v>1</v>
      </c>
      <c r="L430" s="148"/>
      <c r="M430" s="138">
        <f t="shared" si="74"/>
        <v>1</v>
      </c>
      <c r="N430" s="148"/>
      <c r="O430" s="138">
        <f t="shared" si="75"/>
        <v>1</v>
      </c>
      <c r="P430" s="148"/>
      <c r="Q430" s="138">
        <f t="shared" si="76"/>
        <v>1</v>
      </c>
      <c r="R430" s="201">
        <f t="shared" si="77"/>
        <v>0</v>
      </c>
      <c r="S430" s="137">
        <f t="shared" si="78"/>
        <v>0</v>
      </c>
    </row>
    <row r="431" spans="1:19">
      <c r="A431" s="146"/>
      <c r="B431" s="147"/>
      <c r="C431" s="138">
        <f t="shared" si="69"/>
        <v>1</v>
      </c>
      <c r="D431" s="148"/>
      <c r="E431" s="138">
        <f t="shared" si="70"/>
        <v>1</v>
      </c>
      <c r="F431" s="148"/>
      <c r="G431" s="138">
        <f t="shared" si="71"/>
        <v>1</v>
      </c>
      <c r="H431" s="148"/>
      <c r="I431" s="138">
        <f t="shared" si="72"/>
        <v>1</v>
      </c>
      <c r="J431" s="148"/>
      <c r="K431" s="138">
        <f t="shared" si="73"/>
        <v>1</v>
      </c>
      <c r="L431" s="148"/>
      <c r="M431" s="138">
        <f t="shared" si="74"/>
        <v>1</v>
      </c>
      <c r="N431" s="148"/>
      <c r="O431" s="138">
        <f t="shared" si="75"/>
        <v>1</v>
      </c>
      <c r="P431" s="148"/>
      <c r="Q431" s="138">
        <f t="shared" si="76"/>
        <v>1</v>
      </c>
      <c r="R431" s="201">
        <f t="shared" si="77"/>
        <v>0</v>
      </c>
      <c r="S431" s="137">
        <f t="shared" si="78"/>
        <v>0</v>
      </c>
    </row>
    <row r="432" spans="1:19">
      <c r="A432" s="146"/>
      <c r="B432" s="147"/>
      <c r="C432" s="138">
        <f t="shared" si="69"/>
        <v>1</v>
      </c>
      <c r="D432" s="148"/>
      <c r="E432" s="138">
        <f t="shared" si="70"/>
        <v>1</v>
      </c>
      <c r="F432" s="148"/>
      <c r="G432" s="138">
        <f t="shared" si="71"/>
        <v>1</v>
      </c>
      <c r="H432" s="148"/>
      <c r="I432" s="138">
        <f t="shared" si="72"/>
        <v>1</v>
      </c>
      <c r="J432" s="148"/>
      <c r="K432" s="138">
        <f t="shared" si="73"/>
        <v>1</v>
      </c>
      <c r="L432" s="148"/>
      <c r="M432" s="138">
        <f t="shared" si="74"/>
        <v>1</v>
      </c>
      <c r="N432" s="148"/>
      <c r="O432" s="138">
        <f t="shared" si="75"/>
        <v>1</v>
      </c>
      <c r="P432" s="148"/>
      <c r="Q432" s="138">
        <f t="shared" si="76"/>
        <v>1</v>
      </c>
      <c r="R432" s="201">
        <f t="shared" si="77"/>
        <v>0</v>
      </c>
      <c r="S432" s="137">
        <f t="shared" si="78"/>
        <v>0</v>
      </c>
    </row>
    <row r="433" spans="1:19">
      <c r="A433" s="146"/>
      <c r="B433" s="147"/>
      <c r="C433" s="138">
        <f t="shared" si="69"/>
        <v>1</v>
      </c>
      <c r="D433" s="148"/>
      <c r="E433" s="138">
        <f t="shared" si="70"/>
        <v>1</v>
      </c>
      <c r="F433" s="148"/>
      <c r="G433" s="138">
        <f t="shared" si="71"/>
        <v>1</v>
      </c>
      <c r="H433" s="148"/>
      <c r="I433" s="138">
        <f t="shared" si="72"/>
        <v>1</v>
      </c>
      <c r="J433" s="148"/>
      <c r="K433" s="138">
        <f t="shared" si="73"/>
        <v>1</v>
      </c>
      <c r="L433" s="148"/>
      <c r="M433" s="138">
        <f t="shared" si="74"/>
        <v>1</v>
      </c>
      <c r="N433" s="148"/>
      <c r="O433" s="138">
        <f t="shared" si="75"/>
        <v>1</v>
      </c>
      <c r="P433" s="148"/>
      <c r="Q433" s="138">
        <f t="shared" si="76"/>
        <v>1</v>
      </c>
      <c r="R433" s="201">
        <f t="shared" si="77"/>
        <v>0</v>
      </c>
      <c r="S433" s="137">
        <f t="shared" si="78"/>
        <v>0</v>
      </c>
    </row>
    <row r="434" spans="1:19">
      <c r="A434" s="146"/>
      <c r="B434" s="147"/>
      <c r="C434" s="138">
        <f t="shared" si="69"/>
        <v>1</v>
      </c>
      <c r="D434" s="148"/>
      <c r="E434" s="138">
        <f t="shared" si="70"/>
        <v>1</v>
      </c>
      <c r="F434" s="148"/>
      <c r="G434" s="138">
        <f t="shared" si="71"/>
        <v>1</v>
      </c>
      <c r="H434" s="148"/>
      <c r="I434" s="138">
        <f t="shared" si="72"/>
        <v>1</v>
      </c>
      <c r="J434" s="148"/>
      <c r="K434" s="138">
        <f t="shared" si="73"/>
        <v>1</v>
      </c>
      <c r="L434" s="148"/>
      <c r="M434" s="138">
        <f t="shared" si="74"/>
        <v>1</v>
      </c>
      <c r="N434" s="148"/>
      <c r="O434" s="138">
        <f t="shared" si="75"/>
        <v>1</v>
      </c>
      <c r="P434" s="148"/>
      <c r="Q434" s="138">
        <f t="shared" si="76"/>
        <v>1</v>
      </c>
      <c r="R434" s="201">
        <f t="shared" si="77"/>
        <v>0</v>
      </c>
      <c r="S434" s="137">
        <f t="shared" si="78"/>
        <v>0</v>
      </c>
    </row>
    <row r="435" spans="1:19">
      <c r="A435" s="146"/>
      <c r="B435" s="147"/>
      <c r="C435" s="138">
        <f t="shared" si="69"/>
        <v>1</v>
      </c>
      <c r="D435" s="148"/>
      <c r="E435" s="138">
        <f t="shared" si="70"/>
        <v>1</v>
      </c>
      <c r="F435" s="148"/>
      <c r="G435" s="138">
        <f t="shared" si="71"/>
        <v>1</v>
      </c>
      <c r="H435" s="148"/>
      <c r="I435" s="138">
        <f t="shared" si="72"/>
        <v>1</v>
      </c>
      <c r="J435" s="148"/>
      <c r="K435" s="138">
        <f t="shared" si="73"/>
        <v>1</v>
      </c>
      <c r="L435" s="148"/>
      <c r="M435" s="138">
        <f t="shared" si="74"/>
        <v>1</v>
      </c>
      <c r="N435" s="148"/>
      <c r="O435" s="138">
        <f t="shared" si="75"/>
        <v>1</v>
      </c>
      <c r="P435" s="148"/>
      <c r="Q435" s="138">
        <f t="shared" si="76"/>
        <v>1</v>
      </c>
      <c r="R435" s="201">
        <f t="shared" si="77"/>
        <v>0</v>
      </c>
      <c r="S435" s="137">
        <f t="shared" si="78"/>
        <v>0</v>
      </c>
    </row>
    <row r="436" spans="1:19">
      <c r="A436" s="146"/>
      <c r="B436" s="147"/>
      <c r="C436" s="138">
        <f t="shared" si="69"/>
        <v>1</v>
      </c>
      <c r="D436" s="148"/>
      <c r="E436" s="138">
        <f t="shared" si="70"/>
        <v>1</v>
      </c>
      <c r="F436" s="148"/>
      <c r="G436" s="138">
        <f t="shared" si="71"/>
        <v>1</v>
      </c>
      <c r="H436" s="148"/>
      <c r="I436" s="138">
        <f t="shared" si="72"/>
        <v>1</v>
      </c>
      <c r="J436" s="148"/>
      <c r="K436" s="138">
        <f t="shared" si="73"/>
        <v>1</v>
      </c>
      <c r="L436" s="148"/>
      <c r="M436" s="138">
        <f t="shared" si="74"/>
        <v>1</v>
      </c>
      <c r="N436" s="148"/>
      <c r="O436" s="138">
        <f t="shared" si="75"/>
        <v>1</v>
      </c>
      <c r="P436" s="148"/>
      <c r="Q436" s="138">
        <f t="shared" si="76"/>
        <v>1</v>
      </c>
      <c r="R436" s="201">
        <f t="shared" si="77"/>
        <v>0</v>
      </c>
      <c r="S436" s="137">
        <f t="shared" si="78"/>
        <v>0</v>
      </c>
    </row>
    <row r="437" spans="1:19">
      <c r="A437" s="146"/>
      <c r="B437" s="147"/>
      <c r="C437" s="138">
        <f t="shared" si="69"/>
        <v>1</v>
      </c>
      <c r="D437" s="148"/>
      <c r="E437" s="138">
        <f t="shared" si="70"/>
        <v>1</v>
      </c>
      <c r="F437" s="148"/>
      <c r="G437" s="138">
        <f t="shared" si="71"/>
        <v>1</v>
      </c>
      <c r="H437" s="148"/>
      <c r="I437" s="138">
        <f t="shared" si="72"/>
        <v>1</v>
      </c>
      <c r="J437" s="148"/>
      <c r="K437" s="138">
        <f t="shared" si="73"/>
        <v>1</v>
      </c>
      <c r="L437" s="148"/>
      <c r="M437" s="138">
        <f t="shared" si="74"/>
        <v>1</v>
      </c>
      <c r="N437" s="148"/>
      <c r="O437" s="138">
        <f t="shared" si="75"/>
        <v>1</v>
      </c>
      <c r="P437" s="148"/>
      <c r="Q437" s="138">
        <f t="shared" si="76"/>
        <v>1</v>
      </c>
      <c r="R437" s="201">
        <f t="shared" si="77"/>
        <v>0</v>
      </c>
      <c r="S437" s="137">
        <f t="shared" si="78"/>
        <v>0</v>
      </c>
    </row>
    <row r="438" spans="1:19">
      <c r="A438" s="146"/>
      <c r="B438" s="147"/>
      <c r="C438" s="138">
        <f t="shared" si="69"/>
        <v>1</v>
      </c>
      <c r="D438" s="148"/>
      <c r="E438" s="138">
        <f t="shared" si="70"/>
        <v>1</v>
      </c>
      <c r="F438" s="148"/>
      <c r="G438" s="138">
        <f t="shared" si="71"/>
        <v>1</v>
      </c>
      <c r="H438" s="148"/>
      <c r="I438" s="138">
        <f t="shared" si="72"/>
        <v>1</v>
      </c>
      <c r="J438" s="148"/>
      <c r="K438" s="138">
        <f t="shared" si="73"/>
        <v>1</v>
      </c>
      <c r="L438" s="148"/>
      <c r="M438" s="138">
        <f t="shared" si="74"/>
        <v>1</v>
      </c>
      <c r="N438" s="148"/>
      <c r="O438" s="138">
        <f t="shared" si="75"/>
        <v>1</v>
      </c>
      <c r="P438" s="148"/>
      <c r="Q438" s="138">
        <f t="shared" si="76"/>
        <v>1</v>
      </c>
      <c r="R438" s="201">
        <f t="shared" si="77"/>
        <v>0</v>
      </c>
      <c r="S438" s="137">
        <f t="shared" si="78"/>
        <v>0</v>
      </c>
    </row>
    <row r="439" spans="1:19">
      <c r="A439" s="146"/>
      <c r="B439" s="147"/>
      <c r="C439" s="138">
        <f t="shared" si="69"/>
        <v>1</v>
      </c>
      <c r="D439" s="148"/>
      <c r="E439" s="138">
        <f t="shared" si="70"/>
        <v>1</v>
      </c>
      <c r="F439" s="148"/>
      <c r="G439" s="138">
        <f t="shared" si="71"/>
        <v>1</v>
      </c>
      <c r="H439" s="148"/>
      <c r="I439" s="138">
        <f t="shared" si="72"/>
        <v>1</v>
      </c>
      <c r="J439" s="148"/>
      <c r="K439" s="138">
        <f t="shared" si="73"/>
        <v>1</v>
      </c>
      <c r="L439" s="148"/>
      <c r="M439" s="138">
        <f t="shared" si="74"/>
        <v>1</v>
      </c>
      <c r="N439" s="148"/>
      <c r="O439" s="138">
        <f t="shared" si="75"/>
        <v>1</v>
      </c>
      <c r="P439" s="148"/>
      <c r="Q439" s="138">
        <f t="shared" si="76"/>
        <v>1</v>
      </c>
      <c r="R439" s="201">
        <f t="shared" si="77"/>
        <v>0</v>
      </c>
      <c r="S439" s="137">
        <f t="shared" si="78"/>
        <v>0</v>
      </c>
    </row>
    <row r="440" spans="1:19">
      <c r="A440" s="146"/>
      <c r="B440" s="147"/>
      <c r="C440" s="138">
        <f t="shared" si="69"/>
        <v>1</v>
      </c>
      <c r="D440" s="148"/>
      <c r="E440" s="138">
        <f t="shared" si="70"/>
        <v>1</v>
      </c>
      <c r="F440" s="148"/>
      <c r="G440" s="138">
        <f t="shared" si="71"/>
        <v>1</v>
      </c>
      <c r="H440" s="148"/>
      <c r="I440" s="138">
        <f t="shared" si="72"/>
        <v>1</v>
      </c>
      <c r="J440" s="148"/>
      <c r="K440" s="138">
        <f t="shared" si="73"/>
        <v>1</v>
      </c>
      <c r="L440" s="148"/>
      <c r="M440" s="138">
        <f t="shared" si="74"/>
        <v>1</v>
      </c>
      <c r="N440" s="148"/>
      <c r="O440" s="138">
        <f t="shared" si="75"/>
        <v>1</v>
      </c>
      <c r="P440" s="148"/>
      <c r="Q440" s="138">
        <f t="shared" si="76"/>
        <v>1</v>
      </c>
      <c r="R440" s="201">
        <f t="shared" si="77"/>
        <v>0</v>
      </c>
      <c r="S440" s="137">
        <f t="shared" si="78"/>
        <v>0</v>
      </c>
    </row>
    <row r="441" spans="1:19">
      <c r="A441" s="146"/>
      <c r="B441" s="147"/>
      <c r="C441" s="138">
        <f t="shared" si="69"/>
        <v>1</v>
      </c>
      <c r="D441" s="148"/>
      <c r="E441" s="138">
        <f t="shared" si="70"/>
        <v>1</v>
      </c>
      <c r="F441" s="148"/>
      <c r="G441" s="138">
        <f t="shared" si="71"/>
        <v>1</v>
      </c>
      <c r="H441" s="148"/>
      <c r="I441" s="138">
        <f t="shared" si="72"/>
        <v>1</v>
      </c>
      <c r="J441" s="148"/>
      <c r="K441" s="138">
        <f t="shared" si="73"/>
        <v>1</v>
      </c>
      <c r="L441" s="148"/>
      <c r="M441" s="138">
        <f t="shared" si="74"/>
        <v>1</v>
      </c>
      <c r="N441" s="148"/>
      <c r="O441" s="138">
        <f t="shared" si="75"/>
        <v>1</v>
      </c>
      <c r="P441" s="148"/>
      <c r="Q441" s="138">
        <f t="shared" si="76"/>
        <v>1</v>
      </c>
      <c r="R441" s="201">
        <f t="shared" si="77"/>
        <v>0</v>
      </c>
      <c r="S441" s="137">
        <f t="shared" si="78"/>
        <v>0</v>
      </c>
    </row>
    <row r="442" spans="1:19">
      <c r="A442" s="146"/>
      <c r="B442" s="147"/>
      <c r="C442" s="138">
        <f t="shared" si="69"/>
        <v>1</v>
      </c>
      <c r="D442" s="148"/>
      <c r="E442" s="138">
        <f t="shared" si="70"/>
        <v>1</v>
      </c>
      <c r="F442" s="148"/>
      <c r="G442" s="138">
        <f t="shared" si="71"/>
        <v>1</v>
      </c>
      <c r="H442" s="148"/>
      <c r="I442" s="138">
        <f t="shared" si="72"/>
        <v>1</v>
      </c>
      <c r="J442" s="148"/>
      <c r="K442" s="138">
        <f t="shared" si="73"/>
        <v>1</v>
      </c>
      <c r="L442" s="148"/>
      <c r="M442" s="138">
        <f t="shared" si="74"/>
        <v>1</v>
      </c>
      <c r="N442" s="148"/>
      <c r="O442" s="138">
        <f t="shared" si="75"/>
        <v>1</v>
      </c>
      <c r="P442" s="148"/>
      <c r="Q442" s="138">
        <f t="shared" si="76"/>
        <v>1</v>
      </c>
      <c r="R442" s="201">
        <f t="shared" si="77"/>
        <v>0</v>
      </c>
      <c r="S442" s="137">
        <f t="shared" si="78"/>
        <v>0</v>
      </c>
    </row>
    <row r="443" spans="1:19">
      <c r="A443" s="146"/>
      <c r="B443" s="147"/>
      <c r="C443" s="138">
        <f t="shared" si="69"/>
        <v>1</v>
      </c>
      <c r="D443" s="148"/>
      <c r="E443" s="138">
        <f t="shared" si="70"/>
        <v>1</v>
      </c>
      <c r="F443" s="148"/>
      <c r="G443" s="138">
        <f t="shared" si="71"/>
        <v>1</v>
      </c>
      <c r="H443" s="148"/>
      <c r="I443" s="138">
        <f t="shared" si="72"/>
        <v>1</v>
      </c>
      <c r="J443" s="148"/>
      <c r="K443" s="138">
        <f t="shared" si="73"/>
        <v>1</v>
      </c>
      <c r="L443" s="148"/>
      <c r="M443" s="138">
        <f t="shared" si="74"/>
        <v>1</v>
      </c>
      <c r="N443" s="148"/>
      <c r="O443" s="138">
        <f t="shared" si="75"/>
        <v>1</v>
      </c>
      <c r="P443" s="148"/>
      <c r="Q443" s="138">
        <f t="shared" si="76"/>
        <v>1</v>
      </c>
      <c r="R443" s="201">
        <f t="shared" si="77"/>
        <v>0</v>
      </c>
      <c r="S443" s="137">
        <f t="shared" si="78"/>
        <v>0</v>
      </c>
    </row>
    <row r="444" spans="1:19">
      <c r="A444" s="146"/>
      <c r="B444" s="147"/>
      <c r="C444" s="138">
        <f t="shared" si="69"/>
        <v>1</v>
      </c>
      <c r="D444" s="148"/>
      <c r="E444" s="138">
        <f t="shared" si="70"/>
        <v>1</v>
      </c>
      <c r="F444" s="148"/>
      <c r="G444" s="138">
        <f t="shared" si="71"/>
        <v>1</v>
      </c>
      <c r="H444" s="148"/>
      <c r="I444" s="138">
        <f t="shared" si="72"/>
        <v>1</v>
      </c>
      <c r="J444" s="148"/>
      <c r="K444" s="138">
        <f t="shared" si="73"/>
        <v>1</v>
      </c>
      <c r="L444" s="148"/>
      <c r="M444" s="138">
        <f t="shared" si="74"/>
        <v>1</v>
      </c>
      <c r="N444" s="148"/>
      <c r="O444" s="138">
        <f t="shared" si="75"/>
        <v>1</v>
      </c>
      <c r="P444" s="148"/>
      <c r="Q444" s="138">
        <f t="shared" si="76"/>
        <v>1</v>
      </c>
      <c r="R444" s="201">
        <f t="shared" si="77"/>
        <v>0</v>
      </c>
      <c r="S444" s="137">
        <f t="shared" si="78"/>
        <v>0</v>
      </c>
    </row>
    <row r="445" spans="1:19">
      <c r="A445" s="146"/>
      <c r="B445" s="147"/>
      <c r="C445" s="138">
        <f t="shared" si="69"/>
        <v>1</v>
      </c>
      <c r="D445" s="148"/>
      <c r="E445" s="138">
        <f t="shared" si="70"/>
        <v>1</v>
      </c>
      <c r="F445" s="148"/>
      <c r="G445" s="138">
        <f t="shared" si="71"/>
        <v>1</v>
      </c>
      <c r="H445" s="148"/>
      <c r="I445" s="138">
        <f t="shared" si="72"/>
        <v>1</v>
      </c>
      <c r="J445" s="148"/>
      <c r="K445" s="138">
        <f t="shared" si="73"/>
        <v>1</v>
      </c>
      <c r="L445" s="148"/>
      <c r="M445" s="138">
        <f t="shared" si="74"/>
        <v>1</v>
      </c>
      <c r="N445" s="148"/>
      <c r="O445" s="138">
        <f t="shared" si="75"/>
        <v>1</v>
      </c>
      <c r="P445" s="148"/>
      <c r="Q445" s="138">
        <f t="shared" si="76"/>
        <v>1</v>
      </c>
      <c r="R445" s="201">
        <f t="shared" si="77"/>
        <v>0</v>
      </c>
      <c r="S445" s="137">
        <f t="shared" si="78"/>
        <v>0</v>
      </c>
    </row>
    <row r="446" spans="1:19">
      <c r="A446" s="146"/>
      <c r="B446" s="147"/>
      <c r="C446" s="138">
        <f t="shared" si="69"/>
        <v>1</v>
      </c>
      <c r="D446" s="148"/>
      <c r="E446" s="138">
        <f t="shared" si="70"/>
        <v>1</v>
      </c>
      <c r="F446" s="148"/>
      <c r="G446" s="138">
        <f t="shared" si="71"/>
        <v>1</v>
      </c>
      <c r="H446" s="148"/>
      <c r="I446" s="138">
        <f t="shared" si="72"/>
        <v>1</v>
      </c>
      <c r="J446" s="148"/>
      <c r="K446" s="138">
        <f t="shared" si="73"/>
        <v>1</v>
      </c>
      <c r="L446" s="148"/>
      <c r="M446" s="138">
        <f t="shared" si="74"/>
        <v>1</v>
      </c>
      <c r="N446" s="148"/>
      <c r="O446" s="138">
        <f t="shared" si="75"/>
        <v>1</v>
      </c>
      <c r="P446" s="148"/>
      <c r="Q446" s="138">
        <f t="shared" si="76"/>
        <v>1</v>
      </c>
      <c r="R446" s="201">
        <f t="shared" si="77"/>
        <v>0</v>
      </c>
      <c r="S446" s="137">
        <f t="shared" si="78"/>
        <v>0</v>
      </c>
    </row>
    <row r="447" spans="1:19">
      <c r="A447" s="146"/>
      <c r="B447" s="147"/>
      <c r="C447" s="138">
        <f t="shared" si="69"/>
        <v>1</v>
      </c>
      <c r="D447" s="148"/>
      <c r="E447" s="138">
        <f t="shared" si="70"/>
        <v>1</v>
      </c>
      <c r="F447" s="148"/>
      <c r="G447" s="138">
        <f t="shared" si="71"/>
        <v>1</v>
      </c>
      <c r="H447" s="148"/>
      <c r="I447" s="138">
        <f t="shared" si="72"/>
        <v>1</v>
      </c>
      <c r="J447" s="148"/>
      <c r="K447" s="138">
        <f t="shared" si="73"/>
        <v>1</v>
      </c>
      <c r="L447" s="148"/>
      <c r="M447" s="138">
        <f t="shared" si="74"/>
        <v>1</v>
      </c>
      <c r="N447" s="148"/>
      <c r="O447" s="138">
        <f t="shared" si="75"/>
        <v>1</v>
      </c>
      <c r="P447" s="148"/>
      <c r="Q447" s="138">
        <f t="shared" si="76"/>
        <v>1</v>
      </c>
      <c r="R447" s="201">
        <f t="shared" si="77"/>
        <v>0</v>
      </c>
      <c r="S447" s="137">
        <f t="shared" si="78"/>
        <v>0</v>
      </c>
    </row>
    <row r="448" spans="1:19">
      <c r="A448" s="146"/>
      <c r="B448" s="147"/>
      <c r="C448" s="138">
        <f t="shared" si="69"/>
        <v>1</v>
      </c>
      <c r="D448" s="148"/>
      <c r="E448" s="138">
        <f t="shared" si="70"/>
        <v>1</v>
      </c>
      <c r="F448" s="148"/>
      <c r="G448" s="138">
        <f t="shared" si="71"/>
        <v>1</v>
      </c>
      <c r="H448" s="148"/>
      <c r="I448" s="138">
        <f t="shared" si="72"/>
        <v>1</v>
      </c>
      <c r="J448" s="148"/>
      <c r="K448" s="138">
        <f t="shared" si="73"/>
        <v>1</v>
      </c>
      <c r="L448" s="148"/>
      <c r="M448" s="138">
        <f t="shared" si="74"/>
        <v>1</v>
      </c>
      <c r="N448" s="148"/>
      <c r="O448" s="138">
        <f t="shared" si="75"/>
        <v>1</v>
      </c>
      <c r="P448" s="148"/>
      <c r="Q448" s="138">
        <f t="shared" si="76"/>
        <v>1</v>
      </c>
      <c r="R448" s="201">
        <f t="shared" si="77"/>
        <v>0</v>
      </c>
      <c r="S448" s="137">
        <f t="shared" si="78"/>
        <v>0</v>
      </c>
    </row>
    <row r="449" spans="1:19">
      <c r="A449" s="146"/>
      <c r="B449" s="147"/>
      <c r="C449" s="138">
        <f t="shared" si="69"/>
        <v>1</v>
      </c>
      <c r="D449" s="148"/>
      <c r="E449" s="138">
        <f t="shared" si="70"/>
        <v>1</v>
      </c>
      <c r="F449" s="148"/>
      <c r="G449" s="138">
        <f t="shared" si="71"/>
        <v>1</v>
      </c>
      <c r="H449" s="148"/>
      <c r="I449" s="138">
        <f t="shared" si="72"/>
        <v>1</v>
      </c>
      <c r="J449" s="148"/>
      <c r="K449" s="138">
        <f t="shared" si="73"/>
        <v>1</v>
      </c>
      <c r="L449" s="148"/>
      <c r="M449" s="138">
        <f t="shared" si="74"/>
        <v>1</v>
      </c>
      <c r="N449" s="148"/>
      <c r="O449" s="138">
        <f t="shared" si="75"/>
        <v>1</v>
      </c>
      <c r="P449" s="148"/>
      <c r="Q449" s="138">
        <f t="shared" si="76"/>
        <v>1</v>
      </c>
      <c r="R449" s="201">
        <f t="shared" si="77"/>
        <v>0</v>
      </c>
      <c r="S449" s="137">
        <f t="shared" si="78"/>
        <v>0</v>
      </c>
    </row>
    <row r="450" spans="1:19">
      <c r="A450" s="146"/>
      <c r="B450" s="147"/>
      <c r="C450" s="138">
        <f t="shared" si="69"/>
        <v>1</v>
      </c>
      <c r="D450" s="148"/>
      <c r="E450" s="138">
        <f t="shared" si="70"/>
        <v>1</v>
      </c>
      <c r="F450" s="148"/>
      <c r="G450" s="138">
        <f t="shared" si="71"/>
        <v>1</v>
      </c>
      <c r="H450" s="148"/>
      <c r="I450" s="138">
        <f t="shared" si="72"/>
        <v>1</v>
      </c>
      <c r="J450" s="148"/>
      <c r="K450" s="138">
        <f t="shared" si="73"/>
        <v>1</v>
      </c>
      <c r="L450" s="148"/>
      <c r="M450" s="138">
        <f t="shared" si="74"/>
        <v>1</v>
      </c>
      <c r="N450" s="148"/>
      <c r="O450" s="138">
        <f t="shared" si="75"/>
        <v>1</v>
      </c>
      <c r="P450" s="148"/>
      <c r="Q450" s="138">
        <f t="shared" si="76"/>
        <v>1</v>
      </c>
      <c r="R450" s="201">
        <f t="shared" si="77"/>
        <v>0</v>
      </c>
      <c r="S450" s="137">
        <f t="shared" si="78"/>
        <v>0</v>
      </c>
    </row>
    <row r="451" spans="1:19">
      <c r="A451" s="146"/>
      <c r="B451" s="147"/>
      <c r="C451" s="138">
        <f t="shared" si="69"/>
        <v>1</v>
      </c>
      <c r="D451" s="148"/>
      <c r="E451" s="138">
        <f t="shared" si="70"/>
        <v>1</v>
      </c>
      <c r="F451" s="148"/>
      <c r="G451" s="138">
        <f t="shared" si="71"/>
        <v>1</v>
      </c>
      <c r="H451" s="148"/>
      <c r="I451" s="138">
        <f t="shared" si="72"/>
        <v>1</v>
      </c>
      <c r="J451" s="148"/>
      <c r="K451" s="138">
        <f t="shared" si="73"/>
        <v>1</v>
      </c>
      <c r="L451" s="148"/>
      <c r="M451" s="138">
        <f t="shared" si="74"/>
        <v>1</v>
      </c>
      <c r="N451" s="148"/>
      <c r="O451" s="138">
        <f t="shared" si="75"/>
        <v>1</v>
      </c>
      <c r="P451" s="148"/>
      <c r="Q451" s="138">
        <f t="shared" si="76"/>
        <v>1</v>
      </c>
      <c r="R451" s="201">
        <f t="shared" si="77"/>
        <v>0</v>
      </c>
      <c r="S451" s="137">
        <f t="shared" si="78"/>
        <v>0</v>
      </c>
    </row>
    <row r="452" spans="1:19">
      <c r="A452" s="146"/>
      <c r="B452" s="147"/>
      <c r="C452" s="138">
        <f t="shared" si="69"/>
        <v>1</v>
      </c>
      <c r="D452" s="148"/>
      <c r="E452" s="138">
        <f t="shared" si="70"/>
        <v>1</v>
      </c>
      <c r="F452" s="148"/>
      <c r="G452" s="138">
        <f t="shared" si="71"/>
        <v>1</v>
      </c>
      <c r="H452" s="148"/>
      <c r="I452" s="138">
        <f t="shared" si="72"/>
        <v>1</v>
      </c>
      <c r="J452" s="148"/>
      <c r="K452" s="138">
        <f t="shared" si="73"/>
        <v>1</v>
      </c>
      <c r="L452" s="148"/>
      <c r="M452" s="138">
        <f t="shared" si="74"/>
        <v>1</v>
      </c>
      <c r="N452" s="148"/>
      <c r="O452" s="138">
        <f t="shared" si="75"/>
        <v>1</v>
      </c>
      <c r="P452" s="148"/>
      <c r="Q452" s="138">
        <f t="shared" si="76"/>
        <v>1</v>
      </c>
      <c r="R452" s="201">
        <f t="shared" si="77"/>
        <v>0</v>
      </c>
      <c r="S452" s="137">
        <f t="shared" si="78"/>
        <v>0</v>
      </c>
    </row>
    <row r="453" spans="1:19">
      <c r="A453" s="146"/>
      <c r="B453" s="147"/>
      <c r="C453" s="138">
        <f t="shared" si="69"/>
        <v>1</v>
      </c>
      <c r="D453" s="148"/>
      <c r="E453" s="138">
        <f t="shared" si="70"/>
        <v>1</v>
      </c>
      <c r="F453" s="148"/>
      <c r="G453" s="138">
        <f t="shared" si="71"/>
        <v>1</v>
      </c>
      <c r="H453" s="148"/>
      <c r="I453" s="138">
        <f t="shared" si="72"/>
        <v>1</v>
      </c>
      <c r="J453" s="148"/>
      <c r="K453" s="138">
        <f t="shared" si="73"/>
        <v>1</v>
      </c>
      <c r="L453" s="148"/>
      <c r="M453" s="138">
        <f t="shared" si="74"/>
        <v>1</v>
      </c>
      <c r="N453" s="148"/>
      <c r="O453" s="138">
        <f t="shared" si="75"/>
        <v>1</v>
      </c>
      <c r="P453" s="148"/>
      <c r="Q453" s="138">
        <f t="shared" si="76"/>
        <v>1</v>
      </c>
      <c r="R453" s="201">
        <f t="shared" si="77"/>
        <v>0</v>
      </c>
      <c r="S453" s="137">
        <f t="shared" si="78"/>
        <v>0</v>
      </c>
    </row>
    <row r="454" spans="1:19">
      <c r="A454" s="146"/>
      <c r="B454" s="147"/>
      <c r="C454" s="138">
        <f t="shared" si="69"/>
        <v>1</v>
      </c>
      <c r="D454" s="148"/>
      <c r="E454" s="138">
        <f t="shared" si="70"/>
        <v>1</v>
      </c>
      <c r="F454" s="148"/>
      <c r="G454" s="138">
        <f t="shared" si="71"/>
        <v>1</v>
      </c>
      <c r="H454" s="148"/>
      <c r="I454" s="138">
        <f t="shared" si="72"/>
        <v>1</v>
      </c>
      <c r="J454" s="148"/>
      <c r="K454" s="138">
        <f t="shared" si="73"/>
        <v>1</v>
      </c>
      <c r="L454" s="148"/>
      <c r="M454" s="138">
        <f t="shared" si="74"/>
        <v>1</v>
      </c>
      <c r="N454" s="148"/>
      <c r="O454" s="138">
        <f t="shared" si="75"/>
        <v>1</v>
      </c>
      <c r="P454" s="148"/>
      <c r="Q454" s="138">
        <f t="shared" si="76"/>
        <v>1</v>
      </c>
      <c r="R454" s="201">
        <f t="shared" si="77"/>
        <v>0</v>
      </c>
      <c r="S454" s="137">
        <f t="shared" si="78"/>
        <v>0</v>
      </c>
    </row>
    <row r="455" spans="1:19">
      <c r="A455" s="146"/>
      <c r="B455" s="147"/>
      <c r="C455" s="138">
        <f t="shared" si="69"/>
        <v>1</v>
      </c>
      <c r="D455" s="148"/>
      <c r="E455" s="138">
        <f t="shared" si="70"/>
        <v>1</v>
      </c>
      <c r="F455" s="148"/>
      <c r="G455" s="138">
        <f t="shared" si="71"/>
        <v>1</v>
      </c>
      <c r="H455" s="148"/>
      <c r="I455" s="138">
        <f t="shared" si="72"/>
        <v>1</v>
      </c>
      <c r="J455" s="148"/>
      <c r="K455" s="138">
        <f t="shared" si="73"/>
        <v>1</v>
      </c>
      <c r="L455" s="148"/>
      <c r="M455" s="138">
        <f t="shared" si="74"/>
        <v>1</v>
      </c>
      <c r="N455" s="148"/>
      <c r="O455" s="138">
        <f t="shared" si="75"/>
        <v>1</v>
      </c>
      <c r="P455" s="148"/>
      <c r="Q455" s="138">
        <f t="shared" si="76"/>
        <v>1</v>
      </c>
      <c r="R455" s="201">
        <f t="shared" si="77"/>
        <v>0</v>
      </c>
      <c r="S455" s="137">
        <f t="shared" si="78"/>
        <v>0</v>
      </c>
    </row>
    <row r="456" spans="1:19">
      <c r="A456" s="146"/>
      <c r="B456" s="147"/>
      <c r="C456" s="138">
        <f t="shared" si="69"/>
        <v>1</v>
      </c>
      <c r="D456" s="148"/>
      <c r="E456" s="138">
        <f t="shared" si="70"/>
        <v>1</v>
      </c>
      <c r="F456" s="148"/>
      <c r="G456" s="138">
        <f t="shared" si="71"/>
        <v>1</v>
      </c>
      <c r="H456" s="148"/>
      <c r="I456" s="138">
        <f t="shared" si="72"/>
        <v>1</v>
      </c>
      <c r="J456" s="148"/>
      <c r="K456" s="138">
        <f t="shared" si="73"/>
        <v>1</v>
      </c>
      <c r="L456" s="148"/>
      <c r="M456" s="138">
        <f t="shared" si="74"/>
        <v>1</v>
      </c>
      <c r="N456" s="148"/>
      <c r="O456" s="138">
        <f t="shared" si="75"/>
        <v>1</v>
      </c>
      <c r="P456" s="148"/>
      <c r="Q456" s="138">
        <f t="shared" si="76"/>
        <v>1</v>
      </c>
      <c r="R456" s="201">
        <f t="shared" si="77"/>
        <v>0</v>
      </c>
      <c r="S456" s="137">
        <f t="shared" si="78"/>
        <v>0</v>
      </c>
    </row>
    <row r="457" spans="1:19">
      <c r="A457" s="146"/>
      <c r="B457" s="147"/>
      <c r="C457" s="138">
        <f t="shared" si="69"/>
        <v>1</v>
      </c>
      <c r="D457" s="148"/>
      <c r="E457" s="138">
        <f t="shared" si="70"/>
        <v>1</v>
      </c>
      <c r="F457" s="148"/>
      <c r="G457" s="138">
        <f t="shared" si="71"/>
        <v>1</v>
      </c>
      <c r="H457" s="148"/>
      <c r="I457" s="138">
        <f t="shared" si="72"/>
        <v>1</v>
      </c>
      <c r="J457" s="148"/>
      <c r="K457" s="138">
        <f t="shared" si="73"/>
        <v>1</v>
      </c>
      <c r="L457" s="148"/>
      <c r="M457" s="138">
        <f t="shared" si="74"/>
        <v>1</v>
      </c>
      <c r="N457" s="148"/>
      <c r="O457" s="138">
        <f t="shared" si="75"/>
        <v>1</v>
      </c>
      <c r="P457" s="148"/>
      <c r="Q457" s="138">
        <f t="shared" si="76"/>
        <v>1</v>
      </c>
      <c r="R457" s="201">
        <f t="shared" si="77"/>
        <v>0</v>
      </c>
      <c r="S457" s="137">
        <f t="shared" si="78"/>
        <v>0</v>
      </c>
    </row>
    <row r="458" spans="1:19">
      <c r="A458" s="146"/>
      <c r="B458" s="147"/>
      <c r="C458" s="138">
        <f t="shared" si="69"/>
        <v>1</v>
      </c>
      <c r="D458" s="148"/>
      <c r="E458" s="138">
        <f t="shared" si="70"/>
        <v>1</v>
      </c>
      <c r="F458" s="148"/>
      <c r="G458" s="138">
        <f t="shared" si="71"/>
        <v>1</v>
      </c>
      <c r="H458" s="148"/>
      <c r="I458" s="138">
        <f t="shared" si="72"/>
        <v>1</v>
      </c>
      <c r="J458" s="148"/>
      <c r="K458" s="138">
        <f t="shared" si="73"/>
        <v>1</v>
      </c>
      <c r="L458" s="148"/>
      <c r="M458" s="138">
        <f t="shared" si="74"/>
        <v>1</v>
      </c>
      <c r="N458" s="148"/>
      <c r="O458" s="138">
        <f t="shared" si="75"/>
        <v>1</v>
      </c>
      <c r="P458" s="148"/>
      <c r="Q458" s="138">
        <f t="shared" si="76"/>
        <v>1</v>
      </c>
      <c r="R458" s="201">
        <f t="shared" si="77"/>
        <v>0</v>
      </c>
      <c r="S458" s="137">
        <f t="shared" si="78"/>
        <v>0</v>
      </c>
    </row>
    <row r="459" spans="1:19">
      <c r="A459" s="146"/>
      <c r="B459" s="147"/>
      <c r="C459" s="138">
        <f t="shared" si="69"/>
        <v>1</v>
      </c>
      <c r="D459" s="148"/>
      <c r="E459" s="138">
        <f t="shared" si="70"/>
        <v>1</v>
      </c>
      <c r="F459" s="148"/>
      <c r="G459" s="138">
        <f t="shared" si="71"/>
        <v>1</v>
      </c>
      <c r="H459" s="148"/>
      <c r="I459" s="138">
        <f t="shared" si="72"/>
        <v>1</v>
      </c>
      <c r="J459" s="148"/>
      <c r="K459" s="138">
        <f t="shared" si="73"/>
        <v>1</v>
      </c>
      <c r="L459" s="148"/>
      <c r="M459" s="138">
        <f t="shared" si="74"/>
        <v>1</v>
      </c>
      <c r="N459" s="148"/>
      <c r="O459" s="138">
        <f t="shared" si="75"/>
        <v>1</v>
      </c>
      <c r="P459" s="148"/>
      <c r="Q459" s="138">
        <f t="shared" si="76"/>
        <v>1</v>
      </c>
      <c r="R459" s="201">
        <f t="shared" si="77"/>
        <v>0</v>
      </c>
      <c r="S459" s="137">
        <f t="shared" si="78"/>
        <v>0</v>
      </c>
    </row>
    <row r="460" spans="1:19">
      <c r="A460" s="146"/>
      <c r="B460" s="147"/>
      <c r="C460" s="138">
        <f t="shared" si="69"/>
        <v>1</v>
      </c>
      <c r="D460" s="148"/>
      <c r="E460" s="138">
        <f t="shared" si="70"/>
        <v>1</v>
      </c>
      <c r="F460" s="148"/>
      <c r="G460" s="138">
        <f t="shared" si="71"/>
        <v>1</v>
      </c>
      <c r="H460" s="148"/>
      <c r="I460" s="138">
        <f t="shared" si="72"/>
        <v>1</v>
      </c>
      <c r="J460" s="148"/>
      <c r="K460" s="138">
        <f t="shared" si="73"/>
        <v>1</v>
      </c>
      <c r="L460" s="148"/>
      <c r="M460" s="138">
        <f t="shared" si="74"/>
        <v>1</v>
      </c>
      <c r="N460" s="148"/>
      <c r="O460" s="138">
        <f t="shared" si="75"/>
        <v>1</v>
      </c>
      <c r="P460" s="148"/>
      <c r="Q460" s="138">
        <f t="shared" si="76"/>
        <v>1</v>
      </c>
      <c r="R460" s="201">
        <f t="shared" si="77"/>
        <v>0</v>
      </c>
      <c r="S460" s="137">
        <f t="shared" si="78"/>
        <v>0</v>
      </c>
    </row>
    <row r="461" spans="1:19">
      <c r="A461" s="146"/>
      <c r="B461" s="147"/>
      <c r="C461" s="138">
        <f t="shared" si="69"/>
        <v>1</v>
      </c>
      <c r="D461" s="148"/>
      <c r="E461" s="138">
        <f t="shared" si="70"/>
        <v>1</v>
      </c>
      <c r="F461" s="148"/>
      <c r="G461" s="138">
        <f t="shared" si="71"/>
        <v>1</v>
      </c>
      <c r="H461" s="148"/>
      <c r="I461" s="138">
        <f t="shared" si="72"/>
        <v>1</v>
      </c>
      <c r="J461" s="148"/>
      <c r="K461" s="138">
        <f t="shared" si="73"/>
        <v>1</v>
      </c>
      <c r="L461" s="148"/>
      <c r="M461" s="138">
        <f t="shared" si="74"/>
        <v>1</v>
      </c>
      <c r="N461" s="148"/>
      <c r="O461" s="138">
        <f t="shared" si="75"/>
        <v>1</v>
      </c>
      <c r="P461" s="148"/>
      <c r="Q461" s="138">
        <f t="shared" si="76"/>
        <v>1</v>
      </c>
      <c r="R461" s="201">
        <f t="shared" si="77"/>
        <v>0</v>
      </c>
      <c r="S461" s="137">
        <f t="shared" si="78"/>
        <v>0</v>
      </c>
    </row>
    <row r="462" spans="1:19">
      <c r="A462" s="146"/>
      <c r="B462" s="147"/>
      <c r="C462" s="138">
        <f t="shared" si="69"/>
        <v>1</v>
      </c>
      <c r="D462" s="148"/>
      <c r="E462" s="138">
        <f t="shared" si="70"/>
        <v>1</v>
      </c>
      <c r="F462" s="148"/>
      <c r="G462" s="138">
        <f t="shared" si="71"/>
        <v>1</v>
      </c>
      <c r="H462" s="148"/>
      <c r="I462" s="138">
        <f t="shared" si="72"/>
        <v>1</v>
      </c>
      <c r="J462" s="148"/>
      <c r="K462" s="138">
        <f t="shared" si="73"/>
        <v>1</v>
      </c>
      <c r="L462" s="148"/>
      <c r="M462" s="138">
        <f t="shared" si="74"/>
        <v>1</v>
      </c>
      <c r="N462" s="148"/>
      <c r="O462" s="138">
        <f t="shared" si="75"/>
        <v>1</v>
      </c>
      <c r="P462" s="148"/>
      <c r="Q462" s="138">
        <f t="shared" si="76"/>
        <v>1</v>
      </c>
      <c r="R462" s="201">
        <f t="shared" si="77"/>
        <v>0</v>
      </c>
      <c r="S462" s="137">
        <f t="shared" si="78"/>
        <v>0</v>
      </c>
    </row>
    <row r="463" spans="1:19">
      <c r="A463" s="146"/>
      <c r="B463" s="147"/>
      <c r="C463" s="138">
        <f t="shared" si="69"/>
        <v>1</v>
      </c>
      <c r="D463" s="148"/>
      <c r="E463" s="138">
        <f t="shared" si="70"/>
        <v>1</v>
      </c>
      <c r="F463" s="148"/>
      <c r="G463" s="138">
        <f t="shared" si="71"/>
        <v>1</v>
      </c>
      <c r="H463" s="148"/>
      <c r="I463" s="138">
        <f t="shared" si="72"/>
        <v>1</v>
      </c>
      <c r="J463" s="148"/>
      <c r="K463" s="138">
        <f t="shared" si="73"/>
        <v>1</v>
      </c>
      <c r="L463" s="148"/>
      <c r="M463" s="138">
        <f t="shared" si="74"/>
        <v>1</v>
      </c>
      <c r="N463" s="148"/>
      <c r="O463" s="138">
        <f t="shared" si="75"/>
        <v>1</v>
      </c>
      <c r="P463" s="148"/>
      <c r="Q463" s="138">
        <f t="shared" si="76"/>
        <v>1</v>
      </c>
      <c r="R463" s="201">
        <f t="shared" si="77"/>
        <v>0</v>
      </c>
      <c r="S463" s="137">
        <f t="shared" si="78"/>
        <v>0</v>
      </c>
    </row>
    <row r="464" spans="1:19">
      <c r="A464" s="146"/>
      <c r="B464" s="147"/>
      <c r="C464" s="138">
        <f t="shared" si="69"/>
        <v>1</v>
      </c>
      <c r="D464" s="148"/>
      <c r="E464" s="138">
        <f t="shared" si="70"/>
        <v>1</v>
      </c>
      <c r="F464" s="148"/>
      <c r="G464" s="138">
        <f t="shared" si="71"/>
        <v>1</v>
      </c>
      <c r="H464" s="148"/>
      <c r="I464" s="138">
        <f t="shared" si="72"/>
        <v>1</v>
      </c>
      <c r="J464" s="148"/>
      <c r="K464" s="138">
        <f t="shared" si="73"/>
        <v>1</v>
      </c>
      <c r="L464" s="148"/>
      <c r="M464" s="138">
        <f t="shared" si="74"/>
        <v>1</v>
      </c>
      <c r="N464" s="148"/>
      <c r="O464" s="138">
        <f t="shared" si="75"/>
        <v>1</v>
      </c>
      <c r="P464" s="148"/>
      <c r="Q464" s="138">
        <f t="shared" si="76"/>
        <v>1</v>
      </c>
      <c r="R464" s="201">
        <f t="shared" si="77"/>
        <v>0</v>
      </c>
      <c r="S464" s="137">
        <f t="shared" si="78"/>
        <v>0</v>
      </c>
    </row>
    <row r="465" spans="1:19">
      <c r="A465" s="146"/>
      <c r="B465" s="147"/>
      <c r="C465" s="138">
        <f t="shared" si="69"/>
        <v>1</v>
      </c>
      <c r="D465" s="148"/>
      <c r="E465" s="138">
        <f t="shared" si="70"/>
        <v>1</v>
      </c>
      <c r="F465" s="148"/>
      <c r="G465" s="138">
        <f t="shared" si="71"/>
        <v>1</v>
      </c>
      <c r="H465" s="148"/>
      <c r="I465" s="138">
        <f t="shared" si="72"/>
        <v>1</v>
      </c>
      <c r="J465" s="148"/>
      <c r="K465" s="138">
        <f t="shared" si="73"/>
        <v>1</v>
      </c>
      <c r="L465" s="148"/>
      <c r="M465" s="138">
        <f t="shared" si="74"/>
        <v>1</v>
      </c>
      <c r="N465" s="148"/>
      <c r="O465" s="138">
        <f t="shared" si="75"/>
        <v>1</v>
      </c>
      <c r="P465" s="148"/>
      <c r="Q465" s="138">
        <f t="shared" si="76"/>
        <v>1</v>
      </c>
      <c r="R465" s="201">
        <f t="shared" si="77"/>
        <v>0</v>
      </c>
      <c r="S465" s="137">
        <f t="shared" si="78"/>
        <v>0</v>
      </c>
    </row>
    <row r="466" spans="1:19">
      <c r="A466" s="146"/>
      <c r="B466" s="147"/>
      <c r="C466" s="138">
        <f t="shared" si="69"/>
        <v>1</v>
      </c>
      <c r="D466" s="148"/>
      <c r="E466" s="138">
        <f t="shared" si="70"/>
        <v>1</v>
      </c>
      <c r="F466" s="148"/>
      <c r="G466" s="138">
        <f t="shared" si="71"/>
        <v>1</v>
      </c>
      <c r="H466" s="148"/>
      <c r="I466" s="138">
        <f t="shared" si="72"/>
        <v>1</v>
      </c>
      <c r="J466" s="148"/>
      <c r="K466" s="138">
        <f t="shared" si="73"/>
        <v>1</v>
      </c>
      <c r="L466" s="148"/>
      <c r="M466" s="138">
        <f t="shared" si="74"/>
        <v>1</v>
      </c>
      <c r="N466" s="148"/>
      <c r="O466" s="138">
        <f t="shared" si="75"/>
        <v>1</v>
      </c>
      <c r="P466" s="148"/>
      <c r="Q466" s="138">
        <f t="shared" si="76"/>
        <v>1</v>
      </c>
      <c r="R466" s="201">
        <f t="shared" si="77"/>
        <v>0</v>
      </c>
      <c r="S466" s="137">
        <f t="shared" si="78"/>
        <v>0</v>
      </c>
    </row>
    <row r="467" spans="1:19">
      <c r="A467" s="146"/>
      <c r="B467" s="147"/>
      <c r="C467" s="138">
        <f t="shared" si="69"/>
        <v>1</v>
      </c>
      <c r="D467" s="148"/>
      <c r="E467" s="138">
        <f t="shared" si="70"/>
        <v>1</v>
      </c>
      <c r="F467" s="148"/>
      <c r="G467" s="138">
        <f t="shared" si="71"/>
        <v>1</v>
      </c>
      <c r="H467" s="148"/>
      <c r="I467" s="138">
        <f t="shared" si="72"/>
        <v>1</v>
      </c>
      <c r="J467" s="148"/>
      <c r="K467" s="138">
        <f t="shared" si="73"/>
        <v>1</v>
      </c>
      <c r="L467" s="148"/>
      <c r="M467" s="138">
        <f t="shared" si="74"/>
        <v>1</v>
      </c>
      <c r="N467" s="148"/>
      <c r="O467" s="138">
        <f t="shared" si="75"/>
        <v>1</v>
      </c>
      <c r="P467" s="148"/>
      <c r="Q467" s="138">
        <f t="shared" si="76"/>
        <v>1</v>
      </c>
      <c r="R467" s="201">
        <f t="shared" si="77"/>
        <v>0</v>
      </c>
      <c r="S467" s="137">
        <f t="shared" si="78"/>
        <v>0</v>
      </c>
    </row>
    <row r="468" spans="1:19">
      <c r="A468" s="146"/>
      <c r="B468" s="147"/>
      <c r="C468" s="138">
        <f t="shared" si="69"/>
        <v>1</v>
      </c>
      <c r="D468" s="148"/>
      <c r="E468" s="138">
        <f t="shared" si="70"/>
        <v>1</v>
      </c>
      <c r="F468" s="148"/>
      <c r="G468" s="138">
        <f t="shared" si="71"/>
        <v>1</v>
      </c>
      <c r="H468" s="148"/>
      <c r="I468" s="138">
        <f t="shared" si="72"/>
        <v>1</v>
      </c>
      <c r="J468" s="148"/>
      <c r="K468" s="138">
        <f t="shared" si="73"/>
        <v>1</v>
      </c>
      <c r="L468" s="148"/>
      <c r="M468" s="138">
        <f t="shared" si="74"/>
        <v>1</v>
      </c>
      <c r="N468" s="148"/>
      <c r="O468" s="138">
        <f t="shared" si="75"/>
        <v>1</v>
      </c>
      <c r="P468" s="148"/>
      <c r="Q468" s="138">
        <f t="shared" si="76"/>
        <v>1</v>
      </c>
      <c r="R468" s="201">
        <f t="shared" si="77"/>
        <v>0</v>
      </c>
      <c r="S468" s="137">
        <f t="shared" ref="S468:S497" si="79">ROUND(R468*B468/10000,0)</f>
        <v>0</v>
      </c>
    </row>
    <row r="469" spans="1:19">
      <c r="A469" s="146"/>
      <c r="B469" s="147"/>
      <c r="C469" s="138">
        <f t="shared" si="69"/>
        <v>1</v>
      </c>
      <c r="D469" s="148"/>
      <c r="E469" s="138">
        <f t="shared" si="70"/>
        <v>1</v>
      </c>
      <c r="F469" s="148"/>
      <c r="G469" s="138">
        <f t="shared" si="71"/>
        <v>1</v>
      </c>
      <c r="H469" s="148"/>
      <c r="I469" s="138">
        <f t="shared" si="72"/>
        <v>1</v>
      </c>
      <c r="J469" s="148"/>
      <c r="K469" s="138">
        <f t="shared" si="73"/>
        <v>1</v>
      </c>
      <c r="L469" s="148"/>
      <c r="M469" s="138">
        <f t="shared" si="74"/>
        <v>1</v>
      </c>
      <c r="N469" s="148"/>
      <c r="O469" s="138">
        <f t="shared" si="75"/>
        <v>1</v>
      </c>
      <c r="P469" s="148"/>
      <c r="Q469" s="138">
        <f t="shared" si="76"/>
        <v>1</v>
      </c>
      <c r="R469" s="201">
        <f t="shared" si="77"/>
        <v>0</v>
      </c>
      <c r="S469" s="137">
        <f t="shared" si="79"/>
        <v>0</v>
      </c>
    </row>
    <row r="470" spans="1:19">
      <c r="A470" s="146"/>
      <c r="B470" s="147"/>
      <c r="C470" s="138">
        <f t="shared" si="69"/>
        <v>1</v>
      </c>
      <c r="D470" s="148"/>
      <c r="E470" s="138">
        <f t="shared" si="70"/>
        <v>1</v>
      </c>
      <c r="F470" s="148"/>
      <c r="G470" s="138">
        <f t="shared" si="71"/>
        <v>1</v>
      </c>
      <c r="H470" s="148"/>
      <c r="I470" s="138">
        <f t="shared" si="72"/>
        <v>1</v>
      </c>
      <c r="J470" s="148"/>
      <c r="K470" s="138">
        <f t="shared" si="73"/>
        <v>1</v>
      </c>
      <c r="L470" s="148"/>
      <c r="M470" s="138">
        <f t="shared" si="74"/>
        <v>1</v>
      </c>
      <c r="N470" s="148"/>
      <c r="O470" s="138">
        <f t="shared" si="75"/>
        <v>1</v>
      </c>
      <c r="P470" s="148"/>
      <c r="Q470" s="138">
        <f t="shared" si="76"/>
        <v>1</v>
      </c>
      <c r="R470" s="201">
        <f t="shared" si="77"/>
        <v>0</v>
      </c>
      <c r="S470" s="137">
        <f t="shared" si="79"/>
        <v>0</v>
      </c>
    </row>
    <row r="471" spans="1:19">
      <c r="A471" s="146"/>
      <c r="B471" s="147"/>
      <c r="C471" s="138">
        <f t="shared" si="69"/>
        <v>1</v>
      </c>
      <c r="D471" s="148"/>
      <c r="E471" s="138">
        <f t="shared" si="70"/>
        <v>1</v>
      </c>
      <c r="F471" s="148"/>
      <c r="G471" s="138">
        <f t="shared" si="71"/>
        <v>1</v>
      </c>
      <c r="H471" s="148"/>
      <c r="I471" s="138">
        <f t="shared" si="72"/>
        <v>1</v>
      </c>
      <c r="J471" s="148"/>
      <c r="K471" s="138">
        <f t="shared" si="73"/>
        <v>1</v>
      </c>
      <c r="L471" s="148"/>
      <c r="M471" s="138">
        <f t="shared" si="74"/>
        <v>1</v>
      </c>
      <c r="N471" s="148"/>
      <c r="O471" s="138">
        <f t="shared" si="75"/>
        <v>1</v>
      </c>
      <c r="P471" s="148"/>
      <c r="Q471" s="138">
        <f t="shared" si="76"/>
        <v>1</v>
      </c>
      <c r="R471" s="201">
        <f t="shared" si="77"/>
        <v>0</v>
      </c>
      <c r="S471" s="137">
        <f t="shared" si="79"/>
        <v>0</v>
      </c>
    </row>
    <row r="472" spans="1:19">
      <c r="A472" s="146"/>
      <c r="B472" s="147"/>
      <c r="C472" s="138">
        <f t="shared" si="69"/>
        <v>1</v>
      </c>
      <c r="D472" s="148"/>
      <c r="E472" s="138">
        <f t="shared" si="70"/>
        <v>1</v>
      </c>
      <c r="F472" s="148"/>
      <c r="G472" s="138">
        <f t="shared" si="71"/>
        <v>1</v>
      </c>
      <c r="H472" s="148"/>
      <c r="I472" s="138">
        <f t="shared" si="72"/>
        <v>1</v>
      </c>
      <c r="J472" s="148"/>
      <c r="K472" s="138">
        <f t="shared" si="73"/>
        <v>1</v>
      </c>
      <c r="L472" s="148"/>
      <c r="M472" s="138">
        <f t="shared" si="74"/>
        <v>1</v>
      </c>
      <c r="N472" s="148"/>
      <c r="O472" s="138">
        <f t="shared" si="75"/>
        <v>1</v>
      </c>
      <c r="P472" s="148"/>
      <c r="Q472" s="138">
        <f t="shared" si="76"/>
        <v>1</v>
      </c>
      <c r="R472" s="201">
        <f t="shared" si="77"/>
        <v>0</v>
      </c>
      <c r="S472" s="137">
        <f t="shared" si="79"/>
        <v>0</v>
      </c>
    </row>
    <row r="473" spans="1:19">
      <c r="A473" s="146"/>
      <c r="B473" s="147"/>
      <c r="C473" s="138">
        <f t="shared" si="69"/>
        <v>1</v>
      </c>
      <c r="D473" s="148"/>
      <c r="E473" s="138">
        <f t="shared" si="70"/>
        <v>1</v>
      </c>
      <c r="F473" s="148"/>
      <c r="G473" s="138">
        <f t="shared" si="71"/>
        <v>1</v>
      </c>
      <c r="H473" s="148"/>
      <c r="I473" s="138">
        <f t="shared" si="72"/>
        <v>1</v>
      </c>
      <c r="J473" s="148"/>
      <c r="K473" s="138">
        <f t="shared" si="73"/>
        <v>1</v>
      </c>
      <c r="L473" s="148"/>
      <c r="M473" s="138">
        <f t="shared" si="74"/>
        <v>1</v>
      </c>
      <c r="N473" s="148"/>
      <c r="O473" s="138">
        <f t="shared" si="75"/>
        <v>1</v>
      </c>
      <c r="P473" s="148"/>
      <c r="Q473" s="138">
        <f t="shared" si="76"/>
        <v>1</v>
      </c>
      <c r="R473" s="201">
        <f t="shared" si="77"/>
        <v>0</v>
      </c>
      <c r="S473" s="137">
        <f t="shared" si="79"/>
        <v>0</v>
      </c>
    </row>
    <row r="474" spans="1:19">
      <c r="A474" s="146"/>
      <c r="B474" s="147"/>
      <c r="C474" s="138">
        <f t="shared" ref="C474:C524" si="80">IF(B474="",1,(LOOKUP(B474,$3:$3,$4:$4)-LOOKUP($B$24,$3:$3,$4:$4)+100)/100)</f>
        <v>1</v>
      </c>
      <c r="D474" s="148"/>
      <c r="E474" s="138">
        <f t="shared" ref="E474:E524" si="81">(SUMIF($5:$5,D474,$6:$6)-SUMIF($5:$5,$D$24,$6:$6)+100)/100</f>
        <v>1</v>
      </c>
      <c r="F474" s="148"/>
      <c r="G474" s="138">
        <f t="shared" ref="G474:G524" si="82">(SUMIF($7:$7,F474,$8:$8)-SUMIF($7:$7,$F$24,$8:$8)+100)/100</f>
        <v>1</v>
      </c>
      <c r="H474" s="148"/>
      <c r="I474" s="138">
        <f t="shared" ref="I474:I524" si="83">(SUMIF($9:$9,H474,$10:$10)-SUMIF($9:$9,$H$24,$10:$10)+100)/100</f>
        <v>1</v>
      </c>
      <c r="J474" s="148"/>
      <c r="K474" s="138">
        <f t="shared" ref="K474:K524" si="84">(SUMIF($11:$11,J474,$12:$12)-SUMIF($11:$11,$J$24,$12:$12)+100)/100</f>
        <v>1</v>
      </c>
      <c r="L474" s="148"/>
      <c r="M474" s="138">
        <f t="shared" ref="M474:M524" si="85">(SUMIF($13:$13,L474,$14:$14)-SUMIF($13:$13,$L$24,$14:$14)+100)/100</f>
        <v>1</v>
      </c>
      <c r="N474" s="148"/>
      <c r="O474" s="138">
        <f t="shared" ref="O474:O524" si="86">(SUMIF($15:$15,N474,$16:$16)-SUMIF($15:$15,$N$24,$16:$16)+100)/100</f>
        <v>1</v>
      </c>
      <c r="P474" s="148"/>
      <c r="Q474" s="138">
        <f t="shared" ref="Q474:Q524" si="87">(SUMIF($17:$17,P474,$18:$18)-SUMIF($17:$17,$P$24,$18:$18)+100)/100</f>
        <v>1</v>
      </c>
      <c r="R474" s="201">
        <f t="shared" ref="R474:R524" si="88">IF(B474="",0,ROUND($R$24*C474*E474*G474*I474*K474*M474*O474*Q474,0))</f>
        <v>0</v>
      </c>
      <c r="S474" s="137">
        <f t="shared" si="79"/>
        <v>0</v>
      </c>
    </row>
    <row r="475" spans="1:19">
      <c r="A475" s="146"/>
      <c r="B475" s="147"/>
      <c r="C475" s="138">
        <f t="shared" si="80"/>
        <v>1</v>
      </c>
      <c r="D475" s="148"/>
      <c r="E475" s="138">
        <f t="shared" si="81"/>
        <v>1</v>
      </c>
      <c r="F475" s="148"/>
      <c r="G475" s="138">
        <f t="shared" si="82"/>
        <v>1</v>
      </c>
      <c r="H475" s="148"/>
      <c r="I475" s="138">
        <f t="shared" si="83"/>
        <v>1</v>
      </c>
      <c r="J475" s="148"/>
      <c r="K475" s="138">
        <f t="shared" si="84"/>
        <v>1</v>
      </c>
      <c r="L475" s="148"/>
      <c r="M475" s="138">
        <f t="shared" si="85"/>
        <v>1</v>
      </c>
      <c r="N475" s="148"/>
      <c r="O475" s="138">
        <f t="shared" si="86"/>
        <v>1</v>
      </c>
      <c r="P475" s="148"/>
      <c r="Q475" s="138">
        <f t="shared" si="87"/>
        <v>1</v>
      </c>
      <c r="R475" s="201">
        <f t="shared" si="88"/>
        <v>0</v>
      </c>
      <c r="S475" s="137">
        <f t="shared" si="79"/>
        <v>0</v>
      </c>
    </row>
    <row r="476" spans="1:19">
      <c r="A476" s="146"/>
      <c r="B476" s="147"/>
      <c r="C476" s="138">
        <f t="shared" si="80"/>
        <v>1</v>
      </c>
      <c r="D476" s="148"/>
      <c r="E476" s="138">
        <f t="shared" si="81"/>
        <v>1</v>
      </c>
      <c r="F476" s="148"/>
      <c r="G476" s="138">
        <f t="shared" si="82"/>
        <v>1</v>
      </c>
      <c r="H476" s="148"/>
      <c r="I476" s="138">
        <f t="shared" si="83"/>
        <v>1</v>
      </c>
      <c r="J476" s="148"/>
      <c r="K476" s="138">
        <f t="shared" si="84"/>
        <v>1</v>
      </c>
      <c r="L476" s="148"/>
      <c r="M476" s="138">
        <f t="shared" si="85"/>
        <v>1</v>
      </c>
      <c r="N476" s="148"/>
      <c r="O476" s="138">
        <f t="shared" si="86"/>
        <v>1</v>
      </c>
      <c r="P476" s="148"/>
      <c r="Q476" s="138">
        <f t="shared" si="87"/>
        <v>1</v>
      </c>
      <c r="R476" s="201">
        <f t="shared" si="88"/>
        <v>0</v>
      </c>
      <c r="S476" s="137">
        <f t="shared" si="79"/>
        <v>0</v>
      </c>
    </row>
    <row r="477" spans="1:19">
      <c r="A477" s="146"/>
      <c r="B477" s="147"/>
      <c r="C477" s="138">
        <f t="shared" si="80"/>
        <v>1</v>
      </c>
      <c r="D477" s="148"/>
      <c r="E477" s="138">
        <f t="shared" si="81"/>
        <v>1</v>
      </c>
      <c r="F477" s="148"/>
      <c r="G477" s="138">
        <f t="shared" si="82"/>
        <v>1</v>
      </c>
      <c r="H477" s="148"/>
      <c r="I477" s="138">
        <f t="shared" si="83"/>
        <v>1</v>
      </c>
      <c r="J477" s="148"/>
      <c r="K477" s="138">
        <f t="shared" si="84"/>
        <v>1</v>
      </c>
      <c r="L477" s="148"/>
      <c r="M477" s="138">
        <f t="shared" si="85"/>
        <v>1</v>
      </c>
      <c r="N477" s="148"/>
      <c r="O477" s="138">
        <f t="shared" si="86"/>
        <v>1</v>
      </c>
      <c r="P477" s="148"/>
      <c r="Q477" s="138">
        <f t="shared" si="87"/>
        <v>1</v>
      </c>
      <c r="R477" s="201">
        <f t="shared" si="88"/>
        <v>0</v>
      </c>
      <c r="S477" s="137">
        <f t="shared" si="79"/>
        <v>0</v>
      </c>
    </row>
    <row r="478" spans="1:19">
      <c r="A478" s="146"/>
      <c r="B478" s="147"/>
      <c r="C478" s="138">
        <f t="shared" si="80"/>
        <v>1</v>
      </c>
      <c r="D478" s="148"/>
      <c r="E478" s="138">
        <f t="shared" si="81"/>
        <v>1</v>
      </c>
      <c r="F478" s="148"/>
      <c r="G478" s="138">
        <f t="shared" si="82"/>
        <v>1</v>
      </c>
      <c r="H478" s="148"/>
      <c r="I478" s="138">
        <f t="shared" si="83"/>
        <v>1</v>
      </c>
      <c r="J478" s="148"/>
      <c r="K478" s="138">
        <f t="shared" si="84"/>
        <v>1</v>
      </c>
      <c r="L478" s="148"/>
      <c r="M478" s="138">
        <f t="shared" si="85"/>
        <v>1</v>
      </c>
      <c r="N478" s="148"/>
      <c r="O478" s="138">
        <f t="shared" si="86"/>
        <v>1</v>
      </c>
      <c r="P478" s="148"/>
      <c r="Q478" s="138">
        <f t="shared" si="87"/>
        <v>1</v>
      </c>
      <c r="R478" s="201">
        <f t="shared" si="88"/>
        <v>0</v>
      </c>
      <c r="S478" s="137">
        <f t="shared" si="79"/>
        <v>0</v>
      </c>
    </row>
    <row r="479" spans="1:19">
      <c r="A479" s="146"/>
      <c r="B479" s="147"/>
      <c r="C479" s="138">
        <f t="shared" si="80"/>
        <v>1</v>
      </c>
      <c r="D479" s="148"/>
      <c r="E479" s="138">
        <f t="shared" si="81"/>
        <v>1</v>
      </c>
      <c r="F479" s="148"/>
      <c r="G479" s="138">
        <f t="shared" si="82"/>
        <v>1</v>
      </c>
      <c r="H479" s="148"/>
      <c r="I479" s="138">
        <f t="shared" si="83"/>
        <v>1</v>
      </c>
      <c r="J479" s="148"/>
      <c r="K479" s="138">
        <f t="shared" si="84"/>
        <v>1</v>
      </c>
      <c r="L479" s="148"/>
      <c r="M479" s="138">
        <f t="shared" si="85"/>
        <v>1</v>
      </c>
      <c r="N479" s="148"/>
      <c r="O479" s="138">
        <f t="shared" si="86"/>
        <v>1</v>
      </c>
      <c r="P479" s="148"/>
      <c r="Q479" s="138">
        <f t="shared" si="87"/>
        <v>1</v>
      </c>
      <c r="R479" s="201">
        <f t="shared" si="88"/>
        <v>0</v>
      </c>
      <c r="S479" s="137">
        <f t="shared" si="79"/>
        <v>0</v>
      </c>
    </row>
    <row r="480" spans="1:19">
      <c r="A480" s="146"/>
      <c r="B480" s="147"/>
      <c r="C480" s="138">
        <f t="shared" si="80"/>
        <v>1</v>
      </c>
      <c r="D480" s="148"/>
      <c r="E480" s="138">
        <f t="shared" si="81"/>
        <v>1</v>
      </c>
      <c r="F480" s="148"/>
      <c r="G480" s="138">
        <f t="shared" si="82"/>
        <v>1</v>
      </c>
      <c r="H480" s="148"/>
      <c r="I480" s="138">
        <f t="shared" si="83"/>
        <v>1</v>
      </c>
      <c r="J480" s="148"/>
      <c r="K480" s="138">
        <f t="shared" si="84"/>
        <v>1</v>
      </c>
      <c r="L480" s="148"/>
      <c r="M480" s="138">
        <f t="shared" si="85"/>
        <v>1</v>
      </c>
      <c r="N480" s="148"/>
      <c r="O480" s="138">
        <f t="shared" si="86"/>
        <v>1</v>
      </c>
      <c r="P480" s="148"/>
      <c r="Q480" s="138">
        <f t="shared" si="87"/>
        <v>1</v>
      </c>
      <c r="R480" s="201">
        <f t="shared" si="88"/>
        <v>0</v>
      </c>
      <c r="S480" s="137">
        <f t="shared" si="79"/>
        <v>0</v>
      </c>
    </row>
    <row r="481" spans="1:19">
      <c r="A481" s="146"/>
      <c r="B481" s="147"/>
      <c r="C481" s="138">
        <f t="shared" si="80"/>
        <v>1</v>
      </c>
      <c r="D481" s="148"/>
      <c r="E481" s="138">
        <f t="shared" si="81"/>
        <v>1</v>
      </c>
      <c r="F481" s="148"/>
      <c r="G481" s="138">
        <f t="shared" si="82"/>
        <v>1</v>
      </c>
      <c r="H481" s="148"/>
      <c r="I481" s="138">
        <f t="shared" si="83"/>
        <v>1</v>
      </c>
      <c r="J481" s="148"/>
      <c r="K481" s="138">
        <f t="shared" si="84"/>
        <v>1</v>
      </c>
      <c r="L481" s="148"/>
      <c r="M481" s="138">
        <f t="shared" si="85"/>
        <v>1</v>
      </c>
      <c r="N481" s="148"/>
      <c r="O481" s="138">
        <f t="shared" si="86"/>
        <v>1</v>
      </c>
      <c r="P481" s="148"/>
      <c r="Q481" s="138">
        <f t="shared" si="87"/>
        <v>1</v>
      </c>
      <c r="R481" s="201">
        <f t="shared" si="88"/>
        <v>0</v>
      </c>
      <c r="S481" s="137">
        <f t="shared" si="79"/>
        <v>0</v>
      </c>
    </row>
    <row r="482" spans="1:19">
      <c r="A482" s="146"/>
      <c r="B482" s="147"/>
      <c r="C482" s="138">
        <f t="shared" si="80"/>
        <v>1</v>
      </c>
      <c r="D482" s="148"/>
      <c r="E482" s="138">
        <f t="shared" si="81"/>
        <v>1</v>
      </c>
      <c r="F482" s="148"/>
      <c r="G482" s="138">
        <f t="shared" si="82"/>
        <v>1</v>
      </c>
      <c r="H482" s="148"/>
      <c r="I482" s="138">
        <f t="shared" si="83"/>
        <v>1</v>
      </c>
      <c r="J482" s="148"/>
      <c r="K482" s="138">
        <f t="shared" si="84"/>
        <v>1</v>
      </c>
      <c r="L482" s="148"/>
      <c r="M482" s="138">
        <f t="shared" si="85"/>
        <v>1</v>
      </c>
      <c r="N482" s="148"/>
      <c r="O482" s="138">
        <f t="shared" si="86"/>
        <v>1</v>
      </c>
      <c r="P482" s="148"/>
      <c r="Q482" s="138">
        <f t="shared" si="87"/>
        <v>1</v>
      </c>
      <c r="R482" s="201">
        <f t="shared" si="88"/>
        <v>0</v>
      </c>
      <c r="S482" s="137">
        <f t="shared" si="79"/>
        <v>0</v>
      </c>
    </row>
    <row r="483" spans="1:19">
      <c r="A483" s="146"/>
      <c r="B483" s="147"/>
      <c r="C483" s="138">
        <f t="shared" si="80"/>
        <v>1</v>
      </c>
      <c r="D483" s="148"/>
      <c r="E483" s="138">
        <f t="shared" si="81"/>
        <v>1</v>
      </c>
      <c r="F483" s="148"/>
      <c r="G483" s="138">
        <f t="shared" si="82"/>
        <v>1</v>
      </c>
      <c r="H483" s="148"/>
      <c r="I483" s="138">
        <f t="shared" si="83"/>
        <v>1</v>
      </c>
      <c r="J483" s="148"/>
      <c r="K483" s="138">
        <f t="shared" si="84"/>
        <v>1</v>
      </c>
      <c r="L483" s="148"/>
      <c r="M483" s="138">
        <f t="shared" si="85"/>
        <v>1</v>
      </c>
      <c r="N483" s="148"/>
      <c r="O483" s="138">
        <f t="shared" si="86"/>
        <v>1</v>
      </c>
      <c r="P483" s="148"/>
      <c r="Q483" s="138">
        <f t="shared" si="87"/>
        <v>1</v>
      </c>
      <c r="R483" s="201">
        <f t="shared" si="88"/>
        <v>0</v>
      </c>
      <c r="S483" s="137">
        <f t="shared" si="79"/>
        <v>0</v>
      </c>
    </row>
    <row r="484" spans="1:19">
      <c r="A484" s="146"/>
      <c r="B484" s="147"/>
      <c r="C484" s="138">
        <f t="shared" si="80"/>
        <v>1</v>
      </c>
      <c r="D484" s="148"/>
      <c r="E484" s="138">
        <f t="shared" si="81"/>
        <v>1</v>
      </c>
      <c r="F484" s="148"/>
      <c r="G484" s="138">
        <f t="shared" si="82"/>
        <v>1</v>
      </c>
      <c r="H484" s="148"/>
      <c r="I484" s="138">
        <f t="shared" si="83"/>
        <v>1</v>
      </c>
      <c r="J484" s="148"/>
      <c r="K484" s="138">
        <f t="shared" si="84"/>
        <v>1</v>
      </c>
      <c r="L484" s="148"/>
      <c r="M484" s="138">
        <f t="shared" si="85"/>
        <v>1</v>
      </c>
      <c r="N484" s="148"/>
      <c r="O484" s="138">
        <f t="shared" si="86"/>
        <v>1</v>
      </c>
      <c r="P484" s="148"/>
      <c r="Q484" s="138">
        <f t="shared" si="87"/>
        <v>1</v>
      </c>
      <c r="R484" s="201">
        <f t="shared" si="88"/>
        <v>0</v>
      </c>
      <c r="S484" s="137">
        <f t="shared" si="79"/>
        <v>0</v>
      </c>
    </row>
    <row r="485" spans="1:19">
      <c r="A485" s="146"/>
      <c r="B485" s="147"/>
      <c r="C485" s="138">
        <f t="shared" si="80"/>
        <v>1</v>
      </c>
      <c r="D485" s="148"/>
      <c r="E485" s="138">
        <f t="shared" si="81"/>
        <v>1</v>
      </c>
      <c r="F485" s="148"/>
      <c r="G485" s="138">
        <f t="shared" si="82"/>
        <v>1</v>
      </c>
      <c r="H485" s="148"/>
      <c r="I485" s="138">
        <f t="shared" si="83"/>
        <v>1</v>
      </c>
      <c r="J485" s="148"/>
      <c r="K485" s="138">
        <f t="shared" si="84"/>
        <v>1</v>
      </c>
      <c r="L485" s="148"/>
      <c r="M485" s="138">
        <f t="shared" si="85"/>
        <v>1</v>
      </c>
      <c r="N485" s="148"/>
      <c r="O485" s="138">
        <f t="shared" si="86"/>
        <v>1</v>
      </c>
      <c r="P485" s="148"/>
      <c r="Q485" s="138">
        <f t="shared" si="87"/>
        <v>1</v>
      </c>
      <c r="R485" s="201">
        <f t="shared" si="88"/>
        <v>0</v>
      </c>
      <c r="S485" s="137">
        <f t="shared" si="79"/>
        <v>0</v>
      </c>
    </row>
    <row r="486" spans="1:19">
      <c r="A486" s="146"/>
      <c r="B486" s="147"/>
      <c r="C486" s="138">
        <f t="shared" si="80"/>
        <v>1</v>
      </c>
      <c r="D486" s="148"/>
      <c r="E486" s="138">
        <f t="shared" si="81"/>
        <v>1</v>
      </c>
      <c r="F486" s="148"/>
      <c r="G486" s="138">
        <f t="shared" si="82"/>
        <v>1</v>
      </c>
      <c r="H486" s="148"/>
      <c r="I486" s="138">
        <f t="shared" si="83"/>
        <v>1</v>
      </c>
      <c r="J486" s="148"/>
      <c r="K486" s="138">
        <f t="shared" si="84"/>
        <v>1</v>
      </c>
      <c r="L486" s="148"/>
      <c r="M486" s="138">
        <f t="shared" si="85"/>
        <v>1</v>
      </c>
      <c r="N486" s="148"/>
      <c r="O486" s="138">
        <f t="shared" si="86"/>
        <v>1</v>
      </c>
      <c r="P486" s="148"/>
      <c r="Q486" s="138">
        <f t="shared" si="87"/>
        <v>1</v>
      </c>
      <c r="R486" s="201">
        <f t="shared" si="88"/>
        <v>0</v>
      </c>
      <c r="S486" s="137">
        <f t="shared" si="79"/>
        <v>0</v>
      </c>
    </row>
    <row r="487" spans="1:19">
      <c r="A487" s="146"/>
      <c r="B487" s="147"/>
      <c r="C487" s="138">
        <f t="shared" si="80"/>
        <v>1</v>
      </c>
      <c r="D487" s="148"/>
      <c r="E487" s="138">
        <f t="shared" si="81"/>
        <v>1</v>
      </c>
      <c r="F487" s="148"/>
      <c r="G487" s="138">
        <f t="shared" si="82"/>
        <v>1</v>
      </c>
      <c r="H487" s="148"/>
      <c r="I487" s="138">
        <f t="shared" si="83"/>
        <v>1</v>
      </c>
      <c r="J487" s="148"/>
      <c r="K487" s="138">
        <f t="shared" si="84"/>
        <v>1</v>
      </c>
      <c r="L487" s="148"/>
      <c r="M487" s="138">
        <f t="shared" si="85"/>
        <v>1</v>
      </c>
      <c r="N487" s="148"/>
      <c r="O487" s="138">
        <f t="shared" si="86"/>
        <v>1</v>
      </c>
      <c r="P487" s="148"/>
      <c r="Q487" s="138">
        <f t="shared" si="87"/>
        <v>1</v>
      </c>
      <c r="R487" s="201">
        <f t="shared" si="88"/>
        <v>0</v>
      </c>
      <c r="S487" s="137">
        <f t="shared" si="79"/>
        <v>0</v>
      </c>
    </row>
    <row r="488" spans="1:19">
      <c r="A488" s="146"/>
      <c r="B488" s="147"/>
      <c r="C488" s="138">
        <f t="shared" si="80"/>
        <v>1</v>
      </c>
      <c r="D488" s="148"/>
      <c r="E488" s="138">
        <f t="shared" si="81"/>
        <v>1</v>
      </c>
      <c r="F488" s="148"/>
      <c r="G488" s="138">
        <f t="shared" si="82"/>
        <v>1</v>
      </c>
      <c r="H488" s="148"/>
      <c r="I488" s="138">
        <f t="shared" si="83"/>
        <v>1</v>
      </c>
      <c r="J488" s="148"/>
      <c r="K488" s="138">
        <f t="shared" si="84"/>
        <v>1</v>
      </c>
      <c r="L488" s="148"/>
      <c r="M488" s="138">
        <f t="shared" si="85"/>
        <v>1</v>
      </c>
      <c r="N488" s="148"/>
      <c r="O488" s="138">
        <f t="shared" si="86"/>
        <v>1</v>
      </c>
      <c r="P488" s="148"/>
      <c r="Q488" s="138">
        <f t="shared" si="87"/>
        <v>1</v>
      </c>
      <c r="R488" s="201">
        <f t="shared" si="88"/>
        <v>0</v>
      </c>
      <c r="S488" s="137">
        <f t="shared" si="79"/>
        <v>0</v>
      </c>
    </row>
    <row r="489" spans="1:19">
      <c r="A489" s="146"/>
      <c r="B489" s="147"/>
      <c r="C489" s="138">
        <f t="shared" si="80"/>
        <v>1</v>
      </c>
      <c r="D489" s="148"/>
      <c r="E489" s="138">
        <f t="shared" si="81"/>
        <v>1</v>
      </c>
      <c r="F489" s="148"/>
      <c r="G489" s="138">
        <f t="shared" si="82"/>
        <v>1</v>
      </c>
      <c r="H489" s="148"/>
      <c r="I489" s="138">
        <f t="shared" si="83"/>
        <v>1</v>
      </c>
      <c r="J489" s="148"/>
      <c r="K489" s="138">
        <f t="shared" si="84"/>
        <v>1</v>
      </c>
      <c r="L489" s="148"/>
      <c r="M489" s="138">
        <f t="shared" si="85"/>
        <v>1</v>
      </c>
      <c r="N489" s="148"/>
      <c r="O489" s="138">
        <f t="shared" si="86"/>
        <v>1</v>
      </c>
      <c r="P489" s="148"/>
      <c r="Q489" s="138">
        <f t="shared" si="87"/>
        <v>1</v>
      </c>
      <c r="R489" s="201">
        <f t="shared" si="88"/>
        <v>0</v>
      </c>
      <c r="S489" s="137">
        <f t="shared" si="79"/>
        <v>0</v>
      </c>
    </row>
    <row r="490" spans="1:19">
      <c r="A490" s="146"/>
      <c r="B490" s="147"/>
      <c r="C490" s="138">
        <f t="shared" si="80"/>
        <v>1</v>
      </c>
      <c r="D490" s="148"/>
      <c r="E490" s="138">
        <f t="shared" si="81"/>
        <v>1</v>
      </c>
      <c r="F490" s="148"/>
      <c r="G490" s="138">
        <f t="shared" si="82"/>
        <v>1</v>
      </c>
      <c r="H490" s="148"/>
      <c r="I490" s="138">
        <f t="shared" si="83"/>
        <v>1</v>
      </c>
      <c r="J490" s="148"/>
      <c r="K490" s="138">
        <f t="shared" si="84"/>
        <v>1</v>
      </c>
      <c r="L490" s="148"/>
      <c r="M490" s="138">
        <f t="shared" si="85"/>
        <v>1</v>
      </c>
      <c r="N490" s="148"/>
      <c r="O490" s="138">
        <f t="shared" si="86"/>
        <v>1</v>
      </c>
      <c r="P490" s="148"/>
      <c r="Q490" s="138">
        <f t="shared" si="87"/>
        <v>1</v>
      </c>
      <c r="R490" s="201">
        <f t="shared" si="88"/>
        <v>0</v>
      </c>
      <c r="S490" s="137">
        <f t="shared" si="79"/>
        <v>0</v>
      </c>
    </row>
    <row r="491" spans="1:19">
      <c r="A491" s="146"/>
      <c r="B491" s="147"/>
      <c r="C491" s="138">
        <f t="shared" si="80"/>
        <v>1</v>
      </c>
      <c r="D491" s="148"/>
      <c r="E491" s="138">
        <f t="shared" si="81"/>
        <v>1</v>
      </c>
      <c r="F491" s="148"/>
      <c r="G491" s="138">
        <f t="shared" si="82"/>
        <v>1</v>
      </c>
      <c r="H491" s="148"/>
      <c r="I491" s="138">
        <f t="shared" si="83"/>
        <v>1</v>
      </c>
      <c r="J491" s="148"/>
      <c r="K491" s="138">
        <f t="shared" si="84"/>
        <v>1</v>
      </c>
      <c r="L491" s="148"/>
      <c r="M491" s="138">
        <f t="shared" si="85"/>
        <v>1</v>
      </c>
      <c r="N491" s="148"/>
      <c r="O491" s="138">
        <f t="shared" si="86"/>
        <v>1</v>
      </c>
      <c r="P491" s="148"/>
      <c r="Q491" s="138">
        <f t="shared" si="87"/>
        <v>1</v>
      </c>
      <c r="R491" s="201">
        <f t="shared" si="88"/>
        <v>0</v>
      </c>
      <c r="S491" s="137">
        <f t="shared" si="79"/>
        <v>0</v>
      </c>
    </row>
    <row r="492" spans="1:19">
      <c r="A492" s="146"/>
      <c r="B492" s="147"/>
      <c r="C492" s="138">
        <f t="shared" si="80"/>
        <v>1</v>
      </c>
      <c r="D492" s="148"/>
      <c r="E492" s="138">
        <f t="shared" si="81"/>
        <v>1</v>
      </c>
      <c r="F492" s="148"/>
      <c r="G492" s="138">
        <f t="shared" si="82"/>
        <v>1</v>
      </c>
      <c r="H492" s="148"/>
      <c r="I492" s="138">
        <f t="shared" si="83"/>
        <v>1</v>
      </c>
      <c r="J492" s="148"/>
      <c r="K492" s="138">
        <f t="shared" si="84"/>
        <v>1</v>
      </c>
      <c r="L492" s="148"/>
      <c r="M492" s="138">
        <f t="shared" si="85"/>
        <v>1</v>
      </c>
      <c r="N492" s="148"/>
      <c r="O492" s="138">
        <f t="shared" si="86"/>
        <v>1</v>
      </c>
      <c r="P492" s="148"/>
      <c r="Q492" s="138">
        <f t="shared" si="87"/>
        <v>1</v>
      </c>
      <c r="R492" s="201">
        <f t="shared" si="88"/>
        <v>0</v>
      </c>
      <c r="S492" s="137">
        <f t="shared" si="79"/>
        <v>0</v>
      </c>
    </row>
    <row r="493" spans="1:19">
      <c r="A493" s="146"/>
      <c r="B493" s="147"/>
      <c r="C493" s="138">
        <f t="shared" si="80"/>
        <v>1</v>
      </c>
      <c r="D493" s="148"/>
      <c r="E493" s="138">
        <f t="shared" si="81"/>
        <v>1</v>
      </c>
      <c r="F493" s="148"/>
      <c r="G493" s="138">
        <f t="shared" si="82"/>
        <v>1</v>
      </c>
      <c r="H493" s="148"/>
      <c r="I493" s="138">
        <f t="shared" si="83"/>
        <v>1</v>
      </c>
      <c r="J493" s="148"/>
      <c r="K493" s="138">
        <f t="shared" si="84"/>
        <v>1</v>
      </c>
      <c r="L493" s="148"/>
      <c r="M493" s="138">
        <f t="shared" si="85"/>
        <v>1</v>
      </c>
      <c r="N493" s="148"/>
      <c r="O493" s="138">
        <f t="shared" si="86"/>
        <v>1</v>
      </c>
      <c r="P493" s="148"/>
      <c r="Q493" s="138">
        <f t="shared" si="87"/>
        <v>1</v>
      </c>
      <c r="R493" s="201">
        <f t="shared" si="88"/>
        <v>0</v>
      </c>
      <c r="S493" s="137">
        <f t="shared" si="79"/>
        <v>0</v>
      </c>
    </row>
    <row r="494" spans="1:19">
      <c r="A494" s="146"/>
      <c r="B494" s="147"/>
      <c r="C494" s="138">
        <f t="shared" si="80"/>
        <v>1</v>
      </c>
      <c r="D494" s="148"/>
      <c r="E494" s="138">
        <f t="shared" si="81"/>
        <v>1</v>
      </c>
      <c r="F494" s="148"/>
      <c r="G494" s="138">
        <f t="shared" si="82"/>
        <v>1</v>
      </c>
      <c r="H494" s="148"/>
      <c r="I494" s="138">
        <f t="shared" si="83"/>
        <v>1</v>
      </c>
      <c r="J494" s="148"/>
      <c r="K494" s="138">
        <f t="shared" si="84"/>
        <v>1</v>
      </c>
      <c r="L494" s="148"/>
      <c r="M494" s="138">
        <f t="shared" si="85"/>
        <v>1</v>
      </c>
      <c r="N494" s="148"/>
      <c r="O494" s="138">
        <f t="shared" si="86"/>
        <v>1</v>
      </c>
      <c r="P494" s="148"/>
      <c r="Q494" s="138">
        <f t="shared" si="87"/>
        <v>1</v>
      </c>
      <c r="R494" s="201">
        <f t="shared" si="88"/>
        <v>0</v>
      </c>
      <c r="S494" s="137">
        <f t="shared" si="79"/>
        <v>0</v>
      </c>
    </row>
    <row r="495" spans="1:19">
      <c r="A495" s="146"/>
      <c r="B495" s="147"/>
      <c r="C495" s="138">
        <f t="shared" si="80"/>
        <v>1</v>
      </c>
      <c r="D495" s="148"/>
      <c r="E495" s="138">
        <f t="shared" si="81"/>
        <v>1</v>
      </c>
      <c r="F495" s="148"/>
      <c r="G495" s="138">
        <f t="shared" si="82"/>
        <v>1</v>
      </c>
      <c r="H495" s="148"/>
      <c r="I495" s="138">
        <f t="shared" si="83"/>
        <v>1</v>
      </c>
      <c r="J495" s="148"/>
      <c r="K495" s="138">
        <f t="shared" si="84"/>
        <v>1</v>
      </c>
      <c r="L495" s="148"/>
      <c r="M495" s="138">
        <f t="shared" si="85"/>
        <v>1</v>
      </c>
      <c r="N495" s="148"/>
      <c r="O495" s="138">
        <f t="shared" si="86"/>
        <v>1</v>
      </c>
      <c r="P495" s="148"/>
      <c r="Q495" s="138">
        <f t="shared" si="87"/>
        <v>1</v>
      </c>
      <c r="R495" s="201">
        <f t="shared" si="88"/>
        <v>0</v>
      </c>
      <c r="S495" s="137">
        <f t="shared" si="79"/>
        <v>0</v>
      </c>
    </row>
    <row r="496" spans="1:19">
      <c r="A496" s="146"/>
      <c r="B496" s="147"/>
      <c r="C496" s="138">
        <f t="shared" si="80"/>
        <v>1</v>
      </c>
      <c r="D496" s="148"/>
      <c r="E496" s="138">
        <f t="shared" si="81"/>
        <v>1</v>
      </c>
      <c r="F496" s="148"/>
      <c r="G496" s="138">
        <f t="shared" si="82"/>
        <v>1</v>
      </c>
      <c r="H496" s="148"/>
      <c r="I496" s="138">
        <f t="shared" si="83"/>
        <v>1</v>
      </c>
      <c r="J496" s="148"/>
      <c r="K496" s="138">
        <f t="shared" si="84"/>
        <v>1</v>
      </c>
      <c r="L496" s="148"/>
      <c r="M496" s="138">
        <f t="shared" si="85"/>
        <v>1</v>
      </c>
      <c r="N496" s="148"/>
      <c r="O496" s="138">
        <f t="shared" si="86"/>
        <v>1</v>
      </c>
      <c r="P496" s="148"/>
      <c r="Q496" s="138">
        <f t="shared" si="87"/>
        <v>1</v>
      </c>
      <c r="R496" s="201">
        <f t="shared" si="88"/>
        <v>0</v>
      </c>
      <c r="S496" s="137">
        <f t="shared" si="79"/>
        <v>0</v>
      </c>
    </row>
    <row r="497" spans="1:19">
      <c r="A497" s="146"/>
      <c r="B497" s="147"/>
      <c r="C497" s="138">
        <f t="shared" si="80"/>
        <v>1</v>
      </c>
      <c r="D497" s="148"/>
      <c r="E497" s="138">
        <f t="shared" si="81"/>
        <v>1</v>
      </c>
      <c r="F497" s="148"/>
      <c r="G497" s="138">
        <f t="shared" si="82"/>
        <v>1</v>
      </c>
      <c r="H497" s="148"/>
      <c r="I497" s="138">
        <f t="shared" si="83"/>
        <v>1</v>
      </c>
      <c r="J497" s="148"/>
      <c r="K497" s="138">
        <f t="shared" si="84"/>
        <v>1</v>
      </c>
      <c r="L497" s="148"/>
      <c r="M497" s="138">
        <f t="shared" si="85"/>
        <v>1</v>
      </c>
      <c r="N497" s="148"/>
      <c r="O497" s="138">
        <f t="shared" si="86"/>
        <v>1</v>
      </c>
      <c r="P497" s="148"/>
      <c r="Q497" s="138">
        <f t="shared" si="87"/>
        <v>1</v>
      </c>
      <c r="R497" s="201">
        <f t="shared" si="88"/>
        <v>0</v>
      </c>
      <c r="S497" s="137">
        <f t="shared" si="79"/>
        <v>0</v>
      </c>
    </row>
    <row r="498" spans="1:19">
      <c r="A498" s="146"/>
      <c r="B498" s="147"/>
      <c r="C498" s="138">
        <f t="shared" si="80"/>
        <v>1</v>
      </c>
      <c r="D498" s="148"/>
      <c r="E498" s="138">
        <f t="shared" si="81"/>
        <v>1</v>
      </c>
      <c r="F498" s="148"/>
      <c r="G498" s="138">
        <f t="shared" si="82"/>
        <v>1</v>
      </c>
      <c r="H498" s="148"/>
      <c r="I498" s="138">
        <f t="shared" si="83"/>
        <v>1</v>
      </c>
      <c r="J498" s="148"/>
      <c r="K498" s="138">
        <f t="shared" si="84"/>
        <v>1</v>
      </c>
      <c r="L498" s="148"/>
      <c r="M498" s="138">
        <f t="shared" si="85"/>
        <v>1</v>
      </c>
      <c r="N498" s="148"/>
      <c r="O498" s="138">
        <f t="shared" si="86"/>
        <v>1</v>
      </c>
      <c r="P498" s="148"/>
      <c r="Q498" s="138">
        <f t="shared" si="87"/>
        <v>1</v>
      </c>
      <c r="R498" s="201">
        <f t="shared" si="88"/>
        <v>0</v>
      </c>
      <c r="S498" s="137">
        <f t="shared" ref="S498:S524" si="89">ROUND(R498*B498/10000,0)</f>
        <v>0</v>
      </c>
    </row>
    <row r="499" spans="1:19">
      <c r="A499" s="146"/>
      <c r="B499" s="147"/>
      <c r="C499" s="138">
        <f t="shared" si="80"/>
        <v>1</v>
      </c>
      <c r="D499" s="148"/>
      <c r="E499" s="138">
        <f t="shared" si="81"/>
        <v>1</v>
      </c>
      <c r="F499" s="148"/>
      <c r="G499" s="138">
        <f t="shared" si="82"/>
        <v>1</v>
      </c>
      <c r="H499" s="148"/>
      <c r="I499" s="138">
        <f t="shared" si="83"/>
        <v>1</v>
      </c>
      <c r="J499" s="148"/>
      <c r="K499" s="138">
        <f t="shared" si="84"/>
        <v>1</v>
      </c>
      <c r="L499" s="148"/>
      <c r="M499" s="138">
        <f t="shared" si="85"/>
        <v>1</v>
      </c>
      <c r="N499" s="148"/>
      <c r="O499" s="138">
        <f t="shared" si="86"/>
        <v>1</v>
      </c>
      <c r="P499" s="148"/>
      <c r="Q499" s="138">
        <f t="shared" si="87"/>
        <v>1</v>
      </c>
      <c r="R499" s="201">
        <f t="shared" si="88"/>
        <v>0</v>
      </c>
      <c r="S499" s="137">
        <f t="shared" si="89"/>
        <v>0</v>
      </c>
    </row>
    <row r="500" spans="1:19">
      <c r="A500" s="146"/>
      <c r="B500" s="147"/>
      <c r="C500" s="138">
        <f t="shared" si="80"/>
        <v>1</v>
      </c>
      <c r="D500" s="148"/>
      <c r="E500" s="138">
        <f t="shared" si="81"/>
        <v>1</v>
      </c>
      <c r="F500" s="148"/>
      <c r="G500" s="138">
        <f t="shared" si="82"/>
        <v>1</v>
      </c>
      <c r="H500" s="148"/>
      <c r="I500" s="138">
        <f t="shared" si="83"/>
        <v>1</v>
      </c>
      <c r="J500" s="148"/>
      <c r="K500" s="138">
        <f t="shared" si="84"/>
        <v>1</v>
      </c>
      <c r="L500" s="148"/>
      <c r="M500" s="138">
        <f t="shared" si="85"/>
        <v>1</v>
      </c>
      <c r="N500" s="148"/>
      <c r="O500" s="138">
        <f t="shared" si="86"/>
        <v>1</v>
      </c>
      <c r="P500" s="148"/>
      <c r="Q500" s="138">
        <f t="shared" si="87"/>
        <v>1</v>
      </c>
      <c r="R500" s="201">
        <f t="shared" si="88"/>
        <v>0</v>
      </c>
      <c r="S500" s="137">
        <f t="shared" si="89"/>
        <v>0</v>
      </c>
    </row>
    <row r="501" spans="1:19">
      <c r="A501" s="146"/>
      <c r="B501" s="147"/>
      <c r="C501" s="138">
        <f t="shared" si="80"/>
        <v>1</v>
      </c>
      <c r="D501" s="148"/>
      <c r="E501" s="138">
        <f t="shared" si="81"/>
        <v>1</v>
      </c>
      <c r="F501" s="148"/>
      <c r="G501" s="138">
        <f t="shared" si="82"/>
        <v>1</v>
      </c>
      <c r="H501" s="148"/>
      <c r="I501" s="138">
        <f t="shared" si="83"/>
        <v>1</v>
      </c>
      <c r="J501" s="148"/>
      <c r="K501" s="138">
        <f t="shared" si="84"/>
        <v>1</v>
      </c>
      <c r="L501" s="148"/>
      <c r="M501" s="138">
        <f t="shared" si="85"/>
        <v>1</v>
      </c>
      <c r="N501" s="148"/>
      <c r="O501" s="138">
        <f t="shared" si="86"/>
        <v>1</v>
      </c>
      <c r="P501" s="148"/>
      <c r="Q501" s="138">
        <f t="shared" si="87"/>
        <v>1</v>
      </c>
      <c r="R501" s="201">
        <f t="shared" si="88"/>
        <v>0</v>
      </c>
      <c r="S501" s="137">
        <f t="shared" si="89"/>
        <v>0</v>
      </c>
    </row>
    <row r="502" spans="1:19">
      <c r="A502" s="146"/>
      <c r="B502" s="147"/>
      <c r="C502" s="138">
        <f t="shared" si="80"/>
        <v>1</v>
      </c>
      <c r="D502" s="148"/>
      <c r="E502" s="138">
        <f t="shared" si="81"/>
        <v>1</v>
      </c>
      <c r="F502" s="148"/>
      <c r="G502" s="138">
        <f t="shared" si="82"/>
        <v>1</v>
      </c>
      <c r="H502" s="148"/>
      <c r="I502" s="138">
        <f t="shared" si="83"/>
        <v>1</v>
      </c>
      <c r="J502" s="148"/>
      <c r="K502" s="138">
        <f t="shared" si="84"/>
        <v>1</v>
      </c>
      <c r="L502" s="148"/>
      <c r="M502" s="138">
        <f t="shared" si="85"/>
        <v>1</v>
      </c>
      <c r="N502" s="148"/>
      <c r="O502" s="138">
        <f t="shared" si="86"/>
        <v>1</v>
      </c>
      <c r="P502" s="148"/>
      <c r="Q502" s="138">
        <f t="shared" si="87"/>
        <v>1</v>
      </c>
      <c r="R502" s="201">
        <f t="shared" si="88"/>
        <v>0</v>
      </c>
      <c r="S502" s="137">
        <f t="shared" si="89"/>
        <v>0</v>
      </c>
    </row>
    <row r="503" spans="1:19">
      <c r="A503" s="146"/>
      <c r="B503" s="147"/>
      <c r="C503" s="138">
        <f t="shared" si="80"/>
        <v>1</v>
      </c>
      <c r="D503" s="148"/>
      <c r="E503" s="138">
        <f t="shared" si="81"/>
        <v>1</v>
      </c>
      <c r="F503" s="148"/>
      <c r="G503" s="138">
        <f t="shared" si="82"/>
        <v>1</v>
      </c>
      <c r="H503" s="148"/>
      <c r="I503" s="138">
        <f t="shared" si="83"/>
        <v>1</v>
      </c>
      <c r="J503" s="148"/>
      <c r="K503" s="138">
        <f t="shared" si="84"/>
        <v>1</v>
      </c>
      <c r="L503" s="148"/>
      <c r="M503" s="138">
        <f t="shared" si="85"/>
        <v>1</v>
      </c>
      <c r="N503" s="148"/>
      <c r="O503" s="138">
        <f t="shared" si="86"/>
        <v>1</v>
      </c>
      <c r="P503" s="148"/>
      <c r="Q503" s="138">
        <f t="shared" si="87"/>
        <v>1</v>
      </c>
      <c r="R503" s="201">
        <f t="shared" si="88"/>
        <v>0</v>
      </c>
      <c r="S503" s="137">
        <f t="shared" si="89"/>
        <v>0</v>
      </c>
    </row>
    <row r="504" spans="1:19">
      <c r="A504" s="146"/>
      <c r="B504" s="147"/>
      <c r="C504" s="138">
        <f t="shared" si="80"/>
        <v>1</v>
      </c>
      <c r="D504" s="148"/>
      <c r="E504" s="138">
        <f t="shared" si="81"/>
        <v>1</v>
      </c>
      <c r="F504" s="148"/>
      <c r="G504" s="138">
        <f t="shared" si="82"/>
        <v>1</v>
      </c>
      <c r="H504" s="148"/>
      <c r="I504" s="138">
        <f t="shared" si="83"/>
        <v>1</v>
      </c>
      <c r="J504" s="148"/>
      <c r="K504" s="138">
        <f t="shared" si="84"/>
        <v>1</v>
      </c>
      <c r="L504" s="148"/>
      <c r="M504" s="138">
        <f t="shared" si="85"/>
        <v>1</v>
      </c>
      <c r="N504" s="148"/>
      <c r="O504" s="138">
        <f t="shared" si="86"/>
        <v>1</v>
      </c>
      <c r="P504" s="148"/>
      <c r="Q504" s="138">
        <f t="shared" si="87"/>
        <v>1</v>
      </c>
      <c r="R504" s="201">
        <f t="shared" si="88"/>
        <v>0</v>
      </c>
      <c r="S504" s="137">
        <f t="shared" si="89"/>
        <v>0</v>
      </c>
    </row>
    <row r="505" spans="1:19">
      <c r="A505" s="146"/>
      <c r="B505" s="147"/>
      <c r="C505" s="138">
        <f t="shared" si="80"/>
        <v>1</v>
      </c>
      <c r="D505" s="148"/>
      <c r="E505" s="138">
        <f t="shared" si="81"/>
        <v>1</v>
      </c>
      <c r="F505" s="148"/>
      <c r="G505" s="138">
        <f t="shared" si="82"/>
        <v>1</v>
      </c>
      <c r="H505" s="148"/>
      <c r="I505" s="138">
        <f t="shared" si="83"/>
        <v>1</v>
      </c>
      <c r="J505" s="148"/>
      <c r="K505" s="138">
        <f t="shared" si="84"/>
        <v>1</v>
      </c>
      <c r="L505" s="148"/>
      <c r="M505" s="138">
        <f t="shared" si="85"/>
        <v>1</v>
      </c>
      <c r="N505" s="148"/>
      <c r="O505" s="138">
        <f t="shared" si="86"/>
        <v>1</v>
      </c>
      <c r="P505" s="148"/>
      <c r="Q505" s="138">
        <f t="shared" si="87"/>
        <v>1</v>
      </c>
      <c r="R505" s="201">
        <f t="shared" si="88"/>
        <v>0</v>
      </c>
      <c r="S505" s="137">
        <f t="shared" si="89"/>
        <v>0</v>
      </c>
    </row>
    <row r="506" spans="1:19">
      <c r="A506" s="146"/>
      <c r="B506" s="147"/>
      <c r="C506" s="138">
        <f t="shared" si="80"/>
        <v>1</v>
      </c>
      <c r="D506" s="148"/>
      <c r="E506" s="138">
        <f t="shared" si="81"/>
        <v>1</v>
      </c>
      <c r="F506" s="148"/>
      <c r="G506" s="138">
        <f t="shared" si="82"/>
        <v>1</v>
      </c>
      <c r="H506" s="148"/>
      <c r="I506" s="138">
        <f t="shared" si="83"/>
        <v>1</v>
      </c>
      <c r="J506" s="148"/>
      <c r="K506" s="138">
        <f t="shared" si="84"/>
        <v>1</v>
      </c>
      <c r="L506" s="148"/>
      <c r="M506" s="138">
        <f t="shared" si="85"/>
        <v>1</v>
      </c>
      <c r="N506" s="148"/>
      <c r="O506" s="138">
        <f t="shared" si="86"/>
        <v>1</v>
      </c>
      <c r="P506" s="148"/>
      <c r="Q506" s="138">
        <f t="shared" si="87"/>
        <v>1</v>
      </c>
      <c r="R506" s="201">
        <f t="shared" si="88"/>
        <v>0</v>
      </c>
      <c r="S506" s="137">
        <f t="shared" si="89"/>
        <v>0</v>
      </c>
    </row>
    <row r="507" spans="1:19">
      <c r="A507" s="146"/>
      <c r="B507" s="147"/>
      <c r="C507" s="138">
        <f t="shared" si="80"/>
        <v>1</v>
      </c>
      <c r="D507" s="148"/>
      <c r="E507" s="138">
        <f t="shared" si="81"/>
        <v>1</v>
      </c>
      <c r="F507" s="148"/>
      <c r="G507" s="138">
        <f t="shared" si="82"/>
        <v>1</v>
      </c>
      <c r="H507" s="148"/>
      <c r="I507" s="138">
        <f t="shared" si="83"/>
        <v>1</v>
      </c>
      <c r="J507" s="148"/>
      <c r="K507" s="138">
        <f t="shared" si="84"/>
        <v>1</v>
      </c>
      <c r="L507" s="148"/>
      <c r="M507" s="138">
        <f t="shared" si="85"/>
        <v>1</v>
      </c>
      <c r="N507" s="148"/>
      <c r="O507" s="138">
        <f t="shared" si="86"/>
        <v>1</v>
      </c>
      <c r="P507" s="148"/>
      <c r="Q507" s="138">
        <f t="shared" si="87"/>
        <v>1</v>
      </c>
      <c r="R507" s="201">
        <f t="shared" si="88"/>
        <v>0</v>
      </c>
      <c r="S507" s="137">
        <f t="shared" si="89"/>
        <v>0</v>
      </c>
    </row>
    <row r="508" spans="1:19">
      <c r="A508" s="146"/>
      <c r="B508" s="147"/>
      <c r="C508" s="138">
        <f t="shared" si="80"/>
        <v>1</v>
      </c>
      <c r="D508" s="148"/>
      <c r="E508" s="138">
        <f t="shared" si="81"/>
        <v>1</v>
      </c>
      <c r="F508" s="148"/>
      <c r="G508" s="138">
        <f t="shared" si="82"/>
        <v>1</v>
      </c>
      <c r="H508" s="148"/>
      <c r="I508" s="138">
        <f t="shared" si="83"/>
        <v>1</v>
      </c>
      <c r="J508" s="148"/>
      <c r="K508" s="138">
        <f t="shared" si="84"/>
        <v>1</v>
      </c>
      <c r="L508" s="148"/>
      <c r="M508" s="138">
        <f t="shared" si="85"/>
        <v>1</v>
      </c>
      <c r="N508" s="148"/>
      <c r="O508" s="138">
        <f t="shared" si="86"/>
        <v>1</v>
      </c>
      <c r="P508" s="148"/>
      <c r="Q508" s="138">
        <f t="shared" si="87"/>
        <v>1</v>
      </c>
      <c r="R508" s="201">
        <f t="shared" si="88"/>
        <v>0</v>
      </c>
      <c r="S508" s="137">
        <f t="shared" si="89"/>
        <v>0</v>
      </c>
    </row>
    <row r="509" spans="1:19">
      <c r="A509" s="146"/>
      <c r="B509" s="147"/>
      <c r="C509" s="138">
        <f t="shared" si="80"/>
        <v>1</v>
      </c>
      <c r="D509" s="148"/>
      <c r="E509" s="138">
        <f t="shared" si="81"/>
        <v>1</v>
      </c>
      <c r="F509" s="148"/>
      <c r="G509" s="138">
        <f t="shared" si="82"/>
        <v>1</v>
      </c>
      <c r="H509" s="148"/>
      <c r="I509" s="138">
        <f t="shared" si="83"/>
        <v>1</v>
      </c>
      <c r="J509" s="148"/>
      <c r="K509" s="138">
        <f t="shared" si="84"/>
        <v>1</v>
      </c>
      <c r="L509" s="148"/>
      <c r="M509" s="138">
        <f t="shared" si="85"/>
        <v>1</v>
      </c>
      <c r="N509" s="148"/>
      <c r="O509" s="138">
        <f t="shared" si="86"/>
        <v>1</v>
      </c>
      <c r="P509" s="148"/>
      <c r="Q509" s="138">
        <f t="shared" si="87"/>
        <v>1</v>
      </c>
      <c r="R509" s="201">
        <f t="shared" si="88"/>
        <v>0</v>
      </c>
      <c r="S509" s="137">
        <f t="shared" si="89"/>
        <v>0</v>
      </c>
    </row>
    <row r="510" spans="1:19">
      <c r="A510" s="146"/>
      <c r="B510" s="147"/>
      <c r="C510" s="138">
        <f t="shared" si="80"/>
        <v>1</v>
      </c>
      <c r="D510" s="148"/>
      <c r="E510" s="138">
        <f t="shared" si="81"/>
        <v>1</v>
      </c>
      <c r="F510" s="148"/>
      <c r="G510" s="138">
        <f t="shared" si="82"/>
        <v>1</v>
      </c>
      <c r="H510" s="148"/>
      <c r="I510" s="138">
        <f t="shared" si="83"/>
        <v>1</v>
      </c>
      <c r="J510" s="148"/>
      <c r="K510" s="138">
        <f t="shared" si="84"/>
        <v>1</v>
      </c>
      <c r="L510" s="148"/>
      <c r="M510" s="138">
        <f t="shared" si="85"/>
        <v>1</v>
      </c>
      <c r="N510" s="148"/>
      <c r="O510" s="138">
        <f t="shared" si="86"/>
        <v>1</v>
      </c>
      <c r="P510" s="148"/>
      <c r="Q510" s="138">
        <f t="shared" si="87"/>
        <v>1</v>
      </c>
      <c r="R510" s="201">
        <f t="shared" si="88"/>
        <v>0</v>
      </c>
      <c r="S510" s="137">
        <f t="shared" si="89"/>
        <v>0</v>
      </c>
    </row>
    <row r="511" spans="1:19">
      <c r="A511" s="146"/>
      <c r="B511" s="147"/>
      <c r="C511" s="138">
        <f t="shared" si="80"/>
        <v>1</v>
      </c>
      <c r="D511" s="148"/>
      <c r="E511" s="138">
        <f t="shared" si="81"/>
        <v>1</v>
      </c>
      <c r="F511" s="148"/>
      <c r="G511" s="138">
        <f t="shared" si="82"/>
        <v>1</v>
      </c>
      <c r="H511" s="148"/>
      <c r="I511" s="138">
        <f t="shared" si="83"/>
        <v>1</v>
      </c>
      <c r="J511" s="148"/>
      <c r="K511" s="138">
        <f t="shared" si="84"/>
        <v>1</v>
      </c>
      <c r="L511" s="148"/>
      <c r="M511" s="138">
        <f t="shared" si="85"/>
        <v>1</v>
      </c>
      <c r="N511" s="148"/>
      <c r="O511" s="138">
        <f t="shared" si="86"/>
        <v>1</v>
      </c>
      <c r="P511" s="148"/>
      <c r="Q511" s="138">
        <f t="shared" si="87"/>
        <v>1</v>
      </c>
      <c r="R511" s="201">
        <f t="shared" si="88"/>
        <v>0</v>
      </c>
      <c r="S511" s="137">
        <f t="shared" si="89"/>
        <v>0</v>
      </c>
    </row>
    <row r="512" spans="1:19">
      <c r="A512" s="146"/>
      <c r="B512" s="147"/>
      <c r="C512" s="138">
        <f t="shared" si="80"/>
        <v>1</v>
      </c>
      <c r="D512" s="148"/>
      <c r="E512" s="138">
        <f t="shared" si="81"/>
        <v>1</v>
      </c>
      <c r="F512" s="148"/>
      <c r="G512" s="138">
        <f t="shared" si="82"/>
        <v>1</v>
      </c>
      <c r="H512" s="148"/>
      <c r="I512" s="138">
        <f t="shared" si="83"/>
        <v>1</v>
      </c>
      <c r="J512" s="148"/>
      <c r="K512" s="138">
        <f t="shared" si="84"/>
        <v>1</v>
      </c>
      <c r="L512" s="148"/>
      <c r="M512" s="138">
        <f t="shared" si="85"/>
        <v>1</v>
      </c>
      <c r="N512" s="148"/>
      <c r="O512" s="138">
        <f t="shared" si="86"/>
        <v>1</v>
      </c>
      <c r="P512" s="148"/>
      <c r="Q512" s="138">
        <f t="shared" si="87"/>
        <v>1</v>
      </c>
      <c r="R512" s="201">
        <f t="shared" si="88"/>
        <v>0</v>
      </c>
      <c r="S512" s="137">
        <f t="shared" si="89"/>
        <v>0</v>
      </c>
    </row>
    <row r="513" spans="1:19">
      <c r="A513" s="146"/>
      <c r="B513" s="147"/>
      <c r="C513" s="138">
        <f t="shared" si="80"/>
        <v>1</v>
      </c>
      <c r="D513" s="148"/>
      <c r="E513" s="138">
        <f t="shared" si="81"/>
        <v>1</v>
      </c>
      <c r="F513" s="148"/>
      <c r="G513" s="138">
        <f t="shared" si="82"/>
        <v>1</v>
      </c>
      <c r="H513" s="148"/>
      <c r="I513" s="138">
        <f t="shared" si="83"/>
        <v>1</v>
      </c>
      <c r="J513" s="148"/>
      <c r="K513" s="138">
        <f t="shared" si="84"/>
        <v>1</v>
      </c>
      <c r="L513" s="148"/>
      <c r="M513" s="138">
        <f t="shared" si="85"/>
        <v>1</v>
      </c>
      <c r="N513" s="148"/>
      <c r="O513" s="138">
        <f t="shared" si="86"/>
        <v>1</v>
      </c>
      <c r="P513" s="148"/>
      <c r="Q513" s="138">
        <f t="shared" si="87"/>
        <v>1</v>
      </c>
      <c r="R513" s="201">
        <f t="shared" si="88"/>
        <v>0</v>
      </c>
      <c r="S513" s="137">
        <f t="shared" si="89"/>
        <v>0</v>
      </c>
    </row>
    <row r="514" spans="1:19">
      <c r="A514" s="146"/>
      <c r="B514" s="147"/>
      <c r="C514" s="138">
        <f t="shared" si="80"/>
        <v>1</v>
      </c>
      <c r="D514" s="148"/>
      <c r="E514" s="138">
        <f t="shared" si="81"/>
        <v>1</v>
      </c>
      <c r="F514" s="148"/>
      <c r="G514" s="138">
        <f t="shared" si="82"/>
        <v>1</v>
      </c>
      <c r="H514" s="148"/>
      <c r="I514" s="138">
        <f t="shared" si="83"/>
        <v>1</v>
      </c>
      <c r="J514" s="148"/>
      <c r="K514" s="138">
        <f t="shared" si="84"/>
        <v>1</v>
      </c>
      <c r="L514" s="148"/>
      <c r="M514" s="138">
        <f t="shared" si="85"/>
        <v>1</v>
      </c>
      <c r="N514" s="148"/>
      <c r="O514" s="138">
        <f t="shared" si="86"/>
        <v>1</v>
      </c>
      <c r="P514" s="148"/>
      <c r="Q514" s="138">
        <f t="shared" si="87"/>
        <v>1</v>
      </c>
      <c r="R514" s="201">
        <f t="shared" si="88"/>
        <v>0</v>
      </c>
      <c r="S514" s="137">
        <f t="shared" si="89"/>
        <v>0</v>
      </c>
    </row>
    <row r="515" spans="1:19">
      <c r="A515" s="146"/>
      <c r="B515" s="147"/>
      <c r="C515" s="138">
        <f t="shared" si="80"/>
        <v>1</v>
      </c>
      <c r="D515" s="148"/>
      <c r="E515" s="138">
        <f t="shared" si="81"/>
        <v>1</v>
      </c>
      <c r="F515" s="148"/>
      <c r="G515" s="138">
        <f t="shared" si="82"/>
        <v>1</v>
      </c>
      <c r="H515" s="148"/>
      <c r="I515" s="138">
        <f t="shared" si="83"/>
        <v>1</v>
      </c>
      <c r="J515" s="148"/>
      <c r="K515" s="138">
        <f t="shared" si="84"/>
        <v>1</v>
      </c>
      <c r="L515" s="148"/>
      <c r="M515" s="138">
        <f t="shared" si="85"/>
        <v>1</v>
      </c>
      <c r="N515" s="148"/>
      <c r="O515" s="138">
        <f t="shared" si="86"/>
        <v>1</v>
      </c>
      <c r="P515" s="148"/>
      <c r="Q515" s="138">
        <f t="shared" si="87"/>
        <v>1</v>
      </c>
      <c r="R515" s="201">
        <f t="shared" si="88"/>
        <v>0</v>
      </c>
      <c r="S515" s="137">
        <f t="shared" si="89"/>
        <v>0</v>
      </c>
    </row>
    <row r="516" spans="1:19">
      <c r="A516" s="146"/>
      <c r="B516" s="147"/>
      <c r="C516" s="138">
        <f t="shared" si="80"/>
        <v>1</v>
      </c>
      <c r="D516" s="148"/>
      <c r="E516" s="138">
        <f t="shared" si="81"/>
        <v>1</v>
      </c>
      <c r="F516" s="148"/>
      <c r="G516" s="138">
        <f t="shared" si="82"/>
        <v>1</v>
      </c>
      <c r="H516" s="148"/>
      <c r="I516" s="138">
        <f t="shared" si="83"/>
        <v>1</v>
      </c>
      <c r="J516" s="148"/>
      <c r="K516" s="138">
        <f t="shared" si="84"/>
        <v>1</v>
      </c>
      <c r="L516" s="148"/>
      <c r="M516" s="138">
        <f t="shared" si="85"/>
        <v>1</v>
      </c>
      <c r="N516" s="148"/>
      <c r="O516" s="138">
        <f t="shared" si="86"/>
        <v>1</v>
      </c>
      <c r="P516" s="148"/>
      <c r="Q516" s="138">
        <f t="shared" si="87"/>
        <v>1</v>
      </c>
      <c r="R516" s="201">
        <f t="shared" si="88"/>
        <v>0</v>
      </c>
      <c r="S516" s="137">
        <f t="shared" si="89"/>
        <v>0</v>
      </c>
    </row>
    <row r="517" spans="1:19">
      <c r="A517" s="146"/>
      <c r="B517" s="147"/>
      <c r="C517" s="138">
        <f t="shared" si="80"/>
        <v>1</v>
      </c>
      <c r="D517" s="148"/>
      <c r="E517" s="138">
        <f t="shared" si="81"/>
        <v>1</v>
      </c>
      <c r="F517" s="148"/>
      <c r="G517" s="138">
        <f t="shared" si="82"/>
        <v>1</v>
      </c>
      <c r="H517" s="148"/>
      <c r="I517" s="138">
        <f t="shared" si="83"/>
        <v>1</v>
      </c>
      <c r="J517" s="148"/>
      <c r="K517" s="138">
        <f t="shared" si="84"/>
        <v>1</v>
      </c>
      <c r="L517" s="148"/>
      <c r="M517" s="138">
        <f t="shared" si="85"/>
        <v>1</v>
      </c>
      <c r="N517" s="148"/>
      <c r="O517" s="138">
        <f t="shared" si="86"/>
        <v>1</v>
      </c>
      <c r="P517" s="148"/>
      <c r="Q517" s="138">
        <f t="shared" si="87"/>
        <v>1</v>
      </c>
      <c r="R517" s="201">
        <f t="shared" si="88"/>
        <v>0</v>
      </c>
      <c r="S517" s="137">
        <f t="shared" si="89"/>
        <v>0</v>
      </c>
    </row>
    <row r="518" spans="1:19">
      <c r="A518" s="146"/>
      <c r="B518" s="147"/>
      <c r="C518" s="138">
        <f t="shared" si="80"/>
        <v>1</v>
      </c>
      <c r="D518" s="148"/>
      <c r="E518" s="138">
        <f t="shared" si="81"/>
        <v>1</v>
      </c>
      <c r="F518" s="148"/>
      <c r="G518" s="138">
        <f t="shared" si="82"/>
        <v>1</v>
      </c>
      <c r="H518" s="148"/>
      <c r="I518" s="138">
        <f t="shared" si="83"/>
        <v>1</v>
      </c>
      <c r="J518" s="148"/>
      <c r="K518" s="138">
        <f t="shared" si="84"/>
        <v>1</v>
      </c>
      <c r="L518" s="148"/>
      <c r="M518" s="138">
        <f t="shared" si="85"/>
        <v>1</v>
      </c>
      <c r="N518" s="148"/>
      <c r="O518" s="138">
        <f t="shared" si="86"/>
        <v>1</v>
      </c>
      <c r="P518" s="148"/>
      <c r="Q518" s="138">
        <f t="shared" si="87"/>
        <v>1</v>
      </c>
      <c r="R518" s="201">
        <f t="shared" si="88"/>
        <v>0</v>
      </c>
      <c r="S518" s="137">
        <f t="shared" si="89"/>
        <v>0</v>
      </c>
    </row>
    <row r="519" spans="1:19">
      <c r="A519" s="146"/>
      <c r="B519" s="147"/>
      <c r="C519" s="138">
        <f t="shared" si="80"/>
        <v>1</v>
      </c>
      <c r="D519" s="148"/>
      <c r="E519" s="138">
        <f t="shared" si="81"/>
        <v>1</v>
      </c>
      <c r="F519" s="148"/>
      <c r="G519" s="138">
        <f t="shared" si="82"/>
        <v>1</v>
      </c>
      <c r="H519" s="148"/>
      <c r="I519" s="138">
        <f t="shared" si="83"/>
        <v>1</v>
      </c>
      <c r="J519" s="148"/>
      <c r="K519" s="138">
        <f t="shared" si="84"/>
        <v>1</v>
      </c>
      <c r="L519" s="148"/>
      <c r="M519" s="138">
        <f t="shared" si="85"/>
        <v>1</v>
      </c>
      <c r="N519" s="148"/>
      <c r="O519" s="138">
        <f t="shared" si="86"/>
        <v>1</v>
      </c>
      <c r="P519" s="148"/>
      <c r="Q519" s="138">
        <f t="shared" si="87"/>
        <v>1</v>
      </c>
      <c r="R519" s="201">
        <f t="shared" si="88"/>
        <v>0</v>
      </c>
      <c r="S519" s="137">
        <f t="shared" si="89"/>
        <v>0</v>
      </c>
    </row>
    <row r="520" spans="1:19">
      <c r="A520" s="146"/>
      <c r="B520" s="147"/>
      <c r="C520" s="138">
        <f t="shared" si="80"/>
        <v>1</v>
      </c>
      <c r="D520" s="148"/>
      <c r="E520" s="138">
        <f t="shared" si="81"/>
        <v>1</v>
      </c>
      <c r="F520" s="148"/>
      <c r="G520" s="138">
        <f t="shared" si="82"/>
        <v>1</v>
      </c>
      <c r="H520" s="148"/>
      <c r="I520" s="138">
        <f t="shared" si="83"/>
        <v>1</v>
      </c>
      <c r="J520" s="148"/>
      <c r="K520" s="138">
        <f t="shared" si="84"/>
        <v>1</v>
      </c>
      <c r="L520" s="148"/>
      <c r="M520" s="138">
        <f t="shared" si="85"/>
        <v>1</v>
      </c>
      <c r="N520" s="148"/>
      <c r="O520" s="138">
        <f t="shared" si="86"/>
        <v>1</v>
      </c>
      <c r="P520" s="148"/>
      <c r="Q520" s="138">
        <f t="shared" si="87"/>
        <v>1</v>
      </c>
      <c r="R520" s="201">
        <f t="shared" si="88"/>
        <v>0</v>
      </c>
      <c r="S520" s="137">
        <f t="shared" si="89"/>
        <v>0</v>
      </c>
    </row>
    <row r="521" spans="1:19">
      <c r="A521" s="146"/>
      <c r="B521" s="147"/>
      <c r="C521" s="138">
        <f t="shared" si="80"/>
        <v>1</v>
      </c>
      <c r="D521" s="148"/>
      <c r="E521" s="138">
        <f t="shared" si="81"/>
        <v>1</v>
      </c>
      <c r="F521" s="148"/>
      <c r="G521" s="138">
        <f t="shared" si="82"/>
        <v>1</v>
      </c>
      <c r="H521" s="148"/>
      <c r="I521" s="138">
        <f t="shared" si="83"/>
        <v>1</v>
      </c>
      <c r="J521" s="148"/>
      <c r="K521" s="138">
        <f t="shared" si="84"/>
        <v>1</v>
      </c>
      <c r="L521" s="148"/>
      <c r="M521" s="138">
        <f t="shared" si="85"/>
        <v>1</v>
      </c>
      <c r="N521" s="148"/>
      <c r="O521" s="138">
        <f t="shared" si="86"/>
        <v>1</v>
      </c>
      <c r="P521" s="148"/>
      <c r="Q521" s="138">
        <f t="shared" si="87"/>
        <v>1</v>
      </c>
      <c r="R521" s="201">
        <f t="shared" si="88"/>
        <v>0</v>
      </c>
      <c r="S521" s="137">
        <f t="shared" si="89"/>
        <v>0</v>
      </c>
    </row>
    <row r="522" spans="1:19">
      <c r="A522" s="146"/>
      <c r="B522" s="147"/>
      <c r="C522" s="138">
        <f t="shared" si="80"/>
        <v>1</v>
      </c>
      <c r="D522" s="148"/>
      <c r="E522" s="138">
        <f t="shared" si="81"/>
        <v>1</v>
      </c>
      <c r="F522" s="148"/>
      <c r="G522" s="138">
        <f t="shared" si="82"/>
        <v>1</v>
      </c>
      <c r="H522" s="148"/>
      <c r="I522" s="138">
        <f t="shared" si="83"/>
        <v>1</v>
      </c>
      <c r="J522" s="148"/>
      <c r="K522" s="138">
        <f t="shared" si="84"/>
        <v>1</v>
      </c>
      <c r="L522" s="148"/>
      <c r="M522" s="138">
        <f t="shared" si="85"/>
        <v>1</v>
      </c>
      <c r="N522" s="148"/>
      <c r="O522" s="138">
        <f t="shared" si="86"/>
        <v>1</v>
      </c>
      <c r="P522" s="148"/>
      <c r="Q522" s="138">
        <f t="shared" si="87"/>
        <v>1</v>
      </c>
      <c r="R522" s="201">
        <f t="shared" si="88"/>
        <v>0</v>
      </c>
      <c r="S522" s="137">
        <f t="shared" si="89"/>
        <v>0</v>
      </c>
    </row>
    <row r="523" spans="1:19">
      <c r="A523" s="146"/>
      <c r="B523" s="147"/>
      <c r="C523" s="138">
        <f t="shared" si="80"/>
        <v>1</v>
      </c>
      <c r="D523" s="148"/>
      <c r="E523" s="138">
        <f t="shared" si="81"/>
        <v>1</v>
      </c>
      <c r="F523" s="148"/>
      <c r="G523" s="138">
        <f t="shared" si="82"/>
        <v>1</v>
      </c>
      <c r="H523" s="148"/>
      <c r="I523" s="138">
        <f t="shared" si="83"/>
        <v>1</v>
      </c>
      <c r="J523" s="148"/>
      <c r="K523" s="138">
        <f t="shared" si="84"/>
        <v>1</v>
      </c>
      <c r="L523" s="148"/>
      <c r="M523" s="138">
        <f t="shared" si="85"/>
        <v>1</v>
      </c>
      <c r="N523" s="148"/>
      <c r="O523" s="138">
        <f t="shared" si="86"/>
        <v>1</v>
      </c>
      <c r="P523" s="148"/>
      <c r="Q523" s="138">
        <f t="shared" si="87"/>
        <v>1</v>
      </c>
      <c r="R523" s="201">
        <f t="shared" si="88"/>
        <v>0</v>
      </c>
      <c r="S523" s="137">
        <f t="shared" si="89"/>
        <v>0</v>
      </c>
    </row>
    <row r="524" spans="1:19">
      <c r="A524" s="146"/>
      <c r="B524" s="147"/>
      <c r="C524" s="138">
        <f t="shared" si="80"/>
        <v>1</v>
      </c>
      <c r="D524" s="148"/>
      <c r="E524" s="138">
        <f t="shared" si="81"/>
        <v>1</v>
      </c>
      <c r="F524" s="148"/>
      <c r="G524" s="138">
        <f t="shared" si="82"/>
        <v>1</v>
      </c>
      <c r="H524" s="148"/>
      <c r="I524" s="138">
        <f t="shared" si="83"/>
        <v>1</v>
      </c>
      <c r="J524" s="148"/>
      <c r="K524" s="138">
        <f t="shared" si="84"/>
        <v>1</v>
      </c>
      <c r="L524" s="148"/>
      <c r="M524" s="138">
        <f t="shared" si="85"/>
        <v>1</v>
      </c>
      <c r="N524" s="148"/>
      <c r="O524" s="138">
        <f t="shared" si="86"/>
        <v>1</v>
      </c>
      <c r="P524" s="148"/>
      <c r="Q524" s="138">
        <f t="shared" si="87"/>
        <v>1</v>
      </c>
      <c r="R524" s="201">
        <f t="shared" si="88"/>
        <v>0</v>
      </c>
      <c r="S524" s="137">
        <f t="shared" si="89"/>
        <v>0</v>
      </c>
    </row>
    <row r="525" spans="1:19">
      <c r="A525" s="86"/>
      <c r="B525" s="207"/>
      <c r="C525" s="207"/>
      <c r="D525" s="207"/>
      <c r="E525" s="207"/>
      <c r="F525" s="207"/>
      <c r="G525" s="207"/>
      <c r="H525" s="207"/>
      <c r="I525" s="207"/>
      <c r="J525" s="207"/>
      <c r="K525" s="207"/>
      <c r="L525" s="207"/>
      <c r="M525" s="207"/>
      <c r="N525" s="207"/>
      <c r="O525" s="207"/>
      <c r="P525" s="207"/>
      <c r="Q525" s="207"/>
      <c r="R525" s="208"/>
      <c r="S525" s="86"/>
    </row>
    <row r="526" spans="1:19">
      <c r="A526" s="86"/>
      <c r="B526" s="207"/>
      <c r="C526" s="207"/>
      <c r="D526" s="207"/>
      <c r="E526" s="207"/>
      <c r="F526" s="207"/>
      <c r="G526" s="207"/>
      <c r="H526" s="207"/>
      <c r="I526" s="207"/>
      <c r="J526" s="207"/>
      <c r="K526" s="207"/>
      <c r="L526" s="207"/>
      <c r="M526" s="207"/>
      <c r="N526" s="207"/>
      <c r="O526" s="207"/>
      <c r="P526" s="207"/>
      <c r="Q526" s="207"/>
      <c r="R526" s="208"/>
      <c r="S526" s="86"/>
    </row>
    <row r="527" spans="1:19">
      <c r="A527" s="86"/>
      <c r="B527" s="207"/>
      <c r="C527" s="207"/>
      <c r="D527" s="207"/>
      <c r="E527" s="207"/>
      <c r="F527" s="207"/>
      <c r="G527" s="207"/>
      <c r="H527" s="207"/>
      <c r="I527" s="207"/>
      <c r="J527" s="207"/>
      <c r="K527" s="207"/>
      <c r="L527" s="207"/>
      <c r="M527" s="207"/>
      <c r="N527" s="207"/>
      <c r="O527" s="207"/>
      <c r="P527" s="207"/>
      <c r="Q527" s="207"/>
      <c r="R527" s="208"/>
      <c r="S527" s="86"/>
    </row>
    <row r="528" spans="1:19">
      <c r="A528" s="86"/>
      <c r="B528" s="207"/>
      <c r="C528" s="207"/>
      <c r="D528" s="207"/>
      <c r="E528" s="207"/>
      <c r="F528" s="207"/>
      <c r="G528" s="207"/>
      <c r="H528" s="207"/>
      <c r="I528" s="207"/>
      <c r="J528" s="207"/>
      <c r="K528" s="207"/>
      <c r="L528" s="207"/>
      <c r="M528" s="207"/>
      <c r="N528" s="207"/>
      <c r="O528" s="207"/>
      <c r="P528" s="207"/>
      <c r="Q528" s="207"/>
      <c r="R528" s="208"/>
      <c r="S528" s="86"/>
    </row>
    <row r="529" spans="1:19">
      <c r="A529" s="86"/>
      <c r="B529" s="207"/>
      <c r="C529" s="207"/>
      <c r="D529" s="207"/>
      <c r="E529" s="207"/>
      <c r="F529" s="207"/>
      <c r="G529" s="207"/>
      <c r="H529" s="207"/>
      <c r="I529" s="207"/>
      <c r="J529" s="207"/>
      <c r="K529" s="207"/>
      <c r="L529" s="207"/>
      <c r="M529" s="207"/>
      <c r="N529" s="207"/>
      <c r="O529" s="207"/>
      <c r="P529" s="207"/>
      <c r="Q529" s="207"/>
      <c r="R529" s="208"/>
      <c r="S529" s="86"/>
    </row>
    <row r="530" spans="1:19">
      <c r="A530" s="86"/>
      <c r="B530" s="207"/>
      <c r="C530" s="207"/>
      <c r="D530" s="207"/>
      <c r="E530" s="207"/>
      <c r="F530" s="207"/>
      <c r="G530" s="207"/>
      <c r="H530" s="207"/>
      <c r="I530" s="207"/>
      <c r="J530" s="207"/>
      <c r="K530" s="207"/>
      <c r="L530" s="207"/>
      <c r="M530" s="207"/>
      <c r="N530" s="207"/>
      <c r="O530" s="207"/>
      <c r="P530" s="207"/>
      <c r="Q530" s="207"/>
      <c r="R530" s="208"/>
      <c r="S530" s="86"/>
    </row>
    <row r="531" spans="1:19">
      <c r="A531" s="86"/>
      <c r="B531" s="207"/>
      <c r="C531" s="207"/>
      <c r="D531" s="207"/>
      <c r="E531" s="207"/>
      <c r="F531" s="207"/>
      <c r="G531" s="207"/>
      <c r="H531" s="207"/>
      <c r="I531" s="207"/>
      <c r="J531" s="207"/>
      <c r="K531" s="207"/>
      <c r="L531" s="207"/>
      <c r="M531" s="207"/>
      <c r="N531" s="207"/>
      <c r="O531" s="207"/>
      <c r="P531" s="207"/>
      <c r="Q531" s="207"/>
      <c r="R531" s="208"/>
      <c r="S531" s="86"/>
    </row>
    <row r="532" spans="1:19">
      <c r="A532" s="86"/>
      <c r="B532" s="207"/>
      <c r="C532" s="207"/>
      <c r="D532" s="207"/>
      <c r="E532" s="207"/>
      <c r="F532" s="207"/>
      <c r="G532" s="207"/>
      <c r="H532" s="207"/>
      <c r="I532" s="207"/>
      <c r="J532" s="207"/>
      <c r="K532" s="207"/>
      <c r="L532" s="207"/>
      <c r="M532" s="207"/>
      <c r="N532" s="207"/>
      <c r="O532" s="207"/>
      <c r="P532" s="207"/>
      <c r="Q532" s="207"/>
      <c r="R532" s="208"/>
      <c r="S532" s="86"/>
    </row>
    <row r="533" spans="1:19">
      <c r="A533" s="86"/>
      <c r="B533" s="207"/>
      <c r="C533" s="207"/>
      <c r="D533" s="207"/>
      <c r="E533" s="207"/>
      <c r="F533" s="207"/>
      <c r="G533" s="207"/>
      <c r="H533" s="207"/>
      <c r="I533" s="207"/>
      <c r="J533" s="207"/>
      <c r="K533" s="207"/>
      <c r="L533" s="207"/>
      <c r="M533" s="207"/>
      <c r="N533" s="207"/>
      <c r="O533" s="207"/>
      <c r="P533" s="207"/>
      <c r="Q533" s="207"/>
      <c r="R533" s="208"/>
      <c r="S533" s="86"/>
    </row>
    <row r="534" spans="1:19">
      <c r="A534" s="86"/>
      <c r="B534" s="207"/>
      <c r="C534" s="207"/>
      <c r="D534" s="207"/>
      <c r="E534" s="207"/>
      <c r="F534" s="207"/>
      <c r="G534" s="207"/>
      <c r="H534" s="207"/>
      <c r="I534" s="207"/>
      <c r="J534" s="207"/>
      <c r="K534" s="207"/>
      <c r="L534" s="207"/>
      <c r="M534" s="207"/>
      <c r="N534" s="207"/>
      <c r="O534" s="207"/>
      <c r="P534" s="207"/>
      <c r="Q534" s="207"/>
      <c r="R534" s="208"/>
      <c r="S534" s="86"/>
    </row>
    <row r="535" spans="1:19">
      <c r="A535" s="86"/>
      <c r="B535" s="207"/>
      <c r="C535" s="207"/>
      <c r="D535" s="207"/>
      <c r="E535" s="207"/>
      <c r="F535" s="207"/>
      <c r="G535" s="207"/>
      <c r="H535" s="207"/>
      <c r="I535" s="207"/>
      <c r="J535" s="207"/>
      <c r="K535" s="207"/>
      <c r="L535" s="207"/>
      <c r="M535" s="207"/>
      <c r="N535" s="207"/>
      <c r="O535" s="207"/>
      <c r="P535" s="207"/>
      <c r="Q535" s="207"/>
      <c r="R535" s="208"/>
      <c r="S535" s="86"/>
    </row>
    <row r="536" spans="1:19">
      <c r="A536" s="86"/>
      <c r="B536" s="207"/>
      <c r="C536" s="207"/>
      <c r="D536" s="207"/>
      <c r="E536" s="207"/>
      <c r="F536" s="207"/>
      <c r="G536" s="207"/>
      <c r="H536" s="207"/>
      <c r="I536" s="207"/>
      <c r="J536" s="207"/>
      <c r="K536" s="207"/>
      <c r="L536" s="207"/>
      <c r="M536" s="207"/>
      <c r="N536" s="207"/>
      <c r="O536" s="207"/>
      <c r="P536" s="207"/>
      <c r="Q536" s="207"/>
      <c r="R536" s="208"/>
      <c r="S536" s="86"/>
    </row>
    <row r="537" spans="1:19">
      <c r="A537" s="86"/>
      <c r="B537" s="207"/>
      <c r="C537" s="207"/>
      <c r="D537" s="207"/>
      <c r="E537" s="207"/>
      <c r="F537" s="207"/>
      <c r="G537" s="207"/>
      <c r="H537" s="207"/>
      <c r="I537" s="207"/>
      <c r="J537" s="207"/>
      <c r="K537" s="207"/>
      <c r="L537" s="207"/>
      <c r="M537" s="207"/>
      <c r="N537" s="207"/>
      <c r="O537" s="207"/>
      <c r="P537" s="207"/>
      <c r="Q537" s="207"/>
      <c r="R537" s="208"/>
      <c r="S537" s="86"/>
    </row>
    <row r="538" spans="1:19">
      <c r="A538" s="86"/>
      <c r="B538" s="207"/>
      <c r="C538" s="207"/>
      <c r="D538" s="207"/>
      <c r="E538" s="207"/>
      <c r="F538" s="207"/>
      <c r="G538" s="207"/>
      <c r="H538" s="207"/>
      <c r="I538" s="207"/>
      <c r="J538" s="207"/>
      <c r="K538" s="207"/>
      <c r="L538" s="207"/>
      <c r="M538" s="207"/>
      <c r="N538" s="207"/>
      <c r="O538" s="207"/>
      <c r="P538" s="207"/>
      <c r="Q538" s="207"/>
      <c r="R538" s="208"/>
      <c r="S538" s="86"/>
    </row>
    <row r="539" spans="1:19">
      <c r="A539" s="86"/>
      <c r="B539" s="207"/>
      <c r="C539" s="207"/>
      <c r="D539" s="207"/>
      <c r="E539" s="207"/>
      <c r="F539" s="207"/>
      <c r="G539" s="207"/>
      <c r="H539" s="207"/>
      <c r="I539" s="207"/>
      <c r="J539" s="207"/>
      <c r="K539" s="207"/>
      <c r="L539" s="207"/>
      <c r="M539" s="207"/>
      <c r="N539" s="207"/>
      <c r="O539" s="207"/>
      <c r="P539" s="207"/>
      <c r="Q539" s="207"/>
      <c r="R539" s="208"/>
      <c r="S539" s="86"/>
    </row>
    <row r="540" spans="1:19">
      <c r="A540" s="86"/>
      <c r="B540" s="207"/>
      <c r="C540" s="207"/>
      <c r="D540" s="207"/>
      <c r="E540" s="207"/>
      <c r="F540" s="207"/>
      <c r="G540" s="207"/>
      <c r="H540" s="207"/>
      <c r="I540" s="207"/>
      <c r="J540" s="207"/>
      <c r="K540" s="207"/>
      <c r="L540" s="207"/>
      <c r="M540" s="207"/>
      <c r="N540" s="207"/>
      <c r="O540" s="207"/>
      <c r="P540" s="207"/>
      <c r="Q540" s="207"/>
      <c r="R540" s="208"/>
      <c r="S540" s="86"/>
    </row>
    <row r="541" spans="1:19">
      <c r="A541" s="86"/>
      <c r="B541" s="207"/>
      <c r="C541" s="207"/>
      <c r="D541" s="207"/>
      <c r="E541" s="207"/>
      <c r="F541" s="207"/>
      <c r="G541" s="207"/>
      <c r="H541" s="207"/>
      <c r="I541" s="207"/>
      <c r="J541" s="207"/>
      <c r="K541" s="207"/>
      <c r="L541" s="207"/>
      <c r="M541" s="207"/>
      <c r="N541" s="207"/>
      <c r="O541" s="207"/>
      <c r="P541" s="207"/>
      <c r="Q541" s="207"/>
      <c r="R541" s="208"/>
      <c r="S541" s="86"/>
    </row>
    <row r="542" spans="1:19">
      <c r="A542" s="86"/>
      <c r="B542" s="207"/>
      <c r="C542" s="207"/>
      <c r="D542" s="207"/>
      <c r="E542" s="207"/>
      <c r="F542" s="207"/>
      <c r="G542" s="207"/>
      <c r="H542" s="207"/>
      <c r="I542" s="207"/>
      <c r="J542" s="207"/>
      <c r="K542" s="207"/>
      <c r="L542" s="207"/>
      <c r="M542" s="207"/>
      <c r="N542" s="207"/>
      <c r="O542" s="207"/>
      <c r="P542" s="207"/>
      <c r="Q542" s="207"/>
      <c r="R542" s="208"/>
      <c r="S542" s="86"/>
    </row>
    <row r="543" spans="1:19">
      <c r="A543" s="86"/>
      <c r="B543" s="207"/>
      <c r="C543" s="207"/>
      <c r="D543" s="207"/>
      <c r="E543" s="207"/>
      <c r="F543" s="207"/>
      <c r="G543" s="207"/>
      <c r="H543" s="207"/>
      <c r="I543" s="207"/>
      <c r="J543" s="207"/>
      <c r="K543" s="207"/>
      <c r="L543" s="207"/>
      <c r="M543" s="207"/>
      <c r="N543" s="207"/>
      <c r="O543" s="207"/>
      <c r="P543" s="207"/>
      <c r="Q543" s="207"/>
      <c r="R543" s="208"/>
      <c r="S543" s="86"/>
    </row>
    <row r="544" spans="1:19">
      <c r="A544" s="86"/>
      <c r="B544" s="207"/>
      <c r="C544" s="207"/>
      <c r="D544" s="207"/>
      <c r="E544" s="207"/>
      <c r="F544" s="207"/>
      <c r="G544" s="207"/>
      <c r="H544" s="207"/>
      <c r="I544" s="207"/>
      <c r="J544" s="207"/>
      <c r="K544" s="207"/>
      <c r="L544" s="207"/>
      <c r="M544" s="207"/>
      <c r="N544" s="207"/>
      <c r="O544" s="207"/>
      <c r="P544" s="207"/>
      <c r="Q544" s="207"/>
      <c r="R544" s="208"/>
      <c r="S544" s="86"/>
    </row>
    <row r="545" spans="1:19">
      <c r="A545" s="86"/>
      <c r="B545" s="207"/>
      <c r="C545" s="207"/>
      <c r="D545" s="207"/>
      <c r="E545" s="207"/>
      <c r="F545" s="207"/>
      <c r="G545" s="207"/>
      <c r="H545" s="207"/>
      <c r="I545" s="207"/>
      <c r="J545" s="207"/>
      <c r="K545" s="207"/>
      <c r="L545" s="207"/>
      <c r="M545" s="207"/>
      <c r="N545" s="207"/>
      <c r="O545" s="207"/>
      <c r="P545" s="207"/>
      <c r="Q545" s="207"/>
      <c r="R545" s="208"/>
      <c r="S545" s="86"/>
    </row>
    <row r="546" spans="1:19">
      <c r="A546" s="86"/>
      <c r="B546" s="207"/>
      <c r="C546" s="207"/>
      <c r="D546" s="207"/>
      <c r="E546" s="207"/>
      <c r="F546" s="207"/>
      <c r="G546" s="207"/>
      <c r="H546" s="207"/>
      <c r="I546" s="207"/>
      <c r="J546" s="207"/>
      <c r="K546" s="207"/>
      <c r="L546" s="207"/>
      <c r="M546" s="207"/>
      <c r="N546" s="207"/>
      <c r="O546" s="207"/>
      <c r="P546" s="207"/>
      <c r="Q546" s="207"/>
      <c r="R546" s="208"/>
      <c r="S546" s="86"/>
    </row>
    <row r="547" spans="1:19">
      <c r="A547" s="86"/>
      <c r="B547" s="207"/>
      <c r="C547" s="207"/>
      <c r="D547" s="207"/>
      <c r="E547" s="207"/>
      <c r="F547" s="207"/>
      <c r="G547" s="207"/>
      <c r="H547" s="207"/>
      <c r="I547" s="207"/>
      <c r="J547" s="207"/>
      <c r="K547" s="207"/>
      <c r="L547" s="207"/>
      <c r="M547" s="207"/>
      <c r="N547" s="207"/>
      <c r="O547" s="207"/>
      <c r="P547" s="207"/>
      <c r="Q547" s="207"/>
      <c r="R547" s="208"/>
      <c r="S547" s="86"/>
    </row>
    <row r="548" spans="1:19">
      <c r="A548" s="86"/>
      <c r="B548" s="207"/>
      <c r="C548" s="207"/>
      <c r="D548" s="207"/>
      <c r="E548" s="207"/>
      <c r="F548" s="207"/>
      <c r="G548" s="207"/>
      <c r="H548" s="207"/>
      <c r="I548" s="207"/>
      <c r="J548" s="207"/>
      <c r="K548" s="207"/>
      <c r="L548" s="207"/>
      <c r="M548" s="207"/>
      <c r="N548" s="207"/>
      <c r="O548" s="207"/>
      <c r="P548" s="207"/>
      <c r="Q548" s="207"/>
      <c r="R548" s="208"/>
      <c r="S548" s="86"/>
    </row>
    <row r="549" spans="1:19">
      <c r="A549" s="86"/>
      <c r="B549" s="207"/>
      <c r="C549" s="207"/>
      <c r="D549" s="207"/>
      <c r="E549" s="207"/>
      <c r="F549" s="207"/>
      <c r="G549" s="207"/>
      <c r="H549" s="207"/>
      <c r="I549" s="207"/>
      <c r="J549" s="207"/>
      <c r="K549" s="207"/>
      <c r="L549" s="207"/>
      <c r="M549" s="207"/>
      <c r="N549" s="207"/>
      <c r="O549" s="207"/>
      <c r="P549" s="207"/>
      <c r="Q549" s="207"/>
      <c r="R549" s="208"/>
      <c r="S549" s="86"/>
    </row>
    <row r="550" spans="1:19">
      <c r="A550" s="86"/>
      <c r="B550" s="207"/>
      <c r="C550" s="207"/>
      <c r="D550" s="207"/>
      <c r="E550" s="207"/>
      <c r="F550" s="207"/>
      <c r="G550" s="207"/>
      <c r="H550" s="207"/>
      <c r="I550" s="207"/>
      <c r="J550" s="207"/>
      <c r="K550" s="207"/>
      <c r="L550" s="207"/>
      <c r="M550" s="207"/>
      <c r="N550" s="207"/>
      <c r="O550" s="207"/>
      <c r="P550" s="207"/>
      <c r="Q550" s="207"/>
      <c r="R550" s="208"/>
      <c r="S550" s="86"/>
    </row>
    <row r="551" spans="1:19">
      <c r="A551" s="86"/>
      <c r="B551" s="207"/>
      <c r="C551" s="207"/>
      <c r="D551" s="207"/>
      <c r="E551" s="207"/>
      <c r="F551" s="207"/>
      <c r="G551" s="207"/>
      <c r="H551" s="207"/>
      <c r="I551" s="207"/>
      <c r="J551" s="207"/>
      <c r="K551" s="207"/>
      <c r="L551" s="207"/>
      <c r="M551" s="207"/>
      <c r="N551" s="207"/>
      <c r="O551" s="207"/>
      <c r="P551" s="207"/>
      <c r="Q551" s="207"/>
      <c r="R551" s="208"/>
      <c r="S551" s="86"/>
    </row>
    <row r="552" spans="1:19">
      <c r="A552" s="86"/>
      <c r="B552" s="207"/>
      <c r="C552" s="207"/>
      <c r="D552" s="207"/>
      <c r="E552" s="207"/>
      <c r="F552" s="207"/>
      <c r="G552" s="207"/>
      <c r="H552" s="207"/>
      <c r="I552" s="207"/>
      <c r="J552" s="207"/>
      <c r="K552" s="207"/>
      <c r="L552" s="207"/>
      <c r="M552" s="207"/>
      <c r="N552" s="207"/>
      <c r="O552" s="207"/>
      <c r="P552" s="207"/>
      <c r="Q552" s="207"/>
      <c r="R552" s="208"/>
      <c r="S552" s="86"/>
    </row>
    <row r="553" spans="1:19">
      <c r="A553" s="86"/>
      <c r="B553" s="207"/>
      <c r="C553" s="207"/>
      <c r="D553" s="207"/>
      <c r="E553" s="207"/>
      <c r="F553" s="207"/>
      <c r="G553" s="207"/>
      <c r="H553" s="207"/>
      <c r="I553" s="207"/>
      <c r="J553" s="207"/>
      <c r="K553" s="207"/>
      <c r="L553" s="207"/>
      <c r="M553" s="207"/>
      <c r="N553" s="207"/>
      <c r="O553" s="207"/>
      <c r="P553" s="207"/>
      <c r="Q553" s="207"/>
      <c r="R553" s="208"/>
      <c r="S553" s="86"/>
    </row>
    <row r="554" spans="1:19">
      <c r="A554" s="86"/>
      <c r="B554" s="207"/>
      <c r="C554" s="207"/>
      <c r="D554" s="207"/>
      <c r="E554" s="207"/>
      <c r="F554" s="207"/>
      <c r="G554" s="207"/>
      <c r="H554" s="207"/>
      <c r="I554" s="207"/>
      <c r="J554" s="207"/>
      <c r="K554" s="207"/>
      <c r="L554" s="207"/>
      <c r="M554" s="207"/>
      <c r="N554" s="207"/>
      <c r="O554" s="207"/>
      <c r="P554" s="207"/>
      <c r="Q554" s="207"/>
      <c r="R554" s="208"/>
      <c r="S554" s="86"/>
    </row>
    <row r="555" spans="1:19">
      <c r="A555" s="86"/>
      <c r="B555" s="207"/>
      <c r="C555" s="207"/>
      <c r="D555" s="207"/>
      <c r="E555" s="207"/>
      <c r="F555" s="207"/>
      <c r="G555" s="207"/>
      <c r="H555" s="207"/>
      <c r="I555" s="207"/>
      <c r="J555" s="207"/>
      <c r="K555" s="207"/>
      <c r="L555" s="207"/>
      <c r="M555" s="207"/>
      <c r="N555" s="207"/>
      <c r="O555" s="207"/>
      <c r="P555" s="207"/>
      <c r="Q555" s="207"/>
      <c r="R555" s="208"/>
      <c r="S555" s="86"/>
    </row>
    <row r="556" spans="1:19">
      <c r="A556" s="86"/>
      <c r="B556" s="207"/>
      <c r="C556" s="207"/>
      <c r="D556" s="207"/>
      <c r="E556" s="207"/>
      <c r="F556" s="207"/>
      <c r="G556" s="207"/>
      <c r="H556" s="207"/>
      <c r="I556" s="207"/>
      <c r="J556" s="207"/>
      <c r="K556" s="207"/>
      <c r="L556" s="207"/>
      <c r="M556" s="207"/>
      <c r="N556" s="207"/>
      <c r="O556" s="207"/>
      <c r="P556" s="207"/>
      <c r="Q556" s="207"/>
      <c r="R556" s="208"/>
      <c r="S556" s="86"/>
    </row>
    <row r="557" spans="1:19">
      <c r="A557" s="86"/>
      <c r="B557" s="207"/>
      <c r="C557" s="207"/>
      <c r="D557" s="207"/>
      <c r="E557" s="207"/>
      <c r="F557" s="207"/>
      <c r="G557" s="207"/>
      <c r="H557" s="207"/>
      <c r="I557" s="207"/>
      <c r="J557" s="207"/>
      <c r="K557" s="207"/>
      <c r="L557" s="207"/>
      <c r="M557" s="207"/>
      <c r="N557" s="207"/>
      <c r="O557" s="207"/>
      <c r="P557" s="207"/>
      <c r="Q557" s="207"/>
      <c r="R557" s="208"/>
      <c r="S557" s="86"/>
    </row>
    <row r="558" spans="1:19">
      <c r="A558" s="86"/>
      <c r="B558" s="207"/>
      <c r="C558" s="207"/>
      <c r="D558" s="207"/>
      <c r="E558" s="207"/>
      <c r="F558" s="207"/>
      <c r="G558" s="207"/>
      <c r="H558" s="207"/>
      <c r="I558" s="207"/>
      <c r="J558" s="207"/>
      <c r="K558" s="207"/>
      <c r="L558" s="207"/>
      <c r="M558" s="207"/>
      <c r="N558" s="207"/>
      <c r="O558" s="207"/>
      <c r="P558" s="207"/>
      <c r="Q558" s="207"/>
      <c r="R558" s="208"/>
      <c r="S558" s="86"/>
    </row>
    <row r="559" spans="1:19">
      <c r="A559" s="86"/>
      <c r="B559" s="207"/>
      <c r="C559" s="207"/>
      <c r="D559" s="207"/>
      <c r="E559" s="207"/>
      <c r="F559" s="207"/>
      <c r="G559" s="207"/>
      <c r="H559" s="207"/>
      <c r="I559" s="207"/>
      <c r="J559" s="207"/>
      <c r="K559" s="207"/>
      <c r="L559" s="207"/>
      <c r="M559" s="207"/>
      <c r="N559" s="207"/>
      <c r="O559" s="207"/>
      <c r="P559" s="207"/>
      <c r="Q559" s="207"/>
      <c r="R559" s="208"/>
      <c r="S559" s="86"/>
    </row>
    <row r="560" spans="1:19">
      <c r="A560" s="86"/>
      <c r="B560" s="207"/>
      <c r="C560" s="207"/>
      <c r="D560" s="207"/>
      <c r="E560" s="207"/>
      <c r="F560" s="207"/>
      <c r="G560" s="207"/>
      <c r="H560" s="207"/>
      <c r="I560" s="207"/>
      <c r="J560" s="207"/>
      <c r="K560" s="207"/>
      <c r="L560" s="207"/>
      <c r="M560" s="207"/>
      <c r="N560" s="207"/>
      <c r="O560" s="207"/>
      <c r="P560" s="207"/>
      <c r="Q560" s="207"/>
      <c r="R560" s="208"/>
      <c r="S560" s="86"/>
    </row>
    <row r="561" spans="1:19">
      <c r="A561" s="86"/>
      <c r="B561" s="207"/>
      <c r="C561" s="207"/>
      <c r="D561" s="207"/>
      <c r="E561" s="207"/>
      <c r="F561" s="207"/>
      <c r="G561" s="207"/>
      <c r="H561" s="207"/>
      <c r="I561" s="207"/>
      <c r="J561" s="207"/>
      <c r="K561" s="207"/>
      <c r="L561" s="207"/>
      <c r="M561" s="207"/>
      <c r="N561" s="207"/>
      <c r="O561" s="207"/>
      <c r="P561" s="207"/>
      <c r="Q561" s="207"/>
      <c r="R561" s="208"/>
      <c r="S561" s="86"/>
    </row>
    <row r="562" spans="1:19">
      <c r="A562" s="86"/>
      <c r="B562" s="207"/>
      <c r="C562" s="207"/>
      <c r="D562" s="207"/>
      <c r="E562" s="207"/>
      <c r="F562" s="207"/>
      <c r="G562" s="207"/>
      <c r="H562" s="207"/>
      <c r="I562" s="207"/>
      <c r="J562" s="207"/>
      <c r="K562" s="207"/>
      <c r="L562" s="207"/>
      <c r="M562" s="207"/>
      <c r="N562" s="207"/>
      <c r="O562" s="207"/>
      <c r="P562" s="207"/>
      <c r="Q562" s="207"/>
      <c r="R562" s="208"/>
      <c r="S562" s="86"/>
    </row>
    <row r="563" spans="1:19">
      <c r="A563" s="86"/>
      <c r="B563" s="207"/>
      <c r="C563" s="207"/>
      <c r="D563" s="207"/>
      <c r="E563" s="207"/>
      <c r="F563" s="207"/>
      <c r="G563" s="207"/>
      <c r="H563" s="207"/>
      <c r="I563" s="207"/>
      <c r="J563" s="207"/>
      <c r="K563" s="207"/>
      <c r="L563" s="207"/>
      <c r="M563" s="207"/>
      <c r="N563" s="207"/>
      <c r="O563" s="207"/>
      <c r="P563" s="207"/>
      <c r="Q563" s="207"/>
      <c r="R563" s="208"/>
      <c r="S563" s="86"/>
    </row>
    <row r="564" spans="1:19">
      <c r="A564" s="86"/>
      <c r="B564" s="207"/>
      <c r="C564" s="207"/>
      <c r="D564" s="207"/>
      <c r="E564" s="207"/>
      <c r="F564" s="207"/>
      <c r="G564" s="207"/>
      <c r="H564" s="207"/>
      <c r="I564" s="207"/>
      <c r="J564" s="207"/>
      <c r="K564" s="207"/>
      <c r="L564" s="207"/>
      <c r="M564" s="207"/>
      <c r="N564" s="207"/>
      <c r="O564" s="207"/>
      <c r="P564" s="207"/>
      <c r="Q564" s="207"/>
      <c r="R564" s="208"/>
      <c r="S564" s="86"/>
    </row>
    <row r="565" spans="1:19">
      <c r="A565" s="86"/>
      <c r="B565" s="207"/>
      <c r="C565" s="207"/>
      <c r="D565" s="207"/>
      <c r="E565" s="207"/>
      <c r="F565" s="207"/>
      <c r="G565" s="207"/>
      <c r="H565" s="207"/>
      <c r="I565" s="207"/>
      <c r="J565" s="207"/>
      <c r="K565" s="207"/>
      <c r="L565" s="207"/>
      <c r="M565" s="207"/>
      <c r="N565" s="207"/>
      <c r="O565" s="207"/>
      <c r="P565" s="207"/>
      <c r="Q565" s="207"/>
      <c r="R565" s="208"/>
      <c r="S565" s="86"/>
    </row>
    <row r="566" spans="1:19">
      <c r="A566" s="86"/>
      <c r="B566" s="207"/>
      <c r="C566" s="207"/>
      <c r="D566" s="207"/>
      <c r="E566" s="207"/>
      <c r="F566" s="207"/>
      <c r="G566" s="207"/>
      <c r="H566" s="207"/>
      <c r="I566" s="207"/>
      <c r="J566" s="207"/>
      <c r="K566" s="207"/>
      <c r="L566" s="207"/>
      <c r="M566" s="207"/>
      <c r="N566" s="207"/>
      <c r="O566" s="207"/>
      <c r="P566" s="207"/>
      <c r="Q566" s="207"/>
      <c r="R566" s="208"/>
      <c r="S566" s="86"/>
    </row>
    <row r="567" spans="1:19">
      <c r="A567" s="86"/>
      <c r="B567" s="207"/>
      <c r="C567" s="207"/>
      <c r="D567" s="207"/>
      <c r="E567" s="207"/>
      <c r="F567" s="207"/>
      <c r="G567" s="207"/>
      <c r="H567" s="207"/>
      <c r="I567" s="207"/>
      <c r="J567" s="207"/>
      <c r="K567" s="207"/>
      <c r="L567" s="207"/>
      <c r="M567" s="207"/>
      <c r="N567" s="207"/>
      <c r="O567" s="207"/>
      <c r="P567" s="207"/>
      <c r="Q567" s="207"/>
      <c r="R567" s="208"/>
      <c r="S567" s="86"/>
    </row>
    <row r="568" spans="1:19">
      <c r="A568" s="86"/>
      <c r="B568" s="207"/>
      <c r="C568" s="207"/>
      <c r="D568" s="207"/>
      <c r="E568" s="207"/>
      <c r="F568" s="207"/>
      <c r="G568" s="207"/>
      <c r="H568" s="207"/>
      <c r="I568" s="207"/>
      <c r="J568" s="207"/>
      <c r="K568" s="207"/>
      <c r="L568" s="207"/>
      <c r="M568" s="207"/>
      <c r="N568" s="207"/>
      <c r="O568" s="207"/>
      <c r="P568" s="207"/>
      <c r="Q568" s="207"/>
      <c r="R568" s="208"/>
      <c r="S568" s="86"/>
    </row>
    <row r="569" spans="1:19">
      <c r="A569" s="86"/>
      <c r="B569" s="207"/>
      <c r="C569" s="207"/>
      <c r="D569" s="207"/>
      <c r="E569" s="207"/>
      <c r="F569" s="207"/>
      <c r="G569" s="207"/>
      <c r="H569" s="207"/>
      <c r="I569" s="207"/>
      <c r="J569" s="207"/>
      <c r="K569" s="207"/>
      <c r="L569" s="207"/>
      <c r="M569" s="207"/>
      <c r="N569" s="207"/>
      <c r="O569" s="207"/>
      <c r="P569" s="207"/>
      <c r="Q569" s="207"/>
      <c r="R569" s="208"/>
      <c r="S569" s="86"/>
    </row>
    <row r="570" spans="1:19">
      <c r="A570" s="86"/>
      <c r="B570" s="207"/>
      <c r="C570" s="207"/>
      <c r="D570" s="207"/>
      <c r="E570" s="207"/>
      <c r="F570" s="207"/>
      <c r="G570" s="207"/>
      <c r="H570" s="207"/>
      <c r="I570" s="207"/>
      <c r="J570" s="207"/>
      <c r="K570" s="207"/>
      <c r="L570" s="207"/>
      <c r="M570" s="207"/>
      <c r="N570" s="207"/>
      <c r="O570" s="207"/>
      <c r="P570" s="207"/>
      <c r="Q570" s="207"/>
      <c r="R570" s="208"/>
      <c r="S570" s="86"/>
    </row>
    <row r="571" spans="1:19">
      <c r="A571" s="86"/>
      <c r="B571" s="207"/>
      <c r="C571" s="207"/>
      <c r="D571" s="207"/>
      <c r="E571" s="207"/>
      <c r="F571" s="207"/>
      <c r="G571" s="207"/>
      <c r="H571" s="207"/>
      <c r="I571" s="207"/>
      <c r="J571" s="207"/>
      <c r="K571" s="207"/>
      <c r="L571" s="207"/>
      <c r="M571" s="207"/>
      <c r="N571" s="207"/>
      <c r="O571" s="207"/>
      <c r="P571" s="207"/>
      <c r="Q571" s="207"/>
      <c r="R571" s="208"/>
      <c r="S571" s="86"/>
    </row>
    <row r="572" spans="1:19">
      <c r="A572" s="86"/>
      <c r="B572" s="207"/>
      <c r="C572" s="207"/>
      <c r="D572" s="207"/>
      <c r="E572" s="207"/>
      <c r="F572" s="207"/>
      <c r="G572" s="207"/>
      <c r="H572" s="207"/>
      <c r="I572" s="207"/>
      <c r="J572" s="207"/>
      <c r="K572" s="207"/>
      <c r="L572" s="207"/>
      <c r="M572" s="207"/>
      <c r="N572" s="207"/>
      <c r="O572" s="207"/>
      <c r="P572" s="207"/>
      <c r="Q572" s="207"/>
      <c r="R572" s="208"/>
      <c r="S572" s="86"/>
    </row>
    <row r="573" spans="1:19">
      <c r="A573" s="86"/>
      <c r="B573" s="207"/>
      <c r="C573" s="207"/>
      <c r="D573" s="207"/>
      <c r="E573" s="207"/>
      <c r="F573" s="207"/>
      <c r="G573" s="207"/>
      <c r="H573" s="207"/>
      <c r="I573" s="207"/>
      <c r="J573" s="207"/>
      <c r="K573" s="207"/>
      <c r="L573" s="207"/>
      <c r="M573" s="207"/>
      <c r="N573" s="207"/>
      <c r="O573" s="207"/>
      <c r="P573" s="207"/>
      <c r="Q573" s="207"/>
      <c r="R573" s="208"/>
      <c r="S573" s="86"/>
    </row>
    <row r="574" spans="1:19">
      <c r="A574" s="86"/>
      <c r="B574" s="207"/>
      <c r="C574" s="207"/>
      <c r="D574" s="207"/>
      <c r="E574" s="207"/>
      <c r="F574" s="207"/>
      <c r="G574" s="207"/>
      <c r="H574" s="207"/>
      <c r="I574" s="207"/>
      <c r="J574" s="207"/>
      <c r="K574" s="207"/>
      <c r="L574" s="207"/>
      <c r="M574" s="207"/>
      <c r="N574" s="207"/>
      <c r="O574" s="207"/>
      <c r="P574" s="207"/>
      <c r="Q574" s="207"/>
      <c r="R574" s="208"/>
      <c r="S574" s="86"/>
    </row>
    <row r="575" spans="1:19">
      <c r="A575" s="86"/>
      <c r="B575" s="207"/>
      <c r="C575" s="207"/>
      <c r="D575" s="207"/>
      <c r="E575" s="207"/>
      <c r="F575" s="207"/>
      <c r="G575" s="207"/>
      <c r="H575" s="207"/>
      <c r="I575" s="207"/>
      <c r="J575" s="207"/>
      <c r="K575" s="207"/>
      <c r="L575" s="207"/>
      <c r="M575" s="207"/>
      <c r="N575" s="207"/>
      <c r="O575" s="207"/>
      <c r="P575" s="207"/>
      <c r="Q575" s="207"/>
      <c r="R575" s="208"/>
      <c r="S575" s="86"/>
    </row>
    <row r="576" spans="1:19">
      <c r="A576" s="86"/>
      <c r="B576" s="207"/>
      <c r="C576" s="207"/>
      <c r="D576" s="207"/>
      <c r="E576" s="207"/>
      <c r="F576" s="207"/>
      <c r="G576" s="207"/>
      <c r="H576" s="207"/>
      <c r="I576" s="207"/>
      <c r="J576" s="207"/>
      <c r="K576" s="207"/>
      <c r="L576" s="207"/>
      <c r="M576" s="207"/>
      <c r="N576" s="207"/>
      <c r="O576" s="207"/>
      <c r="P576" s="207"/>
      <c r="Q576" s="207"/>
      <c r="R576" s="208"/>
      <c r="S576" s="86"/>
    </row>
    <row r="577" spans="1:19">
      <c r="A577" s="86"/>
      <c r="B577" s="207"/>
      <c r="C577" s="207"/>
      <c r="D577" s="207"/>
      <c r="E577" s="207"/>
      <c r="F577" s="207"/>
      <c r="G577" s="207"/>
      <c r="H577" s="207"/>
      <c r="I577" s="207"/>
      <c r="J577" s="207"/>
      <c r="K577" s="207"/>
      <c r="L577" s="207"/>
      <c r="M577" s="207"/>
      <c r="N577" s="207"/>
      <c r="O577" s="207"/>
      <c r="P577" s="207"/>
      <c r="Q577" s="207"/>
      <c r="R577" s="208"/>
      <c r="S577" s="86"/>
    </row>
    <row r="578" spans="1:19">
      <c r="A578" s="86"/>
      <c r="B578" s="207"/>
      <c r="C578" s="207"/>
      <c r="D578" s="207"/>
      <c r="E578" s="207"/>
      <c r="F578" s="207"/>
      <c r="G578" s="207"/>
      <c r="H578" s="207"/>
      <c r="I578" s="207"/>
      <c r="J578" s="207"/>
      <c r="K578" s="207"/>
      <c r="L578" s="207"/>
      <c r="M578" s="207"/>
      <c r="N578" s="207"/>
      <c r="O578" s="207"/>
      <c r="P578" s="207"/>
      <c r="Q578" s="207"/>
      <c r="R578" s="208"/>
      <c r="S578" s="86"/>
    </row>
    <row r="579" spans="1:19">
      <c r="A579" s="86"/>
      <c r="B579" s="207"/>
      <c r="C579" s="207"/>
      <c r="D579" s="207"/>
      <c r="E579" s="207"/>
      <c r="F579" s="207"/>
      <c r="G579" s="207"/>
      <c r="H579" s="207"/>
      <c r="I579" s="207"/>
      <c r="J579" s="207"/>
      <c r="K579" s="207"/>
      <c r="L579" s="207"/>
      <c r="M579" s="207"/>
      <c r="N579" s="207"/>
      <c r="O579" s="207"/>
      <c r="P579" s="207"/>
      <c r="Q579" s="207"/>
      <c r="R579" s="208"/>
      <c r="S579" s="86"/>
    </row>
    <row r="580" spans="1:19">
      <c r="A580" s="86"/>
      <c r="B580" s="207"/>
      <c r="C580" s="207"/>
      <c r="D580" s="207"/>
      <c r="E580" s="207"/>
      <c r="F580" s="207"/>
      <c r="G580" s="207"/>
      <c r="H580" s="207"/>
      <c r="I580" s="207"/>
      <c r="J580" s="207"/>
      <c r="K580" s="207"/>
      <c r="L580" s="207"/>
      <c r="M580" s="207"/>
      <c r="N580" s="207"/>
      <c r="O580" s="207"/>
      <c r="P580" s="207"/>
      <c r="Q580" s="207"/>
      <c r="R580" s="208"/>
      <c r="S580" s="86"/>
    </row>
    <row r="581" spans="1:19">
      <c r="A581" s="86"/>
      <c r="B581" s="207"/>
      <c r="C581" s="207"/>
      <c r="D581" s="207"/>
      <c r="E581" s="207"/>
      <c r="F581" s="207"/>
      <c r="G581" s="207"/>
      <c r="H581" s="207"/>
      <c r="I581" s="207"/>
      <c r="J581" s="207"/>
      <c r="K581" s="207"/>
      <c r="L581" s="207"/>
      <c r="M581" s="207"/>
      <c r="N581" s="207"/>
      <c r="O581" s="207"/>
      <c r="P581" s="207"/>
      <c r="Q581" s="207"/>
      <c r="R581" s="208"/>
      <c r="S581" s="86"/>
    </row>
    <row r="582" spans="1:19">
      <c r="A582" s="86"/>
      <c r="B582" s="207"/>
      <c r="C582" s="207"/>
      <c r="D582" s="207"/>
      <c r="E582" s="207"/>
      <c r="F582" s="207"/>
      <c r="G582" s="207"/>
      <c r="H582" s="207"/>
      <c r="I582" s="207"/>
      <c r="J582" s="207"/>
      <c r="K582" s="207"/>
      <c r="L582" s="207"/>
      <c r="M582" s="207"/>
      <c r="N582" s="207"/>
      <c r="O582" s="207"/>
      <c r="P582" s="207"/>
      <c r="Q582" s="207"/>
      <c r="R582" s="208"/>
      <c r="S582" s="86"/>
    </row>
    <row r="583" spans="1:19">
      <c r="A583" s="86"/>
      <c r="B583" s="207"/>
      <c r="C583" s="207"/>
      <c r="D583" s="207"/>
      <c r="E583" s="207"/>
      <c r="F583" s="207"/>
      <c r="G583" s="207"/>
      <c r="H583" s="207"/>
      <c r="I583" s="207"/>
      <c r="J583" s="207"/>
      <c r="K583" s="207"/>
      <c r="L583" s="207"/>
      <c r="M583" s="207"/>
      <c r="N583" s="207"/>
      <c r="O583" s="207"/>
      <c r="P583" s="207"/>
      <c r="Q583" s="207"/>
      <c r="R583" s="208"/>
      <c r="S583" s="86"/>
    </row>
    <row r="584" spans="1:19">
      <c r="A584" s="86"/>
      <c r="B584" s="207"/>
      <c r="C584" s="207"/>
      <c r="D584" s="207"/>
      <c r="E584" s="207"/>
      <c r="F584" s="207"/>
      <c r="G584" s="207"/>
      <c r="H584" s="207"/>
      <c r="I584" s="207"/>
      <c r="J584" s="207"/>
      <c r="K584" s="207"/>
      <c r="L584" s="207"/>
      <c r="M584" s="207"/>
      <c r="N584" s="207"/>
      <c r="O584" s="207"/>
      <c r="P584" s="207"/>
      <c r="Q584" s="207"/>
      <c r="R584" s="208"/>
      <c r="S584" s="86"/>
    </row>
    <row r="585" spans="1:19">
      <c r="A585" s="86"/>
      <c r="B585" s="207"/>
      <c r="C585" s="207"/>
      <c r="D585" s="207"/>
      <c r="E585" s="207"/>
      <c r="F585" s="207"/>
      <c r="G585" s="207"/>
      <c r="H585" s="207"/>
      <c r="I585" s="207"/>
      <c r="J585" s="207"/>
      <c r="K585" s="207"/>
      <c r="L585" s="207"/>
      <c r="M585" s="207"/>
      <c r="N585" s="207"/>
      <c r="O585" s="207"/>
      <c r="P585" s="207"/>
      <c r="Q585" s="207"/>
      <c r="R585" s="208"/>
      <c r="S585" s="86"/>
    </row>
    <row r="586" spans="1:19">
      <c r="A586" s="86"/>
      <c r="B586" s="207"/>
      <c r="C586" s="207"/>
      <c r="D586" s="207"/>
      <c r="E586" s="207"/>
      <c r="F586" s="207"/>
      <c r="G586" s="207"/>
      <c r="H586" s="207"/>
      <c r="I586" s="207"/>
      <c r="J586" s="207"/>
      <c r="K586" s="207"/>
      <c r="L586" s="207"/>
      <c r="M586" s="207"/>
      <c r="N586" s="207"/>
      <c r="O586" s="207"/>
      <c r="P586" s="207"/>
      <c r="Q586" s="207"/>
      <c r="R586" s="208"/>
      <c r="S586" s="86"/>
    </row>
    <row r="587" spans="1:19">
      <c r="A587" s="86"/>
      <c r="B587" s="207"/>
      <c r="C587" s="207"/>
      <c r="D587" s="207"/>
      <c r="E587" s="207"/>
      <c r="F587" s="207"/>
      <c r="G587" s="207"/>
      <c r="H587" s="207"/>
      <c r="I587" s="207"/>
      <c r="J587" s="207"/>
      <c r="K587" s="207"/>
      <c r="L587" s="207"/>
      <c r="M587" s="207"/>
      <c r="N587" s="207"/>
      <c r="O587" s="207"/>
      <c r="P587" s="207"/>
      <c r="Q587" s="207"/>
      <c r="R587" s="208"/>
      <c r="S587" s="86"/>
    </row>
    <row r="588" spans="1:19">
      <c r="A588" s="86"/>
      <c r="B588" s="207"/>
      <c r="C588" s="207"/>
      <c r="D588" s="207"/>
      <c r="E588" s="207"/>
      <c r="F588" s="207"/>
      <c r="G588" s="207"/>
      <c r="H588" s="207"/>
      <c r="I588" s="207"/>
      <c r="J588" s="207"/>
      <c r="K588" s="207"/>
      <c r="L588" s="207"/>
      <c r="M588" s="207"/>
      <c r="N588" s="207"/>
      <c r="O588" s="207"/>
      <c r="P588" s="207"/>
      <c r="Q588" s="207"/>
      <c r="R588" s="208"/>
      <c r="S588" s="86"/>
    </row>
    <row r="589" spans="1:19">
      <c r="A589" s="86"/>
      <c r="B589" s="207"/>
      <c r="C589" s="207"/>
      <c r="D589" s="207"/>
      <c r="E589" s="207"/>
      <c r="F589" s="207"/>
      <c r="G589" s="207"/>
      <c r="H589" s="207"/>
      <c r="I589" s="207"/>
      <c r="J589" s="207"/>
      <c r="K589" s="207"/>
      <c r="L589" s="207"/>
      <c r="M589" s="207"/>
      <c r="N589" s="207"/>
      <c r="O589" s="207"/>
      <c r="P589" s="207"/>
      <c r="Q589" s="207"/>
      <c r="R589" s="208"/>
      <c r="S589" s="86"/>
    </row>
    <row r="590" spans="1:19">
      <c r="A590" s="86"/>
      <c r="B590" s="207"/>
      <c r="C590" s="207"/>
      <c r="D590" s="207"/>
      <c r="E590" s="207"/>
      <c r="F590" s="207"/>
      <c r="G590" s="207"/>
      <c r="H590" s="207"/>
      <c r="I590" s="207"/>
      <c r="J590" s="207"/>
      <c r="K590" s="207"/>
      <c r="L590" s="207"/>
      <c r="M590" s="207"/>
      <c r="N590" s="207"/>
      <c r="O590" s="207"/>
      <c r="P590" s="207"/>
      <c r="Q590" s="207"/>
      <c r="R590" s="208"/>
      <c r="S590" s="86"/>
    </row>
    <row r="591" spans="1:19">
      <c r="A591" s="86"/>
      <c r="B591" s="207"/>
      <c r="C591" s="207"/>
      <c r="D591" s="207"/>
      <c r="E591" s="207"/>
      <c r="F591" s="207"/>
      <c r="G591" s="207"/>
      <c r="H591" s="207"/>
      <c r="I591" s="207"/>
      <c r="J591" s="207"/>
      <c r="K591" s="207"/>
      <c r="L591" s="207"/>
      <c r="M591" s="207"/>
      <c r="N591" s="207"/>
      <c r="O591" s="207"/>
      <c r="P591" s="207"/>
      <c r="Q591" s="207"/>
      <c r="R591" s="208"/>
      <c r="S591" s="86"/>
    </row>
    <row r="592" spans="1:19">
      <c r="A592" s="86"/>
      <c r="B592" s="207"/>
      <c r="C592" s="207"/>
      <c r="D592" s="207"/>
      <c r="E592" s="207"/>
      <c r="F592" s="207"/>
      <c r="G592" s="207"/>
      <c r="H592" s="207"/>
      <c r="I592" s="207"/>
      <c r="J592" s="207"/>
      <c r="K592" s="207"/>
      <c r="L592" s="207"/>
      <c r="M592" s="207"/>
      <c r="N592" s="207"/>
      <c r="O592" s="207"/>
      <c r="P592" s="207"/>
      <c r="Q592" s="207"/>
      <c r="R592" s="208"/>
      <c r="S592" s="86"/>
    </row>
    <row r="593" spans="1:19">
      <c r="A593" s="86"/>
      <c r="B593" s="207"/>
      <c r="C593" s="207"/>
      <c r="D593" s="207"/>
      <c r="E593" s="207"/>
      <c r="F593" s="207"/>
      <c r="G593" s="207"/>
      <c r="H593" s="207"/>
      <c r="I593" s="207"/>
      <c r="J593" s="207"/>
      <c r="K593" s="207"/>
      <c r="L593" s="207"/>
      <c r="M593" s="207"/>
      <c r="N593" s="207"/>
      <c r="O593" s="207"/>
      <c r="P593" s="207"/>
      <c r="Q593" s="207"/>
      <c r="R593" s="208"/>
      <c r="S593" s="86"/>
    </row>
    <row r="594" spans="1:19">
      <c r="A594" s="86"/>
      <c r="B594" s="207"/>
      <c r="C594" s="207"/>
      <c r="D594" s="207"/>
      <c r="E594" s="207"/>
      <c r="F594" s="207"/>
      <c r="G594" s="207"/>
      <c r="H594" s="207"/>
      <c r="I594" s="207"/>
      <c r="J594" s="207"/>
      <c r="K594" s="207"/>
      <c r="L594" s="207"/>
      <c r="M594" s="207"/>
      <c r="N594" s="207"/>
      <c r="O594" s="207"/>
      <c r="P594" s="207"/>
      <c r="Q594" s="207"/>
      <c r="R594" s="208"/>
      <c r="S594" s="86"/>
    </row>
    <row r="595" spans="1:19">
      <c r="A595" s="86"/>
      <c r="B595" s="207"/>
      <c r="C595" s="207"/>
      <c r="D595" s="207"/>
      <c r="E595" s="207"/>
      <c r="F595" s="207"/>
      <c r="G595" s="207"/>
      <c r="H595" s="207"/>
      <c r="I595" s="207"/>
      <c r="J595" s="207"/>
      <c r="K595" s="207"/>
      <c r="L595" s="207"/>
      <c r="M595" s="207"/>
      <c r="N595" s="207"/>
      <c r="O595" s="207"/>
      <c r="P595" s="207"/>
      <c r="Q595" s="207"/>
      <c r="R595" s="208"/>
      <c r="S595" s="86"/>
    </row>
    <row r="596" spans="1:19">
      <c r="A596" s="86"/>
      <c r="B596" s="207"/>
      <c r="C596" s="207"/>
      <c r="D596" s="207"/>
      <c r="E596" s="207"/>
      <c r="F596" s="207"/>
      <c r="G596" s="207"/>
      <c r="H596" s="207"/>
      <c r="I596" s="207"/>
      <c r="J596" s="207"/>
      <c r="K596" s="207"/>
      <c r="L596" s="207"/>
      <c r="M596" s="207"/>
      <c r="N596" s="207"/>
      <c r="O596" s="207"/>
      <c r="P596" s="207"/>
      <c r="Q596" s="207"/>
      <c r="R596" s="208"/>
      <c r="S596" s="86"/>
    </row>
    <row r="597" spans="1:19">
      <c r="A597" s="86"/>
      <c r="B597" s="207"/>
      <c r="C597" s="207"/>
      <c r="D597" s="207"/>
      <c r="E597" s="207"/>
      <c r="F597" s="207"/>
      <c r="G597" s="207"/>
      <c r="H597" s="207"/>
      <c r="I597" s="207"/>
      <c r="J597" s="207"/>
      <c r="K597" s="207"/>
      <c r="L597" s="207"/>
      <c r="M597" s="207"/>
      <c r="N597" s="207"/>
      <c r="O597" s="207"/>
      <c r="P597" s="207"/>
      <c r="Q597" s="207"/>
      <c r="R597" s="208"/>
      <c r="S597" s="86"/>
    </row>
    <row r="598" spans="1:19">
      <c r="A598" s="86"/>
      <c r="B598" s="207"/>
      <c r="C598" s="207"/>
      <c r="D598" s="207"/>
      <c r="E598" s="207"/>
      <c r="F598" s="207"/>
      <c r="G598" s="207"/>
      <c r="H598" s="207"/>
      <c r="I598" s="207"/>
      <c r="J598" s="207"/>
      <c r="K598" s="207"/>
      <c r="L598" s="207"/>
      <c r="M598" s="207"/>
      <c r="N598" s="207"/>
      <c r="O598" s="207"/>
      <c r="P598" s="207"/>
      <c r="Q598" s="207"/>
      <c r="R598" s="208"/>
      <c r="S598" s="86"/>
    </row>
    <row r="599" spans="1:19">
      <c r="A599" s="86"/>
      <c r="B599" s="207"/>
      <c r="C599" s="207"/>
      <c r="D599" s="207"/>
      <c r="E599" s="207"/>
      <c r="F599" s="207"/>
      <c r="G599" s="207"/>
      <c r="H599" s="207"/>
      <c r="I599" s="207"/>
      <c r="J599" s="207"/>
      <c r="K599" s="207"/>
      <c r="L599" s="207"/>
      <c r="M599" s="207"/>
      <c r="N599" s="207"/>
      <c r="O599" s="207"/>
      <c r="P599" s="207"/>
      <c r="Q599" s="207"/>
      <c r="R599" s="208"/>
      <c r="S599" s="86"/>
    </row>
    <row r="600" spans="1:19">
      <c r="A600" s="86"/>
      <c r="B600" s="207"/>
      <c r="C600" s="207"/>
      <c r="D600" s="207"/>
      <c r="E600" s="207"/>
      <c r="F600" s="207"/>
      <c r="G600" s="207"/>
      <c r="H600" s="207"/>
      <c r="I600" s="207"/>
      <c r="J600" s="207"/>
      <c r="K600" s="207"/>
      <c r="L600" s="207"/>
      <c r="M600" s="207"/>
      <c r="N600" s="207"/>
      <c r="O600" s="207"/>
      <c r="P600" s="207"/>
      <c r="Q600" s="207"/>
      <c r="R600" s="208"/>
      <c r="S600" s="86"/>
    </row>
    <row r="601" spans="1:19">
      <c r="A601" s="86"/>
      <c r="B601" s="207"/>
      <c r="C601" s="207"/>
      <c r="D601" s="207"/>
      <c r="E601" s="207"/>
      <c r="F601" s="207"/>
      <c r="G601" s="207"/>
      <c r="H601" s="207"/>
      <c r="I601" s="207"/>
      <c r="J601" s="207"/>
      <c r="K601" s="207"/>
      <c r="L601" s="207"/>
      <c r="M601" s="207"/>
      <c r="N601" s="207"/>
      <c r="O601" s="207"/>
      <c r="P601" s="207"/>
      <c r="Q601" s="207"/>
      <c r="R601" s="208"/>
      <c r="S601" s="86"/>
    </row>
    <row r="602" spans="1:19">
      <c r="A602" s="86"/>
      <c r="B602" s="207"/>
      <c r="C602" s="207"/>
      <c r="D602" s="207"/>
      <c r="E602" s="207"/>
      <c r="F602" s="207"/>
      <c r="G602" s="207"/>
      <c r="H602" s="207"/>
      <c r="I602" s="207"/>
      <c r="J602" s="207"/>
      <c r="K602" s="207"/>
      <c r="L602" s="207"/>
      <c r="M602" s="207"/>
      <c r="N602" s="207"/>
      <c r="O602" s="207"/>
      <c r="P602" s="207"/>
      <c r="Q602" s="207"/>
      <c r="R602" s="208"/>
      <c r="S602" s="86"/>
    </row>
    <row r="603" spans="1:19">
      <c r="A603" s="86"/>
      <c r="B603" s="207"/>
      <c r="C603" s="207"/>
      <c r="D603" s="207"/>
      <c r="E603" s="207"/>
      <c r="F603" s="207"/>
      <c r="G603" s="207"/>
      <c r="H603" s="207"/>
      <c r="I603" s="207"/>
      <c r="J603" s="207"/>
      <c r="K603" s="207"/>
      <c r="L603" s="207"/>
      <c r="M603" s="207"/>
      <c r="N603" s="207"/>
      <c r="O603" s="207"/>
      <c r="P603" s="207"/>
      <c r="Q603" s="207"/>
      <c r="R603" s="208"/>
      <c r="S603" s="86"/>
    </row>
    <row r="604" spans="1:19">
      <c r="A604" s="86"/>
      <c r="B604" s="207"/>
      <c r="C604" s="207"/>
      <c r="D604" s="207"/>
      <c r="E604" s="207"/>
      <c r="F604" s="207"/>
      <c r="G604" s="207"/>
      <c r="H604" s="207"/>
      <c r="I604" s="207"/>
      <c r="J604" s="207"/>
      <c r="K604" s="207"/>
      <c r="L604" s="207"/>
      <c r="M604" s="207"/>
      <c r="N604" s="207"/>
      <c r="O604" s="207"/>
      <c r="P604" s="207"/>
      <c r="Q604" s="207"/>
      <c r="R604" s="208"/>
      <c r="S604" s="86"/>
    </row>
    <row r="605" spans="1:19">
      <c r="A605" s="86"/>
      <c r="B605" s="207"/>
      <c r="C605" s="207"/>
      <c r="D605" s="207"/>
      <c r="E605" s="207"/>
      <c r="F605" s="207"/>
      <c r="G605" s="207"/>
      <c r="H605" s="207"/>
      <c r="I605" s="207"/>
      <c r="J605" s="207"/>
      <c r="K605" s="207"/>
      <c r="L605" s="207"/>
      <c r="M605" s="207"/>
      <c r="N605" s="207"/>
      <c r="O605" s="207"/>
      <c r="P605" s="207"/>
      <c r="Q605" s="207"/>
      <c r="R605" s="208"/>
      <c r="S605" s="86"/>
    </row>
    <row r="606" spans="1:19">
      <c r="A606" s="86"/>
      <c r="B606" s="207"/>
      <c r="C606" s="207"/>
      <c r="D606" s="207"/>
      <c r="E606" s="207"/>
      <c r="F606" s="207"/>
      <c r="G606" s="207"/>
      <c r="H606" s="207"/>
      <c r="I606" s="207"/>
      <c r="J606" s="207"/>
      <c r="K606" s="207"/>
      <c r="L606" s="207"/>
      <c r="M606" s="207"/>
      <c r="N606" s="207"/>
      <c r="O606" s="207"/>
      <c r="P606" s="207"/>
      <c r="Q606" s="207"/>
      <c r="R606" s="208"/>
      <c r="S606" s="86"/>
    </row>
    <row r="607" spans="1:19">
      <c r="A607" s="86"/>
      <c r="B607" s="207"/>
      <c r="C607" s="207"/>
      <c r="D607" s="207"/>
      <c r="E607" s="207"/>
      <c r="F607" s="207"/>
      <c r="G607" s="207"/>
      <c r="H607" s="207"/>
      <c r="I607" s="207"/>
      <c r="J607" s="207"/>
      <c r="K607" s="207"/>
      <c r="L607" s="207"/>
      <c r="M607" s="207"/>
      <c r="N607" s="207"/>
      <c r="O607" s="207"/>
      <c r="P607" s="207"/>
      <c r="Q607" s="207"/>
      <c r="R607" s="208"/>
      <c r="S607" s="86"/>
    </row>
    <row r="608" spans="1:19">
      <c r="A608" s="86"/>
      <c r="B608" s="207"/>
      <c r="C608" s="207"/>
      <c r="D608" s="207"/>
      <c r="E608" s="207"/>
      <c r="F608" s="207"/>
      <c r="G608" s="207"/>
      <c r="H608" s="207"/>
      <c r="I608" s="207"/>
      <c r="J608" s="207"/>
      <c r="K608" s="207"/>
      <c r="L608" s="207"/>
      <c r="M608" s="207"/>
      <c r="N608" s="207"/>
      <c r="O608" s="207"/>
      <c r="P608" s="207"/>
      <c r="Q608" s="207"/>
      <c r="R608" s="208"/>
      <c r="S608" s="86"/>
    </row>
    <row r="609" spans="1:19">
      <c r="A609" s="86"/>
      <c r="B609" s="207"/>
      <c r="C609" s="207"/>
      <c r="D609" s="207"/>
      <c r="E609" s="207"/>
      <c r="F609" s="207"/>
      <c r="G609" s="207"/>
      <c r="H609" s="207"/>
      <c r="I609" s="207"/>
      <c r="J609" s="207"/>
      <c r="K609" s="207"/>
      <c r="L609" s="207"/>
      <c r="M609" s="207"/>
      <c r="N609" s="207"/>
      <c r="O609" s="207"/>
      <c r="P609" s="207"/>
      <c r="Q609" s="207"/>
      <c r="R609" s="208"/>
      <c r="S609" s="86"/>
    </row>
    <row r="610" spans="1:19">
      <c r="A610" s="86"/>
      <c r="B610" s="207"/>
      <c r="C610" s="207"/>
      <c r="D610" s="207"/>
      <c r="E610" s="207"/>
      <c r="F610" s="207"/>
      <c r="G610" s="207"/>
      <c r="H610" s="207"/>
      <c r="I610" s="207"/>
      <c r="J610" s="207"/>
      <c r="K610" s="207"/>
      <c r="L610" s="207"/>
      <c r="M610" s="207"/>
      <c r="N610" s="207"/>
      <c r="O610" s="207"/>
      <c r="P610" s="207"/>
      <c r="Q610" s="207"/>
      <c r="R610" s="208"/>
      <c r="S610" s="86"/>
    </row>
    <row r="611" spans="1:19">
      <c r="A611" s="86"/>
      <c r="B611" s="207"/>
      <c r="C611" s="207"/>
      <c r="D611" s="207"/>
      <c r="E611" s="207"/>
      <c r="F611" s="207"/>
      <c r="G611" s="207"/>
      <c r="H611" s="207"/>
      <c r="I611" s="207"/>
      <c r="J611" s="207"/>
      <c r="K611" s="207"/>
      <c r="L611" s="207"/>
      <c r="M611" s="207"/>
      <c r="N611" s="207"/>
      <c r="O611" s="207"/>
      <c r="P611" s="207"/>
      <c r="Q611" s="207"/>
      <c r="R611" s="208"/>
      <c r="S611" s="86"/>
    </row>
    <row r="612" spans="1:19">
      <c r="A612" s="86"/>
      <c r="B612" s="207"/>
      <c r="C612" s="207"/>
      <c r="D612" s="207"/>
      <c r="E612" s="207"/>
      <c r="F612" s="207"/>
      <c r="G612" s="207"/>
      <c r="H612" s="207"/>
      <c r="I612" s="207"/>
      <c r="J612" s="207"/>
      <c r="K612" s="207"/>
      <c r="L612" s="207"/>
      <c r="M612" s="207"/>
      <c r="N612" s="207"/>
      <c r="O612" s="207"/>
      <c r="P612" s="207"/>
      <c r="Q612" s="207"/>
      <c r="R612" s="208"/>
      <c r="S612" s="86"/>
    </row>
    <row r="613" spans="1:19">
      <c r="A613" s="86"/>
      <c r="B613" s="207"/>
      <c r="C613" s="207"/>
      <c r="D613" s="207"/>
      <c r="E613" s="207"/>
      <c r="F613" s="207"/>
      <c r="G613" s="207"/>
      <c r="H613" s="207"/>
      <c r="I613" s="207"/>
      <c r="J613" s="207"/>
      <c r="K613" s="207"/>
      <c r="L613" s="207"/>
      <c r="M613" s="207"/>
      <c r="N613" s="207"/>
      <c r="O613" s="207"/>
      <c r="P613" s="207"/>
      <c r="Q613" s="207"/>
      <c r="R613" s="208"/>
      <c r="S613" s="86"/>
    </row>
    <row r="614" spans="1:19">
      <c r="A614" s="86"/>
      <c r="B614" s="207"/>
      <c r="C614" s="207"/>
      <c r="D614" s="207"/>
      <c r="E614" s="207"/>
      <c r="F614" s="207"/>
      <c r="G614" s="207"/>
      <c r="H614" s="207"/>
      <c r="I614" s="207"/>
      <c r="J614" s="207"/>
      <c r="K614" s="207"/>
      <c r="L614" s="207"/>
      <c r="M614" s="207"/>
      <c r="N614" s="207"/>
      <c r="O614" s="207"/>
      <c r="P614" s="207"/>
      <c r="Q614" s="207"/>
      <c r="R614" s="208"/>
      <c r="S614" s="86"/>
    </row>
    <row r="615" spans="1:19">
      <c r="A615" s="86"/>
      <c r="B615" s="207"/>
      <c r="C615" s="207"/>
      <c r="D615" s="207"/>
      <c r="E615" s="207"/>
      <c r="F615" s="207"/>
      <c r="G615" s="207"/>
      <c r="H615" s="207"/>
      <c r="I615" s="207"/>
      <c r="J615" s="207"/>
      <c r="K615" s="207"/>
      <c r="L615" s="207"/>
      <c r="M615" s="207"/>
      <c r="N615" s="207"/>
      <c r="O615" s="207"/>
      <c r="P615" s="207"/>
      <c r="Q615" s="207"/>
      <c r="R615" s="208"/>
      <c r="S615" s="86"/>
    </row>
    <row r="616" spans="1:19">
      <c r="A616" s="86"/>
      <c r="B616" s="207"/>
      <c r="C616" s="207"/>
      <c r="D616" s="207"/>
      <c r="E616" s="207"/>
      <c r="F616" s="207"/>
      <c r="G616" s="207"/>
      <c r="H616" s="207"/>
      <c r="I616" s="207"/>
      <c r="J616" s="207"/>
      <c r="K616" s="207"/>
      <c r="L616" s="207"/>
      <c r="M616" s="207"/>
      <c r="N616" s="207"/>
      <c r="O616" s="207"/>
      <c r="P616" s="207"/>
      <c r="Q616" s="207"/>
      <c r="R616" s="208"/>
      <c r="S616" s="86"/>
    </row>
    <row r="617" spans="1:19">
      <c r="A617" s="86"/>
      <c r="B617" s="207"/>
      <c r="C617" s="207"/>
      <c r="D617" s="207"/>
      <c r="E617" s="207"/>
      <c r="F617" s="207"/>
      <c r="G617" s="207"/>
      <c r="H617" s="207"/>
      <c r="I617" s="207"/>
      <c r="J617" s="207"/>
      <c r="K617" s="207"/>
      <c r="L617" s="207"/>
      <c r="M617" s="207"/>
      <c r="N617" s="207"/>
      <c r="O617" s="207"/>
      <c r="P617" s="207"/>
      <c r="Q617" s="207"/>
      <c r="R617" s="208"/>
      <c r="S617" s="86"/>
    </row>
    <row r="618" spans="1:19">
      <c r="A618" s="86"/>
      <c r="B618" s="207"/>
      <c r="C618" s="207"/>
      <c r="D618" s="207"/>
      <c r="E618" s="207"/>
      <c r="F618" s="207"/>
      <c r="G618" s="207"/>
      <c r="H618" s="207"/>
      <c r="I618" s="207"/>
      <c r="J618" s="207"/>
      <c r="K618" s="207"/>
      <c r="L618" s="207"/>
      <c r="M618" s="207"/>
      <c r="N618" s="207"/>
      <c r="O618" s="207"/>
      <c r="P618" s="207"/>
      <c r="Q618" s="207"/>
      <c r="R618" s="208"/>
      <c r="S618" s="86"/>
    </row>
    <row r="619" spans="1:19">
      <c r="A619" s="86"/>
      <c r="B619" s="207"/>
      <c r="C619" s="207"/>
      <c r="D619" s="207"/>
      <c r="E619" s="207"/>
      <c r="F619" s="207"/>
      <c r="G619" s="207"/>
      <c r="H619" s="207"/>
      <c r="I619" s="207"/>
      <c r="J619" s="207"/>
      <c r="K619" s="207"/>
      <c r="L619" s="207"/>
      <c r="M619" s="207"/>
      <c r="N619" s="207"/>
      <c r="O619" s="207"/>
      <c r="P619" s="207"/>
      <c r="Q619" s="207"/>
      <c r="R619" s="208"/>
      <c r="S619" s="86"/>
    </row>
    <row r="620" spans="1:19">
      <c r="A620" s="86"/>
      <c r="B620" s="207"/>
      <c r="C620" s="207"/>
      <c r="D620" s="207"/>
      <c r="E620" s="207"/>
      <c r="F620" s="207"/>
      <c r="G620" s="207"/>
      <c r="H620" s="207"/>
      <c r="I620" s="207"/>
      <c r="J620" s="207"/>
      <c r="K620" s="207"/>
      <c r="L620" s="207"/>
      <c r="M620" s="207"/>
      <c r="N620" s="207"/>
      <c r="O620" s="207"/>
      <c r="P620" s="207"/>
      <c r="Q620" s="207"/>
      <c r="R620" s="208"/>
      <c r="S620" s="86"/>
    </row>
    <row r="621" spans="1:19">
      <c r="A621" s="86"/>
      <c r="B621" s="207"/>
      <c r="C621" s="207"/>
      <c r="D621" s="207"/>
      <c r="E621" s="207"/>
      <c r="F621" s="207"/>
      <c r="G621" s="207"/>
      <c r="H621" s="207"/>
      <c r="I621" s="207"/>
      <c r="J621" s="207"/>
      <c r="K621" s="207"/>
      <c r="L621" s="207"/>
      <c r="M621" s="207"/>
      <c r="N621" s="207"/>
      <c r="O621" s="207"/>
      <c r="P621" s="207"/>
      <c r="Q621" s="207"/>
      <c r="R621" s="208"/>
      <c r="S621" s="86"/>
    </row>
    <row r="622" spans="1:19">
      <c r="A622" s="86"/>
      <c r="B622" s="207"/>
      <c r="C622" s="207"/>
      <c r="D622" s="207"/>
      <c r="E622" s="207"/>
      <c r="F622" s="207"/>
      <c r="G622" s="207"/>
      <c r="H622" s="207"/>
      <c r="I622" s="207"/>
      <c r="J622" s="207"/>
      <c r="K622" s="207"/>
      <c r="L622" s="207"/>
      <c r="M622" s="207"/>
      <c r="N622" s="207"/>
      <c r="O622" s="207"/>
      <c r="P622" s="207"/>
      <c r="Q622" s="207"/>
      <c r="R622" s="208"/>
      <c r="S622" s="86"/>
    </row>
    <row r="623" spans="1:19">
      <c r="A623" s="86"/>
      <c r="B623" s="207"/>
      <c r="C623" s="207"/>
      <c r="D623" s="207"/>
      <c r="E623" s="207"/>
      <c r="F623" s="207"/>
      <c r="G623" s="207"/>
      <c r="H623" s="207"/>
      <c r="I623" s="207"/>
      <c r="J623" s="207"/>
      <c r="K623" s="207"/>
      <c r="L623" s="207"/>
      <c r="M623" s="207"/>
      <c r="N623" s="207"/>
      <c r="O623" s="207"/>
      <c r="P623" s="207"/>
      <c r="Q623" s="207"/>
      <c r="R623" s="208"/>
      <c r="S623" s="86"/>
    </row>
    <row r="624" spans="1:19">
      <c r="A624" s="86"/>
      <c r="B624" s="207"/>
      <c r="C624" s="207"/>
      <c r="D624" s="207"/>
      <c r="E624" s="207"/>
      <c r="F624" s="207"/>
      <c r="G624" s="207"/>
      <c r="H624" s="207"/>
      <c r="I624" s="207"/>
      <c r="J624" s="207"/>
      <c r="K624" s="207"/>
      <c r="L624" s="207"/>
      <c r="M624" s="207"/>
      <c r="N624" s="207"/>
      <c r="O624" s="207"/>
      <c r="P624" s="207"/>
      <c r="Q624" s="207"/>
      <c r="R624" s="208"/>
      <c r="S624" s="86"/>
    </row>
    <row r="625" spans="1:19">
      <c r="A625" s="86"/>
      <c r="B625" s="207"/>
      <c r="C625" s="207"/>
      <c r="D625" s="207"/>
      <c r="E625" s="207"/>
      <c r="F625" s="207"/>
      <c r="G625" s="207"/>
      <c r="H625" s="207"/>
      <c r="I625" s="207"/>
      <c r="J625" s="207"/>
      <c r="K625" s="207"/>
      <c r="L625" s="207"/>
      <c r="M625" s="207"/>
      <c r="N625" s="207"/>
      <c r="O625" s="207"/>
      <c r="P625" s="207"/>
      <c r="Q625" s="207"/>
      <c r="R625" s="208"/>
      <c r="S625" s="86"/>
    </row>
    <row r="626" spans="1:19">
      <c r="A626" s="86"/>
      <c r="B626" s="207"/>
      <c r="C626" s="207"/>
      <c r="D626" s="207"/>
      <c r="E626" s="207"/>
      <c r="F626" s="207"/>
      <c r="G626" s="207"/>
      <c r="H626" s="207"/>
      <c r="I626" s="207"/>
      <c r="J626" s="207"/>
      <c r="K626" s="207"/>
      <c r="L626" s="207"/>
      <c r="M626" s="207"/>
      <c r="N626" s="207"/>
      <c r="O626" s="207"/>
      <c r="P626" s="207"/>
      <c r="Q626" s="207"/>
      <c r="R626" s="208"/>
      <c r="S626" s="86"/>
    </row>
    <row r="627" spans="1:19">
      <c r="A627" s="86"/>
      <c r="B627" s="207"/>
      <c r="C627" s="207"/>
      <c r="D627" s="207"/>
      <c r="E627" s="207"/>
      <c r="F627" s="207"/>
      <c r="G627" s="207"/>
      <c r="H627" s="207"/>
      <c r="I627" s="207"/>
      <c r="J627" s="207"/>
      <c r="K627" s="207"/>
      <c r="L627" s="207"/>
      <c r="M627" s="207"/>
      <c r="N627" s="207"/>
      <c r="O627" s="207"/>
      <c r="P627" s="207"/>
      <c r="Q627" s="207"/>
      <c r="R627" s="208"/>
      <c r="S627" s="86"/>
    </row>
    <row r="628" spans="1:19">
      <c r="A628" s="86"/>
      <c r="B628" s="207"/>
      <c r="C628" s="207"/>
      <c r="D628" s="207"/>
      <c r="E628" s="207"/>
      <c r="F628" s="207"/>
      <c r="G628" s="207"/>
      <c r="H628" s="207"/>
      <c r="I628" s="207"/>
      <c r="J628" s="207"/>
      <c r="K628" s="207"/>
      <c r="L628" s="207"/>
      <c r="M628" s="207"/>
      <c r="N628" s="207"/>
      <c r="O628" s="207"/>
      <c r="P628" s="207"/>
      <c r="Q628" s="207"/>
      <c r="R628" s="208"/>
      <c r="S628" s="86"/>
    </row>
    <row r="629" spans="1:19">
      <c r="A629" s="86"/>
      <c r="B629" s="207"/>
      <c r="C629" s="207"/>
      <c r="D629" s="207"/>
      <c r="E629" s="207"/>
      <c r="F629" s="207"/>
      <c r="G629" s="207"/>
      <c r="H629" s="207"/>
      <c r="I629" s="207"/>
      <c r="J629" s="207"/>
      <c r="K629" s="207"/>
      <c r="L629" s="207"/>
      <c r="M629" s="207"/>
      <c r="N629" s="207"/>
      <c r="O629" s="207"/>
      <c r="P629" s="207"/>
      <c r="Q629" s="207"/>
      <c r="R629" s="208"/>
      <c r="S629" s="86"/>
    </row>
    <row r="630" spans="1:19">
      <c r="A630" s="86"/>
      <c r="B630" s="207"/>
      <c r="C630" s="207"/>
      <c r="D630" s="207"/>
      <c r="E630" s="207"/>
      <c r="F630" s="207"/>
      <c r="G630" s="207"/>
      <c r="H630" s="207"/>
      <c r="I630" s="207"/>
      <c r="J630" s="207"/>
      <c r="K630" s="207"/>
      <c r="L630" s="207"/>
      <c r="M630" s="207"/>
      <c r="N630" s="207"/>
      <c r="O630" s="207"/>
      <c r="P630" s="207"/>
      <c r="Q630" s="207"/>
      <c r="R630" s="208"/>
      <c r="S630" s="86"/>
    </row>
    <row r="631" spans="1:19">
      <c r="A631" s="86"/>
      <c r="B631" s="207"/>
      <c r="C631" s="207"/>
      <c r="D631" s="207"/>
      <c r="E631" s="207"/>
      <c r="F631" s="207"/>
      <c r="G631" s="207"/>
      <c r="H631" s="207"/>
      <c r="I631" s="207"/>
      <c r="J631" s="207"/>
      <c r="K631" s="207"/>
      <c r="L631" s="207"/>
      <c r="M631" s="207"/>
      <c r="N631" s="207"/>
      <c r="O631" s="207"/>
      <c r="P631" s="207"/>
      <c r="Q631" s="207"/>
      <c r="R631" s="208"/>
      <c r="S631" s="86"/>
    </row>
    <row r="632" spans="1:19">
      <c r="A632" s="86"/>
      <c r="B632" s="207"/>
      <c r="C632" s="207"/>
      <c r="D632" s="207"/>
      <c r="E632" s="207"/>
      <c r="F632" s="207"/>
      <c r="G632" s="207"/>
      <c r="H632" s="207"/>
      <c r="I632" s="207"/>
      <c r="J632" s="207"/>
      <c r="K632" s="207"/>
      <c r="L632" s="207"/>
      <c r="M632" s="207"/>
      <c r="N632" s="207"/>
      <c r="O632" s="207"/>
      <c r="P632" s="207"/>
      <c r="Q632" s="207"/>
      <c r="R632" s="208"/>
      <c r="S632" s="86"/>
    </row>
    <row r="633" spans="1:19">
      <c r="A633" s="86"/>
      <c r="B633" s="207"/>
      <c r="C633" s="207"/>
      <c r="D633" s="207"/>
      <c r="E633" s="207"/>
      <c r="F633" s="207"/>
      <c r="G633" s="207"/>
      <c r="H633" s="207"/>
      <c r="I633" s="207"/>
      <c r="J633" s="207"/>
      <c r="K633" s="207"/>
      <c r="L633" s="207"/>
      <c r="M633" s="207"/>
      <c r="N633" s="207"/>
      <c r="O633" s="207"/>
      <c r="P633" s="207"/>
      <c r="Q633" s="207"/>
      <c r="R633" s="208"/>
      <c r="S633" s="86"/>
    </row>
    <row r="634" spans="1:19">
      <c r="A634" s="86"/>
      <c r="B634" s="207"/>
      <c r="C634" s="207"/>
      <c r="D634" s="207"/>
      <c r="E634" s="207"/>
      <c r="F634" s="207"/>
      <c r="G634" s="207"/>
      <c r="H634" s="207"/>
      <c r="I634" s="207"/>
      <c r="J634" s="207"/>
      <c r="K634" s="207"/>
      <c r="L634" s="207"/>
      <c r="M634" s="207"/>
      <c r="N634" s="207"/>
      <c r="O634" s="207"/>
      <c r="P634" s="207"/>
      <c r="Q634" s="207"/>
      <c r="R634" s="208"/>
      <c r="S634" s="86"/>
    </row>
    <row r="635" spans="1:19">
      <c r="A635" s="86"/>
      <c r="B635" s="207"/>
      <c r="C635" s="207"/>
      <c r="D635" s="207"/>
      <c r="E635" s="207"/>
      <c r="F635" s="207"/>
      <c r="G635" s="207"/>
      <c r="H635" s="207"/>
      <c r="I635" s="207"/>
      <c r="J635" s="207"/>
      <c r="K635" s="207"/>
      <c r="L635" s="207"/>
      <c r="M635" s="207"/>
      <c r="N635" s="207"/>
      <c r="O635" s="207"/>
      <c r="P635" s="207"/>
      <c r="Q635" s="207"/>
      <c r="R635" s="208"/>
      <c r="S635" s="86"/>
    </row>
    <row r="636" spans="1:19">
      <c r="A636" s="86"/>
      <c r="B636" s="207"/>
      <c r="C636" s="207"/>
      <c r="D636" s="207"/>
      <c r="E636" s="207"/>
      <c r="F636" s="207"/>
      <c r="G636" s="207"/>
      <c r="H636" s="207"/>
      <c r="I636" s="207"/>
      <c r="J636" s="207"/>
      <c r="K636" s="207"/>
      <c r="L636" s="207"/>
      <c r="M636" s="207"/>
      <c r="N636" s="207"/>
      <c r="O636" s="207"/>
      <c r="P636" s="207"/>
      <c r="Q636" s="207"/>
      <c r="R636" s="208"/>
      <c r="S636" s="86"/>
    </row>
    <row r="637" spans="1:19">
      <c r="A637" s="86"/>
      <c r="B637" s="207"/>
      <c r="C637" s="207"/>
      <c r="D637" s="207"/>
      <c r="E637" s="207"/>
      <c r="F637" s="207"/>
      <c r="G637" s="207"/>
      <c r="H637" s="207"/>
      <c r="I637" s="207"/>
      <c r="J637" s="207"/>
      <c r="K637" s="207"/>
      <c r="L637" s="207"/>
      <c r="M637" s="207"/>
      <c r="N637" s="207"/>
      <c r="O637" s="207"/>
      <c r="P637" s="207"/>
      <c r="Q637" s="207"/>
      <c r="R637" s="208"/>
      <c r="S637" s="86"/>
    </row>
    <row r="638" spans="1:19">
      <c r="A638" s="86"/>
      <c r="B638" s="207"/>
      <c r="C638" s="207"/>
      <c r="D638" s="207"/>
      <c r="E638" s="207"/>
      <c r="F638" s="207"/>
      <c r="G638" s="207"/>
      <c r="H638" s="207"/>
      <c r="I638" s="207"/>
      <c r="J638" s="207"/>
      <c r="K638" s="207"/>
      <c r="L638" s="207"/>
      <c r="M638" s="207"/>
      <c r="N638" s="207"/>
      <c r="O638" s="207"/>
      <c r="P638" s="207"/>
      <c r="Q638" s="207"/>
      <c r="R638" s="208"/>
      <c r="S638" s="86"/>
    </row>
    <row r="639" spans="1:19">
      <c r="A639" s="86"/>
      <c r="B639" s="207"/>
      <c r="C639" s="207"/>
      <c r="D639" s="207"/>
      <c r="E639" s="207"/>
      <c r="F639" s="207"/>
      <c r="G639" s="207"/>
      <c r="H639" s="207"/>
      <c r="I639" s="207"/>
      <c r="J639" s="207"/>
      <c r="K639" s="207"/>
      <c r="L639" s="207"/>
      <c r="M639" s="207"/>
      <c r="N639" s="207"/>
      <c r="O639" s="207"/>
      <c r="P639" s="207"/>
      <c r="Q639" s="207"/>
      <c r="R639" s="208"/>
      <c r="S639" s="86"/>
    </row>
    <row r="640" spans="1:19">
      <c r="A640" s="86"/>
      <c r="B640" s="207"/>
      <c r="C640" s="207"/>
      <c r="D640" s="207"/>
      <c r="E640" s="207"/>
      <c r="F640" s="207"/>
      <c r="G640" s="207"/>
      <c r="H640" s="207"/>
      <c r="I640" s="207"/>
      <c r="J640" s="207"/>
      <c r="K640" s="207"/>
      <c r="L640" s="207"/>
      <c r="M640" s="207"/>
      <c r="N640" s="207"/>
      <c r="O640" s="207"/>
      <c r="P640" s="207"/>
      <c r="Q640" s="207"/>
      <c r="R640" s="208"/>
      <c r="S640" s="86"/>
    </row>
    <row r="641" spans="1:19">
      <c r="A641" s="86"/>
      <c r="B641" s="207"/>
      <c r="C641" s="207"/>
      <c r="D641" s="207"/>
      <c r="E641" s="207"/>
      <c r="F641" s="207"/>
      <c r="G641" s="207"/>
      <c r="H641" s="207"/>
      <c r="I641" s="207"/>
      <c r="J641" s="207"/>
      <c r="K641" s="207"/>
      <c r="L641" s="207"/>
      <c r="M641" s="207"/>
      <c r="N641" s="207"/>
      <c r="O641" s="207"/>
      <c r="P641" s="207"/>
      <c r="Q641" s="207"/>
      <c r="R641" s="208"/>
      <c r="S641" s="86"/>
    </row>
    <row r="642" spans="1:19">
      <c r="A642" s="86"/>
      <c r="B642" s="207"/>
      <c r="C642" s="207"/>
      <c r="D642" s="207"/>
      <c r="E642" s="207"/>
      <c r="F642" s="207"/>
      <c r="G642" s="207"/>
      <c r="H642" s="207"/>
      <c r="I642" s="207"/>
      <c r="J642" s="207"/>
      <c r="K642" s="207"/>
      <c r="L642" s="207"/>
      <c r="M642" s="207"/>
      <c r="N642" s="207"/>
      <c r="O642" s="207"/>
      <c r="P642" s="207"/>
      <c r="Q642" s="207"/>
      <c r="R642" s="208"/>
      <c r="S642" s="86"/>
    </row>
    <row r="643" spans="1:19">
      <c r="A643" s="86"/>
      <c r="B643" s="207"/>
      <c r="C643" s="207"/>
      <c r="D643" s="207"/>
      <c r="E643" s="207"/>
      <c r="F643" s="207"/>
      <c r="G643" s="207"/>
      <c r="H643" s="207"/>
      <c r="I643" s="207"/>
      <c r="J643" s="207"/>
      <c r="K643" s="207"/>
      <c r="L643" s="207"/>
      <c r="M643" s="207"/>
      <c r="N643" s="207"/>
      <c r="O643" s="207"/>
      <c r="P643" s="207"/>
      <c r="Q643" s="207"/>
      <c r="R643" s="208"/>
      <c r="S643" s="86"/>
    </row>
    <row r="644" spans="1:19">
      <c r="A644" s="86"/>
      <c r="B644" s="207"/>
      <c r="C644" s="207"/>
      <c r="D644" s="207"/>
      <c r="E644" s="207"/>
      <c r="F644" s="207"/>
      <c r="G644" s="207"/>
      <c r="H644" s="207"/>
      <c r="I644" s="207"/>
      <c r="J644" s="207"/>
      <c r="K644" s="207"/>
      <c r="L644" s="207"/>
      <c r="M644" s="207"/>
      <c r="N644" s="207"/>
      <c r="O644" s="207"/>
      <c r="P644" s="207"/>
      <c r="Q644" s="207"/>
      <c r="R644" s="208"/>
      <c r="S644" s="86"/>
    </row>
    <row r="645" spans="1:19">
      <c r="A645" s="86"/>
      <c r="B645" s="207"/>
      <c r="C645" s="207"/>
      <c r="D645" s="207"/>
      <c r="E645" s="207"/>
      <c r="F645" s="207"/>
      <c r="G645" s="207"/>
      <c r="H645" s="207"/>
      <c r="I645" s="207"/>
      <c r="J645" s="207"/>
      <c r="K645" s="207"/>
      <c r="L645" s="207"/>
      <c r="M645" s="207"/>
      <c r="N645" s="207"/>
      <c r="O645" s="207"/>
      <c r="P645" s="207"/>
      <c r="Q645" s="207"/>
      <c r="R645" s="208"/>
      <c r="S645" s="86"/>
    </row>
    <row r="646" spans="1:19">
      <c r="A646" s="86"/>
      <c r="B646" s="207"/>
      <c r="C646" s="207"/>
      <c r="D646" s="207"/>
      <c r="E646" s="207"/>
      <c r="F646" s="207"/>
      <c r="G646" s="207"/>
      <c r="H646" s="207"/>
      <c r="I646" s="207"/>
      <c r="J646" s="207"/>
      <c r="K646" s="207"/>
      <c r="L646" s="207"/>
      <c r="M646" s="207"/>
      <c r="N646" s="207"/>
      <c r="O646" s="207"/>
      <c r="P646" s="207"/>
      <c r="Q646" s="207"/>
      <c r="R646" s="208"/>
      <c r="S646" s="86"/>
    </row>
    <row r="647" spans="1:19">
      <c r="A647" s="86"/>
      <c r="B647" s="207"/>
      <c r="C647" s="207"/>
      <c r="D647" s="207"/>
      <c r="E647" s="207"/>
      <c r="F647" s="207"/>
      <c r="G647" s="207"/>
      <c r="H647" s="207"/>
      <c r="I647" s="207"/>
      <c r="J647" s="207"/>
      <c r="K647" s="207"/>
      <c r="L647" s="207"/>
      <c r="M647" s="207"/>
      <c r="N647" s="207"/>
      <c r="O647" s="207"/>
      <c r="P647" s="207"/>
      <c r="Q647" s="207"/>
      <c r="R647" s="208"/>
      <c r="S647" s="86"/>
    </row>
    <row r="648" spans="1:19">
      <c r="A648" s="86"/>
      <c r="B648" s="207"/>
      <c r="C648" s="207"/>
      <c r="D648" s="207"/>
      <c r="E648" s="207"/>
      <c r="F648" s="207"/>
      <c r="G648" s="207"/>
      <c r="H648" s="207"/>
      <c r="I648" s="207"/>
      <c r="J648" s="207"/>
      <c r="K648" s="207"/>
      <c r="L648" s="207"/>
      <c r="M648" s="207"/>
      <c r="N648" s="207"/>
      <c r="O648" s="207"/>
      <c r="P648" s="207"/>
      <c r="Q648" s="207"/>
      <c r="R648" s="208"/>
      <c r="S648" s="86"/>
    </row>
    <row r="649" spans="1:19">
      <c r="A649" s="86"/>
      <c r="B649" s="207"/>
      <c r="C649" s="207"/>
      <c r="D649" s="207"/>
      <c r="E649" s="207"/>
      <c r="F649" s="207"/>
      <c r="G649" s="207"/>
      <c r="H649" s="207"/>
      <c r="I649" s="207"/>
      <c r="J649" s="207"/>
      <c r="K649" s="207"/>
      <c r="L649" s="207"/>
      <c r="M649" s="207"/>
      <c r="N649" s="207"/>
      <c r="O649" s="207"/>
      <c r="P649" s="207"/>
      <c r="Q649" s="207"/>
      <c r="R649" s="208"/>
      <c r="S649" s="86"/>
    </row>
    <row r="650" spans="1:19">
      <c r="A650" s="86"/>
      <c r="B650" s="207"/>
      <c r="C650" s="207"/>
      <c r="D650" s="207"/>
      <c r="E650" s="207"/>
      <c r="F650" s="207"/>
      <c r="G650" s="207"/>
      <c r="H650" s="207"/>
      <c r="I650" s="207"/>
      <c r="J650" s="207"/>
      <c r="K650" s="207"/>
      <c r="L650" s="207"/>
      <c r="M650" s="207"/>
      <c r="N650" s="207"/>
      <c r="O650" s="207"/>
      <c r="P650" s="207"/>
      <c r="Q650" s="207"/>
      <c r="R650" s="208"/>
      <c r="S650" s="86"/>
    </row>
    <row r="651" spans="1:19">
      <c r="A651" s="86"/>
      <c r="B651" s="207"/>
      <c r="C651" s="207"/>
      <c r="D651" s="207"/>
      <c r="E651" s="207"/>
      <c r="F651" s="207"/>
      <c r="G651" s="207"/>
      <c r="H651" s="207"/>
      <c r="I651" s="207"/>
      <c r="J651" s="207"/>
      <c r="K651" s="207"/>
      <c r="L651" s="207"/>
      <c r="M651" s="207"/>
      <c r="N651" s="207"/>
      <c r="O651" s="207"/>
      <c r="P651" s="207"/>
      <c r="Q651" s="207"/>
      <c r="R651" s="208"/>
      <c r="S651" s="86"/>
    </row>
    <row r="652" spans="1:19">
      <c r="A652" s="86"/>
      <c r="B652" s="207"/>
      <c r="C652" s="207"/>
      <c r="D652" s="207"/>
      <c r="E652" s="207"/>
      <c r="F652" s="207"/>
      <c r="G652" s="207"/>
      <c r="H652" s="207"/>
      <c r="I652" s="207"/>
      <c r="J652" s="207"/>
      <c r="K652" s="207"/>
      <c r="L652" s="207"/>
      <c r="M652" s="207"/>
      <c r="N652" s="207"/>
      <c r="O652" s="207"/>
      <c r="P652" s="207"/>
      <c r="Q652" s="207"/>
      <c r="R652" s="208"/>
      <c r="S652" s="86"/>
    </row>
    <row r="653" spans="1:19">
      <c r="A653" s="86"/>
      <c r="B653" s="207"/>
      <c r="C653" s="207"/>
      <c r="D653" s="207"/>
      <c r="E653" s="207"/>
      <c r="F653" s="207"/>
      <c r="G653" s="207"/>
      <c r="H653" s="207"/>
      <c r="I653" s="207"/>
      <c r="J653" s="207"/>
      <c r="K653" s="207"/>
      <c r="L653" s="207"/>
      <c r="M653" s="207"/>
      <c r="N653" s="207"/>
      <c r="O653" s="207"/>
      <c r="P653" s="207"/>
      <c r="Q653" s="207"/>
      <c r="R653" s="208"/>
      <c r="S653" s="86"/>
    </row>
    <row r="654" spans="1:19">
      <c r="A654" s="86"/>
      <c r="B654" s="207"/>
      <c r="C654" s="207"/>
      <c r="D654" s="207"/>
      <c r="E654" s="207"/>
      <c r="F654" s="207"/>
      <c r="G654" s="207"/>
      <c r="H654" s="207"/>
      <c r="I654" s="207"/>
      <c r="J654" s="207"/>
      <c r="K654" s="207"/>
      <c r="L654" s="207"/>
      <c r="M654" s="207"/>
      <c r="N654" s="207"/>
      <c r="O654" s="207"/>
      <c r="P654" s="207"/>
      <c r="Q654" s="207"/>
      <c r="R654" s="208"/>
      <c r="S654" s="86"/>
    </row>
    <row r="655" spans="1:19">
      <c r="A655" s="86"/>
      <c r="B655" s="207"/>
      <c r="C655" s="207"/>
      <c r="D655" s="207"/>
      <c r="E655" s="207"/>
      <c r="F655" s="207"/>
      <c r="G655" s="207"/>
      <c r="H655" s="207"/>
      <c r="I655" s="207"/>
      <c r="J655" s="207"/>
      <c r="K655" s="207"/>
      <c r="L655" s="207"/>
      <c r="M655" s="207"/>
      <c r="N655" s="207"/>
      <c r="O655" s="207"/>
      <c r="P655" s="207"/>
      <c r="Q655" s="207"/>
      <c r="R655" s="208"/>
      <c r="S655" s="86"/>
    </row>
    <row r="656" spans="1:19">
      <c r="A656" s="86"/>
      <c r="B656" s="207"/>
      <c r="C656" s="207"/>
      <c r="D656" s="207"/>
      <c r="E656" s="207"/>
      <c r="F656" s="207"/>
      <c r="G656" s="207"/>
      <c r="H656" s="207"/>
      <c r="I656" s="207"/>
      <c r="J656" s="207"/>
      <c r="K656" s="207"/>
      <c r="L656" s="207"/>
      <c r="M656" s="207"/>
      <c r="N656" s="207"/>
      <c r="O656" s="207"/>
      <c r="P656" s="207"/>
      <c r="Q656" s="207"/>
      <c r="R656" s="208"/>
      <c r="S656" s="86"/>
    </row>
    <row r="657" spans="1:19">
      <c r="A657" s="86"/>
      <c r="B657" s="207"/>
      <c r="C657" s="207"/>
      <c r="D657" s="207"/>
      <c r="E657" s="207"/>
      <c r="F657" s="207"/>
      <c r="G657" s="207"/>
      <c r="H657" s="207"/>
      <c r="I657" s="207"/>
      <c r="J657" s="207"/>
      <c r="K657" s="207"/>
      <c r="L657" s="207"/>
      <c r="M657" s="207"/>
      <c r="N657" s="207"/>
      <c r="O657" s="207"/>
      <c r="P657" s="207"/>
      <c r="Q657" s="207"/>
      <c r="R657" s="208"/>
      <c r="S657" s="86"/>
    </row>
    <row r="658" spans="1:19">
      <c r="A658" s="86"/>
      <c r="B658" s="207"/>
      <c r="C658" s="207"/>
      <c r="D658" s="207"/>
      <c r="E658" s="207"/>
      <c r="F658" s="207"/>
      <c r="G658" s="207"/>
      <c r="H658" s="207"/>
      <c r="I658" s="207"/>
      <c r="J658" s="207"/>
      <c r="K658" s="207"/>
      <c r="L658" s="207"/>
      <c r="M658" s="207"/>
      <c r="N658" s="207"/>
      <c r="O658" s="207"/>
      <c r="P658" s="207"/>
      <c r="Q658" s="207"/>
      <c r="R658" s="208"/>
      <c r="S658" s="86"/>
    </row>
    <row r="659" spans="1:19">
      <c r="A659" s="86"/>
      <c r="B659" s="207"/>
      <c r="C659" s="207"/>
      <c r="D659" s="207"/>
      <c r="E659" s="207"/>
      <c r="F659" s="207"/>
      <c r="G659" s="207"/>
      <c r="H659" s="207"/>
      <c r="I659" s="207"/>
      <c r="J659" s="207"/>
      <c r="K659" s="207"/>
      <c r="L659" s="207"/>
      <c r="M659" s="207"/>
      <c r="N659" s="207"/>
      <c r="O659" s="207"/>
      <c r="P659" s="207"/>
      <c r="Q659" s="207"/>
      <c r="R659" s="208"/>
      <c r="S659" s="86"/>
    </row>
    <row r="660" spans="1:19">
      <c r="A660" s="86"/>
      <c r="B660" s="207"/>
      <c r="C660" s="207"/>
      <c r="D660" s="207"/>
      <c r="E660" s="207"/>
      <c r="F660" s="207"/>
      <c r="G660" s="207"/>
      <c r="H660" s="207"/>
      <c r="I660" s="207"/>
      <c r="J660" s="207"/>
      <c r="K660" s="207"/>
      <c r="L660" s="207"/>
      <c r="M660" s="207"/>
      <c r="N660" s="207"/>
      <c r="O660" s="207"/>
      <c r="P660" s="207"/>
      <c r="Q660" s="207"/>
      <c r="R660" s="208"/>
      <c r="S660" s="86"/>
    </row>
    <row r="661" spans="1:19">
      <c r="A661" s="86"/>
      <c r="B661" s="207"/>
      <c r="C661" s="207"/>
      <c r="D661" s="207"/>
      <c r="E661" s="207"/>
      <c r="F661" s="207"/>
      <c r="G661" s="207"/>
      <c r="H661" s="207"/>
      <c r="I661" s="207"/>
      <c r="J661" s="207"/>
      <c r="K661" s="207"/>
      <c r="L661" s="207"/>
      <c r="M661" s="207"/>
      <c r="N661" s="207"/>
      <c r="O661" s="207"/>
      <c r="P661" s="207"/>
      <c r="Q661" s="207"/>
      <c r="R661" s="208"/>
      <c r="S661" s="86"/>
    </row>
    <row r="662" spans="1:19">
      <c r="A662" s="86"/>
      <c r="B662" s="207"/>
      <c r="C662" s="207"/>
      <c r="D662" s="207"/>
      <c r="E662" s="207"/>
      <c r="F662" s="207"/>
      <c r="G662" s="207"/>
      <c r="H662" s="207"/>
      <c r="I662" s="207"/>
      <c r="J662" s="207"/>
      <c r="K662" s="207"/>
      <c r="L662" s="207"/>
      <c r="M662" s="207"/>
      <c r="N662" s="207"/>
      <c r="O662" s="207"/>
      <c r="P662" s="207"/>
      <c r="Q662" s="207"/>
      <c r="R662" s="208"/>
      <c r="S662" s="86"/>
    </row>
    <row r="663" spans="1:19">
      <c r="A663" s="86"/>
      <c r="B663" s="207"/>
      <c r="C663" s="207"/>
      <c r="D663" s="207"/>
      <c r="E663" s="207"/>
      <c r="F663" s="207"/>
      <c r="G663" s="207"/>
      <c r="H663" s="207"/>
      <c r="I663" s="207"/>
      <c r="J663" s="207"/>
      <c r="K663" s="207"/>
      <c r="L663" s="207"/>
      <c r="M663" s="207"/>
      <c r="N663" s="207"/>
      <c r="O663" s="207"/>
      <c r="P663" s="207"/>
      <c r="Q663" s="207"/>
      <c r="R663" s="208"/>
      <c r="S663" s="86"/>
    </row>
    <row r="664" spans="1:19">
      <c r="A664" s="86"/>
      <c r="B664" s="207"/>
      <c r="C664" s="207"/>
      <c r="D664" s="207"/>
      <c r="E664" s="207"/>
      <c r="F664" s="207"/>
      <c r="G664" s="207"/>
      <c r="H664" s="207"/>
      <c r="I664" s="207"/>
      <c r="J664" s="207"/>
      <c r="K664" s="207"/>
      <c r="L664" s="207"/>
      <c r="M664" s="207"/>
      <c r="N664" s="207"/>
      <c r="O664" s="207"/>
      <c r="P664" s="207"/>
      <c r="Q664" s="207"/>
      <c r="R664" s="208"/>
      <c r="S664" s="86"/>
    </row>
    <row r="665" spans="1:19">
      <c r="A665" s="86"/>
      <c r="B665" s="207"/>
      <c r="C665" s="207"/>
      <c r="D665" s="207"/>
      <c r="E665" s="207"/>
      <c r="F665" s="207"/>
      <c r="G665" s="207"/>
      <c r="H665" s="207"/>
      <c r="I665" s="207"/>
      <c r="J665" s="207"/>
      <c r="K665" s="207"/>
      <c r="L665" s="207"/>
      <c r="M665" s="207"/>
      <c r="N665" s="207"/>
      <c r="O665" s="207"/>
      <c r="P665" s="207"/>
      <c r="Q665" s="207"/>
      <c r="R665" s="208"/>
      <c r="S665" s="86"/>
    </row>
    <row r="666" spans="1:19">
      <c r="A666" s="86"/>
      <c r="B666" s="207"/>
      <c r="C666" s="207"/>
      <c r="D666" s="207"/>
      <c r="E666" s="207"/>
      <c r="F666" s="207"/>
      <c r="G666" s="207"/>
      <c r="H666" s="207"/>
      <c r="I666" s="207"/>
      <c r="J666" s="207"/>
      <c r="K666" s="207"/>
      <c r="L666" s="207"/>
      <c r="M666" s="207"/>
      <c r="N666" s="207"/>
      <c r="O666" s="207"/>
      <c r="P666" s="207"/>
      <c r="Q666" s="207"/>
      <c r="R666" s="208"/>
      <c r="S666" s="86"/>
    </row>
    <row r="667" spans="1:19">
      <c r="A667" s="86"/>
      <c r="B667" s="207"/>
      <c r="C667" s="207"/>
      <c r="D667" s="207"/>
      <c r="E667" s="207"/>
      <c r="F667" s="207"/>
      <c r="G667" s="207"/>
      <c r="H667" s="207"/>
      <c r="I667" s="207"/>
      <c r="J667" s="207"/>
      <c r="K667" s="207"/>
      <c r="L667" s="207"/>
      <c r="M667" s="207"/>
      <c r="N667" s="207"/>
      <c r="O667" s="207"/>
      <c r="P667" s="207"/>
      <c r="Q667" s="207"/>
      <c r="R667" s="208"/>
      <c r="S667" s="86"/>
    </row>
    <row r="668" spans="1:19">
      <c r="A668" s="86"/>
      <c r="B668" s="207"/>
      <c r="C668" s="207"/>
      <c r="D668" s="207"/>
      <c r="E668" s="207"/>
      <c r="F668" s="207"/>
      <c r="G668" s="207"/>
      <c r="H668" s="207"/>
      <c r="I668" s="207"/>
      <c r="J668" s="207"/>
      <c r="K668" s="207"/>
      <c r="L668" s="207"/>
      <c r="M668" s="207"/>
      <c r="N668" s="207"/>
      <c r="O668" s="207"/>
      <c r="P668" s="207"/>
      <c r="Q668" s="207"/>
      <c r="R668" s="208"/>
      <c r="S668" s="86"/>
    </row>
    <row r="669" spans="1:19">
      <c r="A669" s="86"/>
      <c r="B669" s="207"/>
      <c r="C669" s="207"/>
      <c r="D669" s="207"/>
      <c r="E669" s="207"/>
      <c r="F669" s="207"/>
      <c r="G669" s="207"/>
      <c r="H669" s="207"/>
      <c r="I669" s="207"/>
      <c r="J669" s="207"/>
      <c r="K669" s="207"/>
      <c r="L669" s="207"/>
      <c r="M669" s="207"/>
      <c r="N669" s="207"/>
      <c r="O669" s="207"/>
      <c r="P669" s="207"/>
      <c r="Q669" s="207"/>
      <c r="R669" s="208"/>
      <c r="S669" s="86"/>
    </row>
    <row r="670" spans="1:19">
      <c r="A670" s="86"/>
      <c r="B670" s="207"/>
      <c r="C670" s="207"/>
      <c r="D670" s="207"/>
      <c r="E670" s="207"/>
      <c r="F670" s="207"/>
      <c r="G670" s="207"/>
      <c r="H670" s="207"/>
      <c r="I670" s="207"/>
      <c r="J670" s="207"/>
      <c r="K670" s="207"/>
      <c r="L670" s="207"/>
      <c r="M670" s="207"/>
      <c r="N670" s="207"/>
      <c r="O670" s="207"/>
      <c r="P670" s="207"/>
      <c r="Q670" s="207"/>
      <c r="R670" s="208"/>
      <c r="S670" s="86"/>
    </row>
    <row r="671" spans="1:19">
      <c r="A671" s="86"/>
      <c r="B671" s="207"/>
      <c r="C671" s="207"/>
      <c r="D671" s="207"/>
      <c r="E671" s="207"/>
      <c r="F671" s="207"/>
      <c r="G671" s="207"/>
      <c r="H671" s="207"/>
      <c r="I671" s="207"/>
      <c r="J671" s="207"/>
      <c r="K671" s="207"/>
      <c r="L671" s="207"/>
      <c r="M671" s="207"/>
      <c r="N671" s="207"/>
      <c r="O671" s="207"/>
      <c r="P671" s="207"/>
      <c r="Q671" s="207"/>
      <c r="R671" s="208"/>
      <c r="S671" s="86"/>
    </row>
    <row r="672" spans="1:19">
      <c r="A672" s="86"/>
      <c r="B672" s="207"/>
      <c r="C672" s="207"/>
      <c r="D672" s="207"/>
      <c r="E672" s="207"/>
      <c r="F672" s="207"/>
      <c r="G672" s="207"/>
      <c r="H672" s="207"/>
      <c r="I672" s="207"/>
      <c r="J672" s="207"/>
      <c r="K672" s="207"/>
      <c r="L672" s="207"/>
      <c r="M672" s="207"/>
      <c r="N672" s="207"/>
      <c r="O672" s="207"/>
      <c r="P672" s="207"/>
      <c r="Q672" s="207"/>
      <c r="R672" s="208"/>
      <c r="S672" s="86"/>
    </row>
    <row r="673" spans="1:19">
      <c r="A673" s="86"/>
      <c r="B673" s="207"/>
      <c r="C673" s="207"/>
      <c r="D673" s="207"/>
      <c r="E673" s="207"/>
      <c r="F673" s="207"/>
      <c r="G673" s="207"/>
      <c r="H673" s="207"/>
      <c r="I673" s="207"/>
      <c r="J673" s="207"/>
      <c r="K673" s="207"/>
      <c r="L673" s="207"/>
      <c r="M673" s="207"/>
      <c r="N673" s="207"/>
      <c r="O673" s="207"/>
      <c r="P673" s="207"/>
      <c r="Q673" s="207"/>
      <c r="R673" s="208"/>
      <c r="S673" s="86"/>
    </row>
    <row r="674" spans="1:19">
      <c r="A674" s="86"/>
      <c r="B674" s="207"/>
      <c r="C674" s="207"/>
      <c r="D674" s="207"/>
      <c r="E674" s="207"/>
      <c r="F674" s="207"/>
      <c r="G674" s="207"/>
      <c r="H674" s="207"/>
      <c r="I674" s="207"/>
      <c r="J674" s="207"/>
      <c r="K674" s="207"/>
      <c r="L674" s="207"/>
      <c r="M674" s="207"/>
      <c r="N674" s="207"/>
      <c r="O674" s="207"/>
      <c r="P674" s="207"/>
      <c r="Q674" s="207"/>
      <c r="R674" s="208"/>
      <c r="S674" s="86"/>
    </row>
    <row r="675" spans="1:19">
      <c r="A675" s="86"/>
      <c r="B675" s="207"/>
      <c r="C675" s="207"/>
      <c r="D675" s="207"/>
      <c r="E675" s="207"/>
      <c r="F675" s="207"/>
      <c r="G675" s="207"/>
      <c r="H675" s="207"/>
      <c r="I675" s="207"/>
      <c r="J675" s="207"/>
      <c r="K675" s="207"/>
      <c r="L675" s="207"/>
      <c r="M675" s="207"/>
      <c r="N675" s="207"/>
      <c r="O675" s="207"/>
      <c r="P675" s="207"/>
      <c r="Q675" s="207"/>
      <c r="R675" s="208"/>
      <c r="S675" s="86"/>
    </row>
    <row r="676" spans="1:19">
      <c r="A676" s="86"/>
      <c r="B676" s="207"/>
      <c r="C676" s="207"/>
      <c r="D676" s="207"/>
      <c r="E676" s="207"/>
      <c r="F676" s="207"/>
      <c r="G676" s="207"/>
      <c r="H676" s="207"/>
      <c r="I676" s="207"/>
      <c r="J676" s="207"/>
      <c r="K676" s="207"/>
      <c r="L676" s="207"/>
      <c r="M676" s="207"/>
      <c r="N676" s="207"/>
      <c r="O676" s="207"/>
      <c r="P676" s="207"/>
      <c r="Q676" s="207"/>
      <c r="R676" s="208"/>
      <c r="S676" s="86"/>
    </row>
    <row r="677" spans="1:19">
      <c r="A677" s="86"/>
      <c r="B677" s="207"/>
      <c r="C677" s="207"/>
      <c r="D677" s="207"/>
      <c r="E677" s="207"/>
      <c r="F677" s="207"/>
      <c r="G677" s="207"/>
      <c r="H677" s="207"/>
      <c r="I677" s="207"/>
      <c r="J677" s="207"/>
      <c r="K677" s="207"/>
      <c r="L677" s="207"/>
      <c r="M677" s="207"/>
      <c r="N677" s="207"/>
      <c r="O677" s="207"/>
      <c r="P677" s="207"/>
      <c r="Q677" s="207"/>
      <c r="R677" s="208"/>
      <c r="S677" s="86"/>
    </row>
    <row r="678" spans="1:19">
      <c r="A678" s="86"/>
      <c r="B678" s="207"/>
      <c r="C678" s="207"/>
      <c r="D678" s="207"/>
      <c r="E678" s="207"/>
      <c r="F678" s="207"/>
      <c r="G678" s="207"/>
      <c r="H678" s="207"/>
      <c r="I678" s="207"/>
      <c r="J678" s="207"/>
      <c r="K678" s="207"/>
      <c r="L678" s="207"/>
      <c r="M678" s="207"/>
      <c r="N678" s="207"/>
      <c r="O678" s="207"/>
      <c r="P678" s="207"/>
      <c r="Q678" s="207"/>
      <c r="R678" s="208"/>
      <c r="S678" s="86"/>
    </row>
    <row r="679" spans="1:19">
      <c r="A679" s="86"/>
      <c r="B679" s="207"/>
      <c r="C679" s="207"/>
      <c r="D679" s="207"/>
      <c r="E679" s="207"/>
      <c r="F679" s="207"/>
      <c r="G679" s="207"/>
      <c r="H679" s="207"/>
      <c r="I679" s="207"/>
      <c r="J679" s="207"/>
      <c r="K679" s="207"/>
      <c r="L679" s="207"/>
      <c r="M679" s="207"/>
      <c r="N679" s="207"/>
      <c r="O679" s="207"/>
      <c r="P679" s="207"/>
      <c r="Q679" s="207"/>
      <c r="R679" s="208"/>
      <c r="S679" s="86"/>
    </row>
    <row r="680" spans="1:19">
      <c r="A680" s="86"/>
      <c r="B680" s="207"/>
      <c r="C680" s="207"/>
      <c r="D680" s="207"/>
      <c r="E680" s="207"/>
      <c r="F680" s="207"/>
      <c r="G680" s="207"/>
      <c r="H680" s="207"/>
      <c r="I680" s="207"/>
      <c r="J680" s="207"/>
      <c r="K680" s="207"/>
      <c r="L680" s="207"/>
      <c r="M680" s="207"/>
      <c r="N680" s="207"/>
      <c r="O680" s="207"/>
      <c r="P680" s="207"/>
      <c r="Q680" s="207"/>
      <c r="R680" s="208"/>
      <c r="S680" s="86"/>
    </row>
    <row r="681" spans="1:19">
      <c r="A681" s="86"/>
      <c r="B681" s="207"/>
      <c r="C681" s="207"/>
      <c r="D681" s="207"/>
      <c r="E681" s="207"/>
      <c r="F681" s="207"/>
      <c r="G681" s="207"/>
      <c r="H681" s="207"/>
      <c r="I681" s="207"/>
      <c r="J681" s="207"/>
      <c r="K681" s="207"/>
      <c r="L681" s="207"/>
      <c r="M681" s="207"/>
      <c r="N681" s="207"/>
      <c r="O681" s="207"/>
      <c r="P681" s="207"/>
      <c r="Q681" s="207"/>
      <c r="R681" s="208"/>
      <c r="S681" s="86"/>
    </row>
    <row r="682" spans="1:19">
      <c r="A682" s="86"/>
      <c r="B682" s="207"/>
      <c r="C682" s="207"/>
      <c r="D682" s="207"/>
      <c r="E682" s="207"/>
      <c r="F682" s="207"/>
      <c r="G682" s="207"/>
      <c r="H682" s="207"/>
      <c r="I682" s="207"/>
      <c r="J682" s="207"/>
      <c r="K682" s="207"/>
      <c r="L682" s="207"/>
      <c r="M682" s="207"/>
      <c r="N682" s="207"/>
      <c r="O682" s="207"/>
      <c r="P682" s="207"/>
      <c r="Q682" s="207"/>
      <c r="R682" s="208"/>
      <c r="S682" s="86"/>
    </row>
  </sheetData>
  <sheetProtection password="CEE9" sheet="1" objects="1" scenarios="1" formatCells="0" formatColumns="0" formatRows="0"/>
  <mergeCells count="2">
    <mergeCell ref="C1:S1"/>
    <mergeCell ref="C22:Q22"/>
  </mergeCells>
  <phoneticPr fontId="254"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B2 B23">
      <formula1>"建筑面积,土地面积"</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E19" sqref="E19"/>
    </sheetView>
  </sheetViews>
  <sheetFormatPr defaultColWidth="9" defaultRowHeight="13.5"/>
  <cols>
    <col min="1" max="1" width="4.875" style="15" customWidth="1"/>
    <col min="2" max="2" width="13.25" style="16" customWidth="1"/>
    <col min="3" max="3" width="15.625" style="16" customWidth="1"/>
    <col min="4" max="4" width="9.375" style="16" customWidth="1"/>
    <col min="5" max="5" width="13.5" style="16" customWidth="1"/>
    <col min="6" max="6" width="9" style="16"/>
    <col min="7" max="7" width="9.375" style="16" customWidth="1"/>
    <col min="8" max="9" width="9" style="16"/>
    <col min="10" max="10" width="9.375" style="16" customWidth="1"/>
    <col min="11" max="11" width="4" style="15" customWidth="1"/>
    <col min="12" max="12" width="5.125" style="16" customWidth="1"/>
    <col min="13" max="13" width="13.75" style="16" customWidth="1"/>
    <col min="14" max="256" width="9" style="16"/>
    <col min="257" max="257" width="4.875" style="17" customWidth="1"/>
    <col min="258" max="258" width="13.25" style="17" customWidth="1"/>
    <col min="259" max="259" width="15.625" style="17" customWidth="1"/>
    <col min="260" max="260" width="9.375" style="17" customWidth="1"/>
    <col min="261" max="261" width="13.5" style="17" customWidth="1"/>
    <col min="262" max="262" width="9" style="17"/>
    <col min="263" max="263" width="9.375" style="17" customWidth="1"/>
    <col min="264" max="265" width="9" style="17"/>
    <col min="266" max="266" width="9.375" style="17" customWidth="1"/>
    <col min="267" max="267" width="4" style="17" customWidth="1"/>
    <col min="268" max="268" width="5.125" style="17" customWidth="1"/>
    <col min="269" max="269" width="13.75" style="17" customWidth="1"/>
    <col min="270" max="512" width="9" style="17"/>
    <col min="513" max="513" width="4.875" style="17" customWidth="1"/>
    <col min="514" max="514" width="13.25" style="17" customWidth="1"/>
    <col min="515" max="515" width="15.625" style="17" customWidth="1"/>
    <col min="516" max="516" width="9.375" style="17" customWidth="1"/>
    <col min="517" max="517" width="13.5" style="17" customWidth="1"/>
    <col min="518" max="518" width="9" style="17"/>
    <col min="519" max="519" width="9.375" style="17" customWidth="1"/>
    <col min="520" max="521" width="9" style="17"/>
    <col min="522" max="522" width="9.375" style="17" customWidth="1"/>
    <col min="523" max="523" width="4" style="17" customWidth="1"/>
    <col min="524" max="524" width="5.125" style="17" customWidth="1"/>
    <col min="525" max="525" width="13.75" style="17" customWidth="1"/>
    <col min="526" max="768" width="9" style="17"/>
    <col min="769" max="769" width="4.875" style="17" customWidth="1"/>
    <col min="770" max="770" width="13.25" style="17" customWidth="1"/>
    <col min="771" max="771" width="15.625" style="17" customWidth="1"/>
    <col min="772" max="772" width="9.375" style="17" customWidth="1"/>
    <col min="773" max="773" width="13.5" style="17" customWidth="1"/>
    <col min="774" max="774" width="9" style="17"/>
    <col min="775" max="775" width="9.375" style="17" customWidth="1"/>
    <col min="776" max="777" width="9" style="17"/>
    <col min="778" max="778" width="9.375" style="17" customWidth="1"/>
    <col min="779" max="779" width="4" style="17" customWidth="1"/>
    <col min="780" max="780" width="5.125" style="17" customWidth="1"/>
    <col min="781" max="781" width="13.75" style="17" customWidth="1"/>
    <col min="782" max="1024" width="9" style="17"/>
    <col min="1025" max="1025" width="4.875" style="17" customWidth="1"/>
    <col min="1026" max="1026" width="13.25" style="17" customWidth="1"/>
    <col min="1027" max="1027" width="15.625" style="17" customWidth="1"/>
    <col min="1028" max="1028" width="9.375" style="17" customWidth="1"/>
    <col min="1029" max="1029" width="13.5" style="17" customWidth="1"/>
    <col min="1030" max="1030" width="9" style="17"/>
    <col min="1031" max="1031" width="9.375" style="17" customWidth="1"/>
    <col min="1032" max="1033" width="9" style="17"/>
    <col min="1034" max="1034" width="9.375" style="17" customWidth="1"/>
    <col min="1035" max="1035" width="4" style="17" customWidth="1"/>
    <col min="1036" max="1036" width="5.125" style="17" customWidth="1"/>
    <col min="1037" max="1037" width="13.75" style="17" customWidth="1"/>
    <col min="1038" max="1280" width="9" style="17"/>
    <col min="1281" max="1281" width="4.875" style="17" customWidth="1"/>
    <col min="1282" max="1282" width="13.25" style="17" customWidth="1"/>
    <col min="1283" max="1283" width="15.625" style="17" customWidth="1"/>
    <col min="1284" max="1284" width="9.375" style="17" customWidth="1"/>
    <col min="1285" max="1285" width="13.5" style="17" customWidth="1"/>
    <col min="1286" max="1286" width="9" style="17"/>
    <col min="1287" max="1287" width="9.375" style="17" customWidth="1"/>
    <col min="1288" max="1289" width="9" style="17"/>
    <col min="1290" max="1290" width="9.375" style="17" customWidth="1"/>
    <col min="1291" max="1291" width="4" style="17" customWidth="1"/>
    <col min="1292" max="1292" width="5.125" style="17" customWidth="1"/>
    <col min="1293" max="1293" width="13.75" style="17" customWidth="1"/>
    <col min="1294" max="1536" width="9" style="17"/>
    <col min="1537" max="1537" width="4.875" style="17" customWidth="1"/>
    <col min="1538" max="1538" width="13.25" style="17" customWidth="1"/>
    <col min="1539" max="1539" width="15.625" style="17" customWidth="1"/>
    <col min="1540" max="1540" width="9.375" style="17" customWidth="1"/>
    <col min="1541" max="1541" width="13.5" style="17" customWidth="1"/>
    <col min="1542" max="1542" width="9" style="17"/>
    <col min="1543" max="1543" width="9.375" style="17" customWidth="1"/>
    <col min="1544" max="1545" width="9" style="17"/>
    <col min="1546" max="1546" width="9.375" style="17" customWidth="1"/>
    <col min="1547" max="1547" width="4" style="17" customWidth="1"/>
    <col min="1548" max="1548" width="5.125" style="17" customWidth="1"/>
    <col min="1549" max="1549" width="13.75" style="17" customWidth="1"/>
    <col min="1550" max="1792" width="9" style="17"/>
    <col min="1793" max="1793" width="4.875" style="17" customWidth="1"/>
    <col min="1794" max="1794" width="13.25" style="17" customWidth="1"/>
    <col min="1795" max="1795" width="15.625" style="17" customWidth="1"/>
    <col min="1796" max="1796" width="9.375" style="17" customWidth="1"/>
    <col min="1797" max="1797" width="13.5" style="17" customWidth="1"/>
    <col min="1798" max="1798" width="9" style="17"/>
    <col min="1799" max="1799" width="9.375" style="17" customWidth="1"/>
    <col min="1800" max="1801" width="9" style="17"/>
    <col min="1802" max="1802" width="9.375" style="17" customWidth="1"/>
    <col min="1803" max="1803" width="4" style="17" customWidth="1"/>
    <col min="1804" max="1804" width="5.125" style="17" customWidth="1"/>
    <col min="1805" max="1805" width="13.75" style="17" customWidth="1"/>
    <col min="1806" max="2048" width="9" style="17"/>
    <col min="2049" max="2049" width="4.875" style="17" customWidth="1"/>
    <col min="2050" max="2050" width="13.25" style="17" customWidth="1"/>
    <col min="2051" max="2051" width="15.625" style="17" customWidth="1"/>
    <col min="2052" max="2052" width="9.375" style="17" customWidth="1"/>
    <col min="2053" max="2053" width="13.5" style="17" customWidth="1"/>
    <col min="2054" max="2054" width="9" style="17"/>
    <col min="2055" max="2055" width="9.375" style="17" customWidth="1"/>
    <col min="2056" max="2057" width="9" style="17"/>
    <col min="2058" max="2058" width="9.375" style="17" customWidth="1"/>
    <col min="2059" max="2059" width="4" style="17" customWidth="1"/>
    <col min="2060" max="2060" width="5.125" style="17" customWidth="1"/>
    <col min="2061" max="2061" width="13.75" style="17" customWidth="1"/>
    <col min="2062" max="2304" width="9" style="17"/>
    <col min="2305" max="2305" width="4.875" style="17" customWidth="1"/>
    <col min="2306" max="2306" width="13.25" style="17" customWidth="1"/>
    <col min="2307" max="2307" width="15.625" style="17" customWidth="1"/>
    <col min="2308" max="2308" width="9.375" style="17" customWidth="1"/>
    <col min="2309" max="2309" width="13.5" style="17" customWidth="1"/>
    <col min="2310" max="2310" width="9" style="17"/>
    <col min="2311" max="2311" width="9.375" style="17" customWidth="1"/>
    <col min="2312" max="2313" width="9" style="17"/>
    <col min="2314" max="2314" width="9.375" style="17" customWidth="1"/>
    <col min="2315" max="2315" width="4" style="17" customWidth="1"/>
    <col min="2316" max="2316" width="5.125" style="17" customWidth="1"/>
    <col min="2317" max="2317" width="13.75" style="17" customWidth="1"/>
    <col min="2318" max="2560" width="9" style="17"/>
    <col min="2561" max="2561" width="4.875" style="17" customWidth="1"/>
    <col min="2562" max="2562" width="13.25" style="17" customWidth="1"/>
    <col min="2563" max="2563" width="15.625" style="17" customWidth="1"/>
    <col min="2564" max="2564" width="9.375" style="17" customWidth="1"/>
    <col min="2565" max="2565" width="13.5" style="17" customWidth="1"/>
    <col min="2566" max="2566" width="9" style="17"/>
    <col min="2567" max="2567" width="9.375" style="17" customWidth="1"/>
    <col min="2568" max="2569" width="9" style="17"/>
    <col min="2570" max="2570" width="9.375" style="17" customWidth="1"/>
    <col min="2571" max="2571" width="4" style="17" customWidth="1"/>
    <col min="2572" max="2572" width="5.125" style="17" customWidth="1"/>
    <col min="2573" max="2573" width="13.75" style="17" customWidth="1"/>
    <col min="2574" max="2816" width="9" style="17"/>
    <col min="2817" max="2817" width="4.875" style="17" customWidth="1"/>
    <col min="2818" max="2818" width="13.25" style="17" customWidth="1"/>
    <col min="2819" max="2819" width="15.625" style="17" customWidth="1"/>
    <col min="2820" max="2820" width="9.375" style="17" customWidth="1"/>
    <col min="2821" max="2821" width="13.5" style="17" customWidth="1"/>
    <col min="2822" max="2822" width="9" style="17"/>
    <col min="2823" max="2823" width="9.375" style="17" customWidth="1"/>
    <col min="2824" max="2825" width="9" style="17"/>
    <col min="2826" max="2826" width="9.375" style="17" customWidth="1"/>
    <col min="2827" max="2827" width="4" style="17" customWidth="1"/>
    <col min="2828" max="2828" width="5.125" style="17" customWidth="1"/>
    <col min="2829" max="2829" width="13.75" style="17" customWidth="1"/>
    <col min="2830" max="3072" width="9" style="17"/>
    <col min="3073" max="3073" width="4.875" style="17" customWidth="1"/>
    <col min="3074" max="3074" width="13.25" style="17" customWidth="1"/>
    <col min="3075" max="3075" width="15.625" style="17" customWidth="1"/>
    <col min="3076" max="3076" width="9.375" style="17" customWidth="1"/>
    <col min="3077" max="3077" width="13.5" style="17" customWidth="1"/>
    <col min="3078" max="3078" width="9" style="17"/>
    <col min="3079" max="3079" width="9.375" style="17" customWidth="1"/>
    <col min="3080" max="3081" width="9" style="17"/>
    <col min="3082" max="3082" width="9.375" style="17" customWidth="1"/>
    <col min="3083" max="3083" width="4" style="17" customWidth="1"/>
    <col min="3084" max="3084" width="5.125" style="17" customWidth="1"/>
    <col min="3085" max="3085" width="13.75" style="17" customWidth="1"/>
    <col min="3086" max="3328" width="9" style="17"/>
    <col min="3329" max="3329" width="4.875" style="17" customWidth="1"/>
    <col min="3330" max="3330" width="13.25" style="17" customWidth="1"/>
    <col min="3331" max="3331" width="15.625" style="17" customWidth="1"/>
    <col min="3332" max="3332" width="9.375" style="17" customWidth="1"/>
    <col min="3333" max="3333" width="13.5" style="17" customWidth="1"/>
    <col min="3334" max="3334" width="9" style="17"/>
    <col min="3335" max="3335" width="9.375" style="17" customWidth="1"/>
    <col min="3336" max="3337" width="9" style="17"/>
    <col min="3338" max="3338" width="9.375" style="17" customWidth="1"/>
    <col min="3339" max="3339" width="4" style="17" customWidth="1"/>
    <col min="3340" max="3340" width="5.125" style="17" customWidth="1"/>
    <col min="3341" max="3341" width="13.75" style="17" customWidth="1"/>
    <col min="3342" max="3584" width="9" style="17"/>
    <col min="3585" max="3585" width="4.875" style="17" customWidth="1"/>
    <col min="3586" max="3586" width="13.25" style="17" customWidth="1"/>
    <col min="3587" max="3587" width="15.625" style="17" customWidth="1"/>
    <col min="3588" max="3588" width="9.375" style="17" customWidth="1"/>
    <col min="3589" max="3589" width="13.5" style="17" customWidth="1"/>
    <col min="3590" max="3590" width="9" style="17"/>
    <col min="3591" max="3591" width="9.375" style="17" customWidth="1"/>
    <col min="3592" max="3593" width="9" style="17"/>
    <col min="3594" max="3594" width="9.375" style="17" customWidth="1"/>
    <col min="3595" max="3595" width="4" style="17" customWidth="1"/>
    <col min="3596" max="3596" width="5.125" style="17" customWidth="1"/>
    <col min="3597" max="3597" width="13.75" style="17" customWidth="1"/>
    <col min="3598" max="3840" width="9" style="17"/>
    <col min="3841" max="3841" width="4.875" style="17" customWidth="1"/>
    <col min="3842" max="3842" width="13.25" style="17" customWidth="1"/>
    <col min="3843" max="3843" width="15.625" style="17" customWidth="1"/>
    <col min="3844" max="3844" width="9.375" style="17" customWidth="1"/>
    <col min="3845" max="3845" width="13.5" style="17" customWidth="1"/>
    <col min="3846" max="3846" width="9" style="17"/>
    <col min="3847" max="3847" width="9.375" style="17" customWidth="1"/>
    <col min="3848" max="3849" width="9" style="17"/>
    <col min="3850" max="3850" width="9.375" style="17" customWidth="1"/>
    <col min="3851" max="3851" width="4" style="17" customWidth="1"/>
    <col min="3852" max="3852" width="5.125" style="17" customWidth="1"/>
    <col min="3853" max="3853" width="13.75" style="17" customWidth="1"/>
    <col min="3854" max="4096" width="9" style="17"/>
    <col min="4097" max="4097" width="4.875" style="17" customWidth="1"/>
    <col min="4098" max="4098" width="13.25" style="17" customWidth="1"/>
    <col min="4099" max="4099" width="15.625" style="17" customWidth="1"/>
    <col min="4100" max="4100" width="9.375" style="17" customWidth="1"/>
    <col min="4101" max="4101" width="13.5" style="17" customWidth="1"/>
    <col min="4102" max="4102" width="9" style="17"/>
    <col min="4103" max="4103" width="9.375" style="17" customWidth="1"/>
    <col min="4104" max="4105" width="9" style="17"/>
    <col min="4106" max="4106" width="9.375" style="17" customWidth="1"/>
    <col min="4107" max="4107" width="4" style="17" customWidth="1"/>
    <col min="4108" max="4108" width="5.125" style="17" customWidth="1"/>
    <col min="4109" max="4109" width="13.75" style="17" customWidth="1"/>
    <col min="4110" max="4352" width="9" style="17"/>
    <col min="4353" max="4353" width="4.875" style="17" customWidth="1"/>
    <col min="4354" max="4354" width="13.25" style="17" customWidth="1"/>
    <col min="4355" max="4355" width="15.625" style="17" customWidth="1"/>
    <col min="4356" max="4356" width="9.375" style="17" customWidth="1"/>
    <col min="4357" max="4357" width="13.5" style="17" customWidth="1"/>
    <col min="4358" max="4358" width="9" style="17"/>
    <col min="4359" max="4359" width="9.375" style="17" customWidth="1"/>
    <col min="4360" max="4361" width="9" style="17"/>
    <col min="4362" max="4362" width="9.375" style="17" customWidth="1"/>
    <col min="4363" max="4363" width="4" style="17" customWidth="1"/>
    <col min="4364" max="4364" width="5.125" style="17" customWidth="1"/>
    <col min="4365" max="4365" width="13.75" style="17" customWidth="1"/>
    <col min="4366" max="4608" width="9" style="17"/>
    <col min="4609" max="4609" width="4.875" style="17" customWidth="1"/>
    <col min="4610" max="4610" width="13.25" style="17" customWidth="1"/>
    <col min="4611" max="4611" width="15.625" style="17" customWidth="1"/>
    <col min="4612" max="4612" width="9.375" style="17" customWidth="1"/>
    <col min="4613" max="4613" width="13.5" style="17" customWidth="1"/>
    <col min="4614" max="4614" width="9" style="17"/>
    <col min="4615" max="4615" width="9.375" style="17" customWidth="1"/>
    <col min="4616" max="4617" width="9" style="17"/>
    <col min="4618" max="4618" width="9.375" style="17" customWidth="1"/>
    <col min="4619" max="4619" width="4" style="17" customWidth="1"/>
    <col min="4620" max="4620" width="5.125" style="17" customWidth="1"/>
    <col min="4621" max="4621" width="13.75" style="17" customWidth="1"/>
    <col min="4622" max="4864" width="9" style="17"/>
    <col min="4865" max="4865" width="4.875" style="17" customWidth="1"/>
    <col min="4866" max="4866" width="13.25" style="17" customWidth="1"/>
    <col min="4867" max="4867" width="15.625" style="17" customWidth="1"/>
    <col min="4868" max="4868" width="9.375" style="17" customWidth="1"/>
    <col min="4869" max="4869" width="13.5" style="17" customWidth="1"/>
    <col min="4870" max="4870" width="9" style="17"/>
    <col min="4871" max="4871" width="9.375" style="17" customWidth="1"/>
    <col min="4872" max="4873" width="9" style="17"/>
    <col min="4874" max="4874" width="9.375" style="17" customWidth="1"/>
    <col min="4875" max="4875" width="4" style="17" customWidth="1"/>
    <col min="4876" max="4876" width="5.125" style="17" customWidth="1"/>
    <col min="4877" max="4877" width="13.75" style="17" customWidth="1"/>
    <col min="4878" max="5120" width="9" style="17"/>
    <col min="5121" max="5121" width="4.875" style="17" customWidth="1"/>
    <col min="5122" max="5122" width="13.25" style="17" customWidth="1"/>
    <col min="5123" max="5123" width="15.625" style="17" customWidth="1"/>
    <col min="5124" max="5124" width="9.375" style="17" customWidth="1"/>
    <col min="5125" max="5125" width="13.5" style="17" customWidth="1"/>
    <col min="5126" max="5126" width="9" style="17"/>
    <col min="5127" max="5127" width="9.375" style="17" customWidth="1"/>
    <col min="5128" max="5129" width="9" style="17"/>
    <col min="5130" max="5130" width="9.375" style="17" customWidth="1"/>
    <col min="5131" max="5131" width="4" style="17" customWidth="1"/>
    <col min="5132" max="5132" width="5.125" style="17" customWidth="1"/>
    <col min="5133" max="5133" width="13.75" style="17" customWidth="1"/>
    <col min="5134" max="5376" width="9" style="17"/>
    <col min="5377" max="5377" width="4.875" style="17" customWidth="1"/>
    <col min="5378" max="5378" width="13.25" style="17" customWidth="1"/>
    <col min="5379" max="5379" width="15.625" style="17" customWidth="1"/>
    <col min="5380" max="5380" width="9.375" style="17" customWidth="1"/>
    <col min="5381" max="5381" width="13.5" style="17" customWidth="1"/>
    <col min="5382" max="5382" width="9" style="17"/>
    <col min="5383" max="5383" width="9.375" style="17" customWidth="1"/>
    <col min="5384" max="5385" width="9" style="17"/>
    <col min="5386" max="5386" width="9.375" style="17" customWidth="1"/>
    <col min="5387" max="5387" width="4" style="17" customWidth="1"/>
    <col min="5388" max="5388" width="5.125" style="17" customWidth="1"/>
    <col min="5389" max="5389" width="13.75" style="17" customWidth="1"/>
    <col min="5390" max="5632" width="9" style="17"/>
    <col min="5633" max="5633" width="4.875" style="17" customWidth="1"/>
    <col min="5634" max="5634" width="13.25" style="17" customWidth="1"/>
    <col min="5635" max="5635" width="15.625" style="17" customWidth="1"/>
    <col min="5636" max="5636" width="9.375" style="17" customWidth="1"/>
    <col min="5637" max="5637" width="13.5" style="17" customWidth="1"/>
    <col min="5638" max="5638" width="9" style="17"/>
    <col min="5639" max="5639" width="9.375" style="17" customWidth="1"/>
    <col min="5640" max="5641" width="9" style="17"/>
    <col min="5642" max="5642" width="9.375" style="17" customWidth="1"/>
    <col min="5643" max="5643" width="4" style="17" customWidth="1"/>
    <col min="5644" max="5644" width="5.125" style="17" customWidth="1"/>
    <col min="5645" max="5645" width="13.75" style="17" customWidth="1"/>
    <col min="5646" max="5888" width="9" style="17"/>
    <col min="5889" max="5889" width="4.875" style="17" customWidth="1"/>
    <col min="5890" max="5890" width="13.25" style="17" customWidth="1"/>
    <col min="5891" max="5891" width="15.625" style="17" customWidth="1"/>
    <col min="5892" max="5892" width="9.375" style="17" customWidth="1"/>
    <col min="5893" max="5893" width="13.5" style="17" customWidth="1"/>
    <col min="5894" max="5894" width="9" style="17"/>
    <col min="5895" max="5895" width="9.375" style="17" customWidth="1"/>
    <col min="5896" max="5897" width="9" style="17"/>
    <col min="5898" max="5898" width="9.375" style="17" customWidth="1"/>
    <col min="5899" max="5899" width="4" style="17" customWidth="1"/>
    <col min="5900" max="5900" width="5.125" style="17" customWidth="1"/>
    <col min="5901" max="5901" width="13.75" style="17" customWidth="1"/>
    <col min="5902" max="6144" width="9" style="17"/>
    <col min="6145" max="6145" width="4.875" style="17" customWidth="1"/>
    <col min="6146" max="6146" width="13.25" style="17" customWidth="1"/>
    <col min="6147" max="6147" width="15.625" style="17" customWidth="1"/>
    <col min="6148" max="6148" width="9.375" style="17" customWidth="1"/>
    <col min="6149" max="6149" width="13.5" style="17" customWidth="1"/>
    <col min="6150" max="6150" width="9" style="17"/>
    <col min="6151" max="6151" width="9.375" style="17" customWidth="1"/>
    <col min="6152" max="6153" width="9" style="17"/>
    <col min="6154" max="6154" width="9.375" style="17" customWidth="1"/>
    <col min="6155" max="6155" width="4" style="17" customWidth="1"/>
    <col min="6156" max="6156" width="5.125" style="17" customWidth="1"/>
    <col min="6157" max="6157" width="13.75" style="17" customWidth="1"/>
    <col min="6158" max="6400" width="9" style="17"/>
    <col min="6401" max="6401" width="4.875" style="17" customWidth="1"/>
    <col min="6402" max="6402" width="13.25" style="17" customWidth="1"/>
    <col min="6403" max="6403" width="15.625" style="17" customWidth="1"/>
    <col min="6404" max="6404" width="9.375" style="17" customWidth="1"/>
    <col min="6405" max="6405" width="13.5" style="17" customWidth="1"/>
    <col min="6406" max="6406" width="9" style="17"/>
    <col min="6407" max="6407" width="9.375" style="17" customWidth="1"/>
    <col min="6408" max="6409" width="9" style="17"/>
    <col min="6410" max="6410" width="9.375" style="17" customWidth="1"/>
    <col min="6411" max="6411" width="4" style="17" customWidth="1"/>
    <col min="6412" max="6412" width="5.125" style="17" customWidth="1"/>
    <col min="6413" max="6413" width="13.75" style="17" customWidth="1"/>
    <col min="6414" max="6656" width="9" style="17"/>
    <col min="6657" max="6657" width="4.875" style="17" customWidth="1"/>
    <col min="6658" max="6658" width="13.25" style="17" customWidth="1"/>
    <col min="6659" max="6659" width="15.625" style="17" customWidth="1"/>
    <col min="6660" max="6660" width="9.375" style="17" customWidth="1"/>
    <col min="6661" max="6661" width="13.5" style="17" customWidth="1"/>
    <col min="6662" max="6662" width="9" style="17"/>
    <col min="6663" max="6663" width="9.375" style="17" customWidth="1"/>
    <col min="6664" max="6665" width="9" style="17"/>
    <col min="6666" max="6666" width="9.375" style="17" customWidth="1"/>
    <col min="6667" max="6667" width="4" style="17" customWidth="1"/>
    <col min="6668" max="6668" width="5.125" style="17" customWidth="1"/>
    <col min="6669" max="6669" width="13.75" style="17" customWidth="1"/>
    <col min="6670" max="6912" width="9" style="17"/>
    <col min="6913" max="6913" width="4.875" style="17" customWidth="1"/>
    <col min="6914" max="6914" width="13.25" style="17" customWidth="1"/>
    <col min="6915" max="6915" width="15.625" style="17" customWidth="1"/>
    <col min="6916" max="6916" width="9.375" style="17" customWidth="1"/>
    <col min="6917" max="6917" width="13.5" style="17" customWidth="1"/>
    <col min="6918" max="6918" width="9" style="17"/>
    <col min="6919" max="6919" width="9.375" style="17" customWidth="1"/>
    <col min="6920" max="6921" width="9" style="17"/>
    <col min="6922" max="6922" width="9.375" style="17" customWidth="1"/>
    <col min="6923" max="6923" width="4" style="17" customWidth="1"/>
    <col min="6924" max="6924" width="5.125" style="17" customWidth="1"/>
    <col min="6925" max="6925" width="13.75" style="17" customWidth="1"/>
    <col min="6926" max="7168" width="9" style="17"/>
    <col min="7169" max="7169" width="4.875" style="17" customWidth="1"/>
    <col min="7170" max="7170" width="13.25" style="17" customWidth="1"/>
    <col min="7171" max="7171" width="15.625" style="17" customWidth="1"/>
    <col min="7172" max="7172" width="9.375" style="17" customWidth="1"/>
    <col min="7173" max="7173" width="13.5" style="17" customWidth="1"/>
    <col min="7174" max="7174" width="9" style="17"/>
    <col min="7175" max="7175" width="9.375" style="17" customWidth="1"/>
    <col min="7176" max="7177" width="9" style="17"/>
    <col min="7178" max="7178" width="9.375" style="17" customWidth="1"/>
    <col min="7179" max="7179" width="4" style="17" customWidth="1"/>
    <col min="7180" max="7180" width="5.125" style="17" customWidth="1"/>
    <col min="7181" max="7181" width="13.75" style="17" customWidth="1"/>
    <col min="7182" max="7424" width="9" style="17"/>
    <col min="7425" max="7425" width="4.875" style="17" customWidth="1"/>
    <col min="7426" max="7426" width="13.25" style="17" customWidth="1"/>
    <col min="7427" max="7427" width="15.625" style="17" customWidth="1"/>
    <col min="7428" max="7428" width="9.375" style="17" customWidth="1"/>
    <col min="7429" max="7429" width="13.5" style="17" customWidth="1"/>
    <col min="7430" max="7430" width="9" style="17"/>
    <col min="7431" max="7431" width="9.375" style="17" customWidth="1"/>
    <col min="7432" max="7433" width="9" style="17"/>
    <col min="7434" max="7434" width="9.375" style="17" customWidth="1"/>
    <col min="7435" max="7435" width="4" style="17" customWidth="1"/>
    <col min="7436" max="7436" width="5.125" style="17" customWidth="1"/>
    <col min="7437" max="7437" width="13.75" style="17" customWidth="1"/>
    <col min="7438" max="7680" width="9" style="17"/>
    <col min="7681" max="7681" width="4.875" style="17" customWidth="1"/>
    <col min="7682" max="7682" width="13.25" style="17" customWidth="1"/>
    <col min="7683" max="7683" width="15.625" style="17" customWidth="1"/>
    <col min="7684" max="7684" width="9.375" style="17" customWidth="1"/>
    <col min="7685" max="7685" width="13.5" style="17" customWidth="1"/>
    <col min="7686" max="7686" width="9" style="17"/>
    <col min="7687" max="7687" width="9.375" style="17" customWidth="1"/>
    <col min="7688" max="7689" width="9" style="17"/>
    <col min="7690" max="7690" width="9.375" style="17" customWidth="1"/>
    <col min="7691" max="7691" width="4" style="17" customWidth="1"/>
    <col min="7692" max="7692" width="5.125" style="17" customWidth="1"/>
    <col min="7693" max="7693" width="13.75" style="17" customWidth="1"/>
    <col min="7694" max="7936" width="9" style="17"/>
    <col min="7937" max="7937" width="4.875" style="17" customWidth="1"/>
    <col min="7938" max="7938" width="13.25" style="17" customWidth="1"/>
    <col min="7939" max="7939" width="15.625" style="17" customWidth="1"/>
    <col min="7940" max="7940" width="9.375" style="17" customWidth="1"/>
    <col min="7941" max="7941" width="13.5" style="17" customWidth="1"/>
    <col min="7942" max="7942" width="9" style="17"/>
    <col min="7943" max="7943" width="9.375" style="17" customWidth="1"/>
    <col min="7944" max="7945" width="9" style="17"/>
    <col min="7946" max="7946" width="9.375" style="17" customWidth="1"/>
    <col min="7947" max="7947" width="4" style="17" customWidth="1"/>
    <col min="7948" max="7948" width="5.125" style="17" customWidth="1"/>
    <col min="7949" max="7949" width="13.75" style="17" customWidth="1"/>
    <col min="7950" max="8192" width="9" style="17"/>
    <col min="8193" max="8193" width="4.875" style="17" customWidth="1"/>
    <col min="8194" max="8194" width="13.25" style="17" customWidth="1"/>
    <col min="8195" max="8195" width="15.625" style="17" customWidth="1"/>
    <col min="8196" max="8196" width="9.375" style="17" customWidth="1"/>
    <col min="8197" max="8197" width="13.5" style="17" customWidth="1"/>
    <col min="8198" max="8198" width="9" style="17"/>
    <col min="8199" max="8199" width="9.375" style="17" customWidth="1"/>
    <col min="8200" max="8201" width="9" style="17"/>
    <col min="8202" max="8202" width="9.375" style="17" customWidth="1"/>
    <col min="8203" max="8203" width="4" style="17" customWidth="1"/>
    <col min="8204" max="8204" width="5.125" style="17" customWidth="1"/>
    <col min="8205" max="8205" width="13.75" style="17" customWidth="1"/>
    <col min="8206" max="8448" width="9" style="17"/>
    <col min="8449" max="8449" width="4.875" style="17" customWidth="1"/>
    <col min="8450" max="8450" width="13.25" style="17" customWidth="1"/>
    <col min="8451" max="8451" width="15.625" style="17" customWidth="1"/>
    <col min="8452" max="8452" width="9.375" style="17" customWidth="1"/>
    <col min="8453" max="8453" width="13.5" style="17" customWidth="1"/>
    <col min="8454" max="8454" width="9" style="17"/>
    <col min="8455" max="8455" width="9.375" style="17" customWidth="1"/>
    <col min="8456" max="8457" width="9" style="17"/>
    <col min="8458" max="8458" width="9.375" style="17" customWidth="1"/>
    <col min="8459" max="8459" width="4" style="17" customWidth="1"/>
    <col min="8460" max="8460" width="5.125" style="17" customWidth="1"/>
    <col min="8461" max="8461" width="13.75" style="17" customWidth="1"/>
    <col min="8462" max="8704" width="9" style="17"/>
    <col min="8705" max="8705" width="4.875" style="17" customWidth="1"/>
    <col min="8706" max="8706" width="13.25" style="17" customWidth="1"/>
    <col min="8707" max="8707" width="15.625" style="17" customWidth="1"/>
    <col min="8708" max="8708" width="9.375" style="17" customWidth="1"/>
    <col min="8709" max="8709" width="13.5" style="17" customWidth="1"/>
    <col min="8710" max="8710" width="9" style="17"/>
    <col min="8711" max="8711" width="9.375" style="17" customWidth="1"/>
    <col min="8712" max="8713" width="9" style="17"/>
    <col min="8714" max="8714" width="9.375" style="17" customWidth="1"/>
    <col min="8715" max="8715" width="4" style="17" customWidth="1"/>
    <col min="8716" max="8716" width="5.125" style="17" customWidth="1"/>
    <col min="8717" max="8717" width="13.75" style="17" customWidth="1"/>
    <col min="8718" max="8960" width="9" style="17"/>
    <col min="8961" max="8961" width="4.875" style="17" customWidth="1"/>
    <col min="8962" max="8962" width="13.25" style="17" customWidth="1"/>
    <col min="8963" max="8963" width="15.625" style="17" customWidth="1"/>
    <col min="8964" max="8964" width="9.375" style="17" customWidth="1"/>
    <col min="8965" max="8965" width="13.5" style="17" customWidth="1"/>
    <col min="8966" max="8966" width="9" style="17"/>
    <col min="8967" max="8967" width="9.375" style="17" customWidth="1"/>
    <col min="8968" max="8969" width="9" style="17"/>
    <col min="8970" max="8970" width="9.375" style="17" customWidth="1"/>
    <col min="8971" max="8971" width="4" style="17" customWidth="1"/>
    <col min="8972" max="8972" width="5.125" style="17" customWidth="1"/>
    <col min="8973" max="8973" width="13.75" style="17" customWidth="1"/>
    <col min="8974" max="9216" width="9" style="17"/>
    <col min="9217" max="9217" width="4.875" style="17" customWidth="1"/>
    <col min="9218" max="9218" width="13.25" style="17" customWidth="1"/>
    <col min="9219" max="9219" width="15.625" style="17" customWidth="1"/>
    <col min="9220" max="9220" width="9.375" style="17" customWidth="1"/>
    <col min="9221" max="9221" width="13.5" style="17" customWidth="1"/>
    <col min="9222" max="9222" width="9" style="17"/>
    <col min="9223" max="9223" width="9.375" style="17" customWidth="1"/>
    <col min="9224" max="9225" width="9" style="17"/>
    <col min="9226" max="9226" width="9.375" style="17" customWidth="1"/>
    <col min="9227" max="9227" width="4" style="17" customWidth="1"/>
    <col min="9228" max="9228" width="5.125" style="17" customWidth="1"/>
    <col min="9229" max="9229" width="13.75" style="17" customWidth="1"/>
    <col min="9230" max="9472" width="9" style="17"/>
    <col min="9473" max="9473" width="4.875" style="17" customWidth="1"/>
    <col min="9474" max="9474" width="13.25" style="17" customWidth="1"/>
    <col min="9475" max="9475" width="15.625" style="17" customWidth="1"/>
    <col min="9476" max="9476" width="9.375" style="17" customWidth="1"/>
    <col min="9477" max="9477" width="13.5" style="17" customWidth="1"/>
    <col min="9478" max="9478" width="9" style="17"/>
    <col min="9479" max="9479" width="9.375" style="17" customWidth="1"/>
    <col min="9480" max="9481" width="9" style="17"/>
    <col min="9482" max="9482" width="9.375" style="17" customWidth="1"/>
    <col min="9483" max="9483" width="4" style="17" customWidth="1"/>
    <col min="9484" max="9484" width="5.125" style="17" customWidth="1"/>
    <col min="9485" max="9485" width="13.75" style="17" customWidth="1"/>
    <col min="9486" max="9728" width="9" style="17"/>
    <col min="9729" max="9729" width="4.875" style="17" customWidth="1"/>
    <col min="9730" max="9730" width="13.25" style="17" customWidth="1"/>
    <col min="9731" max="9731" width="15.625" style="17" customWidth="1"/>
    <col min="9732" max="9732" width="9.375" style="17" customWidth="1"/>
    <col min="9733" max="9733" width="13.5" style="17" customWidth="1"/>
    <col min="9734" max="9734" width="9" style="17"/>
    <col min="9735" max="9735" width="9.375" style="17" customWidth="1"/>
    <col min="9736" max="9737" width="9" style="17"/>
    <col min="9738" max="9738" width="9.375" style="17" customWidth="1"/>
    <col min="9739" max="9739" width="4" style="17" customWidth="1"/>
    <col min="9740" max="9740" width="5.125" style="17" customWidth="1"/>
    <col min="9741" max="9741" width="13.75" style="17" customWidth="1"/>
    <col min="9742" max="9984" width="9" style="17"/>
    <col min="9985" max="9985" width="4.875" style="17" customWidth="1"/>
    <col min="9986" max="9986" width="13.25" style="17" customWidth="1"/>
    <col min="9987" max="9987" width="15.625" style="17" customWidth="1"/>
    <col min="9988" max="9988" width="9.375" style="17" customWidth="1"/>
    <col min="9989" max="9989" width="13.5" style="17" customWidth="1"/>
    <col min="9990" max="9990" width="9" style="17"/>
    <col min="9991" max="9991" width="9.375" style="17" customWidth="1"/>
    <col min="9992" max="9993" width="9" style="17"/>
    <col min="9994" max="9994" width="9.375" style="17" customWidth="1"/>
    <col min="9995" max="9995" width="4" style="17" customWidth="1"/>
    <col min="9996" max="9996" width="5.125" style="17" customWidth="1"/>
    <col min="9997" max="9997" width="13.75" style="17" customWidth="1"/>
    <col min="9998" max="10240" width="9" style="17"/>
    <col min="10241" max="10241" width="4.875" style="17" customWidth="1"/>
    <col min="10242" max="10242" width="13.25" style="17" customWidth="1"/>
    <col min="10243" max="10243" width="15.625" style="17" customWidth="1"/>
    <col min="10244" max="10244" width="9.375" style="17" customWidth="1"/>
    <col min="10245" max="10245" width="13.5" style="17" customWidth="1"/>
    <col min="10246" max="10246" width="9" style="17"/>
    <col min="10247" max="10247" width="9.375" style="17" customWidth="1"/>
    <col min="10248" max="10249" width="9" style="17"/>
    <col min="10250" max="10250" width="9.375" style="17" customWidth="1"/>
    <col min="10251" max="10251" width="4" style="17" customWidth="1"/>
    <col min="10252" max="10252" width="5.125" style="17" customWidth="1"/>
    <col min="10253" max="10253" width="13.75" style="17" customWidth="1"/>
    <col min="10254" max="10496" width="9" style="17"/>
    <col min="10497" max="10497" width="4.875" style="17" customWidth="1"/>
    <col min="10498" max="10498" width="13.25" style="17" customWidth="1"/>
    <col min="10499" max="10499" width="15.625" style="17" customWidth="1"/>
    <col min="10500" max="10500" width="9.375" style="17" customWidth="1"/>
    <col min="10501" max="10501" width="13.5" style="17" customWidth="1"/>
    <col min="10502" max="10502" width="9" style="17"/>
    <col min="10503" max="10503" width="9.375" style="17" customWidth="1"/>
    <col min="10504" max="10505" width="9" style="17"/>
    <col min="10506" max="10506" width="9.375" style="17" customWidth="1"/>
    <col min="10507" max="10507" width="4" style="17" customWidth="1"/>
    <col min="10508" max="10508" width="5.125" style="17" customWidth="1"/>
    <col min="10509" max="10509" width="13.75" style="17" customWidth="1"/>
    <col min="10510" max="10752" width="9" style="17"/>
    <col min="10753" max="10753" width="4.875" style="17" customWidth="1"/>
    <col min="10754" max="10754" width="13.25" style="17" customWidth="1"/>
    <col min="10755" max="10755" width="15.625" style="17" customWidth="1"/>
    <col min="10756" max="10756" width="9.375" style="17" customWidth="1"/>
    <col min="10757" max="10757" width="13.5" style="17" customWidth="1"/>
    <col min="10758" max="10758" width="9" style="17"/>
    <col min="10759" max="10759" width="9.375" style="17" customWidth="1"/>
    <col min="10760" max="10761" width="9" style="17"/>
    <col min="10762" max="10762" width="9.375" style="17" customWidth="1"/>
    <col min="10763" max="10763" width="4" style="17" customWidth="1"/>
    <col min="10764" max="10764" width="5.125" style="17" customWidth="1"/>
    <col min="10765" max="10765" width="13.75" style="17" customWidth="1"/>
    <col min="10766" max="11008" width="9" style="17"/>
    <col min="11009" max="11009" width="4.875" style="17" customWidth="1"/>
    <col min="11010" max="11010" width="13.25" style="17" customWidth="1"/>
    <col min="11011" max="11011" width="15.625" style="17" customWidth="1"/>
    <col min="11012" max="11012" width="9.375" style="17" customWidth="1"/>
    <col min="11013" max="11013" width="13.5" style="17" customWidth="1"/>
    <col min="11014" max="11014" width="9" style="17"/>
    <col min="11015" max="11015" width="9.375" style="17" customWidth="1"/>
    <col min="11016" max="11017" width="9" style="17"/>
    <col min="11018" max="11018" width="9.375" style="17" customWidth="1"/>
    <col min="11019" max="11019" width="4" style="17" customWidth="1"/>
    <col min="11020" max="11020" width="5.125" style="17" customWidth="1"/>
    <col min="11021" max="11021" width="13.75" style="17" customWidth="1"/>
    <col min="11022" max="11264" width="9" style="17"/>
    <col min="11265" max="11265" width="4.875" style="17" customWidth="1"/>
    <col min="11266" max="11266" width="13.25" style="17" customWidth="1"/>
    <col min="11267" max="11267" width="15.625" style="17" customWidth="1"/>
    <col min="11268" max="11268" width="9.375" style="17" customWidth="1"/>
    <col min="11269" max="11269" width="13.5" style="17" customWidth="1"/>
    <col min="11270" max="11270" width="9" style="17"/>
    <col min="11271" max="11271" width="9.375" style="17" customWidth="1"/>
    <col min="11272" max="11273" width="9" style="17"/>
    <col min="11274" max="11274" width="9.375" style="17" customWidth="1"/>
    <col min="11275" max="11275" width="4" style="17" customWidth="1"/>
    <col min="11276" max="11276" width="5.125" style="17" customWidth="1"/>
    <col min="11277" max="11277" width="13.75" style="17" customWidth="1"/>
    <col min="11278" max="11520" width="9" style="17"/>
    <col min="11521" max="11521" width="4.875" style="17" customWidth="1"/>
    <col min="11522" max="11522" width="13.25" style="17" customWidth="1"/>
    <col min="11523" max="11523" width="15.625" style="17" customWidth="1"/>
    <col min="11524" max="11524" width="9.375" style="17" customWidth="1"/>
    <col min="11525" max="11525" width="13.5" style="17" customWidth="1"/>
    <col min="11526" max="11526" width="9" style="17"/>
    <col min="11527" max="11527" width="9.375" style="17" customWidth="1"/>
    <col min="11528" max="11529" width="9" style="17"/>
    <col min="11530" max="11530" width="9.375" style="17" customWidth="1"/>
    <col min="11531" max="11531" width="4" style="17" customWidth="1"/>
    <col min="11532" max="11532" width="5.125" style="17" customWidth="1"/>
    <col min="11533" max="11533" width="13.75" style="17" customWidth="1"/>
    <col min="11534" max="11776" width="9" style="17"/>
    <col min="11777" max="11777" width="4.875" style="17" customWidth="1"/>
    <col min="11778" max="11778" width="13.25" style="17" customWidth="1"/>
    <col min="11779" max="11779" width="15.625" style="17" customWidth="1"/>
    <col min="11780" max="11780" width="9.375" style="17" customWidth="1"/>
    <col min="11781" max="11781" width="13.5" style="17" customWidth="1"/>
    <col min="11782" max="11782" width="9" style="17"/>
    <col min="11783" max="11783" width="9.375" style="17" customWidth="1"/>
    <col min="11784" max="11785" width="9" style="17"/>
    <col min="11786" max="11786" width="9.375" style="17" customWidth="1"/>
    <col min="11787" max="11787" width="4" style="17" customWidth="1"/>
    <col min="11788" max="11788" width="5.125" style="17" customWidth="1"/>
    <col min="11789" max="11789" width="13.75" style="17" customWidth="1"/>
    <col min="11790" max="12032" width="9" style="17"/>
    <col min="12033" max="12033" width="4.875" style="17" customWidth="1"/>
    <col min="12034" max="12034" width="13.25" style="17" customWidth="1"/>
    <col min="12035" max="12035" width="15.625" style="17" customWidth="1"/>
    <col min="12036" max="12036" width="9.375" style="17" customWidth="1"/>
    <col min="12037" max="12037" width="13.5" style="17" customWidth="1"/>
    <col min="12038" max="12038" width="9" style="17"/>
    <col min="12039" max="12039" width="9.375" style="17" customWidth="1"/>
    <col min="12040" max="12041" width="9" style="17"/>
    <col min="12042" max="12042" width="9.375" style="17" customWidth="1"/>
    <col min="12043" max="12043" width="4" style="17" customWidth="1"/>
    <col min="12044" max="12044" width="5.125" style="17" customWidth="1"/>
    <col min="12045" max="12045" width="13.75" style="17" customWidth="1"/>
    <col min="12046" max="12288" width="9" style="17"/>
    <col min="12289" max="12289" width="4.875" style="17" customWidth="1"/>
    <col min="12290" max="12290" width="13.25" style="17" customWidth="1"/>
    <col min="12291" max="12291" width="15.625" style="17" customWidth="1"/>
    <col min="12292" max="12292" width="9.375" style="17" customWidth="1"/>
    <col min="12293" max="12293" width="13.5" style="17" customWidth="1"/>
    <col min="12294" max="12294" width="9" style="17"/>
    <col min="12295" max="12295" width="9.375" style="17" customWidth="1"/>
    <col min="12296" max="12297" width="9" style="17"/>
    <col min="12298" max="12298" width="9.375" style="17" customWidth="1"/>
    <col min="12299" max="12299" width="4" style="17" customWidth="1"/>
    <col min="12300" max="12300" width="5.125" style="17" customWidth="1"/>
    <col min="12301" max="12301" width="13.75" style="17" customWidth="1"/>
    <col min="12302" max="12544" width="9" style="17"/>
    <col min="12545" max="12545" width="4.875" style="17" customWidth="1"/>
    <col min="12546" max="12546" width="13.25" style="17" customWidth="1"/>
    <col min="12547" max="12547" width="15.625" style="17" customWidth="1"/>
    <col min="12548" max="12548" width="9.375" style="17" customWidth="1"/>
    <col min="12549" max="12549" width="13.5" style="17" customWidth="1"/>
    <col min="12550" max="12550" width="9" style="17"/>
    <col min="12551" max="12551" width="9.375" style="17" customWidth="1"/>
    <col min="12552" max="12553" width="9" style="17"/>
    <col min="12554" max="12554" width="9.375" style="17" customWidth="1"/>
    <col min="12555" max="12555" width="4" style="17" customWidth="1"/>
    <col min="12556" max="12556" width="5.125" style="17" customWidth="1"/>
    <col min="12557" max="12557" width="13.75" style="17" customWidth="1"/>
    <col min="12558" max="12800" width="9" style="17"/>
    <col min="12801" max="12801" width="4.875" style="17" customWidth="1"/>
    <col min="12802" max="12802" width="13.25" style="17" customWidth="1"/>
    <col min="12803" max="12803" width="15.625" style="17" customWidth="1"/>
    <col min="12804" max="12804" width="9.375" style="17" customWidth="1"/>
    <col min="12805" max="12805" width="13.5" style="17" customWidth="1"/>
    <col min="12806" max="12806" width="9" style="17"/>
    <col min="12807" max="12807" width="9.375" style="17" customWidth="1"/>
    <col min="12808" max="12809" width="9" style="17"/>
    <col min="12810" max="12810" width="9.375" style="17" customWidth="1"/>
    <col min="12811" max="12811" width="4" style="17" customWidth="1"/>
    <col min="12812" max="12812" width="5.125" style="17" customWidth="1"/>
    <col min="12813" max="12813" width="13.75" style="17" customWidth="1"/>
    <col min="12814" max="13056" width="9" style="17"/>
    <col min="13057" max="13057" width="4.875" style="17" customWidth="1"/>
    <col min="13058" max="13058" width="13.25" style="17" customWidth="1"/>
    <col min="13059" max="13059" width="15.625" style="17" customWidth="1"/>
    <col min="13060" max="13060" width="9.375" style="17" customWidth="1"/>
    <col min="13061" max="13061" width="13.5" style="17" customWidth="1"/>
    <col min="13062" max="13062" width="9" style="17"/>
    <col min="13063" max="13063" width="9.375" style="17" customWidth="1"/>
    <col min="13064" max="13065" width="9" style="17"/>
    <col min="13066" max="13066" width="9.375" style="17" customWidth="1"/>
    <col min="13067" max="13067" width="4" style="17" customWidth="1"/>
    <col min="13068" max="13068" width="5.125" style="17" customWidth="1"/>
    <col min="13069" max="13069" width="13.75" style="17" customWidth="1"/>
    <col min="13070" max="13312" width="9" style="17"/>
    <col min="13313" max="13313" width="4.875" style="17" customWidth="1"/>
    <col min="13314" max="13314" width="13.25" style="17" customWidth="1"/>
    <col min="13315" max="13315" width="15.625" style="17" customWidth="1"/>
    <col min="13316" max="13316" width="9.375" style="17" customWidth="1"/>
    <col min="13317" max="13317" width="13.5" style="17" customWidth="1"/>
    <col min="13318" max="13318" width="9" style="17"/>
    <col min="13319" max="13319" width="9.375" style="17" customWidth="1"/>
    <col min="13320" max="13321" width="9" style="17"/>
    <col min="13322" max="13322" width="9.375" style="17" customWidth="1"/>
    <col min="13323" max="13323" width="4" style="17" customWidth="1"/>
    <col min="13324" max="13324" width="5.125" style="17" customWidth="1"/>
    <col min="13325" max="13325" width="13.75" style="17" customWidth="1"/>
    <col min="13326" max="13568" width="9" style="17"/>
    <col min="13569" max="13569" width="4.875" style="17" customWidth="1"/>
    <col min="13570" max="13570" width="13.25" style="17" customWidth="1"/>
    <col min="13571" max="13571" width="15.625" style="17" customWidth="1"/>
    <col min="13572" max="13572" width="9.375" style="17" customWidth="1"/>
    <col min="13573" max="13573" width="13.5" style="17" customWidth="1"/>
    <col min="13574" max="13574" width="9" style="17"/>
    <col min="13575" max="13575" width="9.375" style="17" customWidth="1"/>
    <col min="13576" max="13577" width="9" style="17"/>
    <col min="13578" max="13578" width="9.375" style="17" customWidth="1"/>
    <col min="13579" max="13579" width="4" style="17" customWidth="1"/>
    <col min="13580" max="13580" width="5.125" style="17" customWidth="1"/>
    <col min="13581" max="13581" width="13.75" style="17" customWidth="1"/>
    <col min="13582" max="13824" width="9" style="17"/>
    <col min="13825" max="13825" width="4.875" style="17" customWidth="1"/>
    <col min="13826" max="13826" width="13.25" style="17" customWidth="1"/>
    <col min="13827" max="13827" width="15.625" style="17" customWidth="1"/>
    <col min="13828" max="13828" width="9.375" style="17" customWidth="1"/>
    <col min="13829" max="13829" width="13.5" style="17" customWidth="1"/>
    <col min="13830" max="13830" width="9" style="17"/>
    <col min="13831" max="13831" width="9.375" style="17" customWidth="1"/>
    <col min="13832" max="13833" width="9" style="17"/>
    <col min="13834" max="13834" width="9.375" style="17" customWidth="1"/>
    <col min="13835" max="13835" width="4" style="17" customWidth="1"/>
    <col min="13836" max="13836" width="5.125" style="17" customWidth="1"/>
    <col min="13837" max="13837" width="13.75" style="17" customWidth="1"/>
    <col min="13838" max="14080" width="9" style="17"/>
    <col min="14081" max="14081" width="4.875" style="17" customWidth="1"/>
    <col min="14082" max="14082" width="13.25" style="17" customWidth="1"/>
    <col min="14083" max="14083" width="15.625" style="17" customWidth="1"/>
    <col min="14084" max="14084" width="9.375" style="17" customWidth="1"/>
    <col min="14085" max="14085" width="13.5" style="17" customWidth="1"/>
    <col min="14086" max="14086" width="9" style="17"/>
    <col min="14087" max="14087" width="9.375" style="17" customWidth="1"/>
    <col min="14088" max="14089" width="9" style="17"/>
    <col min="14090" max="14090" width="9.375" style="17" customWidth="1"/>
    <col min="14091" max="14091" width="4" style="17" customWidth="1"/>
    <col min="14092" max="14092" width="5.125" style="17" customWidth="1"/>
    <col min="14093" max="14093" width="13.75" style="17" customWidth="1"/>
    <col min="14094" max="14336" width="9" style="17"/>
    <col min="14337" max="14337" width="4.875" style="17" customWidth="1"/>
    <col min="14338" max="14338" width="13.25" style="17" customWidth="1"/>
    <col min="14339" max="14339" width="15.625" style="17" customWidth="1"/>
    <col min="14340" max="14340" width="9.375" style="17" customWidth="1"/>
    <col min="14341" max="14341" width="13.5" style="17" customWidth="1"/>
    <col min="14342" max="14342" width="9" style="17"/>
    <col min="14343" max="14343" width="9.375" style="17" customWidth="1"/>
    <col min="14344" max="14345" width="9" style="17"/>
    <col min="14346" max="14346" width="9.375" style="17" customWidth="1"/>
    <col min="14347" max="14347" width="4" style="17" customWidth="1"/>
    <col min="14348" max="14348" width="5.125" style="17" customWidth="1"/>
    <col min="14349" max="14349" width="13.75" style="17" customWidth="1"/>
    <col min="14350" max="14592" width="9" style="17"/>
    <col min="14593" max="14593" width="4.875" style="17" customWidth="1"/>
    <col min="14594" max="14594" width="13.25" style="17" customWidth="1"/>
    <col min="14595" max="14595" width="15.625" style="17" customWidth="1"/>
    <col min="14596" max="14596" width="9.375" style="17" customWidth="1"/>
    <col min="14597" max="14597" width="13.5" style="17" customWidth="1"/>
    <col min="14598" max="14598" width="9" style="17"/>
    <col min="14599" max="14599" width="9.375" style="17" customWidth="1"/>
    <col min="14600" max="14601" width="9" style="17"/>
    <col min="14602" max="14602" width="9.375" style="17" customWidth="1"/>
    <col min="14603" max="14603" width="4" style="17" customWidth="1"/>
    <col min="14604" max="14604" width="5.125" style="17" customWidth="1"/>
    <col min="14605" max="14605" width="13.75" style="17" customWidth="1"/>
    <col min="14606" max="14848" width="9" style="17"/>
    <col min="14849" max="14849" width="4.875" style="17" customWidth="1"/>
    <col min="14850" max="14850" width="13.25" style="17" customWidth="1"/>
    <col min="14851" max="14851" width="15.625" style="17" customWidth="1"/>
    <col min="14852" max="14852" width="9.375" style="17" customWidth="1"/>
    <col min="14853" max="14853" width="13.5" style="17" customWidth="1"/>
    <col min="14854" max="14854" width="9" style="17"/>
    <col min="14855" max="14855" width="9.375" style="17" customWidth="1"/>
    <col min="14856" max="14857" width="9" style="17"/>
    <col min="14858" max="14858" width="9.375" style="17" customWidth="1"/>
    <col min="14859" max="14859" width="4" style="17" customWidth="1"/>
    <col min="14860" max="14860" width="5.125" style="17" customWidth="1"/>
    <col min="14861" max="14861" width="13.75" style="17" customWidth="1"/>
    <col min="14862" max="15104" width="9" style="17"/>
    <col min="15105" max="15105" width="4.875" style="17" customWidth="1"/>
    <col min="15106" max="15106" width="13.25" style="17" customWidth="1"/>
    <col min="15107" max="15107" width="15.625" style="17" customWidth="1"/>
    <col min="15108" max="15108" width="9.375" style="17" customWidth="1"/>
    <col min="15109" max="15109" width="13.5" style="17" customWidth="1"/>
    <col min="15110" max="15110" width="9" style="17"/>
    <col min="15111" max="15111" width="9.375" style="17" customWidth="1"/>
    <col min="15112" max="15113" width="9" style="17"/>
    <col min="15114" max="15114" width="9.375" style="17" customWidth="1"/>
    <col min="15115" max="15115" width="4" style="17" customWidth="1"/>
    <col min="15116" max="15116" width="5.125" style="17" customWidth="1"/>
    <col min="15117" max="15117" width="13.75" style="17" customWidth="1"/>
    <col min="15118" max="15360" width="9" style="17"/>
    <col min="15361" max="15361" width="4.875" style="17" customWidth="1"/>
    <col min="15362" max="15362" width="13.25" style="17" customWidth="1"/>
    <col min="15363" max="15363" width="15.625" style="17" customWidth="1"/>
    <col min="15364" max="15364" width="9.375" style="17" customWidth="1"/>
    <col min="15365" max="15365" width="13.5" style="17" customWidth="1"/>
    <col min="15366" max="15366" width="9" style="17"/>
    <col min="15367" max="15367" width="9.375" style="17" customWidth="1"/>
    <col min="15368" max="15369" width="9" style="17"/>
    <col min="15370" max="15370" width="9.375" style="17" customWidth="1"/>
    <col min="15371" max="15371" width="4" style="17" customWidth="1"/>
    <col min="15372" max="15372" width="5.125" style="17" customWidth="1"/>
    <col min="15373" max="15373" width="13.75" style="17" customWidth="1"/>
    <col min="15374" max="15616" width="9" style="17"/>
    <col min="15617" max="15617" width="4.875" style="17" customWidth="1"/>
    <col min="15618" max="15618" width="13.25" style="17" customWidth="1"/>
    <col min="15619" max="15619" width="15.625" style="17" customWidth="1"/>
    <col min="15620" max="15620" width="9.375" style="17" customWidth="1"/>
    <col min="15621" max="15621" width="13.5" style="17" customWidth="1"/>
    <col min="15622" max="15622" width="9" style="17"/>
    <col min="15623" max="15623" width="9.375" style="17" customWidth="1"/>
    <col min="15624" max="15625" width="9" style="17"/>
    <col min="15626" max="15626" width="9.375" style="17" customWidth="1"/>
    <col min="15627" max="15627" width="4" style="17" customWidth="1"/>
    <col min="15628" max="15628" width="5.125" style="17" customWidth="1"/>
    <col min="15629" max="15629" width="13.75" style="17" customWidth="1"/>
    <col min="15630" max="15872" width="9" style="17"/>
    <col min="15873" max="15873" width="4.875" style="17" customWidth="1"/>
    <col min="15874" max="15874" width="13.25" style="17" customWidth="1"/>
    <col min="15875" max="15875" width="15.625" style="17" customWidth="1"/>
    <col min="15876" max="15876" width="9.375" style="17" customWidth="1"/>
    <col min="15877" max="15877" width="13.5" style="17" customWidth="1"/>
    <col min="15878" max="15878" width="9" style="17"/>
    <col min="15879" max="15879" width="9.375" style="17" customWidth="1"/>
    <col min="15880" max="15881" width="9" style="17"/>
    <col min="15882" max="15882" width="9.375" style="17" customWidth="1"/>
    <col min="15883" max="15883" width="4" style="17" customWidth="1"/>
    <col min="15884" max="15884" width="5.125" style="17" customWidth="1"/>
    <col min="15885" max="15885" width="13.75" style="17" customWidth="1"/>
    <col min="15886" max="16128" width="9" style="17"/>
    <col min="16129" max="16129" width="4.875" style="17" customWidth="1"/>
    <col min="16130" max="16130" width="13.25" style="17" customWidth="1"/>
    <col min="16131" max="16131" width="15.625" style="17" customWidth="1"/>
    <col min="16132" max="16132" width="9.375" style="17" customWidth="1"/>
    <col min="16133" max="16133" width="13.5" style="17" customWidth="1"/>
    <col min="16134" max="16134" width="9" style="17"/>
    <col min="16135" max="16135" width="9.375" style="17" customWidth="1"/>
    <col min="16136" max="16137" width="9" style="17"/>
    <col min="16138" max="16138" width="9.375" style="17" customWidth="1"/>
    <col min="16139" max="16139" width="4" style="17" customWidth="1"/>
    <col min="16140" max="16140" width="5.125" style="17" customWidth="1"/>
    <col min="16141" max="16141" width="13.75" style="17" customWidth="1"/>
    <col min="16142" max="16384" width="9" style="17"/>
  </cols>
  <sheetData>
    <row r="1" spans="1:257" s="12" customFormat="1">
      <c r="A1" s="18"/>
      <c r="B1" s="19" t="s">
        <v>356</v>
      </c>
      <c r="C1" s="20">
        <f>项目基本情况!D3</f>
        <v>45260</v>
      </c>
      <c r="H1" s="21">
        <f>IF(C1&gt;C13,0,MATCH(C1,C$13:C$111,-1))+IF(SUMIF(C13:C111,C1,D13:D111)=0,13,12)</f>
        <v>13</v>
      </c>
      <c r="I1" s="21">
        <f>MATCH(C2,H3:H7,1)+IF(SUMIF(H3:H7,C2,I3:I7)=0,2,1)</f>
        <v>5</v>
      </c>
      <c r="J1" s="64">
        <f ca="1">MATCH(C3,H3:H7,1)+IF(SUMIF(H3:H7,C3,J3:J7)=0,2,1)</f>
        <v>2</v>
      </c>
      <c r="N1" s="21">
        <f>IF(C1&gt;M13,0,MATCH(C1,M$13:M$100,-1))+IF(SUMIF(M13:M100,C1,N13:N100)=0,13,12)</f>
        <v>13</v>
      </c>
      <c r="P1" s="18"/>
      <c r="Q1" s="18"/>
      <c r="R1" s="18"/>
      <c r="S1" s="18"/>
      <c r="T1" s="18"/>
      <c r="U1" s="18"/>
      <c r="V1" s="18"/>
      <c r="W1" s="18"/>
      <c r="X1" s="18"/>
      <c r="Y1" s="18"/>
      <c r="Z1" s="18"/>
      <c r="AA1" s="18"/>
      <c r="AB1" s="18"/>
      <c r="AC1" s="18"/>
      <c r="AD1" s="18"/>
      <c r="AE1" s="18"/>
      <c r="AF1" s="18"/>
      <c r="AG1" s="18"/>
      <c r="AH1" s="18"/>
      <c r="AI1" s="18"/>
      <c r="AJ1" s="18"/>
      <c r="AK1" s="18"/>
      <c r="AL1" s="18"/>
      <c r="AM1" s="18"/>
      <c r="AN1" s="18"/>
      <c r="AO1" s="18"/>
      <c r="AP1" s="18"/>
      <c r="AQ1" s="18"/>
      <c r="AR1" s="18"/>
      <c r="AS1" s="18"/>
      <c r="AT1" s="18"/>
      <c r="AU1" s="18"/>
      <c r="AV1" s="18"/>
      <c r="AW1" s="18"/>
      <c r="AX1" s="18"/>
      <c r="AY1" s="18"/>
      <c r="AZ1" s="18"/>
      <c r="BA1" s="18"/>
      <c r="BB1" s="18"/>
      <c r="BC1" s="18"/>
      <c r="BD1" s="18"/>
      <c r="BE1" s="18"/>
      <c r="BF1" s="18"/>
      <c r="BG1" s="18"/>
      <c r="BH1" s="18"/>
      <c r="BI1" s="18"/>
      <c r="BJ1" s="18"/>
      <c r="BK1" s="18"/>
      <c r="BL1" s="18"/>
      <c r="BM1" s="18"/>
      <c r="BN1" s="18"/>
      <c r="BO1" s="18"/>
      <c r="BP1" s="18"/>
      <c r="BQ1" s="18"/>
      <c r="BR1" s="18"/>
      <c r="BS1" s="18"/>
      <c r="BT1" s="18"/>
      <c r="BU1" s="18"/>
      <c r="BV1" s="18"/>
      <c r="BW1" s="18"/>
      <c r="BX1" s="18"/>
      <c r="BY1" s="18"/>
      <c r="BZ1" s="18"/>
      <c r="CA1" s="18"/>
      <c r="CB1" s="18"/>
      <c r="CC1" s="18"/>
      <c r="CD1" s="18"/>
      <c r="CE1" s="18"/>
      <c r="CF1" s="18"/>
      <c r="CG1" s="18"/>
      <c r="CH1" s="18"/>
      <c r="CI1" s="18"/>
      <c r="CJ1" s="18"/>
      <c r="CK1" s="18"/>
      <c r="CL1" s="18"/>
      <c r="CM1" s="18"/>
      <c r="CN1" s="18"/>
      <c r="CO1" s="18"/>
      <c r="CP1" s="18"/>
      <c r="CQ1" s="18"/>
      <c r="CR1" s="18"/>
      <c r="CS1" s="18"/>
      <c r="CT1" s="18"/>
      <c r="CU1" s="18"/>
      <c r="CV1" s="18"/>
      <c r="CW1" s="18"/>
      <c r="CX1" s="18"/>
      <c r="CY1" s="18"/>
      <c r="CZ1" s="18"/>
      <c r="DA1" s="18"/>
      <c r="DB1" s="18"/>
      <c r="DC1" s="18"/>
      <c r="DD1" s="18"/>
      <c r="DE1" s="18"/>
      <c r="DF1" s="18"/>
      <c r="DG1" s="18"/>
      <c r="DH1" s="18"/>
      <c r="DI1" s="18"/>
      <c r="DJ1" s="18"/>
      <c r="DK1" s="18"/>
      <c r="DL1" s="18"/>
      <c r="DM1" s="18"/>
      <c r="DN1" s="18"/>
      <c r="DO1" s="18"/>
      <c r="DP1" s="18"/>
      <c r="DQ1" s="18"/>
      <c r="DR1" s="18"/>
      <c r="DS1" s="18"/>
      <c r="DT1" s="18"/>
      <c r="DU1" s="18"/>
      <c r="DV1" s="18"/>
      <c r="DW1" s="18"/>
      <c r="DX1" s="18"/>
      <c r="DY1" s="18"/>
      <c r="DZ1" s="18"/>
      <c r="EA1" s="18"/>
      <c r="EB1" s="18"/>
      <c r="EC1" s="18"/>
      <c r="ED1" s="18"/>
      <c r="EE1" s="18"/>
      <c r="EF1" s="18"/>
      <c r="EG1" s="18"/>
      <c r="EH1" s="18"/>
      <c r="EI1" s="18"/>
      <c r="EJ1" s="18"/>
      <c r="EK1" s="18"/>
      <c r="EL1" s="18"/>
      <c r="EM1" s="18"/>
      <c r="EN1" s="18"/>
      <c r="EO1" s="18"/>
      <c r="EP1" s="18"/>
      <c r="EQ1" s="18"/>
      <c r="ER1" s="18"/>
      <c r="ES1" s="18"/>
      <c r="ET1" s="18"/>
      <c r="EU1" s="18"/>
      <c r="EV1" s="18"/>
      <c r="EW1" s="18"/>
      <c r="EX1" s="18"/>
      <c r="EY1" s="18"/>
      <c r="EZ1" s="18"/>
      <c r="FA1" s="18"/>
      <c r="FB1" s="18"/>
      <c r="FC1" s="18"/>
      <c r="FD1" s="18"/>
      <c r="FE1" s="18"/>
      <c r="FF1" s="18"/>
      <c r="FG1" s="18"/>
      <c r="FH1" s="18"/>
      <c r="FI1" s="18"/>
      <c r="FJ1" s="18"/>
      <c r="FK1" s="18"/>
      <c r="FL1" s="18"/>
      <c r="FM1" s="18"/>
      <c r="FN1" s="18"/>
      <c r="FO1" s="18"/>
      <c r="FP1" s="18"/>
      <c r="FQ1" s="18"/>
      <c r="FR1" s="18"/>
      <c r="FS1" s="18"/>
      <c r="FT1" s="18"/>
      <c r="FU1" s="18"/>
      <c r="FV1" s="18"/>
      <c r="FW1" s="18"/>
      <c r="FX1" s="18"/>
      <c r="FY1" s="18"/>
      <c r="FZ1" s="18"/>
      <c r="GA1" s="18"/>
      <c r="GB1" s="18"/>
      <c r="GC1" s="18"/>
      <c r="GD1" s="18"/>
      <c r="GE1" s="18"/>
      <c r="GF1" s="18"/>
      <c r="GG1" s="18"/>
      <c r="GH1" s="18"/>
      <c r="GI1" s="18"/>
      <c r="GJ1" s="18"/>
      <c r="GK1" s="18"/>
      <c r="GL1" s="18"/>
      <c r="GM1" s="18"/>
      <c r="GN1" s="18"/>
      <c r="GO1" s="18"/>
      <c r="GP1" s="18"/>
      <c r="GQ1" s="18"/>
      <c r="GR1" s="18"/>
      <c r="GS1" s="18"/>
      <c r="GT1" s="18"/>
      <c r="GU1" s="18"/>
      <c r="GV1" s="18"/>
      <c r="GW1" s="18"/>
      <c r="GX1" s="18"/>
      <c r="GY1" s="18"/>
      <c r="GZ1" s="18"/>
      <c r="HA1" s="18"/>
      <c r="HB1" s="18"/>
      <c r="HC1" s="18"/>
      <c r="HD1" s="18"/>
      <c r="HE1" s="18"/>
      <c r="HF1" s="18"/>
      <c r="HG1" s="18"/>
      <c r="HH1" s="18"/>
      <c r="HI1" s="18"/>
      <c r="HJ1" s="18"/>
      <c r="HK1" s="18"/>
      <c r="HL1" s="18"/>
      <c r="HM1" s="18"/>
      <c r="HN1" s="18"/>
      <c r="HO1" s="18"/>
      <c r="HP1" s="18"/>
      <c r="HQ1" s="18"/>
      <c r="HR1" s="18"/>
      <c r="HS1" s="18"/>
      <c r="HT1" s="18"/>
      <c r="HU1" s="18"/>
      <c r="HV1" s="18"/>
      <c r="HW1" s="18"/>
      <c r="HX1" s="18"/>
      <c r="HY1" s="18"/>
      <c r="HZ1" s="18"/>
      <c r="IA1" s="18"/>
      <c r="IB1" s="18"/>
      <c r="IC1" s="18"/>
      <c r="ID1" s="18"/>
      <c r="IE1" s="18"/>
      <c r="IF1" s="18"/>
      <c r="IG1" s="18"/>
      <c r="IH1" s="18"/>
      <c r="II1" s="18"/>
      <c r="IJ1" s="18"/>
      <c r="IK1" s="18"/>
      <c r="IL1" s="18"/>
      <c r="IM1" s="18"/>
      <c r="IN1" s="18"/>
      <c r="IO1" s="18"/>
      <c r="IP1" s="18"/>
      <c r="IQ1" s="18"/>
      <c r="IR1" s="18"/>
      <c r="IS1" s="18"/>
      <c r="IT1" s="18"/>
      <c r="IU1" s="18"/>
      <c r="IV1" s="18"/>
    </row>
    <row r="2" spans="1:257" s="13" customFormat="1">
      <c r="A2" s="22"/>
      <c r="B2" s="23" t="s">
        <v>2492</v>
      </c>
      <c r="C2" s="24">
        <f>'数据-取费表'!B22</f>
        <v>1.5</v>
      </c>
      <c r="D2" s="19" t="s">
        <v>2493</v>
      </c>
      <c r="E2" s="25">
        <f ca="1">INDIRECT("I"&amp;$I$1)/100</f>
        <v>3.4500000000000003E-2</v>
      </c>
      <c r="G2" s="22"/>
      <c r="H2" s="22"/>
      <c r="I2" s="22" t="s">
        <v>2493</v>
      </c>
      <c r="K2" s="22"/>
      <c r="L2" s="22"/>
      <c r="M2" s="22"/>
      <c r="N2" s="22" t="s">
        <v>2494</v>
      </c>
      <c r="O2" s="22"/>
      <c r="P2" s="22"/>
      <c r="Q2" s="22"/>
      <c r="R2" s="22"/>
      <c r="S2" s="22"/>
      <c r="T2" s="22"/>
      <c r="U2" s="22"/>
      <c r="V2" s="22"/>
      <c r="W2" s="22"/>
      <c r="X2" s="22"/>
      <c r="Y2" s="22"/>
      <c r="Z2" s="22"/>
      <c r="AA2" s="22"/>
      <c r="AB2" s="22"/>
      <c r="AC2" s="22"/>
      <c r="AD2" s="22"/>
      <c r="AE2" s="22"/>
      <c r="AF2" s="22"/>
      <c r="AG2" s="22"/>
      <c r="AH2" s="22"/>
      <c r="AI2" s="22"/>
      <c r="AJ2" s="22"/>
      <c r="AK2" s="22"/>
      <c r="AL2" s="22"/>
      <c r="AM2" s="22"/>
      <c r="AN2" s="22"/>
      <c r="AO2" s="22"/>
      <c r="AP2" s="22"/>
      <c r="AQ2" s="22"/>
      <c r="AR2" s="22"/>
      <c r="AS2" s="22"/>
      <c r="AT2" s="22"/>
      <c r="AU2" s="22"/>
      <c r="AV2" s="22"/>
      <c r="AW2" s="22"/>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c r="CP2" s="22"/>
      <c r="CQ2" s="22"/>
      <c r="CR2" s="22"/>
      <c r="CS2" s="22"/>
      <c r="CT2" s="22"/>
      <c r="CU2" s="22"/>
      <c r="CV2" s="22"/>
      <c r="CW2" s="22"/>
      <c r="CX2" s="22"/>
      <c r="CY2" s="22"/>
      <c r="CZ2" s="22"/>
      <c r="DA2" s="22"/>
      <c r="DB2" s="22"/>
      <c r="DC2" s="22"/>
      <c r="DD2" s="22"/>
      <c r="DE2" s="22"/>
      <c r="DF2" s="22"/>
      <c r="DG2" s="22"/>
      <c r="DH2" s="22"/>
      <c r="DI2" s="22"/>
      <c r="DJ2" s="22"/>
      <c r="DK2" s="22"/>
      <c r="DL2" s="22"/>
      <c r="DM2" s="22"/>
      <c r="DN2" s="22"/>
      <c r="DO2" s="22"/>
      <c r="DP2" s="22"/>
      <c r="DQ2" s="22"/>
      <c r="DR2" s="22"/>
      <c r="DS2" s="22"/>
      <c r="DT2" s="22"/>
      <c r="DU2" s="22"/>
      <c r="DV2" s="22"/>
      <c r="DW2" s="22"/>
      <c r="DX2" s="22"/>
      <c r="DY2" s="22"/>
      <c r="DZ2" s="22"/>
      <c r="EA2" s="22"/>
      <c r="EB2" s="22"/>
      <c r="EC2" s="22"/>
      <c r="ED2" s="22"/>
      <c r="EE2" s="22"/>
      <c r="EF2" s="22"/>
      <c r="EG2" s="22"/>
      <c r="EH2" s="22"/>
      <c r="EI2" s="22"/>
      <c r="EJ2" s="22"/>
      <c r="EK2" s="22"/>
      <c r="EL2" s="22"/>
      <c r="EM2" s="22"/>
      <c r="EN2" s="22"/>
      <c r="EO2" s="22"/>
      <c r="EP2" s="22"/>
      <c r="EQ2" s="22"/>
      <c r="ER2" s="22"/>
      <c r="ES2" s="22"/>
      <c r="ET2" s="22"/>
      <c r="EU2" s="22"/>
      <c r="EV2" s="22"/>
      <c r="EW2" s="22"/>
      <c r="EX2" s="22"/>
      <c r="EY2" s="22"/>
      <c r="EZ2" s="22"/>
      <c r="FA2" s="22"/>
      <c r="FB2" s="22"/>
      <c r="FC2" s="22"/>
      <c r="FD2" s="22"/>
      <c r="FE2" s="22"/>
      <c r="FF2" s="22"/>
      <c r="FG2" s="22"/>
      <c r="FH2" s="22"/>
      <c r="FI2" s="22"/>
      <c r="FJ2" s="22"/>
      <c r="FK2" s="22"/>
      <c r="FL2" s="22"/>
      <c r="FM2" s="22"/>
      <c r="FN2" s="22"/>
      <c r="FO2" s="22"/>
      <c r="FP2" s="22"/>
      <c r="FQ2" s="22"/>
      <c r="FR2" s="22"/>
      <c r="FS2" s="22"/>
      <c r="FT2" s="22"/>
      <c r="FU2" s="22"/>
      <c r="FV2" s="22"/>
      <c r="FW2" s="22"/>
      <c r="FX2" s="22"/>
      <c r="FY2" s="22"/>
      <c r="FZ2" s="22"/>
      <c r="GA2" s="22"/>
      <c r="GB2" s="22"/>
      <c r="GC2" s="22"/>
      <c r="GD2" s="22"/>
      <c r="GE2" s="22"/>
      <c r="GF2" s="22"/>
      <c r="GG2" s="22"/>
      <c r="GH2" s="22"/>
      <c r="GI2" s="22"/>
      <c r="GJ2" s="22"/>
      <c r="GK2" s="22"/>
      <c r="GL2" s="22"/>
      <c r="GM2" s="22"/>
      <c r="GN2" s="22"/>
      <c r="GO2" s="22"/>
      <c r="GP2" s="22"/>
      <c r="GQ2" s="22"/>
      <c r="GR2" s="22"/>
      <c r="GS2" s="22"/>
      <c r="GT2" s="22"/>
      <c r="GU2" s="22"/>
      <c r="GV2" s="22"/>
      <c r="GW2" s="22"/>
      <c r="GX2" s="22"/>
      <c r="GY2" s="22"/>
      <c r="GZ2" s="22"/>
      <c r="HA2" s="22"/>
      <c r="HB2" s="22"/>
      <c r="HC2" s="22"/>
      <c r="HD2" s="22"/>
      <c r="HE2" s="22"/>
      <c r="HF2" s="22"/>
      <c r="HG2" s="22"/>
      <c r="HH2" s="22"/>
      <c r="HI2" s="22"/>
      <c r="HJ2" s="22"/>
      <c r="HK2" s="22"/>
      <c r="HL2" s="22"/>
      <c r="HM2" s="22"/>
      <c r="HN2" s="22"/>
      <c r="HO2" s="22"/>
      <c r="HP2" s="22"/>
      <c r="HQ2" s="22"/>
      <c r="HR2" s="22"/>
      <c r="HS2" s="22"/>
      <c r="HT2" s="22"/>
      <c r="HU2" s="22"/>
      <c r="HV2" s="22"/>
      <c r="HW2" s="22"/>
      <c r="HX2" s="22"/>
      <c r="HY2" s="22"/>
      <c r="HZ2" s="22"/>
      <c r="IA2" s="22"/>
      <c r="IB2" s="22"/>
      <c r="IC2" s="22"/>
      <c r="ID2" s="22"/>
      <c r="IE2" s="22"/>
      <c r="IF2" s="22"/>
      <c r="IG2" s="22"/>
      <c r="IH2" s="22"/>
      <c r="II2" s="22"/>
      <c r="IJ2" s="22"/>
      <c r="IK2" s="22"/>
      <c r="IL2" s="22"/>
      <c r="IM2" s="22"/>
      <c r="IN2" s="22"/>
      <c r="IO2" s="22"/>
      <c r="IP2" s="22"/>
      <c r="IQ2" s="22"/>
      <c r="IR2" s="22"/>
      <c r="IS2" s="22"/>
      <c r="IT2" s="22"/>
      <c r="IU2" s="22"/>
      <c r="IV2" s="22"/>
      <c r="IW2" s="22"/>
    </row>
    <row r="3" spans="1:257" s="13" customFormat="1">
      <c r="A3" s="15"/>
      <c r="B3" s="19" t="s">
        <v>2495</v>
      </c>
      <c r="C3" s="26">
        <f>'数据-取费表'!B19</f>
        <v>0</v>
      </c>
      <c r="D3" s="19" t="s">
        <v>2493</v>
      </c>
      <c r="E3" s="25">
        <f ca="1">INDIRECT("J"&amp;$J$1)/100</f>
        <v>0</v>
      </c>
      <c r="G3" s="27" t="s">
        <v>2496</v>
      </c>
      <c r="H3" s="28">
        <v>0</v>
      </c>
      <c r="I3" s="65">
        <f ca="1">INDIRECT("d"&amp;$H$1)</f>
        <v>3.45</v>
      </c>
      <c r="J3" s="65">
        <f ca="1">INDIRECT("d"&amp;$H$1)</f>
        <v>3.45</v>
      </c>
      <c r="K3" s="15"/>
      <c r="L3" s="15"/>
      <c r="M3" s="66">
        <v>0.5</v>
      </c>
      <c r="N3" s="67">
        <f ca="1">INDIRECT("p"&amp;$N$1)</f>
        <v>1.3</v>
      </c>
      <c r="O3" s="15"/>
      <c r="P3" s="15"/>
      <c r="Q3" s="15"/>
      <c r="R3" s="15"/>
      <c r="S3" s="15"/>
      <c r="T3" s="15"/>
      <c r="U3" s="15"/>
      <c r="V3" s="15"/>
      <c r="W3" s="15"/>
      <c r="X3" s="15"/>
      <c r="Y3" s="15"/>
      <c r="Z3" s="15"/>
      <c r="AA3" s="15"/>
      <c r="AB3" s="15"/>
      <c r="AC3" s="15"/>
      <c r="AD3" s="15"/>
      <c r="AE3" s="15"/>
      <c r="AF3" s="15"/>
      <c r="AG3" s="15"/>
      <c r="AH3" s="15"/>
      <c r="AI3" s="15"/>
      <c r="AJ3" s="15"/>
      <c r="AK3" s="15"/>
      <c r="AL3" s="15"/>
      <c r="AM3" s="15"/>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c r="CN3" s="15"/>
      <c r="CO3" s="15"/>
      <c r="CP3" s="15"/>
      <c r="CQ3" s="15"/>
      <c r="CR3" s="15"/>
      <c r="CS3" s="15"/>
      <c r="CT3" s="15"/>
      <c r="CU3" s="15"/>
      <c r="CV3" s="15"/>
      <c r="CW3" s="15"/>
      <c r="CX3" s="15"/>
      <c r="CY3" s="15"/>
      <c r="CZ3" s="15"/>
      <c r="DA3" s="15"/>
      <c r="DB3" s="15"/>
      <c r="DC3" s="15"/>
      <c r="DD3" s="15"/>
      <c r="DE3" s="15"/>
      <c r="DF3" s="15"/>
      <c r="DG3" s="15"/>
      <c r="DH3" s="15"/>
      <c r="DI3" s="15"/>
      <c r="DJ3" s="15"/>
      <c r="DK3" s="15"/>
      <c r="DL3" s="15"/>
      <c r="DM3" s="15"/>
      <c r="DN3" s="15"/>
      <c r="DO3" s="15"/>
      <c r="DP3" s="15"/>
      <c r="DQ3" s="15"/>
      <c r="DR3" s="15"/>
      <c r="DS3" s="15"/>
      <c r="DT3" s="15"/>
      <c r="DU3" s="15"/>
      <c r="DV3" s="15"/>
      <c r="DW3" s="15"/>
      <c r="DX3" s="15"/>
      <c r="DY3" s="15"/>
      <c r="DZ3" s="15"/>
      <c r="EA3" s="15"/>
      <c r="EB3" s="15"/>
      <c r="EC3" s="15"/>
      <c r="ED3" s="15"/>
      <c r="EE3" s="15"/>
      <c r="EF3" s="15"/>
      <c r="EG3" s="15"/>
      <c r="EH3" s="15"/>
      <c r="EI3" s="15"/>
      <c r="EJ3" s="15"/>
      <c r="EK3" s="15"/>
      <c r="EL3" s="15"/>
      <c r="EM3" s="15"/>
      <c r="EN3" s="15"/>
      <c r="EO3" s="15"/>
      <c r="EP3" s="15"/>
      <c r="EQ3" s="15"/>
      <c r="ER3" s="15"/>
      <c r="ES3" s="15"/>
      <c r="ET3" s="15"/>
      <c r="EU3" s="15"/>
      <c r="EV3" s="15"/>
      <c r="EW3" s="15"/>
      <c r="EX3" s="15"/>
      <c r="EY3" s="15"/>
      <c r="EZ3" s="15"/>
      <c r="FA3" s="15"/>
      <c r="FB3" s="15"/>
      <c r="FC3" s="15"/>
      <c r="FD3" s="15"/>
      <c r="FE3" s="15"/>
      <c r="FF3" s="15"/>
      <c r="FG3" s="15"/>
      <c r="FH3" s="15"/>
      <c r="FI3" s="15"/>
      <c r="FJ3" s="15"/>
      <c r="FK3" s="15"/>
      <c r="FL3" s="15"/>
      <c r="FM3" s="15"/>
      <c r="FN3" s="15"/>
      <c r="FO3" s="15"/>
      <c r="FP3" s="15"/>
      <c r="FQ3" s="15"/>
      <c r="FR3" s="15"/>
      <c r="FS3" s="15"/>
      <c r="FT3" s="15"/>
      <c r="FU3" s="15"/>
      <c r="FV3" s="15"/>
      <c r="FW3" s="15"/>
      <c r="FX3" s="15"/>
      <c r="FY3" s="15"/>
      <c r="FZ3" s="15"/>
      <c r="GA3" s="15"/>
      <c r="GB3" s="15"/>
      <c r="GC3" s="15"/>
      <c r="GD3" s="15"/>
      <c r="GE3" s="15"/>
      <c r="GF3" s="15"/>
      <c r="GG3" s="15"/>
      <c r="GH3" s="15"/>
      <c r="GI3" s="15"/>
      <c r="GJ3" s="15"/>
      <c r="GK3" s="15"/>
      <c r="GL3" s="15"/>
      <c r="GM3" s="15"/>
      <c r="GN3" s="15"/>
      <c r="GO3" s="15"/>
      <c r="GP3" s="15"/>
      <c r="GQ3" s="15"/>
      <c r="GR3" s="15"/>
      <c r="GS3" s="15"/>
      <c r="GT3" s="15"/>
      <c r="GU3" s="15"/>
      <c r="GV3" s="15"/>
      <c r="GW3" s="15"/>
      <c r="GX3" s="15"/>
      <c r="GY3" s="15"/>
      <c r="GZ3" s="15"/>
      <c r="HA3" s="15"/>
      <c r="HB3" s="15"/>
      <c r="HC3" s="15"/>
      <c r="HD3" s="15"/>
      <c r="HE3" s="15"/>
      <c r="HF3" s="15"/>
      <c r="HG3" s="15"/>
      <c r="HH3" s="15"/>
      <c r="HI3" s="15"/>
      <c r="HJ3" s="15"/>
      <c r="HK3" s="15"/>
      <c r="HL3" s="15"/>
      <c r="HM3" s="15"/>
      <c r="HN3" s="15"/>
      <c r="HO3" s="15"/>
      <c r="HP3" s="15"/>
      <c r="HQ3" s="15"/>
      <c r="HR3" s="15"/>
      <c r="HS3" s="15"/>
      <c r="HT3" s="15"/>
      <c r="HU3" s="15"/>
      <c r="HV3" s="15"/>
      <c r="HW3" s="15"/>
      <c r="HX3" s="15"/>
      <c r="HY3" s="15"/>
      <c r="HZ3" s="15"/>
      <c r="IA3" s="15"/>
      <c r="IB3" s="15"/>
      <c r="IC3" s="15"/>
      <c r="ID3" s="15"/>
      <c r="IE3" s="15"/>
      <c r="IF3" s="15"/>
      <c r="IG3" s="15"/>
      <c r="IH3" s="15"/>
      <c r="II3" s="15"/>
      <c r="IJ3" s="15"/>
      <c r="IK3" s="15"/>
      <c r="IL3" s="15"/>
      <c r="IM3" s="15"/>
      <c r="IN3" s="15"/>
      <c r="IO3" s="15"/>
      <c r="IP3" s="15"/>
      <c r="IQ3" s="15"/>
      <c r="IR3" s="15"/>
      <c r="IS3" s="15"/>
      <c r="IT3" s="15"/>
      <c r="IU3" s="15"/>
      <c r="IV3" s="15"/>
    </row>
    <row r="4" spans="1:257" s="13" customFormat="1">
      <c r="A4" s="15"/>
      <c r="B4" s="19" t="s">
        <v>2497</v>
      </c>
      <c r="C4" s="25">
        <f ca="1">N4/100</f>
        <v>1.4999999999999999E-2</v>
      </c>
      <c r="G4" s="29" t="s">
        <v>2498</v>
      </c>
      <c r="H4" s="30">
        <v>0.5</v>
      </c>
      <c r="I4" s="68">
        <f ca="1">INDIRECT("e"&amp;$H$1)</f>
        <v>3.45</v>
      </c>
      <c r="J4" s="68">
        <f ca="1">INDIRECT("e"&amp;$H$1)</f>
        <v>3.45</v>
      </c>
      <c r="K4" s="15"/>
      <c r="L4" s="15"/>
      <c r="M4" s="69">
        <v>1</v>
      </c>
      <c r="N4" s="70">
        <f ca="1">INDIRECT("q"&amp;$N$1)</f>
        <v>1.5</v>
      </c>
      <c r="O4" s="15"/>
      <c r="P4" s="15"/>
      <c r="Q4" s="15"/>
      <c r="R4" s="15"/>
      <c r="S4" s="15"/>
      <c r="T4" s="15"/>
      <c r="U4" s="15"/>
      <c r="V4" s="15"/>
      <c r="W4" s="15"/>
      <c r="X4" s="15"/>
      <c r="Y4" s="15"/>
      <c r="Z4" s="15"/>
      <c r="AA4" s="15"/>
      <c r="AB4" s="15"/>
      <c r="AC4" s="15"/>
      <c r="AD4" s="15"/>
      <c r="AE4" s="15"/>
      <c r="AF4" s="15"/>
      <c r="AG4" s="15"/>
      <c r="AH4" s="15"/>
      <c r="AI4" s="15"/>
      <c r="AJ4" s="15"/>
      <c r="AK4" s="15"/>
      <c r="AL4" s="15"/>
      <c r="AM4" s="15"/>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c r="CV4" s="15"/>
      <c r="CW4" s="15"/>
      <c r="CX4" s="15"/>
      <c r="CY4" s="15"/>
      <c r="CZ4" s="15"/>
      <c r="DA4" s="15"/>
      <c r="DB4" s="15"/>
      <c r="DC4" s="15"/>
      <c r="DD4" s="15"/>
      <c r="DE4" s="15"/>
      <c r="DF4" s="15"/>
      <c r="DG4" s="15"/>
      <c r="DH4" s="15"/>
      <c r="DI4" s="15"/>
      <c r="DJ4" s="15"/>
      <c r="DK4" s="15"/>
      <c r="DL4" s="15"/>
      <c r="DM4" s="15"/>
      <c r="DN4" s="15"/>
      <c r="DO4" s="15"/>
      <c r="DP4" s="15"/>
      <c r="DQ4" s="15"/>
      <c r="DR4" s="15"/>
      <c r="DS4" s="15"/>
      <c r="DT4" s="15"/>
      <c r="DU4" s="15"/>
      <c r="DV4" s="15"/>
      <c r="DW4" s="15"/>
      <c r="DX4" s="15"/>
      <c r="DY4" s="15"/>
      <c r="DZ4" s="15"/>
      <c r="EA4" s="15"/>
      <c r="EB4" s="15"/>
      <c r="EC4" s="15"/>
      <c r="ED4" s="15"/>
      <c r="EE4" s="15"/>
      <c r="EF4" s="15"/>
      <c r="EG4" s="15"/>
      <c r="EH4" s="15"/>
      <c r="EI4" s="15"/>
      <c r="EJ4" s="15"/>
      <c r="EK4" s="15"/>
      <c r="EL4" s="15"/>
      <c r="EM4" s="15"/>
      <c r="EN4" s="15"/>
      <c r="EO4" s="15"/>
      <c r="EP4" s="15"/>
      <c r="EQ4" s="15"/>
      <c r="ER4" s="15"/>
      <c r="ES4" s="15"/>
      <c r="ET4" s="15"/>
      <c r="EU4" s="15"/>
      <c r="EV4" s="15"/>
      <c r="EW4" s="15"/>
      <c r="EX4" s="15"/>
      <c r="EY4" s="15"/>
      <c r="EZ4" s="15"/>
      <c r="FA4" s="15"/>
      <c r="FB4" s="15"/>
      <c r="FC4" s="15"/>
      <c r="FD4" s="15"/>
      <c r="FE4" s="15"/>
      <c r="FF4" s="15"/>
      <c r="FG4" s="15"/>
      <c r="FH4" s="15"/>
      <c r="FI4" s="15"/>
      <c r="FJ4" s="15"/>
      <c r="FK4" s="15"/>
      <c r="FL4" s="15"/>
      <c r="FM4" s="15"/>
      <c r="FN4" s="15"/>
      <c r="FO4" s="15"/>
      <c r="FP4" s="15"/>
      <c r="FQ4" s="15"/>
      <c r="FR4" s="15"/>
      <c r="FS4" s="15"/>
      <c r="FT4" s="15"/>
      <c r="FU4" s="15"/>
      <c r="FV4" s="15"/>
      <c r="FW4" s="15"/>
      <c r="FX4" s="15"/>
      <c r="FY4" s="15"/>
      <c r="FZ4" s="15"/>
      <c r="GA4" s="15"/>
      <c r="GB4" s="15"/>
      <c r="GC4" s="15"/>
      <c r="GD4" s="15"/>
      <c r="GE4" s="15"/>
      <c r="GF4" s="15"/>
      <c r="GG4" s="15"/>
      <c r="GH4" s="15"/>
      <c r="GI4" s="15"/>
      <c r="GJ4" s="15"/>
      <c r="GK4" s="15"/>
      <c r="GL4" s="15"/>
      <c r="GM4" s="15"/>
      <c r="GN4" s="15"/>
      <c r="GO4" s="15"/>
      <c r="GP4" s="15"/>
      <c r="GQ4" s="15"/>
      <c r="GR4" s="15"/>
      <c r="GS4" s="15"/>
      <c r="GT4" s="15"/>
      <c r="GU4" s="15"/>
      <c r="GV4" s="15"/>
      <c r="GW4" s="15"/>
      <c r="GX4" s="15"/>
      <c r="GY4" s="15"/>
      <c r="GZ4" s="15"/>
      <c r="HA4" s="15"/>
      <c r="HB4" s="15"/>
      <c r="HC4" s="15"/>
      <c r="HD4" s="15"/>
      <c r="HE4" s="15"/>
      <c r="HF4" s="15"/>
      <c r="HG4" s="15"/>
      <c r="HH4" s="15"/>
      <c r="HI4" s="15"/>
      <c r="HJ4" s="15"/>
      <c r="HK4" s="15"/>
      <c r="HL4" s="15"/>
      <c r="HM4" s="15"/>
      <c r="HN4" s="15"/>
      <c r="HO4" s="15"/>
      <c r="HP4" s="15"/>
      <c r="HQ4" s="15"/>
      <c r="HR4" s="15"/>
      <c r="HS4" s="15"/>
      <c r="HT4" s="15"/>
      <c r="HU4" s="15"/>
      <c r="HV4" s="15"/>
      <c r="HW4" s="15"/>
      <c r="HX4" s="15"/>
      <c r="HY4" s="15"/>
      <c r="HZ4" s="15"/>
      <c r="IA4" s="15"/>
      <c r="IB4" s="15"/>
      <c r="IC4" s="15"/>
      <c r="ID4" s="15"/>
      <c r="IE4" s="15"/>
      <c r="IF4" s="15"/>
      <c r="IG4" s="15"/>
      <c r="IH4" s="15"/>
      <c r="II4" s="15"/>
      <c r="IJ4" s="15"/>
      <c r="IK4" s="15"/>
      <c r="IL4" s="15"/>
      <c r="IM4" s="15"/>
      <c r="IN4" s="15"/>
      <c r="IO4" s="15"/>
      <c r="IP4" s="15"/>
      <c r="IQ4" s="15"/>
      <c r="IR4" s="15"/>
      <c r="IS4" s="15"/>
      <c r="IT4" s="15"/>
      <c r="IU4" s="15"/>
      <c r="IV4" s="15"/>
    </row>
    <row r="5" spans="1:257" s="13" customFormat="1">
      <c r="A5" s="15"/>
      <c r="G5" s="29" t="s">
        <v>2499</v>
      </c>
      <c r="H5" s="30">
        <v>1</v>
      </c>
      <c r="I5" s="68">
        <f ca="1">INDIRECT("f"&amp;$H$1)</f>
        <v>3.45</v>
      </c>
      <c r="J5" s="68">
        <f ca="1">INDIRECT("f"&amp;$H$1)</f>
        <v>3.45</v>
      </c>
      <c r="K5" s="15"/>
      <c r="L5" s="15"/>
      <c r="M5" s="69">
        <v>2</v>
      </c>
      <c r="N5" s="70">
        <f ca="1">INDIRECT("r"&amp;$N$1)</f>
        <v>2.1</v>
      </c>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c r="BV5" s="15"/>
      <c r="BW5" s="15"/>
      <c r="BX5" s="15"/>
      <c r="BY5" s="15"/>
      <c r="BZ5" s="15"/>
      <c r="CA5" s="15"/>
      <c r="CB5" s="15"/>
      <c r="CC5" s="15"/>
      <c r="CD5" s="15"/>
      <c r="CE5" s="15"/>
      <c r="CF5" s="15"/>
      <c r="CG5" s="15"/>
      <c r="CH5" s="15"/>
      <c r="CI5" s="15"/>
      <c r="CJ5" s="15"/>
      <c r="CK5" s="15"/>
      <c r="CL5" s="15"/>
      <c r="CM5" s="15"/>
      <c r="CN5" s="15"/>
      <c r="CO5" s="15"/>
      <c r="CP5" s="15"/>
      <c r="CQ5" s="15"/>
      <c r="CR5" s="15"/>
      <c r="CS5" s="15"/>
      <c r="CT5" s="15"/>
      <c r="CU5" s="15"/>
      <c r="CV5" s="15"/>
      <c r="CW5" s="15"/>
      <c r="CX5" s="15"/>
      <c r="CY5" s="15"/>
      <c r="CZ5" s="15"/>
      <c r="DA5" s="15"/>
      <c r="DB5" s="15"/>
      <c r="DC5" s="15"/>
      <c r="DD5" s="15"/>
      <c r="DE5" s="15"/>
      <c r="DF5" s="15"/>
      <c r="DG5" s="15"/>
      <c r="DH5" s="15"/>
      <c r="DI5" s="15"/>
      <c r="DJ5" s="15"/>
      <c r="DK5" s="15"/>
      <c r="DL5" s="15"/>
      <c r="DM5" s="15"/>
      <c r="DN5" s="15"/>
      <c r="DO5" s="15"/>
      <c r="DP5" s="15"/>
      <c r="DQ5" s="15"/>
      <c r="DR5" s="15"/>
      <c r="DS5" s="15"/>
      <c r="DT5" s="15"/>
      <c r="DU5" s="15"/>
      <c r="DV5" s="15"/>
      <c r="DW5" s="15"/>
      <c r="DX5" s="15"/>
      <c r="DY5" s="15"/>
      <c r="DZ5" s="15"/>
      <c r="EA5" s="15"/>
      <c r="EB5" s="15"/>
      <c r="EC5" s="15"/>
      <c r="ED5" s="15"/>
      <c r="EE5" s="15"/>
      <c r="EF5" s="15"/>
      <c r="EG5" s="15"/>
      <c r="EH5" s="15"/>
      <c r="EI5" s="15"/>
      <c r="EJ5" s="15"/>
      <c r="EK5" s="15"/>
      <c r="EL5" s="15"/>
      <c r="EM5" s="15"/>
      <c r="EN5" s="15"/>
      <c r="EO5" s="15"/>
      <c r="EP5" s="15"/>
      <c r="EQ5" s="15"/>
      <c r="ER5" s="15"/>
      <c r="ES5" s="15"/>
      <c r="ET5" s="15"/>
      <c r="EU5" s="15"/>
      <c r="EV5" s="15"/>
      <c r="EW5" s="15"/>
      <c r="EX5" s="15"/>
      <c r="EY5" s="15"/>
      <c r="EZ5" s="15"/>
      <c r="FA5" s="15"/>
      <c r="FB5" s="15"/>
      <c r="FC5" s="15"/>
      <c r="FD5" s="15"/>
      <c r="FE5" s="15"/>
      <c r="FF5" s="15"/>
      <c r="FG5" s="15"/>
      <c r="FH5" s="15"/>
      <c r="FI5" s="15"/>
      <c r="FJ5" s="15"/>
      <c r="FK5" s="15"/>
      <c r="FL5" s="15"/>
      <c r="FM5" s="15"/>
      <c r="FN5" s="15"/>
      <c r="FO5" s="15"/>
      <c r="FP5" s="15"/>
      <c r="FQ5" s="15"/>
      <c r="FR5" s="15"/>
      <c r="FS5" s="15"/>
      <c r="FT5" s="15"/>
      <c r="FU5" s="15"/>
      <c r="FV5" s="15"/>
      <c r="FW5" s="15"/>
      <c r="FX5" s="15"/>
      <c r="FY5" s="15"/>
      <c r="FZ5" s="15"/>
      <c r="GA5" s="15"/>
      <c r="GB5" s="15"/>
      <c r="GC5" s="15"/>
      <c r="GD5" s="15"/>
      <c r="GE5" s="15"/>
      <c r="GF5" s="15"/>
      <c r="GG5" s="15"/>
      <c r="GH5" s="15"/>
      <c r="GI5" s="15"/>
      <c r="GJ5" s="15"/>
      <c r="GK5" s="15"/>
      <c r="GL5" s="15"/>
      <c r="GM5" s="15"/>
      <c r="GN5" s="15"/>
      <c r="GO5" s="15"/>
      <c r="GP5" s="15"/>
      <c r="GQ5" s="15"/>
      <c r="GR5" s="15"/>
      <c r="GS5" s="15"/>
      <c r="GT5" s="15"/>
      <c r="GU5" s="15"/>
      <c r="GV5" s="15"/>
      <c r="GW5" s="15"/>
      <c r="GX5" s="15"/>
      <c r="GY5" s="15"/>
      <c r="GZ5" s="15"/>
      <c r="HA5" s="15"/>
      <c r="HB5" s="15"/>
      <c r="HC5" s="15"/>
      <c r="HD5" s="15"/>
      <c r="HE5" s="15"/>
      <c r="HF5" s="15"/>
      <c r="HG5" s="15"/>
      <c r="HH5" s="15"/>
      <c r="HI5" s="15"/>
      <c r="HJ5" s="15"/>
      <c r="HK5" s="15"/>
      <c r="HL5" s="15"/>
      <c r="HM5" s="15"/>
      <c r="HN5" s="15"/>
      <c r="HO5" s="15"/>
      <c r="HP5" s="15"/>
      <c r="HQ5" s="15"/>
      <c r="HR5" s="15"/>
      <c r="HS5" s="15"/>
      <c r="HT5" s="15"/>
      <c r="HU5" s="15"/>
      <c r="HV5" s="15"/>
      <c r="HW5" s="15"/>
      <c r="HX5" s="15"/>
      <c r="HY5" s="15"/>
      <c r="HZ5" s="15"/>
      <c r="IA5" s="15"/>
      <c r="IB5" s="15"/>
      <c r="IC5" s="15"/>
      <c r="ID5" s="15"/>
      <c r="IE5" s="15"/>
      <c r="IF5" s="15"/>
      <c r="IG5" s="15"/>
      <c r="IH5" s="15"/>
      <c r="II5" s="15"/>
      <c r="IJ5" s="15"/>
      <c r="IK5" s="15"/>
      <c r="IL5" s="15"/>
      <c r="IM5" s="15"/>
      <c r="IN5" s="15"/>
      <c r="IO5" s="15"/>
      <c r="IP5" s="15"/>
      <c r="IQ5" s="15"/>
      <c r="IR5" s="15"/>
      <c r="IS5" s="15"/>
      <c r="IT5" s="15"/>
      <c r="IU5" s="15"/>
      <c r="IV5" s="15"/>
    </row>
    <row r="6" spans="1:257" s="13" customFormat="1">
      <c r="A6" s="15"/>
      <c r="G6" s="29" t="s">
        <v>2500</v>
      </c>
      <c r="H6" s="30">
        <v>3</v>
      </c>
      <c r="I6" s="68">
        <f ca="1">INDIRECT("g"&amp;$H$1)</f>
        <v>3.45</v>
      </c>
      <c r="J6" s="68">
        <f ca="1">INDIRECT("g"&amp;$H$1)</f>
        <v>3.45</v>
      </c>
      <c r="K6" s="15"/>
      <c r="L6" s="15"/>
      <c r="M6" s="69">
        <v>3</v>
      </c>
      <c r="N6" s="70">
        <f ca="1">INDIRECT("s"&amp;$N$1)</f>
        <v>2.75</v>
      </c>
      <c r="O6" s="15"/>
      <c r="P6" s="15"/>
      <c r="Q6" s="15"/>
      <c r="R6" s="15"/>
      <c r="S6" s="15"/>
      <c r="T6" s="15"/>
      <c r="U6" s="15"/>
      <c r="V6" s="15"/>
      <c r="W6" s="15"/>
      <c r="X6" s="15"/>
      <c r="Y6" s="15"/>
      <c r="Z6" s="15"/>
      <c r="AA6" s="15"/>
      <c r="AB6" s="15"/>
      <c r="AC6" s="15"/>
      <c r="AD6" s="15"/>
      <c r="AE6" s="15"/>
      <c r="AF6" s="15"/>
      <c r="AG6" s="15"/>
      <c r="AH6" s="15"/>
      <c r="AI6" s="15"/>
      <c r="AJ6" s="15"/>
      <c r="AK6" s="15"/>
      <c r="AL6" s="15"/>
      <c r="AM6" s="15"/>
      <c r="AN6" s="15"/>
      <c r="AO6" s="15"/>
      <c r="AP6" s="15"/>
      <c r="AQ6" s="15"/>
      <c r="AR6" s="15"/>
      <c r="AS6" s="15"/>
      <c r="AT6" s="15"/>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c r="BY6" s="15"/>
      <c r="BZ6" s="15"/>
      <c r="CA6" s="15"/>
      <c r="CB6" s="15"/>
      <c r="CC6" s="15"/>
      <c r="CD6" s="15"/>
      <c r="CE6" s="15"/>
      <c r="CF6" s="15"/>
      <c r="CG6" s="15"/>
      <c r="CH6" s="15"/>
      <c r="CI6" s="15"/>
      <c r="CJ6" s="15"/>
      <c r="CK6" s="15"/>
      <c r="CL6" s="15"/>
      <c r="CM6" s="15"/>
      <c r="CN6" s="15"/>
      <c r="CO6" s="15"/>
      <c r="CP6" s="15"/>
      <c r="CQ6" s="15"/>
      <c r="CR6" s="15"/>
      <c r="CS6" s="15"/>
      <c r="CT6" s="15"/>
      <c r="CU6" s="15"/>
      <c r="CV6" s="15"/>
      <c r="CW6" s="15"/>
      <c r="CX6" s="15"/>
      <c r="CY6" s="15"/>
      <c r="CZ6" s="15"/>
      <c r="DA6" s="15"/>
      <c r="DB6" s="15"/>
      <c r="DC6" s="15"/>
      <c r="DD6" s="15"/>
      <c r="DE6" s="15"/>
      <c r="DF6" s="15"/>
      <c r="DG6" s="15"/>
      <c r="DH6" s="15"/>
      <c r="DI6" s="15"/>
      <c r="DJ6" s="15"/>
      <c r="DK6" s="15"/>
      <c r="DL6" s="15"/>
      <c r="DM6" s="15"/>
      <c r="DN6" s="15"/>
      <c r="DO6" s="15"/>
      <c r="DP6" s="15"/>
      <c r="DQ6" s="15"/>
      <c r="DR6" s="15"/>
      <c r="DS6" s="15"/>
      <c r="DT6" s="15"/>
      <c r="DU6" s="15"/>
      <c r="DV6" s="15"/>
      <c r="DW6" s="15"/>
      <c r="DX6" s="15"/>
      <c r="DY6" s="15"/>
      <c r="DZ6" s="15"/>
      <c r="EA6" s="15"/>
      <c r="EB6" s="15"/>
      <c r="EC6" s="15"/>
      <c r="ED6" s="15"/>
      <c r="EE6" s="15"/>
      <c r="EF6" s="15"/>
      <c r="EG6" s="15"/>
      <c r="EH6" s="15"/>
      <c r="EI6" s="15"/>
      <c r="EJ6" s="15"/>
      <c r="EK6" s="15"/>
      <c r="EL6" s="15"/>
      <c r="EM6" s="15"/>
      <c r="EN6" s="15"/>
      <c r="EO6" s="15"/>
      <c r="EP6" s="15"/>
      <c r="EQ6" s="15"/>
      <c r="ER6" s="15"/>
      <c r="ES6" s="15"/>
      <c r="ET6" s="15"/>
      <c r="EU6" s="15"/>
      <c r="EV6" s="15"/>
      <c r="EW6" s="15"/>
      <c r="EX6" s="15"/>
      <c r="EY6" s="15"/>
      <c r="EZ6" s="15"/>
      <c r="FA6" s="15"/>
      <c r="FB6" s="15"/>
      <c r="FC6" s="15"/>
      <c r="FD6" s="15"/>
      <c r="FE6" s="15"/>
      <c r="FF6" s="15"/>
      <c r="FG6" s="15"/>
      <c r="FH6" s="15"/>
      <c r="FI6" s="15"/>
      <c r="FJ6" s="15"/>
      <c r="FK6" s="15"/>
      <c r="FL6" s="15"/>
      <c r="FM6" s="15"/>
      <c r="FN6" s="15"/>
      <c r="FO6" s="15"/>
      <c r="FP6" s="15"/>
      <c r="FQ6" s="15"/>
      <c r="FR6" s="15"/>
      <c r="FS6" s="15"/>
      <c r="FT6" s="15"/>
      <c r="FU6" s="15"/>
      <c r="FV6" s="15"/>
      <c r="FW6" s="15"/>
      <c r="FX6" s="15"/>
      <c r="FY6" s="15"/>
      <c r="FZ6" s="15"/>
      <c r="GA6" s="15"/>
      <c r="GB6" s="15"/>
      <c r="GC6" s="15"/>
      <c r="GD6" s="15"/>
      <c r="GE6" s="15"/>
      <c r="GF6" s="15"/>
      <c r="GG6" s="15"/>
      <c r="GH6" s="15"/>
      <c r="GI6" s="15"/>
      <c r="GJ6" s="15"/>
      <c r="GK6" s="15"/>
      <c r="GL6" s="15"/>
      <c r="GM6" s="15"/>
      <c r="GN6" s="15"/>
      <c r="GO6" s="15"/>
      <c r="GP6" s="15"/>
      <c r="GQ6" s="15"/>
      <c r="GR6" s="15"/>
      <c r="GS6" s="15"/>
      <c r="GT6" s="15"/>
      <c r="GU6" s="15"/>
      <c r="GV6" s="15"/>
      <c r="GW6" s="15"/>
      <c r="GX6" s="15"/>
      <c r="GY6" s="15"/>
      <c r="GZ6" s="15"/>
      <c r="HA6" s="15"/>
      <c r="HB6" s="15"/>
      <c r="HC6" s="15"/>
      <c r="HD6" s="15"/>
      <c r="HE6" s="15"/>
      <c r="HF6" s="15"/>
      <c r="HG6" s="15"/>
      <c r="HH6" s="15"/>
      <c r="HI6" s="15"/>
      <c r="HJ6" s="15"/>
      <c r="HK6" s="15"/>
      <c r="HL6" s="15"/>
      <c r="HM6" s="15"/>
      <c r="HN6" s="15"/>
      <c r="HO6" s="15"/>
      <c r="HP6" s="15"/>
      <c r="HQ6" s="15"/>
      <c r="HR6" s="15"/>
      <c r="HS6" s="15"/>
      <c r="HT6" s="15"/>
      <c r="HU6" s="15"/>
      <c r="HV6" s="15"/>
      <c r="HW6" s="15"/>
      <c r="HX6" s="15"/>
      <c r="HY6" s="15"/>
      <c r="HZ6" s="15"/>
      <c r="IA6" s="15"/>
      <c r="IB6" s="15"/>
      <c r="IC6" s="15"/>
      <c r="ID6" s="15"/>
      <c r="IE6" s="15"/>
      <c r="IF6" s="15"/>
      <c r="IG6" s="15"/>
      <c r="IH6" s="15"/>
      <c r="II6" s="15"/>
      <c r="IJ6" s="15"/>
      <c r="IK6" s="15"/>
      <c r="IL6" s="15"/>
      <c r="IM6" s="15"/>
      <c r="IN6" s="15"/>
      <c r="IO6" s="15"/>
      <c r="IP6" s="15"/>
      <c r="IQ6" s="15"/>
      <c r="IR6" s="15"/>
      <c r="IS6" s="15"/>
      <c r="IT6" s="15"/>
      <c r="IU6" s="15"/>
      <c r="IV6" s="15"/>
    </row>
    <row r="7" spans="1:257" s="13" customFormat="1">
      <c r="A7" s="15"/>
      <c r="G7" s="31" t="s">
        <v>2501</v>
      </c>
      <c r="H7" s="32">
        <v>5</v>
      </c>
      <c r="I7" s="71">
        <f ca="1">INDIRECT("h"&amp;$H$1)</f>
        <v>4.2</v>
      </c>
      <c r="J7" s="71">
        <f ca="1">INDIRECT("h"&amp;$H$1)</f>
        <v>4.2</v>
      </c>
      <c r="K7" s="15"/>
      <c r="L7" s="15"/>
      <c r="M7" s="72">
        <v>5</v>
      </c>
      <c r="N7" s="73">
        <f ca="1">INDIRECT("t"&amp;$N$1)</f>
        <v>0</v>
      </c>
      <c r="O7" s="15"/>
      <c r="P7" s="15"/>
      <c r="Q7" s="15"/>
      <c r="R7" s="15"/>
      <c r="S7" s="15"/>
      <c r="T7" s="15"/>
      <c r="U7" s="15"/>
      <c r="V7" s="15"/>
      <c r="W7" s="15"/>
      <c r="X7" s="15"/>
      <c r="Y7" s="15"/>
      <c r="Z7" s="15"/>
      <c r="AA7" s="15"/>
      <c r="AB7" s="15"/>
      <c r="AC7" s="15"/>
      <c r="AD7" s="15"/>
      <c r="AE7" s="15"/>
      <c r="AF7" s="15"/>
      <c r="AG7" s="15"/>
      <c r="AH7" s="15"/>
      <c r="AI7" s="15"/>
      <c r="AJ7" s="15"/>
      <c r="AK7" s="15"/>
      <c r="AL7" s="15"/>
      <c r="AM7" s="15"/>
      <c r="AN7" s="15"/>
      <c r="AO7" s="15"/>
      <c r="AP7" s="15"/>
      <c r="AQ7" s="15"/>
      <c r="AR7" s="15"/>
      <c r="AS7" s="15"/>
      <c r="AT7" s="15"/>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c r="BY7" s="15"/>
      <c r="BZ7" s="15"/>
      <c r="CA7" s="15"/>
      <c r="CB7" s="15"/>
      <c r="CC7" s="15"/>
      <c r="CD7" s="15"/>
      <c r="CE7" s="15"/>
      <c r="CF7" s="15"/>
      <c r="CG7" s="15"/>
      <c r="CH7" s="15"/>
      <c r="CI7" s="15"/>
      <c r="CJ7" s="15"/>
      <c r="CK7" s="15"/>
      <c r="CL7" s="15"/>
      <c r="CM7" s="15"/>
      <c r="CN7" s="15"/>
      <c r="CO7" s="15"/>
      <c r="CP7" s="15"/>
      <c r="CQ7" s="15"/>
      <c r="CR7" s="15"/>
      <c r="CS7" s="15"/>
      <c r="CT7" s="15"/>
      <c r="CU7" s="15"/>
      <c r="CV7" s="15"/>
      <c r="CW7" s="15"/>
      <c r="CX7" s="15"/>
      <c r="CY7" s="15"/>
      <c r="CZ7" s="15"/>
      <c r="DA7" s="15"/>
      <c r="DB7" s="15"/>
      <c r="DC7" s="15"/>
      <c r="DD7" s="15"/>
      <c r="DE7" s="15"/>
      <c r="DF7" s="15"/>
      <c r="DG7" s="15"/>
      <c r="DH7" s="15"/>
      <c r="DI7" s="15"/>
      <c r="DJ7" s="15"/>
      <c r="DK7" s="15"/>
      <c r="DL7" s="15"/>
      <c r="DM7" s="15"/>
      <c r="DN7" s="15"/>
      <c r="DO7" s="15"/>
      <c r="DP7" s="15"/>
      <c r="DQ7" s="15"/>
      <c r="DR7" s="15"/>
      <c r="DS7" s="15"/>
      <c r="DT7" s="15"/>
      <c r="DU7" s="15"/>
      <c r="DV7" s="15"/>
      <c r="DW7" s="15"/>
      <c r="DX7" s="15"/>
      <c r="DY7" s="15"/>
      <c r="DZ7" s="15"/>
      <c r="EA7" s="15"/>
      <c r="EB7" s="15"/>
      <c r="EC7" s="15"/>
      <c r="ED7" s="15"/>
      <c r="EE7" s="15"/>
      <c r="EF7" s="15"/>
      <c r="EG7" s="15"/>
      <c r="EH7" s="15"/>
      <c r="EI7" s="15"/>
      <c r="EJ7" s="15"/>
      <c r="EK7" s="15"/>
      <c r="EL7" s="15"/>
      <c r="EM7" s="15"/>
      <c r="EN7" s="15"/>
      <c r="EO7" s="15"/>
      <c r="EP7" s="15"/>
      <c r="EQ7" s="15"/>
      <c r="ER7" s="15"/>
      <c r="ES7" s="15"/>
      <c r="ET7" s="15"/>
      <c r="EU7" s="15"/>
      <c r="EV7" s="15"/>
      <c r="EW7" s="15"/>
      <c r="EX7" s="15"/>
      <c r="EY7" s="15"/>
      <c r="EZ7" s="15"/>
      <c r="FA7" s="15"/>
      <c r="FB7" s="15"/>
      <c r="FC7" s="15"/>
      <c r="FD7" s="15"/>
      <c r="FE7" s="15"/>
      <c r="FF7" s="15"/>
      <c r="FG7" s="15"/>
      <c r="FH7" s="15"/>
      <c r="FI7" s="15"/>
      <c r="FJ7" s="15"/>
      <c r="FK7" s="15"/>
      <c r="FL7" s="15"/>
      <c r="FM7" s="15"/>
      <c r="FN7" s="15"/>
      <c r="FO7" s="15"/>
      <c r="FP7" s="15"/>
      <c r="FQ7" s="15"/>
      <c r="FR7" s="15"/>
      <c r="FS7" s="15"/>
      <c r="FT7" s="15"/>
      <c r="FU7" s="15"/>
      <c r="FV7" s="15"/>
      <c r="FW7" s="15"/>
      <c r="FX7" s="15"/>
      <c r="FY7" s="15"/>
      <c r="FZ7" s="15"/>
      <c r="GA7" s="15"/>
      <c r="GB7" s="15"/>
      <c r="GC7" s="15"/>
      <c r="GD7" s="15"/>
      <c r="GE7" s="15"/>
      <c r="GF7" s="15"/>
      <c r="GG7" s="15"/>
      <c r="GH7" s="15"/>
      <c r="GI7" s="15"/>
      <c r="GJ7" s="15"/>
      <c r="GK7" s="15"/>
      <c r="GL7" s="15"/>
      <c r="GM7" s="15"/>
      <c r="GN7" s="15"/>
      <c r="GO7" s="15"/>
      <c r="GP7" s="15"/>
      <c r="GQ7" s="15"/>
      <c r="GR7" s="15"/>
      <c r="GS7" s="15"/>
      <c r="GT7" s="15"/>
      <c r="GU7" s="15"/>
      <c r="GV7" s="15"/>
      <c r="GW7" s="15"/>
      <c r="GX7" s="15"/>
      <c r="GY7" s="15"/>
      <c r="GZ7" s="15"/>
      <c r="HA7" s="15"/>
      <c r="HB7" s="15"/>
      <c r="HC7" s="15"/>
      <c r="HD7" s="15"/>
      <c r="HE7" s="15"/>
      <c r="HF7" s="15"/>
      <c r="HG7" s="15"/>
      <c r="HH7" s="15"/>
      <c r="HI7" s="15"/>
      <c r="HJ7" s="15"/>
      <c r="HK7" s="15"/>
      <c r="HL7" s="15"/>
      <c r="HM7" s="15"/>
      <c r="HN7" s="15"/>
      <c r="HO7" s="15"/>
      <c r="HP7" s="15"/>
      <c r="HQ7" s="15"/>
      <c r="HR7" s="15"/>
      <c r="HS7" s="15"/>
      <c r="HT7" s="15"/>
      <c r="HU7" s="15"/>
      <c r="HV7" s="15"/>
      <c r="HW7" s="15"/>
      <c r="HX7" s="15"/>
      <c r="HY7" s="15"/>
      <c r="HZ7" s="15"/>
      <c r="IA7" s="15"/>
      <c r="IB7" s="15"/>
      <c r="IC7" s="15"/>
      <c r="ID7" s="15"/>
      <c r="IE7" s="15"/>
      <c r="IF7" s="15"/>
      <c r="IG7" s="15"/>
      <c r="IH7" s="15"/>
      <c r="II7" s="15"/>
      <c r="IJ7" s="15"/>
      <c r="IK7" s="15"/>
      <c r="IL7" s="15"/>
      <c r="IM7" s="15"/>
      <c r="IN7" s="15"/>
      <c r="IO7" s="15"/>
      <c r="IP7" s="15"/>
      <c r="IQ7" s="15"/>
      <c r="IR7" s="15"/>
      <c r="IS7" s="15"/>
      <c r="IT7" s="15"/>
      <c r="IU7" s="15"/>
      <c r="IV7" s="15"/>
    </row>
    <row r="8" spans="1:257">
      <c r="A8" s="33"/>
      <c r="B8" s="34"/>
      <c r="C8" s="35"/>
      <c r="D8" s="15"/>
      <c r="E8" s="15"/>
      <c r="F8" s="15"/>
      <c r="G8" s="15"/>
      <c r="H8" s="15"/>
      <c r="I8" s="15"/>
      <c r="J8" s="15"/>
      <c r="L8" s="15"/>
      <c r="M8" s="15"/>
      <c r="N8" s="15"/>
      <c r="O8" s="15"/>
      <c r="P8" s="15"/>
      <c r="Q8" s="15"/>
      <c r="R8" s="15"/>
      <c r="S8" s="15"/>
      <c r="T8" s="15"/>
      <c r="U8" s="15"/>
      <c r="V8" s="15"/>
      <c r="W8" s="15"/>
      <c r="X8" s="15"/>
      <c r="Y8" s="15"/>
      <c r="Z8" s="15"/>
    </row>
    <row r="9" spans="1:257" ht="20.25">
      <c r="A9" s="36"/>
      <c r="B9" s="37" t="s">
        <v>2502</v>
      </c>
      <c r="C9" s="38"/>
      <c r="D9" s="39"/>
      <c r="E9" s="39"/>
      <c r="F9" s="39"/>
      <c r="G9" s="39"/>
      <c r="H9" s="39"/>
      <c r="I9" s="39"/>
      <c r="J9" s="39"/>
      <c r="K9" s="39"/>
      <c r="L9" s="39"/>
      <c r="M9" s="39"/>
      <c r="N9" s="39"/>
      <c r="O9" s="39"/>
      <c r="P9" s="39"/>
      <c r="Q9" s="39"/>
      <c r="R9" s="39"/>
      <c r="S9" s="39"/>
      <c r="T9" s="39"/>
      <c r="U9" s="39"/>
      <c r="V9" s="39"/>
      <c r="W9" s="39"/>
      <c r="X9" s="39"/>
      <c r="Y9" s="39"/>
      <c r="Z9" s="39"/>
      <c r="AA9" s="77"/>
      <c r="AB9" s="77"/>
      <c r="AC9" s="77"/>
      <c r="AD9" s="77"/>
      <c r="AE9" s="77"/>
      <c r="AF9" s="77"/>
      <c r="AG9" s="77"/>
      <c r="AH9" s="77"/>
      <c r="AI9" s="77"/>
      <c r="AJ9" s="77"/>
      <c r="AK9" s="77"/>
      <c r="AL9" s="77"/>
      <c r="AM9" s="77"/>
      <c r="AN9" s="77"/>
      <c r="AO9" s="77"/>
      <c r="AP9" s="77"/>
      <c r="AQ9" s="77"/>
      <c r="AR9" s="77"/>
      <c r="AS9" s="77"/>
      <c r="AT9" s="77"/>
      <c r="AU9" s="77"/>
      <c r="AV9" s="77"/>
      <c r="AW9" s="77"/>
      <c r="AX9" s="77"/>
      <c r="AY9" s="77"/>
      <c r="AZ9" s="77"/>
      <c r="BA9" s="77"/>
      <c r="BB9" s="77"/>
      <c r="BC9" s="77"/>
      <c r="BD9" s="77"/>
      <c r="BE9" s="77"/>
      <c r="BF9" s="77"/>
      <c r="BG9" s="77"/>
      <c r="BH9" s="77"/>
      <c r="BI9" s="77"/>
      <c r="BJ9" s="77"/>
      <c r="BK9" s="77"/>
      <c r="BL9" s="77"/>
      <c r="BM9" s="77"/>
      <c r="BN9" s="77"/>
      <c r="BO9" s="77"/>
      <c r="BP9" s="77"/>
      <c r="BQ9" s="77"/>
      <c r="BR9" s="77"/>
      <c r="BS9" s="77"/>
      <c r="BT9" s="77"/>
      <c r="BU9" s="77"/>
      <c r="BV9" s="77"/>
      <c r="BW9" s="77"/>
      <c r="BX9" s="77"/>
      <c r="BY9" s="77"/>
      <c r="BZ9" s="77"/>
      <c r="CA9" s="77"/>
      <c r="CB9" s="77"/>
      <c r="CC9" s="77"/>
      <c r="CD9" s="77"/>
      <c r="CE9" s="77"/>
      <c r="CF9" s="77"/>
      <c r="CG9" s="77"/>
      <c r="CH9" s="77"/>
      <c r="CI9" s="77"/>
      <c r="CJ9" s="77"/>
      <c r="CK9" s="77"/>
      <c r="CL9" s="77"/>
      <c r="CM9" s="77"/>
      <c r="CN9" s="77"/>
      <c r="CO9" s="77"/>
      <c r="CP9" s="77"/>
      <c r="CQ9" s="77"/>
      <c r="CR9" s="77"/>
      <c r="CS9" s="77"/>
      <c r="CT9" s="77"/>
      <c r="CU9" s="77"/>
      <c r="CV9" s="77"/>
      <c r="CW9" s="77"/>
      <c r="CX9" s="77"/>
      <c r="CY9" s="77"/>
      <c r="CZ9" s="77"/>
      <c r="DA9" s="77"/>
      <c r="DB9" s="77"/>
      <c r="DC9" s="77"/>
      <c r="DD9" s="77"/>
      <c r="DE9" s="77"/>
      <c r="DF9" s="77"/>
      <c r="DG9" s="77"/>
      <c r="DH9" s="77"/>
      <c r="DI9" s="77"/>
      <c r="DJ9" s="77"/>
      <c r="DK9" s="77"/>
      <c r="DL9" s="77"/>
      <c r="DM9" s="77"/>
      <c r="DN9" s="77"/>
      <c r="DO9" s="77"/>
      <c r="DP9" s="77"/>
      <c r="DQ9" s="77"/>
      <c r="DR9" s="77"/>
      <c r="DS9" s="77"/>
      <c r="DT9" s="77"/>
      <c r="DU9" s="77"/>
      <c r="DV9" s="77"/>
      <c r="DW9" s="77"/>
      <c r="DX9" s="77"/>
      <c r="DY9" s="77"/>
      <c r="DZ9" s="77"/>
      <c r="EA9" s="77"/>
      <c r="EB9" s="77"/>
      <c r="EC9" s="77"/>
      <c r="ED9" s="77"/>
      <c r="EE9" s="77"/>
      <c r="EF9" s="77"/>
      <c r="EG9" s="77"/>
      <c r="EH9" s="77"/>
      <c r="EI9" s="77"/>
      <c r="EJ9" s="77"/>
      <c r="EK9" s="77"/>
      <c r="EL9" s="77"/>
      <c r="EM9" s="77"/>
      <c r="EN9" s="77"/>
      <c r="EO9" s="77"/>
      <c r="EP9" s="77"/>
      <c r="EQ9" s="77"/>
      <c r="ER9" s="77"/>
      <c r="ES9" s="77"/>
      <c r="ET9" s="77"/>
      <c r="EU9" s="77"/>
      <c r="EV9" s="77"/>
      <c r="EW9" s="77"/>
      <c r="EX9" s="77"/>
      <c r="EY9" s="77"/>
      <c r="EZ9" s="77"/>
      <c r="FA9" s="77"/>
      <c r="FB9" s="77"/>
      <c r="FC9" s="77"/>
      <c r="FD9" s="77"/>
      <c r="FE9" s="77"/>
      <c r="FF9" s="77"/>
      <c r="FG9" s="77"/>
      <c r="FH9" s="77"/>
      <c r="FI9" s="77"/>
      <c r="FJ9" s="77"/>
      <c r="FK9" s="77"/>
      <c r="FL9" s="77"/>
      <c r="FM9" s="77"/>
      <c r="FN9" s="77"/>
      <c r="FO9" s="77"/>
      <c r="FP9" s="77"/>
      <c r="FQ9" s="77"/>
      <c r="FR9" s="77"/>
      <c r="FS9" s="77"/>
      <c r="FT9" s="77"/>
      <c r="FU9" s="77"/>
      <c r="FV9" s="77"/>
      <c r="FW9" s="77"/>
      <c r="FX9" s="77"/>
      <c r="FY9" s="77"/>
      <c r="FZ9" s="77"/>
      <c r="GA9" s="77"/>
      <c r="GB9" s="77"/>
      <c r="GC9" s="77"/>
      <c r="GD9" s="77"/>
      <c r="GE9" s="77"/>
      <c r="GF9" s="77"/>
      <c r="GG9" s="77"/>
      <c r="GH9" s="77"/>
      <c r="GI9" s="77"/>
      <c r="GJ9" s="77"/>
      <c r="GK9" s="77"/>
      <c r="GL9" s="77"/>
      <c r="GM9" s="77"/>
      <c r="GN9" s="77"/>
      <c r="GO9" s="77"/>
      <c r="GP9" s="77"/>
      <c r="GQ9" s="77"/>
      <c r="GR9" s="77"/>
      <c r="GS9" s="77"/>
      <c r="GT9" s="77"/>
      <c r="GU9" s="77"/>
      <c r="GV9" s="77"/>
      <c r="GW9" s="77"/>
      <c r="GX9" s="77"/>
      <c r="GY9" s="77"/>
      <c r="GZ9" s="77"/>
      <c r="HA9" s="77"/>
      <c r="HB9" s="77"/>
      <c r="HC9" s="77"/>
      <c r="HD9" s="77"/>
      <c r="HE9" s="77"/>
      <c r="HF9" s="77"/>
      <c r="HG9" s="77"/>
      <c r="HH9" s="77"/>
      <c r="HI9" s="77"/>
      <c r="HJ9" s="77"/>
      <c r="HK9" s="77"/>
      <c r="HL9" s="77"/>
      <c r="HM9" s="77"/>
      <c r="HN9" s="77"/>
      <c r="HO9" s="77"/>
      <c r="HP9" s="77"/>
      <c r="HQ9" s="77"/>
      <c r="HR9" s="77"/>
      <c r="HS9" s="77"/>
      <c r="HT9" s="77"/>
      <c r="HU9" s="77"/>
      <c r="HV9" s="77"/>
      <c r="HW9" s="77"/>
      <c r="HX9" s="77"/>
      <c r="HY9" s="77"/>
      <c r="HZ9" s="77"/>
      <c r="IA9" s="77"/>
      <c r="IB9" s="77"/>
      <c r="IC9" s="77"/>
      <c r="ID9" s="77"/>
      <c r="IE9" s="77"/>
      <c r="IF9" s="77"/>
      <c r="IG9" s="77"/>
      <c r="IH9" s="77"/>
      <c r="II9" s="77"/>
      <c r="IJ9" s="77"/>
      <c r="IK9" s="77"/>
      <c r="IL9" s="77"/>
      <c r="IM9" s="77"/>
      <c r="IN9" s="77"/>
      <c r="IO9" s="77"/>
      <c r="IP9" s="77"/>
      <c r="IQ9" s="77"/>
      <c r="IR9" s="77"/>
      <c r="IS9" s="77"/>
      <c r="IT9" s="77"/>
      <c r="IU9" s="77"/>
      <c r="IV9" s="77"/>
      <c r="IW9" s="82"/>
    </row>
    <row r="10" spans="1:257" ht="22.5">
      <c r="A10" s="40"/>
      <c r="B10" s="41" t="s">
        <v>2503</v>
      </c>
      <c r="C10" s="40"/>
      <c r="D10" s="40"/>
      <c r="E10" s="40"/>
      <c r="F10" s="40"/>
      <c r="G10" s="40"/>
      <c r="H10" s="40"/>
      <c r="I10" s="15"/>
      <c r="J10" s="15"/>
      <c r="K10" s="40"/>
      <c r="L10" s="41" t="s">
        <v>2504</v>
      </c>
      <c r="M10" s="40"/>
      <c r="N10" s="40"/>
      <c r="O10" s="40"/>
      <c r="P10" s="40"/>
      <c r="Q10" s="40"/>
      <c r="R10" s="40"/>
      <c r="S10" s="40"/>
      <c r="T10" s="40"/>
      <c r="U10" s="40"/>
      <c r="V10" s="40"/>
      <c r="W10" s="40"/>
      <c r="X10" s="40"/>
      <c r="Y10" s="40"/>
      <c r="Z10" s="40"/>
      <c r="AA10" s="78"/>
      <c r="AB10" s="78"/>
      <c r="AC10" s="78"/>
      <c r="AD10" s="78"/>
      <c r="AE10" s="78"/>
      <c r="AF10" s="78"/>
      <c r="AG10" s="78"/>
      <c r="AH10" s="78"/>
      <c r="AI10" s="78"/>
      <c r="AJ10" s="78"/>
      <c r="AK10" s="78"/>
      <c r="AL10" s="78"/>
      <c r="AM10" s="78"/>
      <c r="AN10" s="78"/>
      <c r="AO10" s="78"/>
      <c r="AP10" s="78"/>
      <c r="AQ10" s="78"/>
      <c r="AR10" s="78"/>
      <c r="AS10" s="78"/>
      <c r="AT10" s="78"/>
      <c r="AU10" s="78"/>
      <c r="AV10" s="78"/>
      <c r="AW10" s="78"/>
      <c r="AX10" s="78"/>
      <c r="AY10" s="78"/>
      <c r="AZ10" s="78"/>
      <c r="BA10" s="78"/>
      <c r="BB10" s="78"/>
      <c r="BC10" s="78"/>
      <c r="BD10" s="78"/>
      <c r="BE10" s="78"/>
      <c r="BF10" s="78"/>
      <c r="BG10" s="78"/>
      <c r="BH10" s="78"/>
      <c r="BI10" s="78"/>
      <c r="BJ10" s="78"/>
      <c r="BK10" s="78"/>
      <c r="BL10" s="78"/>
      <c r="BM10" s="78"/>
      <c r="BN10" s="78"/>
      <c r="BO10" s="78"/>
      <c r="BP10" s="78"/>
      <c r="BQ10" s="78"/>
      <c r="BR10" s="78"/>
      <c r="BS10" s="78"/>
      <c r="BT10" s="78"/>
      <c r="BU10" s="78"/>
      <c r="BV10" s="78"/>
      <c r="BW10" s="78"/>
      <c r="BX10" s="78"/>
      <c r="BY10" s="78"/>
      <c r="BZ10" s="78"/>
      <c r="CA10" s="78"/>
      <c r="CB10" s="78"/>
      <c r="CC10" s="78"/>
      <c r="CD10" s="78"/>
      <c r="CE10" s="78"/>
      <c r="CF10" s="78"/>
      <c r="CG10" s="78"/>
      <c r="CH10" s="78"/>
      <c r="CI10" s="78"/>
      <c r="CJ10" s="78"/>
      <c r="CK10" s="78"/>
      <c r="CL10" s="78"/>
      <c r="CM10" s="78"/>
      <c r="CN10" s="78"/>
      <c r="CO10" s="78"/>
      <c r="CP10" s="78"/>
      <c r="CQ10" s="78"/>
      <c r="CR10" s="78"/>
      <c r="CS10" s="78"/>
      <c r="CT10" s="78"/>
      <c r="CU10" s="78"/>
      <c r="CV10" s="78"/>
      <c r="CW10" s="78"/>
      <c r="CX10" s="78"/>
      <c r="CY10" s="78"/>
      <c r="CZ10" s="78"/>
      <c r="DA10" s="78"/>
      <c r="DB10" s="78"/>
      <c r="DC10" s="78"/>
      <c r="DD10" s="78"/>
      <c r="DE10" s="78"/>
      <c r="DF10" s="78"/>
      <c r="DG10" s="78"/>
      <c r="DH10" s="78"/>
      <c r="DI10" s="78"/>
      <c r="DJ10" s="78"/>
      <c r="DK10" s="78"/>
      <c r="DL10" s="78"/>
      <c r="DM10" s="78"/>
      <c r="DN10" s="78"/>
      <c r="DO10" s="78"/>
      <c r="DP10" s="78"/>
      <c r="DQ10" s="78"/>
      <c r="DR10" s="78"/>
      <c r="DS10" s="78"/>
      <c r="DT10" s="78"/>
      <c r="DU10" s="78"/>
      <c r="DV10" s="78"/>
      <c r="DW10" s="78"/>
      <c r="DX10" s="78"/>
      <c r="DY10" s="78"/>
      <c r="DZ10" s="78"/>
      <c r="EA10" s="78"/>
      <c r="EB10" s="78"/>
      <c r="EC10" s="78"/>
      <c r="ED10" s="78"/>
      <c r="EE10" s="78"/>
      <c r="EF10" s="78"/>
      <c r="EG10" s="78"/>
      <c r="EH10" s="78"/>
      <c r="EI10" s="78"/>
      <c r="EJ10" s="78"/>
      <c r="EK10" s="78"/>
      <c r="EL10" s="78"/>
      <c r="EM10" s="78"/>
      <c r="EN10" s="78"/>
      <c r="EO10" s="78"/>
      <c r="EP10" s="78"/>
      <c r="EQ10" s="78"/>
      <c r="ER10" s="78"/>
      <c r="ES10" s="78"/>
      <c r="ET10" s="78"/>
      <c r="EU10" s="78"/>
      <c r="EV10" s="78"/>
      <c r="EW10" s="78"/>
      <c r="EX10" s="78"/>
      <c r="EY10" s="78"/>
      <c r="EZ10" s="78"/>
      <c r="FA10" s="78"/>
      <c r="FB10" s="78"/>
      <c r="FC10" s="78"/>
      <c r="FD10" s="78"/>
      <c r="FE10" s="78"/>
      <c r="FF10" s="78"/>
      <c r="FG10" s="78"/>
      <c r="FH10" s="78"/>
      <c r="FI10" s="78"/>
      <c r="FJ10" s="78"/>
      <c r="FK10" s="78"/>
      <c r="FL10" s="78"/>
      <c r="FM10" s="78"/>
      <c r="FN10" s="78"/>
      <c r="FO10" s="78"/>
      <c r="FP10" s="78"/>
      <c r="FQ10" s="78"/>
      <c r="FR10" s="78"/>
      <c r="FS10" s="78"/>
      <c r="FT10" s="78"/>
      <c r="FU10" s="78"/>
      <c r="FV10" s="78"/>
      <c r="FW10" s="78"/>
      <c r="FX10" s="78"/>
      <c r="FY10" s="78"/>
      <c r="FZ10" s="78"/>
      <c r="GA10" s="78"/>
      <c r="GB10" s="78"/>
      <c r="GC10" s="78"/>
      <c r="GD10" s="78"/>
      <c r="GE10" s="78"/>
      <c r="GF10" s="78"/>
      <c r="GG10" s="78"/>
      <c r="GH10" s="78"/>
      <c r="GI10" s="78"/>
      <c r="GJ10" s="78"/>
      <c r="GK10" s="78"/>
      <c r="GL10" s="78"/>
      <c r="GM10" s="78"/>
      <c r="GN10" s="78"/>
      <c r="GO10" s="78"/>
      <c r="GP10" s="78"/>
      <c r="GQ10" s="78"/>
      <c r="GR10" s="78"/>
      <c r="GS10" s="78"/>
      <c r="GT10" s="78"/>
      <c r="GU10" s="78"/>
      <c r="GV10" s="78"/>
      <c r="GW10" s="78"/>
      <c r="GX10" s="78"/>
      <c r="GY10" s="78"/>
      <c r="GZ10" s="78"/>
      <c r="HA10" s="78"/>
      <c r="HB10" s="78"/>
      <c r="HC10" s="78"/>
      <c r="HD10" s="78"/>
      <c r="HE10" s="78"/>
      <c r="HF10" s="78"/>
      <c r="HG10" s="78"/>
      <c r="HH10" s="78"/>
      <c r="HI10" s="78"/>
      <c r="HJ10" s="78"/>
      <c r="HK10" s="78"/>
      <c r="HL10" s="78"/>
      <c r="HM10" s="78"/>
      <c r="HN10" s="78"/>
      <c r="HO10" s="78"/>
      <c r="HP10" s="78"/>
      <c r="HQ10" s="78"/>
      <c r="HR10" s="78"/>
      <c r="HS10" s="78"/>
      <c r="HT10" s="78"/>
      <c r="HU10" s="78"/>
      <c r="HV10" s="78"/>
      <c r="HW10" s="78"/>
      <c r="HX10" s="78"/>
      <c r="HY10" s="78"/>
      <c r="HZ10" s="78"/>
      <c r="IA10" s="78"/>
      <c r="IB10" s="78"/>
      <c r="IC10" s="78"/>
      <c r="ID10" s="78"/>
      <c r="IE10" s="78"/>
      <c r="IF10" s="78"/>
      <c r="IG10" s="78"/>
      <c r="IH10" s="78"/>
      <c r="II10" s="78"/>
      <c r="IJ10" s="78"/>
      <c r="IK10" s="78"/>
      <c r="IL10" s="78"/>
      <c r="IM10" s="78"/>
      <c r="IN10" s="78"/>
      <c r="IO10" s="78"/>
      <c r="IP10" s="78"/>
      <c r="IQ10" s="78"/>
      <c r="IR10" s="78"/>
      <c r="IS10" s="78"/>
      <c r="IT10" s="78"/>
      <c r="IU10" s="78"/>
      <c r="IV10" s="78"/>
    </row>
    <row r="11" spans="1:257">
      <c r="A11" s="42"/>
      <c r="B11" s="43" t="s">
        <v>2505</v>
      </c>
      <c r="C11" s="44" t="s">
        <v>2506</v>
      </c>
      <c r="D11" s="45" t="s">
        <v>2507</v>
      </c>
      <c r="E11" s="46"/>
      <c r="F11" s="45" t="s">
        <v>2508</v>
      </c>
      <c r="G11" s="47"/>
      <c r="H11" s="46"/>
      <c r="I11" s="45" t="s">
        <v>2509</v>
      </c>
      <c r="J11" s="46"/>
      <c r="K11" s="42"/>
      <c r="L11" s="43" t="s">
        <v>2505</v>
      </c>
      <c r="M11" s="44" t="s">
        <v>2506</v>
      </c>
      <c r="N11" s="43" t="s">
        <v>2510</v>
      </c>
      <c r="O11" s="45" t="s">
        <v>2511</v>
      </c>
      <c r="P11" s="47"/>
      <c r="Q11" s="47"/>
      <c r="R11" s="47"/>
      <c r="S11" s="47"/>
      <c r="T11" s="46"/>
      <c r="U11" s="45" t="s">
        <v>2512</v>
      </c>
      <c r="V11" s="47"/>
      <c r="W11" s="46"/>
      <c r="X11" s="43" t="s">
        <v>2513</v>
      </c>
      <c r="Y11" s="43" t="s">
        <v>2514</v>
      </c>
      <c r="Z11" s="43" t="s">
        <v>2515</v>
      </c>
      <c r="AA11" s="79"/>
      <c r="AB11" s="79"/>
      <c r="AC11" s="79"/>
      <c r="AD11" s="79"/>
      <c r="AE11" s="79"/>
      <c r="AF11" s="79"/>
      <c r="AG11" s="79"/>
      <c r="AH11" s="79"/>
      <c r="AI11" s="79"/>
      <c r="AJ11" s="79"/>
      <c r="AK11" s="79"/>
      <c r="AL11" s="79"/>
      <c r="AM11" s="79"/>
      <c r="AN11" s="79"/>
      <c r="AO11" s="79"/>
      <c r="AP11" s="79"/>
      <c r="AQ11" s="79"/>
      <c r="AR11" s="79"/>
      <c r="AS11" s="79"/>
      <c r="AT11" s="79"/>
      <c r="AU11" s="79"/>
      <c r="AV11" s="79"/>
      <c r="AW11" s="79"/>
      <c r="AX11" s="79"/>
      <c r="AY11" s="79"/>
      <c r="AZ11" s="79"/>
      <c r="BA11" s="79"/>
      <c r="BB11" s="79"/>
      <c r="BC11" s="79"/>
      <c r="BD11" s="79"/>
      <c r="BE11" s="79"/>
      <c r="BF11" s="79"/>
      <c r="BG11" s="79"/>
      <c r="BH11" s="79"/>
      <c r="BI11" s="79"/>
      <c r="BJ11" s="79"/>
      <c r="BK11" s="79"/>
      <c r="BL11" s="79"/>
      <c r="BM11" s="79"/>
      <c r="BN11" s="79"/>
      <c r="BO11" s="79"/>
      <c r="BP11" s="79"/>
      <c r="BQ11" s="79"/>
      <c r="BR11" s="79"/>
      <c r="BS11" s="79"/>
      <c r="BT11" s="79"/>
      <c r="BU11" s="79"/>
      <c r="BV11" s="79"/>
      <c r="BW11" s="79"/>
      <c r="BX11" s="79"/>
      <c r="BY11" s="79"/>
      <c r="BZ11" s="79"/>
      <c r="CA11" s="79"/>
      <c r="CB11" s="79"/>
      <c r="CC11" s="79"/>
      <c r="CD11" s="79"/>
      <c r="CE11" s="79"/>
      <c r="CF11" s="79"/>
      <c r="CG11" s="79"/>
      <c r="CH11" s="79"/>
      <c r="CI11" s="79"/>
      <c r="CJ11" s="79"/>
      <c r="CK11" s="79"/>
      <c r="CL11" s="79"/>
      <c r="CM11" s="79"/>
      <c r="CN11" s="79"/>
      <c r="CO11" s="79"/>
      <c r="CP11" s="79"/>
      <c r="CQ11" s="79"/>
      <c r="CR11" s="79"/>
      <c r="CS11" s="79"/>
      <c r="CT11" s="79"/>
      <c r="CU11" s="79"/>
      <c r="CV11" s="79"/>
      <c r="CW11" s="79"/>
      <c r="CX11" s="79"/>
      <c r="CY11" s="79"/>
      <c r="CZ11" s="79"/>
      <c r="DA11" s="79"/>
      <c r="DB11" s="79"/>
      <c r="DC11" s="79"/>
      <c r="DD11" s="79"/>
      <c r="DE11" s="79"/>
      <c r="DF11" s="79"/>
      <c r="DG11" s="79"/>
      <c r="DH11" s="79"/>
      <c r="DI11" s="79"/>
      <c r="DJ11" s="79"/>
      <c r="DK11" s="79"/>
      <c r="DL11" s="79"/>
      <c r="DM11" s="79"/>
      <c r="DN11" s="79"/>
      <c r="DO11" s="79"/>
      <c r="DP11" s="79"/>
      <c r="DQ11" s="79"/>
      <c r="DR11" s="79"/>
      <c r="DS11" s="79"/>
      <c r="DT11" s="79"/>
      <c r="DU11" s="79"/>
      <c r="DV11" s="79"/>
      <c r="DW11" s="79"/>
      <c r="DX11" s="79"/>
      <c r="DY11" s="79"/>
      <c r="DZ11" s="79"/>
      <c r="EA11" s="79"/>
      <c r="EB11" s="79"/>
      <c r="EC11" s="79"/>
      <c r="ED11" s="79"/>
      <c r="EE11" s="79"/>
      <c r="EF11" s="79"/>
      <c r="EG11" s="79"/>
      <c r="EH11" s="79"/>
      <c r="EI11" s="79"/>
      <c r="EJ11" s="79"/>
      <c r="EK11" s="79"/>
      <c r="EL11" s="79"/>
      <c r="EM11" s="79"/>
      <c r="EN11" s="79"/>
      <c r="EO11" s="79"/>
      <c r="EP11" s="79"/>
      <c r="EQ11" s="79"/>
      <c r="ER11" s="79"/>
      <c r="ES11" s="79"/>
      <c r="ET11" s="79"/>
      <c r="EU11" s="79"/>
      <c r="EV11" s="79"/>
      <c r="EW11" s="79"/>
      <c r="EX11" s="79"/>
      <c r="EY11" s="79"/>
      <c r="EZ11" s="79"/>
      <c r="FA11" s="79"/>
      <c r="FB11" s="79"/>
      <c r="FC11" s="79"/>
      <c r="FD11" s="79"/>
      <c r="FE11" s="79"/>
      <c r="FF11" s="79"/>
      <c r="FG11" s="79"/>
      <c r="FH11" s="79"/>
      <c r="FI11" s="79"/>
      <c r="FJ11" s="79"/>
      <c r="FK11" s="79"/>
      <c r="FL11" s="79"/>
      <c r="FM11" s="79"/>
      <c r="FN11" s="79"/>
      <c r="FO11" s="79"/>
      <c r="FP11" s="79"/>
      <c r="FQ11" s="79"/>
      <c r="FR11" s="79"/>
      <c r="FS11" s="79"/>
      <c r="FT11" s="79"/>
      <c r="FU11" s="79"/>
      <c r="FV11" s="79"/>
      <c r="FW11" s="79"/>
      <c r="FX11" s="79"/>
      <c r="FY11" s="79"/>
      <c r="FZ11" s="79"/>
      <c r="GA11" s="79"/>
      <c r="GB11" s="79"/>
      <c r="GC11" s="79"/>
      <c r="GD11" s="79"/>
      <c r="GE11" s="79"/>
      <c r="GF11" s="79"/>
      <c r="GG11" s="79"/>
      <c r="GH11" s="79"/>
      <c r="GI11" s="79"/>
      <c r="GJ11" s="79"/>
      <c r="GK11" s="79"/>
      <c r="GL11" s="79"/>
      <c r="GM11" s="79"/>
      <c r="GN11" s="79"/>
      <c r="GO11" s="79"/>
      <c r="GP11" s="79"/>
      <c r="GQ11" s="79"/>
      <c r="GR11" s="79"/>
      <c r="GS11" s="79"/>
      <c r="GT11" s="79"/>
      <c r="GU11" s="79"/>
      <c r="GV11" s="79"/>
      <c r="GW11" s="79"/>
      <c r="GX11" s="79"/>
      <c r="GY11" s="79"/>
      <c r="GZ11" s="79"/>
      <c r="HA11" s="79"/>
      <c r="HB11" s="79"/>
      <c r="HC11" s="79"/>
      <c r="HD11" s="79"/>
      <c r="HE11" s="79"/>
      <c r="HF11" s="79"/>
      <c r="HG11" s="79"/>
      <c r="HH11" s="79"/>
      <c r="HI11" s="79"/>
      <c r="HJ11" s="79"/>
      <c r="HK11" s="79"/>
      <c r="HL11" s="79"/>
      <c r="HM11" s="79"/>
      <c r="HN11" s="79"/>
      <c r="HO11" s="79"/>
      <c r="HP11" s="79"/>
      <c r="HQ11" s="79"/>
      <c r="HR11" s="79"/>
      <c r="HS11" s="79"/>
      <c r="HT11" s="79"/>
      <c r="HU11" s="79"/>
      <c r="HV11" s="79"/>
      <c r="HW11" s="79"/>
      <c r="HX11" s="79"/>
      <c r="HY11" s="79"/>
      <c r="HZ11" s="79"/>
      <c r="IA11" s="79"/>
      <c r="IB11" s="79"/>
      <c r="IC11" s="79"/>
      <c r="ID11" s="79"/>
      <c r="IE11" s="79"/>
      <c r="IF11" s="79"/>
      <c r="IG11" s="79"/>
      <c r="IH11" s="79"/>
      <c r="II11" s="79"/>
      <c r="IJ11" s="79"/>
      <c r="IK11" s="79"/>
      <c r="IL11" s="79"/>
      <c r="IM11" s="79"/>
      <c r="IN11" s="79"/>
      <c r="IO11" s="79"/>
      <c r="IP11" s="79"/>
      <c r="IQ11" s="79"/>
      <c r="IR11" s="79"/>
      <c r="IS11" s="79"/>
      <c r="IT11" s="79"/>
      <c r="IU11" s="79"/>
      <c r="IV11" s="79"/>
    </row>
    <row r="12" spans="1:257">
      <c r="A12" s="48"/>
      <c r="B12" s="49"/>
      <c r="C12" s="50"/>
      <c r="D12" s="51" t="s">
        <v>2516</v>
      </c>
      <c r="E12" s="51" t="s">
        <v>2498</v>
      </c>
      <c r="F12" s="51" t="s">
        <v>2499</v>
      </c>
      <c r="G12" s="51" t="s">
        <v>2500</v>
      </c>
      <c r="H12" s="51" t="s">
        <v>2501</v>
      </c>
      <c r="I12" s="74" t="s">
        <v>2517</v>
      </c>
      <c r="J12" s="74" t="s">
        <v>2517</v>
      </c>
      <c r="K12" s="48"/>
      <c r="L12" s="49"/>
      <c r="M12" s="50"/>
      <c r="N12" s="49"/>
      <c r="O12" s="74" t="s">
        <v>2518</v>
      </c>
      <c r="P12" s="74">
        <v>0.5</v>
      </c>
      <c r="Q12" s="74">
        <v>1</v>
      </c>
      <c r="R12" s="74">
        <v>2</v>
      </c>
      <c r="S12" s="74">
        <v>3</v>
      </c>
      <c r="T12" s="74">
        <v>5</v>
      </c>
      <c r="U12" s="74">
        <v>1</v>
      </c>
      <c r="V12" s="74">
        <v>3</v>
      </c>
      <c r="W12" s="74">
        <v>5</v>
      </c>
      <c r="X12" s="49"/>
      <c r="Y12" s="49"/>
      <c r="Z12" s="49"/>
      <c r="AA12" s="80"/>
      <c r="AB12" s="80"/>
      <c r="AC12" s="80"/>
      <c r="AD12" s="80"/>
      <c r="AE12" s="80"/>
      <c r="AF12" s="80"/>
      <c r="AG12" s="80"/>
      <c r="AH12" s="80"/>
      <c r="AI12" s="80"/>
      <c r="AJ12" s="80"/>
      <c r="AK12" s="80"/>
      <c r="AL12" s="80"/>
      <c r="AM12" s="80"/>
      <c r="AN12" s="80"/>
      <c r="AO12" s="80"/>
      <c r="AP12" s="80"/>
      <c r="AQ12" s="80"/>
      <c r="AR12" s="80"/>
      <c r="AS12" s="80"/>
      <c r="AT12" s="80"/>
      <c r="AU12" s="80"/>
      <c r="AV12" s="80"/>
      <c r="AW12" s="80"/>
      <c r="AX12" s="80"/>
      <c r="AY12" s="80"/>
      <c r="AZ12" s="80"/>
      <c r="BA12" s="80"/>
      <c r="BB12" s="80"/>
      <c r="BC12" s="80"/>
      <c r="BD12" s="80"/>
      <c r="BE12" s="80"/>
      <c r="BF12" s="80"/>
      <c r="BG12" s="80"/>
      <c r="BH12" s="80"/>
      <c r="BI12" s="80"/>
      <c r="BJ12" s="80"/>
      <c r="BK12" s="80"/>
      <c r="BL12" s="80"/>
      <c r="BM12" s="80"/>
      <c r="BN12" s="80"/>
      <c r="BO12" s="80"/>
      <c r="BP12" s="80"/>
      <c r="BQ12" s="80"/>
      <c r="BR12" s="80"/>
      <c r="BS12" s="80"/>
      <c r="BT12" s="80"/>
      <c r="BU12" s="80"/>
      <c r="BV12" s="80"/>
      <c r="BW12" s="80"/>
      <c r="BX12" s="80"/>
      <c r="BY12" s="80"/>
      <c r="BZ12" s="80"/>
      <c r="CA12" s="80"/>
      <c r="CB12" s="80"/>
      <c r="CC12" s="80"/>
      <c r="CD12" s="80"/>
      <c r="CE12" s="80"/>
      <c r="CF12" s="80"/>
      <c r="CG12" s="80"/>
      <c r="CH12" s="80"/>
      <c r="CI12" s="80"/>
      <c r="CJ12" s="80"/>
      <c r="CK12" s="80"/>
      <c r="CL12" s="80"/>
      <c r="CM12" s="80"/>
      <c r="CN12" s="80"/>
      <c r="CO12" s="80"/>
      <c r="CP12" s="80"/>
      <c r="CQ12" s="80"/>
      <c r="CR12" s="80"/>
      <c r="CS12" s="80"/>
      <c r="CT12" s="80"/>
      <c r="CU12" s="80"/>
      <c r="CV12" s="80"/>
      <c r="CW12" s="80"/>
      <c r="CX12" s="80"/>
      <c r="CY12" s="80"/>
      <c r="CZ12" s="80"/>
      <c r="DA12" s="80"/>
      <c r="DB12" s="80"/>
      <c r="DC12" s="80"/>
      <c r="DD12" s="80"/>
      <c r="DE12" s="80"/>
      <c r="DF12" s="80"/>
      <c r="DG12" s="80"/>
      <c r="DH12" s="80"/>
      <c r="DI12" s="80"/>
      <c r="DJ12" s="80"/>
      <c r="DK12" s="80"/>
      <c r="DL12" s="80"/>
      <c r="DM12" s="80"/>
      <c r="DN12" s="80"/>
      <c r="DO12" s="80"/>
      <c r="DP12" s="80"/>
      <c r="DQ12" s="80"/>
      <c r="DR12" s="80"/>
      <c r="DS12" s="80"/>
      <c r="DT12" s="80"/>
      <c r="DU12" s="80"/>
      <c r="DV12" s="80"/>
      <c r="DW12" s="80"/>
      <c r="DX12" s="80"/>
      <c r="DY12" s="80"/>
      <c r="DZ12" s="80"/>
      <c r="EA12" s="80"/>
      <c r="EB12" s="80"/>
      <c r="EC12" s="80"/>
      <c r="ED12" s="80"/>
      <c r="EE12" s="80"/>
      <c r="EF12" s="80"/>
      <c r="EG12" s="80"/>
      <c r="EH12" s="80"/>
      <c r="EI12" s="80"/>
      <c r="EJ12" s="80"/>
      <c r="EK12" s="80"/>
      <c r="EL12" s="80"/>
      <c r="EM12" s="80"/>
      <c r="EN12" s="80"/>
      <c r="EO12" s="80"/>
      <c r="EP12" s="80"/>
      <c r="EQ12" s="80"/>
      <c r="ER12" s="80"/>
      <c r="ES12" s="80"/>
      <c r="ET12" s="80"/>
      <c r="EU12" s="80"/>
      <c r="EV12" s="80"/>
      <c r="EW12" s="80"/>
      <c r="EX12" s="80"/>
      <c r="EY12" s="80"/>
      <c r="EZ12" s="80"/>
      <c r="FA12" s="80"/>
      <c r="FB12" s="80"/>
      <c r="FC12" s="80"/>
      <c r="FD12" s="80"/>
      <c r="FE12" s="80"/>
      <c r="FF12" s="80"/>
      <c r="FG12" s="80"/>
      <c r="FH12" s="80"/>
      <c r="FI12" s="80"/>
      <c r="FJ12" s="80"/>
      <c r="FK12" s="80"/>
      <c r="FL12" s="80"/>
      <c r="FM12" s="80"/>
      <c r="FN12" s="80"/>
      <c r="FO12" s="80"/>
      <c r="FP12" s="80"/>
      <c r="FQ12" s="80"/>
      <c r="FR12" s="80"/>
      <c r="FS12" s="80"/>
      <c r="FT12" s="80"/>
      <c r="FU12" s="80"/>
      <c r="FV12" s="80"/>
      <c r="FW12" s="80"/>
      <c r="FX12" s="80"/>
      <c r="FY12" s="80"/>
      <c r="FZ12" s="80"/>
      <c r="GA12" s="80"/>
      <c r="GB12" s="80"/>
      <c r="GC12" s="80"/>
      <c r="GD12" s="80"/>
      <c r="GE12" s="80"/>
      <c r="GF12" s="80"/>
      <c r="GG12" s="80"/>
      <c r="GH12" s="80"/>
      <c r="GI12" s="80"/>
      <c r="GJ12" s="80"/>
      <c r="GK12" s="80"/>
      <c r="GL12" s="80"/>
      <c r="GM12" s="80"/>
      <c r="GN12" s="80"/>
      <c r="GO12" s="80"/>
      <c r="GP12" s="80"/>
      <c r="GQ12" s="80"/>
      <c r="GR12" s="80"/>
      <c r="GS12" s="80"/>
      <c r="GT12" s="80"/>
      <c r="GU12" s="80"/>
      <c r="GV12" s="80"/>
      <c r="GW12" s="80"/>
      <c r="GX12" s="80"/>
      <c r="GY12" s="80"/>
      <c r="GZ12" s="80"/>
      <c r="HA12" s="80"/>
      <c r="HB12" s="80"/>
      <c r="HC12" s="80"/>
      <c r="HD12" s="80"/>
      <c r="HE12" s="80"/>
      <c r="HF12" s="80"/>
      <c r="HG12" s="80"/>
      <c r="HH12" s="80"/>
      <c r="HI12" s="80"/>
      <c r="HJ12" s="80"/>
      <c r="HK12" s="80"/>
      <c r="HL12" s="80"/>
      <c r="HM12" s="80"/>
      <c r="HN12" s="80"/>
      <c r="HO12" s="80"/>
      <c r="HP12" s="80"/>
      <c r="HQ12" s="80"/>
      <c r="HR12" s="80"/>
      <c r="HS12" s="80"/>
      <c r="HT12" s="80"/>
      <c r="HU12" s="80"/>
      <c r="HV12" s="80"/>
      <c r="HW12" s="80"/>
      <c r="HX12" s="80"/>
      <c r="HY12" s="80"/>
      <c r="HZ12" s="80"/>
      <c r="IA12" s="80"/>
      <c r="IB12" s="80"/>
      <c r="IC12" s="80"/>
      <c r="ID12" s="80"/>
      <c r="IE12" s="80"/>
      <c r="IF12" s="80"/>
      <c r="IG12" s="80"/>
      <c r="IH12" s="80"/>
      <c r="II12" s="80"/>
      <c r="IJ12" s="80"/>
      <c r="IK12" s="80"/>
      <c r="IL12" s="80"/>
      <c r="IM12" s="80"/>
      <c r="IN12" s="80"/>
      <c r="IO12" s="80"/>
      <c r="IP12" s="80"/>
      <c r="IQ12" s="80"/>
      <c r="IR12" s="80"/>
      <c r="IS12" s="80"/>
      <c r="IT12" s="80"/>
      <c r="IU12" s="80"/>
      <c r="IV12" s="80"/>
    </row>
    <row r="13" spans="1:257" ht="14.25">
      <c r="A13" s="52"/>
      <c r="B13" s="53" t="s">
        <v>2519</v>
      </c>
      <c r="C13" s="54">
        <v>45159</v>
      </c>
      <c r="D13" s="55">
        <v>3.45</v>
      </c>
      <c r="E13" s="55">
        <f>D13</f>
        <v>3.45</v>
      </c>
      <c r="F13" s="55">
        <f>D13</f>
        <v>3.45</v>
      </c>
      <c r="G13" s="55">
        <f>D13</f>
        <v>3.45</v>
      </c>
      <c r="H13" s="55">
        <v>4.2</v>
      </c>
      <c r="I13" s="55"/>
      <c r="J13" s="55"/>
      <c r="K13" s="52"/>
      <c r="L13" s="53" t="s">
        <v>2519</v>
      </c>
      <c r="M13" s="75">
        <v>42301</v>
      </c>
      <c r="N13" s="55">
        <v>0.35</v>
      </c>
      <c r="O13" s="55">
        <v>1.1000000000000001</v>
      </c>
      <c r="P13" s="55">
        <v>1.3</v>
      </c>
      <c r="Q13" s="55">
        <v>1.5</v>
      </c>
      <c r="R13" s="55">
        <v>2.1</v>
      </c>
      <c r="S13" s="55">
        <v>2.75</v>
      </c>
      <c r="T13" s="55"/>
      <c r="U13" s="55"/>
      <c r="V13" s="55"/>
      <c r="W13" s="55"/>
      <c r="X13" s="55"/>
      <c r="Y13" s="55"/>
      <c r="Z13" s="55"/>
      <c r="AA13" s="81"/>
      <c r="AB13" s="81"/>
      <c r="AC13" s="81"/>
      <c r="AD13" s="81"/>
      <c r="AE13" s="81"/>
      <c r="AF13" s="81"/>
      <c r="AG13" s="81"/>
      <c r="AH13" s="81"/>
      <c r="AI13" s="81"/>
      <c r="AJ13" s="81"/>
      <c r="AK13" s="81"/>
      <c r="AL13" s="81"/>
      <c r="AM13" s="81"/>
      <c r="AN13" s="81"/>
      <c r="AO13" s="81"/>
      <c r="AP13" s="81"/>
      <c r="AQ13" s="81"/>
      <c r="AR13" s="81"/>
      <c r="AS13" s="81"/>
      <c r="AT13" s="81"/>
      <c r="AU13" s="81"/>
      <c r="AV13" s="81"/>
      <c r="AW13" s="81"/>
      <c r="AX13" s="81"/>
      <c r="AY13" s="81"/>
      <c r="AZ13" s="81"/>
      <c r="BA13" s="81"/>
      <c r="BB13" s="81"/>
      <c r="BC13" s="81"/>
      <c r="BD13" s="81"/>
      <c r="BE13" s="81"/>
      <c r="BF13" s="81"/>
      <c r="BG13" s="81"/>
      <c r="BH13" s="81"/>
      <c r="BI13" s="81"/>
      <c r="BJ13" s="81"/>
      <c r="BK13" s="81"/>
      <c r="BL13" s="81"/>
      <c r="BM13" s="81"/>
      <c r="BN13" s="81"/>
      <c r="BO13" s="81"/>
      <c r="BP13" s="81"/>
      <c r="BQ13" s="81"/>
      <c r="BR13" s="81"/>
      <c r="BS13" s="81"/>
      <c r="BT13" s="81"/>
      <c r="BU13" s="81"/>
      <c r="BV13" s="81"/>
      <c r="BW13" s="81"/>
      <c r="BX13" s="81"/>
      <c r="BY13" s="81"/>
      <c r="BZ13" s="81"/>
      <c r="CA13" s="81"/>
      <c r="CB13" s="81"/>
      <c r="CC13" s="81"/>
      <c r="CD13" s="81"/>
      <c r="CE13" s="81"/>
      <c r="CF13" s="81"/>
      <c r="CG13" s="81"/>
      <c r="CH13" s="81"/>
      <c r="CI13" s="81"/>
      <c r="CJ13" s="81"/>
      <c r="CK13" s="81"/>
      <c r="CL13" s="81"/>
      <c r="CM13" s="81"/>
      <c r="CN13" s="81"/>
      <c r="CO13" s="81"/>
      <c r="CP13" s="81"/>
      <c r="CQ13" s="81"/>
      <c r="CR13" s="81"/>
      <c r="CS13" s="81"/>
      <c r="CT13" s="81"/>
      <c r="CU13" s="81"/>
      <c r="CV13" s="81"/>
      <c r="CW13" s="81"/>
      <c r="CX13" s="81"/>
      <c r="CY13" s="81"/>
      <c r="CZ13" s="81"/>
      <c r="DA13" s="81"/>
      <c r="DB13" s="81"/>
      <c r="DC13" s="81"/>
      <c r="DD13" s="81"/>
      <c r="DE13" s="81"/>
      <c r="DF13" s="81"/>
      <c r="DG13" s="81"/>
      <c r="DH13" s="81"/>
      <c r="DI13" s="81"/>
      <c r="DJ13" s="81"/>
      <c r="DK13" s="81"/>
      <c r="DL13" s="81"/>
      <c r="DM13" s="81"/>
      <c r="DN13" s="81"/>
      <c r="DO13" s="81"/>
      <c r="DP13" s="81"/>
      <c r="DQ13" s="81"/>
      <c r="DR13" s="81"/>
      <c r="DS13" s="81"/>
      <c r="DT13" s="81"/>
      <c r="DU13" s="81"/>
      <c r="DV13" s="81"/>
      <c r="DW13" s="81"/>
      <c r="DX13" s="81"/>
      <c r="DY13" s="81"/>
      <c r="DZ13" s="81"/>
      <c r="EA13" s="81"/>
      <c r="EB13" s="81"/>
      <c r="EC13" s="81"/>
      <c r="ED13" s="81"/>
      <c r="EE13" s="81"/>
      <c r="EF13" s="81"/>
      <c r="EG13" s="81"/>
      <c r="EH13" s="81"/>
      <c r="EI13" s="81"/>
      <c r="EJ13" s="81"/>
      <c r="EK13" s="81"/>
      <c r="EL13" s="81"/>
      <c r="EM13" s="81"/>
      <c r="EN13" s="81"/>
      <c r="EO13" s="81"/>
      <c r="EP13" s="81"/>
      <c r="EQ13" s="81"/>
      <c r="ER13" s="81"/>
      <c r="ES13" s="81"/>
      <c r="ET13" s="81"/>
      <c r="EU13" s="81"/>
      <c r="EV13" s="81"/>
      <c r="EW13" s="81"/>
      <c r="EX13" s="81"/>
      <c r="EY13" s="81"/>
      <c r="EZ13" s="81"/>
      <c r="FA13" s="81"/>
      <c r="FB13" s="81"/>
      <c r="FC13" s="81"/>
      <c r="FD13" s="81"/>
      <c r="FE13" s="81"/>
      <c r="FF13" s="81"/>
      <c r="FG13" s="81"/>
      <c r="FH13" s="81"/>
      <c r="FI13" s="81"/>
      <c r="FJ13" s="81"/>
      <c r="FK13" s="81"/>
      <c r="FL13" s="81"/>
      <c r="FM13" s="81"/>
      <c r="FN13" s="81"/>
      <c r="FO13" s="81"/>
      <c r="FP13" s="81"/>
      <c r="FQ13" s="81"/>
      <c r="FR13" s="81"/>
      <c r="FS13" s="81"/>
      <c r="FT13" s="81"/>
      <c r="FU13" s="81"/>
      <c r="FV13" s="81"/>
      <c r="FW13" s="81"/>
      <c r="FX13" s="81"/>
      <c r="FY13" s="81"/>
      <c r="FZ13" s="81"/>
      <c r="GA13" s="81"/>
      <c r="GB13" s="81"/>
      <c r="GC13" s="81"/>
      <c r="GD13" s="81"/>
      <c r="GE13" s="81"/>
      <c r="GF13" s="81"/>
      <c r="GG13" s="81"/>
      <c r="GH13" s="81"/>
      <c r="GI13" s="81"/>
      <c r="GJ13" s="81"/>
      <c r="GK13" s="81"/>
      <c r="GL13" s="81"/>
      <c r="GM13" s="81"/>
      <c r="GN13" s="81"/>
      <c r="GO13" s="81"/>
      <c r="GP13" s="81"/>
      <c r="GQ13" s="81"/>
      <c r="GR13" s="81"/>
      <c r="GS13" s="81"/>
      <c r="GT13" s="81"/>
      <c r="GU13" s="81"/>
      <c r="GV13" s="81"/>
      <c r="GW13" s="81"/>
      <c r="GX13" s="81"/>
      <c r="GY13" s="81"/>
      <c r="GZ13" s="81"/>
      <c r="HA13" s="81"/>
      <c r="HB13" s="81"/>
      <c r="HC13" s="81"/>
      <c r="HD13" s="81"/>
      <c r="HE13" s="81"/>
      <c r="HF13" s="81"/>
      <c r="HG13" s="81"/>
      <c r="HH13" s="81"/>
      <c r="HI13" s="81"/>
      <c r="HJ13" s="81"/>
      <c r="HK13" s="81"/>
      <c r="HL13" s="81"/>
      <c r="HM13" s="81"/>
      <c r="HN13" s="81"/>
      <c r="HO13" s="81"/>
      <c r="HP13" s="81"/>
      <c r="HQ13" s="81"/>
      <c r="HR13" s="81"/>
      <c r="HS13" s="81"/>
      <c r="HT13" s="81"/>
      <c r="HU13" s="81"/>
      <c r="HV13" s="81"/>
      <c r="HW13" s="81"/>
      <c r="HX13" s="81"/>
      <c r="HY13" s="81"/>
      <c r="HZ13" s="81"/>
      <c r="IA13" s="81"/>
      <c r="IB13" s="81"/>
      <c r="IC13" s="81"/>
      <c r="ID13" s="81"/>
      <c r="IE13" s="81"/>
      <c r="IF13" s="81"/>
      <c r="IG13" s="81"/>
      <c r="IH13" s="81"/>
      <c r="II13" s="81"/>
      <c r="IJ13" s="81"/>
      <c r="IK13" s="81"/>
      <c r="IL13" s="81"/>
      <c r="IM13" s="81"/>
      <c r="IN13" s="81"/>
      <c r="IO13" s="81"/>
      <c r="IP13" s="81"/>
      <c r="IQ13" s="81"/>
      <c r="IR13" s="81"/>
      <c r="IS13" s="81"/>
      <c r="IT13" s="81"/>
      <c r="IU13" s="81"/>
      <c r="IV13" s="81"/>
      <c r="IW13" s="83"/>
    </row>
    <row r="14" spans="1:257" ht="14.25">
      <c r="A14" s="52"/>
      <c r="B14" s="53"/>
      <c r="C14" s="56">
        <v>45097</v>
      </c>
      <c r="D14" s="57">
        <v>3.55</v>
      </c>
      <c r="E14" s="57">
        <f>D14</f>
        <v>3.55</v>
      </c>
      <c r="F14" s="57">
        <f>D14</f>
        <v>3.55</v>
      </c>
      <c r="G14" s="57">
        <f>D14</f>
        <v>3.55</v>
      </c>
      <c r="H14" s="57">
        <v>4.2</v>
      </c>
      <c r="I14" s="55"/>
      <c r="J14" s="55"/>
      <c r="K14" s="52"/>
      <c r="L14" s="57"/>
      <c r="M14" s="56">
        <v>42242</v>
      </c>
      <c r="N14" s="57">
        <v>0.35</v>
      </c>
      <c r="O14" s="57">
        <v>1.35</v>
      </c>
      <c r="P14" s="57">
        <v>1.55</v>
      </c>
      <c r="Q14" s="57">
        <v>1.75</v>
      </c>
      <c r="R14" s="57">
        <v>2.35</v>
      </c>
      <c r="S14" s="57">
        <v>3</v>
      </c>
      <c r="T14" s="57"/>
      <c r="U14" s="57"/>
      <c r="V14" s="57"/>
      <c r="W14" s="57"/>
      <c r="X14" s="57"/>
      <c r="Y14" s="57"/>
      <c r="Z14" s="57"/>
    </row>
    <row r="15" spans="1:257" ht="14.25">
      <c r="A15" s="52"/>
      <c r="B15" s="53"/>
      <c r="C15" s="56">
        <v>44795</v>
      </c>
      <c r="D15" s="57">
        <v>3.65</v>
      </c>
      <c r="E15" s="57">
        <v>3.65</v>
      </c>
      <c r="F15" s="57">
        <v>3.65</v>
      </c>
      <c r="G15" s="57">
        <v>3.65</v>
      </c>
      <c r="H15" s="57">
        <v>4.3</v>
      </c>
      <c r="I15" s="55"/>
      <c r="J15" s="55"/>
      <c r="K15" s="52"/>
      <c r="L15" s="57"/>
      <c r="M15" s="56">
        <v>42183</v>
      </c>
      <c r="N15" s="57">
        <v>0.35</v>
      </c>
      <c r="O15" s="57">
        <v>1.6</v>
      </c>
      <c r="P15" s="57">
        <v>1.8</v>
      </c>
      <c r="Q15" s="57">
        <v>2</v>
      </c>
      <c r="R15" s="57">
        <v>2.6</v>
      </c>
      <c r="S15" s="57">
        <v>3.25</v>
      </c>
      <c r="T15" s="57"/>
      <c r="U15" s="57"/>
      <c r="V15" s="57"/>
      <c r="W15" s="57"/>
      <c r="X15" s="57"/>
      <c r="Y15" s="57"/>
      <c r="Z15" s="57"/>
    </row>
    <row r="16" spans="1:257" ht="14.25">
      <c r="A16" s="52"/>
      <c r="B16" s="53"/>
      <c r="C16" s="56">
        <v>44701</v>
      </c>
      <c r="D16" s="57">
        <v>3.7</v>
      </c>
      <c r="E16" s="57">
        <f>D16</f>
        <v>3.7</v>
      </c>
      <c r="F16" s="57">
        <f>D16</f>
        <v>3.7</v>
      </c>
      <c r="G16" s="57">
        <f>D16</f>
        <v>3.7</v>
      </c>
      <c r="H16" s="57">
        <v>4.45</v>
      </c>
      <c r="I16" s="55"/>
      <c r="J16" s="55"/>
      <c r="L16" s="57"/>
      <c r="M16" s="56">
        <v>42135</v>
      </c>
      <c r="N16" s="57">
        <v>0.35</v>
      </c>
      <c r="O16" s="57">
        <v>1.85</v>
      </c>
      <c r="P16" s="57">
        <v>2.0499999999999998</v>
      </c>
      <c r="Q16" s="57">
        <v>2.25</v>
      </c>
      <c r="R16" s="57">
        <v>2.85</v>
      </c>
      <c r="S16" s="57">
        <v>3.5</v>
      </c>
      <c r="T16" s="57"/>
      <c r="U16" s="57"/>
      <c r="V16" s="57"/>
      <c r="W16" s="57"/>
      <c r="X16" s="57"/>
      <c r="Y16" s="57"/>
      <c r="Z16" s="57"/>
    </row>
    <row r="17" spans="1:256" ht="14.25">
      <c r="A17" s="52"/>
      <c r="B17" s="53"/>
      <c r="C17" s="56">
        <v>44581</v>
      </c>
      <c r="D17" s="57">
        <v>3.7</v>
      </c>
      <c r="E17" s="57">
        <f>D17</f>
        <v>3.7</v>
      </c>
      <c r="F17" s="57">
        <f>D17</f>
        <v>3.7</v>
      </c>
      <c r="G17" s="57">
        <f>D17</f>
        <v>3.7</v>
      </c>
      <c r="H17" s="57">
        <v>4.5999999999999996</v>
      </c>
      <c r="I17" s="55"/>
      <c r="J17" s="55"/>
      <c r="L17" s="57"/>
      <c r="M17" s="56">
        <v>42064</v>
      </c>
      <c r="N17" s="57">
        <v>0.35</v>
      </c>
      <c r="O17" s="57">
        <v>2.1</v>
      </c>
      <c r="P17" s="57">
        <v>2.2999999999999998</v>
      </c>
      <c r="Q17" s="57">
        <v>2.5</v>
      </c>
      <c r="R17" s="57">
        <v>3.1</v>
      </c>
      <c r="S17" s="57">
        <v>3.75</v>
      </c>
      <c r="T17" s="57">
        <v>4.5</v>
      </c>
      <c r="U17" s="57">
        <v>2.35</v>
      </c>
      <c r="V17" s="57">
        <v>2.5499999999999998</v>
      </c>
      <c r="W17" s="57">
        <v>2.75</v>
      </c>
      <c r="X17" s="57"/>
      <c r="Y17" s="57">
        <v>0.8</v>
      </c>
      <c r="Z17" s="57">
        <v>1.35</v>
      </c>
    </row>
    <row r="18" spans="1:256" ht="15">
      <c r="A18" s="52"/>
      <c r="B18" s="53"/>
      <c r="C18" s="56">
        <v>44550</v>
      </c>
      <c r="D18" s="57">
        <v>3.8</v>
      </c>
      <c r="E18" s="57">
        <f>D18</f>
        <v>3.8</v>
      </c>
      <c r="F18" s="57">
        <f>D18</f>
        <v>3.8</v>
      </c>
      <c r="G18" s="57">
        <f>D18</f>
        <v>3.8</v>
      </c>
      <c r="H18" s="57">
        <v>4.6500000000000004</v>
      </c>
      <c r="I18" s="55"/>
      <c r="J18" s="55"/>
      <c r="L18" s="63"/>
      <c r="M18" s="62">
        <v>41965</v>
      </c>
      <c r="N18" s="63">
        <v>0.35</v>
      </c>
      <c r="O18" s="63">
        <v>2.35</v>
      </c>
      <c r="P18" s="63">
        <v>2.5499999999999998</v>
      </c>
      <c r="Q18" s="63">
        <v>2.75</v>
      </c>
      <c r="R18" s="63">
        <v>3.35</v>
      </c>
      <c r="S18" s="63">
        <v>4</v>
      </c>
      <c r="T18" s="63">
        <v>4.75</v>
      </c>
      <c r="U18" s="76">
        <v>2.35</v>
      </c>
      <c r="V18" s="76">
        <v>2.5499999999999998</v>
      </c>
      <c r="W18" s="76">
        <v>2.75</v>
      </c>
      <c r="X18" s="63"/>
      <c r="Y18" s="76">
        <v>0.8</v>
      </c>
      <c r="Z18" s="76">
        <v>1.35</v>
      </c>
    </row>
    <row r="19" spans="1:256" s="14" customFormat="1" ht="14.25">
      <c r="A19" s="52"/>
      <c r="B19" s="57"/>
      <c r="C19" s="56">
        <v>43941</v>
      </c>
      <c r="D19" s="57">
        <v>3.85</v>
      </c>
      <c r="E19" s="57">
        <v>3.85</v>
      </c>
      <c r="F19" s="57">
        <v>3.85</v>
      </c>
      <c r="G19" s="57">
        <v>3.85</v>
      </c>
      <c r="H19" s="57">
        <v>4.6500000000000004</v>
      </c>
      <c r="I19" s="57"/>
      <c r="J19" s="57"/>
      <c r="K19" s="15"/>
      <c r="L19" s="57"/>
      <c r="M19" s="56">
        <v>41096</v>
      </c>
      <c r="N19" s="57">
        <v>0.35</v>
      </c>
      <c r="O19" s="57">
        <v>2.6</v>
      </c>
      <c r="P19" s="57">
        <v>2.8</v>
      </c>
      <c r="Q19" s="57">
        <v>3</v>
      </c>
      <c r="R19" s="57">
        <v>3.75</v>
      </c>
      <c r="S19" s="57">
        <v>4.25</v>
      </c>
      <c r="T19" s="57">
        <v>4.75</v>
      </c>
      <c r="U19" s="57">
        <v>2.85</v>
      </c>
      <c r="V19" s="57">
        <v>2.9</v>
      </c>
      <c r="W19" s="57">
        <v>3</v>
      </c>
      <c r="X19" s="57">
        <v>1.1499999999999999</v>
      </c>
      <c r="Y19" s="57">
        <v>0.8</v>
      </c>
      <c r="Z19" s="57">
        <v>1.35</v>
      </c>
      <c r="AA19" s="80"/>
      <c r="AB19" s="80"/>
      <c r="AC19" s="80"/>
      <c r="AD19" s="80"/>
      <c r="AE19" s="80"/>
      <c r="AF19" s="80"/>
      <c r="AG19" s="80"/>
      <c r="AH19" s="80"/>
      <c r="AI19" s="80"/>
      <c r="AJ19" s="80"/>
      <c r="AK19" s="80"/>
      <c r="AL19" s="80"/>
      <c r="AM19" s="80"/>
      <c r="AN19" s="80"/>
      <c r="AO19" s="80"/>
      <c r="AP19" s="80"/>
      <c r="AQ19" s="80"/>
      <c r="AR19" s="80"/>
      <c r="AS19" s="80"/>
      <c r="AT19" s="80"/>
      <c r="AU19" s="80"/>
      <c r="AV19" s="80"/>
      <c r="AW19" s="80"/>
      <c r="AX19" s="80"/>
      <c r="AY19" s="80"/>
      <c r="AZ19" s="80"/>
      <c r="BA19" s="80"/>
      <c r="BB19" s="80"/>
      <c r="BC19" s="80"/>
      <c r="BD19" s="80"/>
      <c r="BE19" s="80"/>
      <c r="BF19" s="80"/>
      <c r="BG19" s="80"/>
      <c r="BH19" s="80"/>
      <c r="BI19" s="80"/>
      <c r="BJ19" s="80"/>
      <c r="BK19" s="80"/>
      <c r="BL19" s="80"/>
      <c r="BM19" s="80"/>
      <c r="BN19" s="80"/>
      <c r="BO19" s="80"/>
      <c r="BP19" s="80"/>
      <c r="BQ19" s="80"/>
      <c r="BR19" s="80"/>
      <c r="BS19" s="80"/>
      <c r="BT19" s="80"/>
      <c r="BU19" s="80"/>
      <c r="BV19" s="80"/>
      <c r="BW19" s="80"/>
      <c r="BX19" s="80"/>
      <c r="BY19" s="80"/>
      <c r="BZ19" s="80"/>
      <c r="CA19" s="80"/>
      <c r="CB19" s="80"/>
      <c r="CC19" s="80"/>
      <c r="CD19" s="80"/>
      <c r="CE19" s="80"/>
      <c r="CF19" s="80"/>
      <c r="CG19" s="80"/>
      <c r="CH19" s="80"/>
      <c r="CI19" s="80"/>
      <c r="CJ19" s="80"/>
      <c r="CK19" s="80"/>
      <c r="CL19" s="80"/>
      <c r="CM19" s="80"/>
      <c r="CN19" s="80"/>
      <c r="CO19" s="80"/>
      <c r="CP19" s="80"/>
      <c r="CQ19" s="80"/>
      <c r="CR19" s="80"/>
      <c r="CS19" s="80"/>
      <c r="CT19" s="80"/>
      <c r="CU19" s="80"/>
      <c r="CV19" s="80"/>
      <c r="CW19" s="80"/>
      <c r="CX19" s="80"/>
      <c r="CY19" s="80"/>
      <c r="CZ19" s="80"/>
      <c r="DA19" s="80"/>
      <c r="DB19" s="80"/>
      <c r="DC19" s="80"/>
      <c r="DD19" s="80"/>
      <c r="DE19" s="80"/>
      <c r="DF19" s="80"/>
      <c r="DG19" s="80"/>
      <c r="DH19" s="80"/>
      <c r="DI19" s="80"/>
      <c r="DJ19" s="80"/>
      <c r="DK19" s="80"/>
      <c r="DL19" s="80"/>
      <c r="DM19" s="80"/>
      <c r="DN19" s="80"/>
      <c r="DO19" s="80"/>
      <c r="DP19" s="80"/>
      <c r="DQ19" s="80"/>
      <c r="DR19" s="80"/>
      <c r="DS19" s="80"/>
      <c r="DT19" s="80"/>
      <c r="DU19" s="80"/>
      <c r="DV19" s="80"/>
      <c r="DW19" s="80"/>
      <c r="DX19" s="80"/>
      <c r="DY19" s="80"/>
      <c r="DZ19" s="80"/>
      <c r="EA19" s="80"/>
      <c r="EB19" s="80"/>
      <c r="EC19" s="80"/>
      <c r="ED19" s="80"/>
      <c r="EE19" s="80"/>
      <c r="EF19" s="80"/>
      <c r="EG19" s="80"/>
      <c r="EH19" s="80"/>
      <c r="EI19" s="80"/>
      <c r="EJ19" s="80"/>
      <c r="EK19" s="80"/>
      <c r="EL19" s="80"/>
      <c r="EM19" s="80"/>
      <c r="EN19" s="80"/>
      <c r="EO19" s="80"/>
      <c r="EP19" s="80"/>
      <c r="EQ19" s="80"/>
      <c r="ER19" s="80"/>
      <c r="ES19" s="80"/>
      <c r="ET19" s="80"/>
      <c r="EU19" s="80"/>
      <c r="EV19" s="80"/>
      <c r="EW19" s="80"/>
      <c r="EX19" s="80"/>
      <c r="EY19" s="80"/>
      <c r="EZ19" s="80"/>
      <c r="FA19" s="80"/>
      <c r="FB19" s="80"/>
      <c r="FC19" s="80"/>
      <c r="FD19" s="80"/>
      <c r="FE19" s="80"/>
      <c r="FF19" s="80"/>
      <c r="FG19" s="80"/>
      <c r="FH19" s="80"/>
      <c r="FI19" s="80"/>
      <c r="FJ19" s="80"/>
      <c r="FK19" s="80"/>
      <c r="FL19" s="80"/>
      <c r="FM19" s="80"/>
      <c r="FN19" s="80"/>
      <c r="FO19" s="80"/>
      <c r="FP19" s="80"/>
      <c r="FQ19" s="80"/>
      <c r="FR19" s="80"/>
      <c r="FS19" s="80"/>
      <c r="FT19" s="80"/>
      <c r="FU19" s="80"/>
      <c r="FV19" s="80"/>
      <c r="FW19" s="80"/>
      <c r="FX19" s="80"/>
      <c r="FY19" s="80"/>
      <c r="FZ19" s="80"/>
      <c r="GA19" s="80"/>
      <c r="GB19" s="80"/>
      <c r="GC19" s="80"/>
      <c r="GD19" s="80"/>
      <c r="GE19" s="80"/>
      <c r="GF19" s="80"/>
      <c r="GG19" s="80"/>
      <c r="GH19" s="80"/>
      <c r="GI19" s="80"/>
      <c r="GJ19" s="80"/>
      <c r="GK19" s="80"/>
      <c r="GL19" s="80"/>
      <c r="GM19" s="80"/>
      <c r="GN19" s="80"/>
      <c r="GO19" s="80"/>
      <c r="GP19" s="80"/>
      <c r="GQ19" s="80"/>
      <c r="GR19" s="80"/>
      <c r="GS19" s="80"/>
      <c r="GT19" s="80"/>
      <c r="GU19" s="80"/>
      <c r="GV19" s="80"/>
      <c r="GW19" s="80"/>
      <c r="GX19" s="80"/>
      <c r="GY19" s="80"/>
      <c r="GZ19" s="80"/>
      <c r="HA19" s="80"/>
      <c r="HB19" s="80"/>
      <c r="HC19" s="80"/>
      <c r="HD19" s="80"/>
      <c r="HE19" s="80"/>
      <c r="HF19" s="80"/>
      <c r="HG19" s="80"/>
      <c r="HH19" s="80"/>
      <c r="HI19" s="80"/>
      <c r="HJ19" s="80"/>
      <c r="HK19" s="80"/>
      <c r="HL19" s="80"/>
      <c r="HM19" s="80"/>
      <c r="HN19" s="80"/>
      <c r="HO19" s="80"/>
      <c r="HP19" s="80"/>
      <c r="HQ19" s="80"/>
      <c r="HR19" s="80"/>
      <c r="HS19" s="80"/>
      <c r="HT19" s="80"/>
      <c r="HU19" s="80"/>
      <c r="HV19" s="80"/>
      <c r="HW19" s="80"/>
      <c r="HX19" s="80"/>
      <c r="HY19" s="80"/>
      <c r="HZ19" s="80"/>
      <c r="IA19" s="80"/>
      <c r="IB19" s="80"/>
      <c r="IC19" s="80"/>
      <c r="ID19" s="80"/>
      <c r="IE19" s="80"/>
      <c r="IF19" s="80"/>
      <c r="IG19" s="80"/>
      <c r="IH19" s="80"/>
      <c r="II19" s="80"/>
      <c r="IJ19" s="80"/>
      <c r="IK19" s="80"/>
      <c r="IL19" s="80"/>
      <c r="IM19" s="80"/>
      <c r="IN19" s="80"/>
      <c r="IO19" s="80"/>
      <c r="IP19" s="80"/>
      <c r="IQ19" s="80"/>
      <c r="IR19" s="80"/>
      <c r="IS19" s="80"/>
      <c r="IT19" s="80"/>
      <c r="IU19" s="80"/>
      <c r="IV19" s="80"/>
    </row>
    <row r="20" spans="1:256" ht="14.25">
      <c r="A20" s="52"/>
      <c r="B20" s="57"/>
      <c r="C20" s="56">
        <v>43881</v>
      </c>
      <c r="D20" s="57">
        <v>4.05</v>
      </c>
      <c r="E20" s="57">
        <v>4.05</v>
      </c>
      <c r="F20" s="57">
        <v>4.05</v>
      </c>
      <c r="G20" s="57">
        <v>4.05</v>
      </c>
      <c r="H20" s="57">
        <v>4.75</v>
      </c>
      <c r="I20" s="57"/>
      <c r="J20" s="57"/>
      <c r="L20" s="57"/>
      <c r="M20" s="56">
        <v>41068</v>
      </c>
      <c r="N20" s="57">
        <v>0.4</v>
      </c>
      <c r="O20" s="57">
        <v>2.85</v>
      </c>
      <c r="P20" s="57">
        <v>3.05</v>
      </c>
      <c r="Q20" s="57">
        <v>3.25</v>
      </c>
      <c r="R20" s="57">
        <v>4.0999999999999996</v>
      </c>
      <c r="S20" s="57">
        <v>4.6500000000000004</v>
      </c>
      <c r="T20" s="57">
        <v>5.0999999999999996</v>
      </c>
      <c r="U20" s="57">
        <v>3.1</v>
      </c>
      <c r="V20" s="57">
        <v>3.15</v>
      </c>
      <c r="W20" s="57">
        <v>3.25</v>
      </c>
      <c r="X20" s="57">
        <v>1.31</v>
      </c>
      <c r="Y20" s="57">
        <v>0.94</v>
      </c>
      <c r="Z20" s="57">
        <v>1.49</v>
      </c>
    </row>
    <row r="21" spans="1:256" ht="14.25">
      <c r="A21" s="52"/>
      <c r="B21" s="57"/>
      <c r="C21" s="56">
        <v>43789</v>
      </c>
      <c r="D21" s="57">
        <v>4.1500000000000004</v>
      </c>
      <c r="E21" s="57">
        <v>4.1500000000000004</v>
      </c>
      <c r="F21" s="57">
        <v>4.1500000000000004</v>
      </c>
      <c r="G21" s="57">
        <v>4.1500000000000004</v>
      </c>
      <c r="H21" s="57">
        <v>4.8</v>
      </c>
      <c r="I21" s="57"/>
      <c r="J21" s="57"/>
      <c r="K21" s="48"/>
      <c r="L21" s="57"/>
      <c r="M21" s="56">
        <v>40731</v>
      </c>
      <c r="N21" s="57">
        <v>0.5</v>
      </c>
      <c r="O21" s="57">
        <v>3.1</v>
      </c>
      <c r="P21" s="57">
        <v>3.3</v>
      </c>
      <c r="Q21" s="57">
        <v>3.5</v>
      </c>
      <c r="R21" s="57">
        <v>4.4000000000000004</v>
      </c>
      <c r="S21" s="57">
        <v>5</v>
      </c>
      <c r="T21" s="57">
        <v>5.5</v>
      </c>
      <c r="U21" s="57">
        <v>3.1</v>
      </c>
      <c r="V21" s="57">
        <v>3.3</v>
      </c>
      <c r="W21" s="57">
        <v>3.5</v>
      </c>
      <c r="X21" s="57">
        <v>1.31</v>
      </c>
      <c r="Y21" s="57">
        <v>0.95</v>
      </c>
      <c r="Z21" s="57">
        <v>1.49</v>
      </c>
    </row>
    <row r="22" spans="1:256" ht="14.25">
      <c r="A22" s="52"/>
      <c r="B22" s="57"/>
      <c r="C22" s="56">
        <v>43728</v>
      </c>
      <c r="D22" s="57">
        <v>4.2</v>
      </c>
      <c r="E22" s="57">
        <v>4.2</v>
      </c>
      <c r="F22" s="57">
        <v>4.2</v>
      </c>
      <c r="G22" s="57">
        <v>4.2</v>
      </c>
      <c r="H22" s="57">
        <v>4.8499999999999996</v>
      </c>
      <c r="I22" s="57"/>
      <c r="J22" s="57"/>
      <c r="L22" s="57"/>
      <c r="M22" s="56">
        <v>40639</v>
      </c>
      <c r="N22" s="57">
        <v>0.5</v>
      </c>
      <c r="O22" s="57">
        <v>2.85</v>
      </c>
      <c r="P22" s="57">
        <v>3.05</v>
      </c>
      <c r="Q22" s="57">
        <v>3.25</v>
      </c>
      <c r="R22" s="57">
        <v>4.1500000000000004</v>
      </c>
      <c r="S22" s="57">
        <v>4.75</v>
      </c>
      <c r="T22" s="57">
        <v>5.25</v>
      </c>
      <c r="U22" s="57">
        <v>2.85</v>
      </c>
      <c r="V22" s="57">
        <v>3.05</v>
      </c>
      <c r="W22" s="57">
        <v>3.25</v>
      </c>
      <c r="X22" s="57">
        <v>1.31</v>
      </c>
      <c r="Y22" s="57">
        <v>0.95</v>
      </c>
      <c r="Z22" s="57">
        <v>1.49</v>
      </c>
    </row>
    <row r="23" spans="1:256" ht="14.25">
      <c r="A23" s="58"/>
      <c r="B23" s="53" t="s">
        <v>2520</v>
      </c>
      <c r="C23" s="59">
        <v>43697</v>
      </c>
      <c r="D23" s="60">
        <v>4.25</v>
      </c>
      <c r="E23" s="60">
        <v>4.25</v>
      </c>
      <c r="F23" s="60">
        <v>4.25</v>
      </c>
      <c r="G23" s="60">
        <v>4.25</v>
      </c>
      <c r="H23" s="60">
        <v>4.8499999999999996</v>
      </c>
      <c r="I23" s="60"/>
      <c r="J23" s="60"/>
      <c r="L23" s="57"/>
      <c r="M23" s="56">
        <v>40583</v>
      </c>
      <c r="N23" s="57">
        <v>0.4</v>
      </c>
      <c r="O23" s="57">
        <v>2.6</v>
      </c>
      <c r="P23" s="57">
        <v>2.8</v>
      </c>
      <c r="Q23" s="57">
        <v>3</v>
      </c>
      <c r="R23" s="57">
        <v>3.9</v>
      </c>
      <c r="S23" s="57">
        <v>4.5</v>
      </c>
      <c r="T23" s="57">
        <v>5</v>
      </c>
      <c r="U23" s="57">
        <v>2.6</v>
      </c>
      <c r="V23" s="57">
        <v>2.8</v>
      </c>
      <c r="W23" s="57">
        <v>3</v>
      </c>
      <c r="X23" s="57">
        <v>1.21</v>
      </c>
      <c r="Y23" s="57">
        <v>0.85</v>
      </c>
      <c r="Z23" s="57">
        <v>1.39</v>
      </c>
    </row>
    <row r="24" spans="1:256" ht="14.25">
      <c r="B24" s="61"/>
      <c r="C24" s="62">
        <v>42301</v>
      </c>
      <c r="D24" s="63">
        <v>4.3499999999999996</v>
      </c>
      <c r="E24" s="63">
        <v>4.3499999999999996</v>
      </c>
      <c r="F24" s="63">
        <v>4.75</v>
      </c>
      <c r="G24" s="63">
        <v>4.75</v>
      </c>
      <c r="H24" s="63">
        <v>4.9000000000000004</v>
      </c>
      <c r="I24" s="63"/>
      <c r="J24" s="63"/>
      <c r="L24" s="57"/>
      <c r="M24" s="56">
        <v>40538</v>
      </c>
      <c r="N24" s="57">
        <v>0.36</v>
      </c>
      <c r="O24" s="57">
        <v>2.25</v>
      </c>
      <c r="P24" s="57">
        <v>2.5</v>
      </c>
      <c r="Q24" s="57">
        <v>2.75</v>
      </c>
      <c r="R24" s="57">
        <v>3.55</v>
      </c>
      <c r="S24" s="57">
        <v>4.1500000000000004</v>
      </c>
      <c r="T24" s="57">
        <v>4.55</v>
      </c>
      <c r="U24" s="57">
        <v>2.16</v>
      </c>
      <c r="V24" s="57">
        <v>2.5</v>
      </c>
      <c r="W24" s="57">
        <v>2.85</v>
      </c>
      <c r="X24" s="57">
        <v>1.17</v>
      </c>
      <c r="Y24" s="57">
        <v>0.81</v>
      </c>
      <c r="Z24" s="57">
        <v>1.35</v>
      </c>
    </row>
    <row r="25" spans="1:256">
      <c r="B25" s="57"/>
      <c r="C25" s="56">
        <v>42242</v>
      </c>
      <c r="D25" s="57">
        <v>4.5999999999999996</v>
      </c>
      <c r="E25" s="57">
        <v>4.5999999999999996</v>
      </c>
      <c r="F25" s="57">
        <v>5</v>
      </c>
      <c r="G25" s="57">
        <v>5</v>
      </c>
      <c r="H25" s="57">
        <v>5.15</v>
      </c>
      <c r="I25" s="57">
        <v>2.75</v>
      </c>
      <c r="J25" s="57">
        <v>3.25</v>
      </c>
      <c r="L25" s="57"/>
      <c r="M25" s="56">
        <v>40471</v>
      </c>
      <c r="N25" s="57">
        <v>0.36</v>
      </c>
      <c r="O25" s="57">
        <v>1.91</v>
      </c>
      <c r="P25" s="57">
        <v>2.2000000000000002</v>
      </c>
      <c r="Q25" s="57">
        <v>2.5</v>
      </c>
      <c r="R25" s="57">
        <v>3.25</v>
      </c>
      <c r="S25" s="57">
        <v>3.85</v>
      </c>
      <c r="T25" s="57">
        <v>4.2</v>
      </c>
      <c r="U25" s="57">
        <v>1.91</v>
      </c>
      <c r="V25" s="57">
        <v>2.2000000000000002</v>
      </c>
      <c r="W25" s="57">
        <v>2.5</v>
      </c>
      <c r="X25" s="57">
        <v>1.17</v>
      </c>
      <c r="Y25" s="57">
        <v>0.81</v>
      </c>
      <c r="Z25" s="57">
        <v>1.35</v>
      </c>
    </row>
    <row r="26" spans="1:256">
      <c r="B26" s="57"/>
      <c r="C26" s="56">
        <v>42183</v>
      </c>
      <c r="D26" s="57">
        <v>4.8499999999999996</v>
      </c>
      <c r="E26" s="57">
        <v>4.8499999999999996</v>
      </c>
      <c r="F26" s="57">
        <v>5.25</v>
      </c>
      <c r="G26" s="57">
        <v>5.25</v>
      </c>
      <c r="H26" s="57">
        <v>5.4</v>
      </c>
      <c r="I26" s="57">
        <v>3</v>
      </c>
      <c r="J26" s="57">
        <v>3.5</v>
      </c>
      <c r="L26" s="57"/>
      <c r="M26" s="56">
        <v>39805</v>
      </c>
      <c r="N26" s="57">
        <v>0.36</v>
      </c>
      <c r="O26" s="57">
        <v>1.71</v>
      </c>
      <c r="P26" s="57">
        <v>1.98</v>
      </c>
      <c r="Q26" s="57">
        <v>2.25</v>
      </c>
      <c r="R26" s="57">
        <v>2.79</v>
      </c>
      <c r="S26" s="57">
        <v>3.33</v>
      </c>
      <c r="T26" s="57">
        <v>3.6</v>
      </c>
      <c r="U26" s="57">
        <v>1.71</v>
      </c>
      <c r="V26" s="57">
        <v>1.98</v>
      </c>
      <c r="W26" s="57">
        <v>2.25</v>
      </c>
      <c r="X26" s="57">
        <v>1.17</v>
      </c>
      <c r="Y26" s="57">
        <v>0.81</v>
      </c>
      <c r="Z26" s="57">
        <v>1.35</v>
      </c>
    </row>
    <row r="27" spans="1:256">
      <c r="B27" s="57"/>
      <c r="C27" s="56">
        <v>42135</v>
      </c>
      <c r="D27" s="57">
        <v>5.0999999999999996</v>
      </c>
      <c r="E27" s="57">
        <v>5.0999999999999996</v>
      </c>
      <c r="F27" s="57">
        <v>5.5</v>
      </c>
      <c r="G27" s="57">
        <v>5.5</v>
      </c>
      <c r="H27" s="57">
        <v>5.65</v>
      </c>
      <c r="I27" s="57">
        <v>3.25</v>
      </c>
      <c r="J27" s="57">
        <v>3.75</v>
      </c>
      <c r="L27" s="57"/>
      <c r="M27" s="56">
        <v>39779</v>
      </c>
      <c r="N27" s="57">
        <v>0.36</v>
      </c>
      <c r="O27" s="57">
        <v>1.98</v>
      </c>
      <c r="P27" s="57">
        <v>2.25</v>
      </c>
      <c r="Q27" s="57">
        <v>2.52</v>
      </c>
      <c r="R27" s="57">
        <v>3.06</v>
      </c>
      <c r="S27" s="57">
        <v>3.6</v>
      </c>
      <c r="T27" s="57">
        <v>3.87</v>
      </c>
      <c r="U27" s="57">
        <v>1.98</v>
      </c>
      <c r="V27" s="57">
        <v>2.25</v>
      </c>
      <c r="W27" s="57">
        <v>2.52</v>
      </c>
      <c r="X27" s="57">
        <v>1.17</v>
      </c>
      <c r="Y27" s="57">
        <v>0.81</v>
      </c>
      <c r="Z27" s="57">
        <v>1.35</v>
      </c>
    </row>
    <row r="28" spans="1:256">
      <c r="B28" s="57"/>
      <c r="C28" s="56">
        <v>42064</v>
      </c>
      <c r="D28" s="57">
        <v>5.35</v>
      </c>
      <c r="E28" s="57">
        <v>5.35</v>
      </c>
      <c r="F28" s="57">
        <v>5.75</v>
      </c>
      <c r="G28" s="57">
        <v>5.75</v>
      </c>
      <c r="H28" s="57">
        <v>5.9</v>
      </c>
      <c r="I28" s="57"/>
      <c r="J28" s="57"/>
      <c r="L28" s="57"/>
      <c r="M28" s="56">
        <v>39751</v>
      </c>
      <c r="N28" s="57">
        <v>0.72</v>
      </c>
      <c r="O28" s="57">
        <v>2.88</v>
      </c>
      <c r="P28" s="57">
        <v>3.24</v>
      </c>
      <c r="Q28" s="57">
        <v>3.6</v>
      </c>
      <c r="R28" s="57">
        <v>4.1399999999999997</v>
      </c>
      <c r="S28" s="57">
        <v>4.7699999999999996</v>
      </c>
      <c r="T28" s="57">
        <v>5.13</v>
      </c>
      <c r="U28" s="57">
        <v>2.88</v>
      </c>
      <c r="V28" s="57">
        <v>3.24</v>
      </c>
      <c r="W28" s="57">
        <v>3.6</v>
      </c>
      <c r="X28" s="57">
        <v>1.53</v>
      </c>
      <c r="Y28" s="57">
        <v>1.17</v>
      </c>
      <c r="Z28" s="57">
        <v>1.71</v>
      </c>
    </row>
    <row r="29" spans="1:256">
      <c r="B29" s="57"/>
      <c r="C29" s="56">
        <v>41965</v>
      </c>
      <c r="D29" s="57">
        <v>5.6</v>
      </c>
      <c r="E29" s="57">
        <v>5.6</v>
      </c>
      <c r="F29" s="57">
        <v>6</v>
      </c>
      <c r="G29" s="57">
        <v>6</v>
      </c>
      <c r="H29" s="57">
        <v>6.15</v>
      </c>
      <c r="I29" s="57"/>
      <c r="J29" s="57"/>
      <c r="L29" s="57"/>
      <c r="M29" s="59">
        <v>39736</v>
      </c>
      <c r="N29" s="57">
        <v>0.72</v>
      </c>
      <c r="O29" s="57">
        <v>3.15</v>
      </c>
      <c r="P29" s="57">
        <v>3.51</v>
      </c>
      <c r="Q29" s="57">
        <v>3.87</v>
      </c>
      <c r="R29" s="57">
        <v>4.41</v>
      </c>
      <c r="S29" s="57">
        <v>5.13</v>
      </c>
      <c r="T29" s="57">
        <v>5.58</v>
      </c>
      <c r="U29" s="57">
        <v>3.15</v>
      </c>
      <c r="V29" s="57">
        <v>3.51</v>
      </c>
      <c r="W29" s="57">
        <v>3.87</v>
      </c>
      <c r="X29" s="57">
        <v>1.53</v>
      </c>
      <c r="Y29" s="57">
        <v>1.17</v>
      </c>
      <c r="Z29" s="57">
        <v>1.71</v>
      </c>
    </row>
    <row r="30" spans="1:256">
      <c r="B30" s="57"/>
      <c r="C30" s="56">
        <v>41096</v>
      </c>
      <c r="D30" s="57">
        <v>5.6</v>
      </c>
      <c r="E30" s="57">
        <v>6</v>
      </c>
      <c r="F30" s="57">
        <v>6.15</v>
      </c>
      <c r="G30" s="57">
        <v>6.4</v>
      </c>
      <c r="H30" s="57">
        <v>6.55</v>
      </c>
      <c r="I30" s="57">
        <v>4</v>
      </c>
      <c r="J30" s="57">
        <v>4.5</v>
      </c>
      <c r="L30" s="57"/>
      <c r="M30" s="56">
        <v>39730</v>
      </c>
      <c r="N30" s="57">
        <v>0.72</v>
      </c>
      <c r="O30" s="57">
        <v>3.15</v>
      </c>
      <c r="P30" s="57">
        <v>3.51</v>
      </c>
      <c r="Q30" s="57">
        <v>3.87</v>
      </c>
      <c r="R30" s="57">
        <v>4.41</v>
      </c>
      <c r="S30" s="57">
        <v>5.13</v>
      </c>
      <c r="T30" s="57">
        <v>5.58</v>
      </c>
      <c r="U30" s="57">
        <v>3.15</v>
      </c>
      <c r="V30" s="57">
        <v>3.51</v>
      </c>
      <c r="W30" s="57">
        <v>3.87</v>
      </c>
      <c r="X30" s="57">
        <v>1.53</v>
      </c>
      <c r="Y30" s="57">
        <v>1.17</v>
      </c>
      <c r="Z30" s="57">
        <v>1.71</v>
      </c>
    </row>
    <row r="31" spans="1:256">
      <c r="B31" s="57"/>
      <c r="C31" s="56">
        <v>41068</v>
      </c>
      <c r="D31" s="57">
        <v>5.85</v>
      </c>
      <c r="E31" s="57">
        <v>6.31</v>
      </c>
      <c r="F31" s="57">
        <v>6.4</v>
      </c>
      <c r="G31" s="57">
        <v>6.65</v>
      </c>
      <c r="H31" s="57">
        <v>6.8</v>
      </c>
      <c r="I31" s="57">
        <v>4.2</v>
      </c>
      <c r="J31" s="57">
        <v>4.7</v>
      </c>
      <c r="L31" s="57"/>
      <c r="M31" s="56">
        <v>39437</v>
      </c>
      <c r="N31" s="57">
        <v>0.72</v>
      </c>
      <c r="O31" s="57">
        <v>3.33</v>
      </c>
      <c r="P31" s="57">
        <v>3.78</v>
      </c>
      <c r="Q31" s="57">
        <v>4.1399999999999997</v>
      </c>
      <c r="R31" s="57">
        <v>4.68</v>
      </c>
      <c r="S31" s="57">
        <v>5.4</v>
      </c>
      <c r="T31" s="57">
        <v>5.85</v>
      </c>
      <c r="U31" s="57">
        <v>3.33</v>
      </c>
      <c r="V31" s="57">
        <v>3.78</v>
      </c>
      <c r="W31" s="57">
        <v>4.1399999999999997</v>
      </c>
      <c r="X31" s="57">
        <v>1.53</v>
      </c>
      <c r="Y31" s="57">
        <v>1.17</v>
      </c>
      <c r="Z31" s="57">
        <v>1.71</v>
      </c>
    </row>
    <row r="32" spans="1:256">
      <c r="B32" s="57"/>
      <c r="C32" s="56">
        <v>40731</v>
      </c>
      <c r="D32" s="57">
        <v>6.1</v>
      </c>
      <c r="E32" s="57">
        <v>6.56</v>
      </c>
      <c r="F32" s="57">
        <v>6.65</v>
      </c>
      <c r="G32" s="57">
        <v>6.9</v>
      </c>
      <c r="H32" s="57">
        <v>7.05</v>
      </c>
      <c r="I32" s="57">
        <v>4.45</v>
      </c>
      <c r="J32" s="57">
        <v>4.9000000000000004</v>
      </c>
      <c r="L32" s="57"/>
      <c r="M32" s="56">
        <v>39340</v>
      </c>
      <c r="N32" s="57">
        <v>0.81</v>
      </c>
      <c r="O32" s="57">
        <v>2.88</v>
      </c>
      <c r="P32" s="57">
        <v>3.42</v>
      </c>
      <c r="Q32" s="57">
        <v>3.87</v>
      </c>
      <c r="R32" s="57">
        <v>4.5</v>
      </c>
      <c r="S32" s="57">
        <v>5.22</v>
      </c>
      <c r="T32" s="57">
        <v>5.76</v>
      </c>
      <c r="U32" s="57">
        <v>2.88</v>
      </c>
      <c r="V32" s="57">
        <v>3.42</v>
      </c>
      <c r="W32" s="57">
        <v>3.87</v>
      </c>
      <c r="X32" s="57">
        <v>1.53</v>
      </c>
      <c r="Y32" s="57">
        <v>1.17</v>
      </c>
      <c r="Z32" s="57">
        <v>1.71</v>
      </c>
    </row>
    <row r="33" spans="2:26">
      <c r="B33" s="57"/>
      <c r="C33" s="56">
        <v>40639</v>
      </c>
      <c r="D33" s="57">
        <v>5.85</v>
      </c>
      <c r="E33" s="57">
        <v>6.31</v>
      </c>
      <c r="F33" s="57">
        <v>6.4</v>
      </c>
      <c r="G33" s="57">
        <v>6.65</v>
      </c>
      <c r="H33" s="57">
        <v>6.8</v>
      </c>
      <c r="I33" s="57">
        <v>4.2</v>
      </c>
      <c r="J33" s="57">
        <v>4.7</v>
      </c>
      <c r="L33" s="57"/>
      <c r="M33" s="56">
        <v>39316</v>
      </c>
      <c r="N33" s="57">
        <v>0.81</v>
      </c>
      <c r="O33" s="57">
        <v>2.61</v>
      </c>
      <c r="P33" s="57">
        <v>3.15</v>
      </c>
      <c r="Q33" s="57">
        <v>3.6</v>
      </c>
      <c r="R33" s="57">
        <v>4.2300000000000004</v>
      </c>
      <c r="S33" s="57">
        <v>4.95</v>
      </c>
      <c r="T33" s="57">
        <v>5.49</v>
      </c>
      <c r="U33" s="57">
        <v>2.61</v>
      </c>
      <c r="V33" s="57">
        <v>3.15</v>
      </c>
      <c r="W33" s="57">
        <v>3.6</v>
      </c>
      <c r="X33" s="57">
        <v>1.53</v>
      </c>
      <c r="Y33" s="57">
        <v>1.17</v>
      </c>
      <c r="Z33" s="57">
        <v>1.71</v>
      </c>
    </row>
    <row r="34" spans="2:26">
      <c r="B34" s="57"/>
      <c r="C34" s="56">
        <v>40583</v>
      </c>
      <c r="D34" s="57">
        <v>5.6</v>
      </c>
      <c r="E34" s="57">
        <v>6.06</v>
      </c>
      <c r="F34" s="57">
        <v>6.1</v>
      </c>
      <c r="G34" s="57">
        <v>6.45</v>
      </c>
      <c r="H34" s="57">
        <v>6.6</v>
      </c>
      <c r="I34" s="57">
        <v>4</v>
      </c>
      <c r="J34" s="57">
        <v>4.5</v>
      </c>
      <c r="L34" s="57"/>
      <c r="M34" s="56">
        <v>39284</v>
      </c>
      <c r="N34" s="57">
        <v>0.81</v>
      </c>
      <c r="O34" s="57">
        <v>2.34</v>
      </c>
      <c r="P34" s="57">
        <v>2.88</v>
      </c>
      <c r="Q34" s="57">
        <v>3.33</v>
      </c>
      <c r="R34" s="57">
        <v>3.96</v>
      </c>
      <c r="S34" s="57">
        <v>4.68</v>
      </c>
      <c r="T34" s="57">
        <v>5.22</v>
      </c>
      <c r="U34" s="57">
        <v>2.34</v>
      </c>
      <c r="V34" s="57">
        <v>2.88</v>
      </c>
      <c r="W34" s="57">
        <v>3.33</v>
      </c>
      <c r="X34" s="57">
        <v>1.53</v>
      </c>
      <c r="Y34" s="57">
        <v>1.17</v>
      </c>
      <c r="Z34" s="57">
        <v>1.71</v>
      </c>
    </row>
    <row r="35" spans="2:26">
      <c r="B35" s="57"/>
      <c r="C35" s="56">
        <v>40538</v>
      </c>
      <c r="D35" s="57">
        <v>5.35</v>
      </c>
      <c r="E35" s="57">
        <v>5.81</v>
      </c>
      <c r="F35" s="57">
        <v>5.85</v>
      </c>
      <c r="G35" s="57">
        <v>6.22</v>
      </c>
      <c r="H35" s="57">
        <v>6.4</v>
      </c>
      <c r="I35" s="57">
        <v>3.75</v>
      </c>
      <c r="J35" s="57">
        <v>4.3</v>
      </c>
      <c r="L35" s="57"/>
      <c r="M35" s="56">
        <v>39221</v>
      </c>
      <c r="N35" s="57">
        <v>0.72</v>
      </c>
      <c r="O35" s="57">
        <v>2.0699999999999998</v>
      </c>
      <c r="P35" s="57">
        <v>2.61</v>
      </c>
      <c r="Q35" s="57">
        <v>3.06</v>
      </c>
      <c r="R35" s="57">
        <v>3.69</v>
      </c>
      <c r="S35" s="57">
        <v>4.41</v>
      </c>
      <c r="T35" s="57">
        <v>4.95</v>
      </c>
      <c r="U35" s="57">
        <v>2.0699999999999998</v>
      </c>
      <c r="V35" s="57">
        <v>2.61</v>
      </c>
      <c r="W35" s="57">
        <v>3.06</v>
      </c>
      <c r="X35" s="57">
        <v>1.44</v>
      </c>
      <c r="Y35" s="57">
        <v>1.08</v>
      </c>
      <c r="Z35" s="57">
        <v>1.62</v>
      </c>
    </row>
    <row r="36" spans="2:26">
      <c r="B36" s="57"/>
      <c r="C36" s="56">
        <v>40471</v>
      </c>
      <c r="D36" s="57">
        <v>5.0999999999999996</v>
      </c>
      <c r="E36" s="57">
        <v>5.56</v>
      </c>
      <c r="F36" s="57">
        <v>5.6</v>
      </c>
      <c r="G36" s="57">
        <v>5.96</v>
      </c>
      <c r="H36" s="57">
        <v>6.14</v>
      </c>
      <c r="I36" s="57">
        <v>3.5</v>
      </c>
      <c r="J36" s="57">
        <v>4.05</v>
      </c>
      <c r="L36" s="57"/>
      <c r="M36" s="56">
        <v>39159</v>
      </c>
      <c r="N36" s="57">
        <v>0.72</v>
      </c>
      <c r="O36" s="57">
        <v>1.98</v>
      </c>
      <c r="P36" s="57">
        <v>2.4300000000000002</v>
      </c>
      <c r="Q36" s="57">
        <v>2.79</v>
      </c>
      <c r="R36" s="57">
        <v>3.33</v>
      </c>
      <c r="S36" s="57">
        <v>3.96</v>
      </c>
      <c r="T36" s="57">
        <v>4.41</v>
      </c>
      <c r="U36" s="57">
        <v>1.98</v>
      </c>
      <c r="V36" s="57">
        <v>2.4300000000000002</v>
      </c>
      <c r="W36" s="57">
        <v>2.79</v>
      </c>
      <c r="X36" s="57">
        <v>1.44</v>
      </c>
      <c r="Y36" s="57">
        <v>1.08</v>
      </c>
      <c r="Z36" s="57">
        <v>1.62</v>
      </c>
    </row>
    <row r="37" spans="2:26">
      <c r="B37" s="57"/>
      <c r="C37" s="56">
        <v>39805</v>
      </c>
      <c r="D37" s="57">
        <v>4.8600000000000003</v>
      </c>
      <c r="E37" s="57">
        <v>5.31</v>
      </c>
      <c r="F37" s="57">
        <v>5.4</v>
      </c>
      <c r="G37" s="57">
        <v>5.76</v>
      </c>
      <c r="H37" s="57">
        <v>5.94</v>
      </c>
      <c r="I37" s="57">
        <v>3.33</v>
      </c>
      <c r="J37" s="57">
        <v>3.87</v>
      </c>
      <c r="L37" s="57"/>
      <c r="M37" s="56">
        <v>38948</v>
      </c>
      <c r="N37" s="57">
        <v>0.72</v>
      </c>
      <c r="O37" s="57">
        <v>1.8</v>
      </c>
      <c r="P37" s="57">
        <v>2.25</v>
      </c>
      <c r="Q37" s="57">
        <v>2.52</v>
      </c>
      <c r="R37" s="57">
        <v>3.06</v>
      </c>
      <c r="S37" s="57">
        <v>3.69</v>
      </c>
      <c r="T37" s="57">
        <v>4.1399999999999997</v>
      </c>
      <c r="U37" s="57">
        <v>1.8</v>
      </c>
      <c r="V37" s="57">
        <v>2.25</v>
      </c>
      <c r="W37" s="57">
        <v>2.52</v>
      </c>
      <c r="X37" s="57">
        <v>1.44</v>
      </c>
      <c r="Y37" s="57">
        <v>1.08</v>
      </c>
      <c r="Z37" s="57">
        <v>1.62</v>
      </c>
    </row>
    <row r="38" spans="2:26">
      <c r="B38" s="57"/>
      <c r="C38" s="56">
        <v>39779</v>
      </c>
      <c r="D38" s="57">
        <v>5.04</v>
      </c>
      <c r="E38" s="57">
        <v>5.58</v>
      </c>
      <c r="F38" s="57">
        <v>5.67</v>
      </c>
      <c r="G38" s="57">
        <v>5.94</v>
      </c>
      <c r="H38" s="57">
        <v>6.12</v>
      </c>
      <c r="I38" s="57">
        <v>3.51</v>
      </c>
      <c r="J38" s="57">
        <v>4.05</v>
      </c>
      <c r="L38" s="57"/>
      <c r="M38" s="56">
        <v>38289</v>
      </c>
      <c r="N38" s="57">
        <v>0.72</v>
      </c>
      <c r="O38" s="57">
        <v>1.71</v>
      </c>
      <c r="P38" s="57">
        <v>2.0699999999999998</v>
      </c>
      <c r="Q38" s="57">
        <v>2.25</v>
      </c>
      <c r="R38" s="57">
        <v>2.7</v>
      </c>
      <c r="S38" s="57">
        <v>3.24</v>
      </c>
      <c r="T38" s="57">
        <v>3.6</v>
      </c>
      <c r="U38" s="57">
        <v>1.71</v>
      </c>
      <c r="V38" s="57">
        <v>2.0699999999999998</v>
      </c>
      <c r="W38" s="57">
        <v>2.25</v>
      </c>
      <c r="X38" s="57">
        <v>1.44</v>
      </c>
      <c r="Y38" s="57">
        <v>1.08</v>
      </c>
      <c r="Z38" s="57">
        <v>1.62</v>
      </c>
    </row>
    <row r="39" spans="2:26">
      <c r="B39" s="57"/>
      <c r="C39" s="56">
        <v>39751</v>
      </c>
      <c r="D39" s="57">
        <v>6.03</v>
      </c>
      <c r="E39" s="57">
        <v>6.66</v>
      </c>
      <c r="F39" s="57">
        <v>6.75</v>
      </c>
      <c r="G39" s="57">
        <v>7.02</v>
      </c>
      <c r="H39" s="57">
        <v>7.2</v>
      </c>
      <c r="I39" s="57">
        <v>4.05</v>
      </c>
      <c r="J39" s="57">
        <v>4.59</v>
      </c>
      <c r="L39" s="57"/>
      <c r="M39" s="56">
        <v>37308</v>
      </c>
      <c r="N39" s="57">
        <v>0.72</v>
      </c>
      <c r="O39" s="57">
        <v>1.71</v>
      </c>
      <c r="P39" s="57">
        <v>1.89</v>
      </c>
      <c r="Q39" s="57">
        <v>1.98</v>
      </c>
      <c r="R39" s="57">
        <v>2.25</v>
      </c>
      <c r="S39" s="57">
        <v>2.52</v>
      </c>
      <c r="T39" s="57">
        <v>2.79</v>
      </c>
      <c r="U39" s="57">
        <v>1.71</v>
      </c>
      <c r="V39" s="57">
        <v>1.89</v>
      </c>
      <c r="W39" s="57">
        <v>1.98</v>
      </c>
      <c r="X39" s="57">
        <v>1.44</v>
      </c>
      <c r="Y39" s="57">
        <v>1.08</v>
      </c>
      <c r="Z39" s="57">
        <v>1.62</v>
      </c>
    </row>
    <row r="40" spans="2:26">
      <c r="B40" s="57"/>
      <c r="C40" s="59">
        <v>39748</v>
      </c>
      <c r="D40" s="57">
        <v>6.12</v>
      </c>
      <c r="E40" s="57">
        <v>6.93</v>
      </c>
      <c r="F40" s="57">
        <v>7.02</v>
      </c>
      <c r="G40" s="57">
        <v>7.29</v>
      </c>
      <c r="H40" s="57">
        <v>7.47</v>
      </c>
      <c r="I40" s="57">
        <v>4.05</v>
      </c>
      <c r="J40" s="57">
        <v>4.59</v>
      </c>
      <c r="L40" s="57"/>
      <c r="M40" s="56">
        <v>36321</v>
      </c>
      <c r="N40" s="57">
        <v>0.99</v>
      </c>
      <c r="O40" s="57">
        <v>1.98</v>
      </c>
      <c r="P40" s="57">
        <v>2.16</v>
      </c>
      <c r="Q40" s="57">
        <v>2.25</v>
      </c>
      <c r="R40" s="57">
        <v>2.4300000000000002</v>
      </c>
      <c r="S40" s="57">
        <v>2.7</v>
      </c>
      <c r="T40" s="57">
        <v>2.88</v>
      </c>
      <c r="U40" s="57">
        <v>1.98</v>
      </c>
      <c r="V40" s="57">
        <v>2.16</v>
      </c>
      <c r="W40" s="57">
        <v>2.25</v>
      </c>
      <c r="X40" s="57">
        <v>1.71</v>
      </c>
      <c r="Y40" s="57">
        <v>1.35</v>
      </c>
      <c r="Z40" s="57">
        <v>1.89</v>
      </c>
    </row>
    <row r="41" spans="2:26">
      <c r="B41" s="57"/>
      <c r="C41" s="56">
        <v>39730</v>
      </c>
      <c r="D41" s="57">
        <v>6.12</v>
      </c>
      <c r="E41" s="57">
        <v>6.93</v>
      </c>
      <c r="F41" s="57">
        <v>7.02</v>
      </c>
      <c r="G41" s="57">
        <v>7.29</v>
      </c>
      <c r="H41" s="57">
        <v>7.47</v>
      </c>
      <c r="I41" s="57">
        <v>4.32</v>
      </c>
      <c r="J41" s="57">
        <v>4.8600000000000003</v>
      </c>
      <c r="L41" s="57"/>
      <c r="M41" s="56">
        <v>36136</v>
      </c>
      <c r="N41" s="57">
        <v>1.44</v>
      </c>
      <c r="O41" s="57">
        <v>2.79</v>
      </c>
      <c r="P41" s="57">
        <v>3.33</v>
      </c>
      <c r="Q41" s="57">
        <v>3.78</v>
      </c>
      <c r="R41" s="57">
        <v>3.96</v>
      </c>
      <c r="S41" s="57">
        <v>4.1399999999999997</v>
      </c>
      <c r="T41" s="57">
        <v>4.5</v>
      </c>
      <c r="U41" s="57">
        <v>3.33</v>
      </c>
      <c r="V41" s="57">
        <v>3.78</v>
      </c>
      <c r="W41" s="57">
        <v>4.1399999999999997</v>
      </c>
      <c r="X41" s="57">
        <v>2.16</v>
      </c>
      <c r="Y41" s="57">
        <v>1.8</v>
      </c>
      <c r="Z41" s="57">
        <v>2.34</v>
      </c>
    </row>
    <row r="42" spans="2:26">
      <c r="B42" s="57"/>
      <c r="C42" s="56">
        <v>39707</v>
      </c>
      <c r="D42" s="57">
        <v>6.21</v>
      </c>
      <c r="E42" s="57">
        <v>7.2</v>
      </c>
      <c r="F42" s="57">
        <v>7.29</v>
      </c>
      <c r="G42" s="57">
        <v>7.56</v>
      </c>
      <c r="H42" s="57">
        <v>7.74</v>
      </c>
      <c r="I42" s="57">
        <v>4.59</v>
      </c>
      <c r="J42" s="57">
        <v>5.13</v>
      </c>
      <c r="L42" s="57"/>
      <c r="M42" s="56">
        <v>35977</v>
      </c>
      <c r="N42" s="57">
        <v>1.44</v>
      </c>
      <c r="O42" s="57">
        <v>2.79</v>
      </c>
      <c r="P42" s="57">
        <v>3.96</v>
      </c>
      <c r="Q42" s="57">
        <v>4.7699999999999996</v>
      </c>
      <c r="R42" s="57">
        <v>4.8600000000000003</v>
      </c>
      <c r="S42" s="57">
        <v>4.95</v>
      </c>
      <c r="T42" s="57">
        <v>5.22</v>
      </c>
      <c r="U42" s="57">
        <v>3.96</v>
      </c>
      <c r="V42" s="57">
        <v>4.7699999999999996</v>
      </c>
      <c r="W42" s="57">
        <v>4.95</v>
      </c>
      <c r="X42" s="57" t="s">
        <v>2521</v>
      </c>
      <c r="Y42" s="57" t="s">
        <v>2521</v>
      </c>
      <c r="Z42" s="57" t="s">
        <v>2521</v>
      </c>
    </row>
    <row r="43" spans="2:26">
      <c r="B43" s="57"/>
      <c r="C43" s="56">
        <v>39437</v>
      </c>
      <c r="D43" s="57">
        <v>6.57</v>
      </c>
      <c r="E43" s="57">
        <v>7.47</v>
      </c>
      <c r="F43" s="57">
        <v>7.56</v>
      </c>
      <c r="G43" s="57">
        <v>7.74</v>
      </c>
      <c r="H43" s="57">
        <v>7.83</v>
      </c>
      <c r="I43" s="57">
        <v>4.7699999999999996</v>
      </c>
      <c r="J43" s="57">
        <v>5.22</v>
      </c>
      <c r="L43" s="57"/>
      <c r="M43" s="56">
        <v>35879</v>
      </c>
      <c r="N43" s="57">
        <v>1.71</v>
      </c>
      <c r="O43" s="57">
        <v>2.88</v>
      </c>
      <c r="P43" s="57">
        <v>4.1399999999999997</v>
      </c>
      <c r="Q43" s="57">
        <v>5.22</v>
      </c>
      <c r="R43" s="57">
        <v>5.58</v>
      </c>
      <c r="S43" s="57">
        <v>6.21</v>
      </c>
      <c r="T43" s="57">
        <v>6.66</v>
      </c>
      <c r="U43" s="57">
        <v>4.1399999999999997</v>
      </c>
      <c r="V43" s="57">
        <v>5.22</v>
      </c>
      <c r="W43" s="57">
        <v>6.21</v>
      </c>
      <c r="X43" s="57" t="s">
        <v>2521</v>
      </c>
      <c r="Y43" s="57" t="s">
        <v>2521</v>
      </c>
      <c r="Z43" s="57" t="s">
        <v>2521</v>
      </c>
    </row>
    <row r="44" spans="2:26">
      <c r="B44" s="57"/>
      <c r="C44" s="56">
        <v>39340</v>
      </c>
      <c r="D44" s="57">
        <v>6.48</v>
      </c>
      <c r="E44" s="57">
        <v>7.29</v>
      </c>
      <c r="F44" s="57">
        <v>7.47</v>
      </c>
      <c r="G44" s="57">
        <v>7.65</v>
      </c>
      <c r="H44" s="57">
        <v>7.83</v>
      </c>
      <c r="I44" s="57">
        <v>4.7699999999999996</v>
      </c>
      <c r="J44" s="57">
        <v>5.22</v>
      </c>
      <c r="L44" s="57"/>
      <c r="M44" s="56">
        <v>35726</v>
      </c>
      <c r="N44" s="57">
        <v>1.71</v>
      </c>
      <c r="O44" s="57">
        <v>2.88</v>
      </c>
      <c r="P44" s="57">
        <v>4.1399999999999997</v>
      </c>
      <c r="Q44" s="57">
        <v>5.67</v>
      </c>
      <c r="R44" s="57">
        <v>5.94</v>
      </c>
      <c r="S44" s="57">
        <v>6.21</v>
      </c>
      <c r="T44" s="57">
        <v>6.66</v>
      </c>
      <c r="U44" s="57">
        <v>4.1399999999999997</v>
      </c>
      <c r="V44" s="57">
        <v>5.67</v>
      </c>
      <c r="W44" s="57">
        <v>6.21</v>
      </c>
      <c r="X44" s="57" t="s">
        <v>2521</v>
      </c>
      <c r="Y44" s="57" t="s">
        <v>2521</v>
      </c>
      <c r="Z44" s="57" t="s">
        <v>2521</v>
      </c>
    </row>
    <row r="45" spans="2:26">
      <c r="B45" s="57"/>
      <c r="C45" s="56">
        <v>39316</v>
      </c>
      <c r="D45" s="57">
        <v>6.21</v>
      </c>
      <c r="E45" s="57">
        <v>7.02</v>
      </c>
      <c r="F45" s="57">
        <v>7.2</v>
      </c>
      <c r="G45" s="57">
        <v>7.38</v>
      </c>
      <c r="H45" s="57">
        <v>7.56</v>
      </c>
      <c r="I45" s="57">
        <v>4.59</v>
      </c>
      <c r="J45" s="57">
        <v>5.04</v>
      </c>
      <c r="L45" s="57"/>
      <c r="M45" s="56">
        <v>35300</v>
      </c>
      <c r="N45" s="57">
        <v>1.98</v>
      </c>
      <c r="O45" s="57">
        <v>3.33</v>
      </c>
      <c r="P45" s="57">
        <v>5.4</v>
      </c>
      <c r="Q45" s="57">
        <v>7.47</v>
      </c>
      <c r="R45" s="57">
        <v>7.92</v>
      </c>
      <c r="S45" s="57">
        <v>8.2799999999999994</v>
      </c>
      <c r="T45" s="57">
        <v>9</v>
      </c>
      <c r="U45" s="57">
        <v>5.4</v>
      </c>
      <c r="V45" s="57">
        <v>7.47</v>
      </c>
      <c r="W45" s="57">
        <v>8.2799999999999994</v>
      </c>
      <c r="X45" s="57" t="s">
        <v>2521</v>
      </c>
      <c r="Y45" s="57" t="s">
        <v>2521</v>
      </c>
      <c r="Z45" s="57" t="s">
        <v>2521</v>
      </c>
    </row>
    <row r="46" spans="2:26">
      <c r="B46" s="57"/>
      <c r="C46" s="56">
        <v>39284</v>
      </c>
      <c r="D46" s="57">
        <v>6.03</v>
      </c>
      <c r="E46" s="57">
        <v>6.84</v>
      </c>
      <c r="F46" s="57">
        <v>7.02</v>
      </c>
      <c r="G46" s="57">
        <v>7.2</v>
      </c>
      <c r="H46" s="57">
        <v>7.38</v>
      </c>
      <c r="I46" s="57">
        <v>4.5</v>
      </c>
      <c r="J46" s="57">
        <v>4.95</v>
      </c>
      <c r="L46" s="57"/>
      <c r="M46" s="56">
        <v>35186</v>
      </c>
      <c r="N46" s="57">
        <v>2.97</v>
      </c>
      <c r="O46" s="57">
        <v>4.8600000000000003</v>
      </c>
      <c r="P46" s="57">
        <v>7.2</v>
      </c>
      <c r="Q46" s="57">
        <v>9.18</v>
      </c>
      <c r="R46" s="57">
        <v>9.9</v>
      </c>
      <c r="S46" s="57">
        <v>10.8</v>
      </c>
      <c r="T46" s="57">
        <v>12.06</v>
      </c>
      <c r="U46" s="57">
        <v>7.2</v>
      </c>
      <c r="V46" s="57">
        <v>9.18</v>
      </c>
      <c r="W46" s="57">
        <v>10.8</v>
      </c>
      <c r="X46" s="57" t="s">
        <v>2521</v>
      </c>
      <c r="Y46" s="57" t="s">
        <v>2521</v>
      </c>
      <c r="Z46" s="57" t="s">
        <v>2521</v>
      </c>
    </row>
    <row r="47" spans="2:26">
      <c r="B47" s="57"/>
      <c r="C47" s="56">
        <v>39221</v>
      </c>
      <c r="D47" s="57">
        <v>5.85</v>
      </c>
      <c r="E47" s="57">
        <v>6.57</v>
      </c>
      <c r="F47" s="57">
        <v>6.75</v>
      </c>
      <c r="G47" s="57">
        <v>6.93</v>
      </c>
      <c r="H47" s="57">
        <v>7.2</v>
      </c>
      <c r="I47" s="57">
        <v>4.41</v>
      </c>
      <c r="J47" s="57">
        <v>4.8600000000000003</v>
      </c>
      <c r="L47" s="57"/>
      <c r="M47" s="56">
        <v>34161</v>
      </c>
      <c r="N47" s="57">
        <v>3.15</v>
      </c>
      <c r="O47" s="57">
        <v>6.66</v>
      </c>
      <c r="P47" s="57">
        <v>9</v>
      </c>
      <c r="Q47" s="57">
        <v>10.98</v>
      </c>
      <c r="R47" s="57">
        <v>11.7</v>
      </c>
      <c r="S47" s="57">
        <v>12.24</v>
      </c>
      <c r="T47" s="57">
        <v>13.86</v>
      </c>
      <c r="U47" s="57">
        <v>9</v>
      </c>
      <c r="V47" s="57">
        <v>10.98</v>
      </c>
      <c r="W47" s="57">
        <v>12.24</v>
      </c>
      <c r="X47" s="57" t="s">
        <v>2521</v>
      </c>
      <c r="Y47" s="57" t="s">
        <v>2521</v>
      </c>
      <c r="Z47" s="57" t="s">
        <v>2521</v>
      </c>
    </row>
    <row r="48" spans="2:26">
      <c r="B48" s="57"/>
      <c r="C48" s="56">
        <v>39159</v>
      </c>
      <c r="D48" s="57">
        <v>5.67</v>
      </c>
      <c r="E48" s="57">
        <v>6.39</v>
      </c>
      <c r="F48" s="57">
        <v>6.57</v>
      </c>
      <c r="G48" s="57">
        <v>6.75</v>
      </c>
      <c r="H48" s="57">
        <v>7.11</v>
      </c>
      <c r="I48" s="57">
        <v>4.32</v>
      </c>
      <c r="J48" s="57">
        <v>4.7699999999999996</v>
      </c>
      <c r="L48" s="57"/>
      <c r="M48" s="56">
        <v>34104</v>
      </c>
      <c r="N48" s="57">
        <v>2.16</v>
      </c>
      <c r="O48" s="57">
        <v>4.8600000000000003</v>
      </c>
      <c r="P48" s="57">
        <v>7.2</v>
      </c>
      <c r="Q48" s="57">
        <v>9.18</v>
      </c>
      <c r="R48" s="57">
        <v>9.9</v>
      </c>
      <c r="S48" s="57">
        <v>10.8</v>
      </c>
      <c r="T48" s="57">
        <v>12.06</v>
      </c>
      <c r="U48" s="57">
        <v>7.2</v>
      </c>
      <c r="V48" s="57">
        <v>9.18</v>
      </c>
      <c r="W48" s="57">
        <v>10.8</v>
      </c>
      <c r="X48" s="57" t="s">
        <v>2521</v>
      </c>
      <c r="Y48" s="57" t="s">
        <v>2521</v>
      </c>
      <c r="Z48" s="57" t="s">
        <v>2521</v>
      </c>
    </row>
    <row r="49" spans="2:26">
      <c r="B49" s="57"/>
      <c r="C49" s="56">
        <v>38948</v>
      </c>
      <c r="D49" s="57">
        <v>5.58</v>
      </c>
      <c r="E49" s="57">
        <v>6.12</v>
      </c>
      <c r="F49" s="57">
        <v>6.3</v>
      </c>
      <c r="G49" s="57">
        <v>6.48</v>
      </c>
      <c r="H49" s="57">
        <v>6.84</v>
      </c>
      <c r="I49" s="57">
        <v>4.1399999999999997</v>
      </c>
      <c r="J49" s="57">
        <v>4.59</v>
      </c>
      <c r="L49" s="57"/>
      <c r="M49" s="56">
        <v>33349</v>
      </c>
      <c r="N49" s="57">
        <v>1.8</v>
      </c>
      <c r="O49" s="57">
        <v>3.24</v>
      </c>
      <c r="P49" s="57">
        <v>5.4</v>
      </c>
      <c r="Q49" s="57">
        <v>7.56</v>
      </c>
      <c r="R49" s="57">
        <v>7.92</v>
      </c>
      <c r="S49" s="57">
        <v>8.2799999999999994</v>
      </c>
      <c r="T49" s="57">
        <v>9</v>
      </c>
      <c r="U49" s="57">
        <v>6.12</v>
      </c>
      <c r="V49" s="57">
        <v>6.84</v>
      </c>
      <c r="W49" s="57">
        <v>7.56</v>
      </c>
      <c r="X49" s="57" t="s">
        <v>2521</v>
      </c>
      <c r="Y49" s="57" t="s">
        <v>2521</v>
      </c>
      <c r="Z49" s="57" t="s">
        <v>2521</v>
      </c>
    </row>
    <row r="50" spans="2:26">
      <c r="B50" s="57"/>
      <c r="C50" s="56">
        <v>38835</v>
      </c>
      <c r="D50" s="57">
        <v>5.4</v>
      </c>
      <c r="E50" s="57">
        <v>5.85</v>
      </c>
      <c r="F50" s="57">
        <v>6.03</v>
      </c>
      <c r="G50" s="57">
        <v>6.12</v>
      </c>
      <c r="H50" s="57">
        <v>6.39</v>
      </c>
      <c r="I50" s="57">
        <v>4.1399999999999997</v>
      </c>
      <c r="J50" s="57">
        <v>4.59</v>
      </c>
      <c r="L50" s="57"/>
      <c r="M50" s="56">
        <v>33106</v>
      </c>
      <c r="N50" s="57">
        <v>2.16</v>
      </c>
      <c r="O50" s="57">
        <v>4.32</v>
      </c>
      <c r="P50" s="57">
        <v>6.48</v>
      </c>
      <c r="Q50" s="57">
        <v>8.64</v>
      </c>
      <c r="R50" s="57">
        <v>9.36</v>
      </c>
      <c r="S50" s="57">
        <v>10.08</v>
      </c>
      <c r="T50" s="57">
        <v>11.52</v>
      </c>
      <c r="U50" s="57">
        <v>7.2</v>
      </c>
      <c r="V50" s="57">
        <v>8.64</v>
      </c>
      <c r="W50" s="57">
        <v>10.08</v>
      </c>
      <c r="X50" s="57" t="s">
        <v>2521</v>
      </c>
      <c r="Y50" s="57" t="s">
        <v>2521</v>
      </c>
      <c r="Z50" s="57" t="s">
        <v>2521</v>
      </c>
    </row>
    <row r="51" spans="2:26">
      <c r="B51" s="57"/>
      <c r="C51" s="56">
        <v>38428</v>
      </c>
      <c r="D51" s="57">
        <v>5.22</v>
      </c>
      <c r="E51" s="57">
        <v>5.58</v>
      </c>
      <c r="F51" s="57">
        <v>5.76</v>
      </c>
      <c r="G51" s="57">
        <v>5.85</v>
      </c>
      <c r="H51" s="57">
        <v>6.12</v>
      </c>
      <c r="I51" s="57">
        <v>3.96</v>
      </c>
      <c r="J51" s="57">
        <v>4.41</v>
      </c>
      <c r="L51" s="57"/>
      <c r="M51" s="56">
        <v>32978</v>
      </c>
      <c r="N51" s="57">
        <v>2.88</v>
      </c>
      <c r="O51" s="57">
        <v>6.3</v>
      </c>
      <c r="P51" s="57">
        <v>7.74</v>
      </c>
      <c r="Q51" s="57">
        <v>10.08</v>
      </c>
      <c r="R51" s="57">
        <v>10.98</v>
      </c>
      <c r="S51" s="57">
        <v>11.88</v>
      </c>
      <c r="T51" s="57">
        <v>13.68</v>
      </c>
      <c r="U51" s="57" t="s">
        <v>2521</v>
      </c>
      <c r="V51" s="57" t="s">
        <v>2521</v>
      </c>
      <c r="W51" s="57" t="s">
        <v>2521</v>
      </c>
      <c r="X51" s="57" t="s">
        <v>2521</v>
      </c>
      <c r="Y51" s="57" t="s">
        <v>2521</v>
      </c>
      <c r="Z51" s="57" t="s">
        <v>2521</v>
      </c>
    </row>
    <row r="52" spans="2:26">
      <c r="B52" s="57"/>
      <c r="C52" s="56">
        <v>38289</v>
      </c>
      <c r="D52" s="57">
        <v>5.22</v>
      </c>
      <c r="E52" s="57">
        <v>5.58</v>
      </c>
      <c r="F52" s="57">
        <v>5.76</v>
      </c>
      <c r="G52" s="57">
        <v>5.85</v>
      </c>
      <c r="H52" s="57">
        <v>6.12</v>
      </c>
      <c r="I52" s="57">
        <v>3.78</v>
      </c>
      <c r="J52" s="57">
        <v>4.2300000000000004</v>
      </c>
      <c r="L52" s="57"/>
      <c r="M52" s="56"/>
      <c r="N52" s="57"/>
      <c r="O52" s="57"/>
      <c r="P52" s="57"/>
      <c r="Q52" s="57"/>
      <c r="R52" s="57"/>
      <c r="S52" s="57"/>
      <c r="T52" s="57"/>
      <c r="U52" s="57"/>
      <c r="V52" s="57"/>
      <c r="W52" s="57"/>
      <c r="X52" s="57"/>
      <c r="Y52" s="57"/>
      <c r="Z52" s="57"/>
    </row>
    <row r="53" spans="2:26">
      <c r="B53" s="57"/>
      <c r="C53" s="56">
        <v>37308</v>
      </c>
      <c r="D53" s="57">
        <v>5.04</v>
      </c>
      <c r="E53" s="57">
        <v>5.31</v>
      </c>
      <c r="F53" s="57">
        <v>5.49</v>
      </c>
      <c r="G53" s="57">
        <v>5.58</v>
      </c>
      <c r="H53" s="57">
        <v>5.76</v>
      </c>
      <c r="I53" s="57">
        <v>3.6</v>
      </c>
      <c r="J53" s="57">
        <v>4.05</v>
      </c>
      <c r="L53" s="57"/>
      <c r="M53" s="56"/>
      <c r="N53" s="57"/>
      <c r="O53" s="57"/>
      <c r="P53" s="57"/>
      <c r="Q53" s="57"/>
      <c r="R53" s="57"/>
      <c r="S53" s="57"/>
      <c r="T53" s="57"/>
      <c r="U53" s="57"/>
      <c r="V53" s="57"/>
      <c r="W53" s="57"/>
      <c r="X53" s="57"/>
      <c r="Y53" s="57"/>
      <c r="Z53" s="57"/>
    </row>
    <row r="54" spans="2:26">
      <c r="B54" s="57"/>
      <c r="C54" s="56">
        <v>36321</v>
      </c>
      <c r="D54" s="57">
        <v>5.58</v>
      </c>
      <c r="E54" s="57">
        <v>5.85</v>
      </c>
      <c r="F54" s="57">
        <v>5.94</v>
      </c>
      <c r="G54" s="57">
        <v>6.03</v>
      </c>
      <c r="H54" s="57">
        <v>6.21</v>
      </c>
      <c r="I54" s="57">
        <v>4.1399999999999997</v>
      </c>
      <c r="J54" s="57">
        <v>4.59</v>
      </c>
      <c r="L54" s="57"/>
      <c r="M54" s="56"/>
      <c r="N54" s="57"/>
      <c r="O54" s="57"/>
      <c r="P54" s="57"/>
      <c r="Q54" s="57"/>
      <c r="R54" s="57"/>
      <c r="S54" s="57"/>
      <c r="T54" s="57"/>
      <c r="U54" s="57"/>
      <c r="V54" s="57"/>
      <c r="W54" s="57"/>
      <c r="X54" s="57"/>
      <c r="Y54" s="57"/>
      <c r="Z54" s="57"/>
    </row>
    <row r="55" spans="2:26">
      <c r="B55" s="57"/>
      <c r="C55" s="56">
        <v>36136</v>
      </c>
      <c r="D55" s="57">
        <v>6.12</v>
      </c>
      <c r="E55" s="57">
        <v>6.39</v>
      </c>
      <c r="F55" s="57">
        <v>6.66</v>
      </c>
      <c r="G55" s="57">
        <v>7.2</v>
      </c>
      <c r="H55" s="57">
        <v>7.56</v>
      </c>
      <c r="I55" s="57">
        <v>0</v>
      </c>
      <c r="J55" s="57">
        <v>0</v>
      </c>
      <c r="L55" s="57"/>
      <c r="M55" s="56"/>
      <c r="N55" s="57"/>
      <c r="O55" s="57"/>
      <c r="P55" s="57"/>
      <c r="Q55" s="57"/>
      <c r="R55" s="57"/>
      <c r="S55" s="57"/>
      <c r="T55" s="57"/>
      <c r="U55" s="57"/>
      <c r="V55" s="57"/>
      <c r="W55" s="57"/>
      <c r="X55" s="57"/>
      <c r="Y55" s="57"/>
      <c r="Z55" s="57"/>
    </row>
    <row r="56" spans="2:26">
      <c r="B56" s="57"/>
      <c r="C56" s="56">
        <v>35977</v>
      </c>
      <c r="D56" s="57">
        <v>6.57</v>
      </c>
      <c r="E56" s="57">
        <v>6.93</v>
      </c>
      <c r="F56" s="57">
        <v>7.11</v>
      </c>
      <c r="G56" s="57">
        <v>7.65</v>
      </c>
      <c r="H56" s="57">
        <v>8.01</v>
      </c>
      <c r="I56" s="57">
        <v>0</v>
      </c>
      <c r="J56" s="57">
        <v>0</v>
      </c>
      <c r="L56" s="57"/>
      <c r="M56" s="56"/>
      <c r="N56" s="57"/>
      <c r="O56" s="57"/>
      <c r="P56" s="57"/>
      <c r="Q56" s="57"/>
      <c r="R56" s="57"/>
      <c r="S56" s="57"/>
      <c r="T56" s="57"/>
      <c r="U56" s="57"/>
      <c r="V56" s="57"/>
      <c r="W56" s="57"/>
      <c r="X56" s="57"/>
      <c r="Y56" s="57"/>
      <c r="Z56" s="57"/>
    </row>
    <row r="57" spans="2:26">
      <c r="B57" s="57"/>
      <c r="C57" s="56">
        <v>35879</v>
      </c>
      <c r="D57" s="57">
        <v>7.02</v>
      </c>
      <c r="E57" s="57">
        <v>7.92</v>
      </c>
      <c r="F57" s="57">
        <v>9</v>
      </c>
      <c r="G57" s="57">
        <v>9.7200000000000006</v>
      </c>
      <c r="H57" s="57">
        <v>10.35</v>
      </c>
      <c r="I57" s="57">
        <v>0</v>
      </c>
      <c r="J57" s="57">
        <v>0</v>
      </c>
      <c r="L57" s="57"/>
      <c r="M57" s="56"/>
      <c r="N57" s="57"/>
      <c r="O57" s="57"/>
      <c r="P57" s="57"/>
      <c r="Q57" s="57"/>
      <c r="R57" s="57"/>
      <c r="S57" s="57"/>
      <c r="T57" s="57"/>
      <c r="U57" s="57"/>
      <c r="V57" s="57"/>
      <c r="W57" s="57"/>
      <c r="X57" s="57"/>
      <c r="Y57" s="57"/>
      <c r="Z57" s="57"/>
    </row>
    <row r="58" spans="2:26">
      <c r="B58" s="57"/>
      <c r="C58" s="56">
        <v>35726</v>
      </c>
      <c r="D58" s="57">
        <v>7.65</v>
      </c>
      <c r="E58" s="57">
        <v>8.64</v>
      </c>
      <c r="F58" s="57">
        <v>9.36</v>
      </c>
      <c r="G58" s="57">
        <v>9.9</v>
      </c>
      <c r="H58" s="57">
        <v>10.53</v>
      </c>
      <c r="I58" s="57">
        <v>0</v>
      </c>
      <c r="J58" s="57">
        <v>0</v>
      </c>
    </row>
    <row r="59" spans="2:26">
      <c r="B59" s="57"/>
      <c r="C59" s="56">
        <v>35300</v>
      </c>
      <c r="D59" s="57">
        <v>9.18</v>
      </c>
      <c r="E59" s="57">
        <v>10.08</v>
      </c>
      <c r="F59" s="57">
        <v>10.98</v>
      </c>
      <c r="G59" s="57">
        <v>11.7</v>
      </c>
      <c r="H59" s="57">
        <v>12.42</v>
      </c>
      <c r="I59" s="57">
        <v>0</v>
      </c>
      <c r="J59" s="57">
        <v>0</v>
      </c>
    </row>
    <row r="60" spans="2:26">
      <c r="B60" s="57"/>
      <c r="C60" s="56">
        <v>35186</v>
      </c>
      <c r="D60" s="57">
        <v>9.7200000000000006</v>
      </c>
      <c r="E60" s="57">
        <v>10.98</v>
      </c>
      <c r="F60" s="57">
        <v>13.14</v>
      </c>
      <c r="G60" s="57">
        <v>14.94</v>
      </c>
      <c r="H60" s="57">
        <v>15.12</v>
      </c>
      <c r="I60" s="57">
        <v>0</v>
      </c>
      <c r="J60" s="57">
        <v>0</v>
      </c>
    </row>
    <row r="61" spans="2:26">
      <c r="B61" s="57"/>
      <c r="C61" s="56">
        <v>34881</v>
      </c>
      <c r="D61" s="57">
        <v>10.08</v>
      </c>
      <c r="E61" s="57">
        <v>12.06</v>
      </c>
      <c r="F61" s="57">
        <v>13.5</v>
      </c>
      <c r="G61" s="57">
        <v>15.12</v>
      </c>
      <c r="H61" s="57">
        <v>15.3</v>
      </c>
      <c r="I61" s="57">
        <v>0</v>
      </c>
      <c r="J61" s="57">
        <v>0</v>
      </c>
    </row>
    <row r="62" spans="2:26">
      <c r="B62" s="57"/>
      <c r="C62" s="56">
        <v>34700</v>
      </c>
      <c r="D62" s="57">
        <v>9</v>
      </c>
      <c r="E62" s="57">
        <v>10.98</v>
      </c>
      <c r="F62" s="57">
        <v>12.96</v>
      </c>
      <c r="G62" s="57">
        <v>14.58</v>
      </c>
      <c r="H62" s="57">
        <v>14.76</v>
      </c>
      <c r="I62" s="57">
        <v>0</v>
      </c>
      <c r="J62" s="57">
        <v>0</v>
      </c>
    </row>
    <row r="63" spans="2:26">
      <c r="B63" s="57"/>
      <c r="C63" s="56">
        <v>34161</v>
      </c>
      <c r="D63" s="57">
        <v>9</v>
      </c>
      <c r="E63" s="57">
        <v>10.98</v>
      </c>
      <c r="F63" s="57">
        <v>12.24</v>
      </c>
      <c r="G63" s="57">
        <v>13.86</v>
      </c>
      <c r="H63" s="57">
        <v>14.04</v>
      </c>
      <c r="I63" s="57">
        <v>0</v>
      </c>
      <c r="J63" s="57">
        <v>0</v>
      </c>
    </row>
    <row r="64" spans="2:26">
      <c r="B64" s="57"/>
      <c r="C64" s="56">
        <v>34104</v>
      </c>
      <c r="D64" s="57">
        <v>8.82</v>
      </c>
      <c r="E64" s="57">
        <v>9.36</v>
      </c>
      <c r="F64" s="57">
        <v>10.8</v>
      </c>
      <c r="G64" s="57">
        <v>12.06</v>
      </c>
      <c r="H64" s="57">
        <v>12.24</v>
      </c>
      <c r="I64" s="57">
        <v>0</v>
      </c>
      <c r="J64" s="57">
        <v>0</v>
      </c>
    </row>
    <row r="65" spans="2:10">
      <c r="B65" s="57"/>
      <c r="C65" s="56">
        <v>33349</v>
      </c>
      <c r="D65" s="57">
        <v>8.1</v>
      </c>
      <c r="E65" s="57">
        <v>8.64</v>
      </c>
      <c r="F65" s="57">
        <v>9</v>
      </c>
      <c r="G65" s="57">
        <v>9.5399999999999991</v>
      </c>
      <c r="H65" s="57">
        <v>9.7200000000000006</v>
      </c>
      <c r="I65" s="57">
        <v>0</v>
      </c>
      <c r="J65" s="57">
        <v>0</v>
      </c>
    </row>
    <row r="66" spans="2:10">
      <c r="B66" s="57"/>
      <c r="C66" s="56">
        <v>33318</v>
      </c>
      <c r="D66" s="57">
        <v>9</v>
      </c>
      <c r="E66" s="57">
        <v>10.08</v>
      </c>
      <c r="F66" s="57">
        <v>10.8</v>
      </c>
      <c r="G66" s="57">
        <v>11.52</v>
      </c>
      <c r="H66" s="57">
        <v>11.88</v>
      </c>
      <c r="I66" s="57" t="s">
        <v>2521</v>
      </c>
      <c r="J66" s="57" t="s">
        <v>2521</v>
      </c>
    </row>
    <row r="67" spans="2:10">
      <c r="B67" s="57"/>
      <c r="C67" s="56">
        <v>33106</v>
      </c>
      <c r="D67" s="57">
        <v>8.64</v>
      </c>
      <c r="E67" s="57">
        <v>9.36</v>
      </c>
      <c r="F67" s="57">
        <v>10.08</v>
      </c>
      <c r="G67" s="57">
        <v>10.8</v>
      </c>
      <c r="H67" s="57">
        <v>11.16</v>
      </c>
      <c r="I67" s="57">
        <v>0</v>
      </c>
      <c r="J67" s="57">
        <v>0</v>
      </c>
    </row>
    <row r="68" spans="2:10">
      <c r="B68" s="57"/>
      <c r="C68" s="56">
        <v>32540</v>
      </c>
      <c r="D68" s="57">
        <v>11.34</v>
      </c>
      <c r="E68" s="57">
        <v>11.34</v>
      </c>
      <c r="F68" s="57">
        <v>12.78</v>
      </c>
      <c r="G68" s="57">
        <v>14.4</v>
      </c>
      <c r="H68" s="57">
        <v>19.260000000000002</v>
      </c>
      <c r="I68" s="57">
        <v>0</v>
      </c>
      <c r="J68" s="57">
        <v>0</v>
      </c>
    </row>
    <row r="69" spans="2:10">
      <c r="B69" s="57"/>
      <c r="C69" s="56"/>
      <c r="D69" s="57"/>
      <c r="E69" s="57"/>
      <c r="F69" s="57"/>
      <c r="G69" s="57"/>
      <c r="H69" s="57"/>
      <c r="I69" s="57"/>
      <c r="J69" s="57"/>
    </row>
    <row r="70" spans="2:10">
      <c r="B70" s="84"/>
      <c r="C70" s="85"/>
      <c r="D70" s="84"/>
      <c r="E70" s="84"/>
      <c r="F70" s="84"/>
      <c r="G70" s="84"/>
      <c r="H70" s="84"/>
      <c r="I70" s="84"/>
      <c r="J70" s="84"/>
    </row>
    <row r="71" spans="2:10">
      <c r="B71" s="84"/>
      <c r="C71" s="85"/>
      <c r="D71" s="84"/>
      <c r="E71" s="84"/>
      <c r="F71" s="84"/>
      <c r="G71" s="84"/>
      <c r="H71" s="84"/>
      <c r="I71" s="84"/>
      <c r="J71" s="84"/>
    </row>
    <row r="72" spans="2:10">
      <c r="B72" s="84"/>
      <c r="C72" s="85"/>
      <c r="D72" s="84"/>
      <c r="E72" s="84"/>
      <c r="F72" s="84"/>
      <c r="G72" s="84"/>
      <c r="H72" s="84"/>
      <c r="I72" s="84"/>
      <c r="J72" s="84"/>
    </row>
    <row r="73" spans="2:10">
      <c r="B73" s="15"/>
      <c r="C73" s="15"/>
      <c r="D73" s="15"/>
      <c r="E73" s="15"/>
      <c r="F73" s="15"/>
      <c r="G73" s="15"/>
      <c r="H73" s="15"/>
      <c r="I73" s="15"/>
      <c r="J73" s="15"/>
    </row>
    <row r="74" spans="2:10">
      <c r="B74" s="15"/>
      <c r="C74" s="15"/>
      <c r="D74" s="15"/>
      <c r="E74" s="15"/>
      <c r="F74" s="15"/>
      <c r="G74" s="15"/>
      <c r="H74" s="15"/>
      <c r="I74" s="15"/>
      <c r="J74" s="15"/>
    </row>
  </sheetData>
  <sheetProtection password="CEE9" sheet="1" objects="1" scenarios="1"/>
  <phoneticPr fontId="254"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C51"/>
  <sheetViews>
    <sheetView zoomScale="80" zoomScaleNormal="80" workbookViewId="0">
      <selection activeCell="P18" sqref="P18"/>
    </sheetView>
  </sheetViews>
  <sheetFormatPr defaultColWidth="9.875" defaultRowHeight="14.25"/>
  <cols>
    <col min="1" max="1" width="43.5" style="1" customWidth="1"/>
    <col min="2" max="2" width="20.875" style="1" customWidth="1"/>
    <col min="3" max="3" width="53.125" style="1" customWidth="1"/>
    <col min="4" max="6" width="12.75" style="1" customWidth="1"/>
    <col min="7" max="7" width="16.25" style="1" customWidth="1"/>
    <col min="8" max="8" width="9" style="1" customWidth="1"/>
    <col min="9" max="9" width="10.75" style="1" customWidth="1"/>
    <col min="10" max="10" width="12.75" style="1" customWidth="1"/>
    <col min="11" max="11" width="9" style="1" customWidth="1"/>
    <col min="12" max="12" width="12.75" style="1" customWidth="1"/>
    <col min="13" max="13" width="9.25" style="1" customWidth="1"/>
    <col min="14" max="14" width="9.125" style="1" customWidth="1"/>
    <col min="15" max="15" width="8.375" style="1" customWidth="1"/>
    <col min="16" max="16" width="7.375" style="1" customWidth="1"/>
    <col min="17" max="17" width="8.25" style="1" customWidth="1"/>
    <col min="18" max="18" width="12.75" style="1" customWidth="1"/>
    <col min="19" max="19" width="21.875" style="1" customWidth="1"/>
    <col min="20" max="16383" width="9.875" style="1"/>
  </cols>
  <sheetData>
    <row r="1" spans="1:16383" s="1" customFormat="1">
      <c r="A1" s="4" t="s">
        <v>2522</v>
      </c>
      <c r="B1" s="4" t="s">
        <v>484</v>
      </c>
      <c r="C1" s="4" t="s">
        <v>2523</v>
      </c>
      <c r="D1" s="4" t="s">
        <v>2524</v>
      </c>
      <c r="E1" s="4" t="s">
        <v>2525</v>
      </c>
      <c r="F1" s="4" t="s">
        <v>2526</v>
      </c>
      <c r="G1" s="4" t="s">
        <v>105</v>
      </c>
      <c r="H1" s="4" t="s">
        <v>2527</v>
      </c>
      <c r="I1" s="4" t="s">
        <v>2528</v>
      </c>
      <c r="J1" s="4" t="s">
        <v>2529</v>
      </c>
      <c r="K1" s="4" t="s">
        <v>2530</v>
      </c>
      <c r="L1" s="4" t="s">
        <v>2531</v>
      </c>
      <c r="M1" s="4" t="s">
        <v>2532</v>
      </c>
      <c r="N1" s="4" t="s">
        <v>2533</v>
      </c>
      <c r="O1" s="4" t="s">
        <v>2534</v>
      </c>
      <c r="P1" s="4" t="s">
        <v>2535</v>
      </c>
      <c r="Q1" s="4" t="s">
        <v>2536</v>
      </c>
      <c r="R1" s="4" t="s">
        <v>2537</v>
      </c>
    </row>
    <row r="2" spans="1:16383" s="1" customFormat="1">
      <c r="A2" s="4" t="s">
        <v>2538</v>
      </c>
      <c r="B2" s="4" t="s">
        <v>2539</v>
      </c>
      <c r="C2" s="4" t="s">
        <v>2540</v>
      </c>
      <c r="D2" s="4" t="s">
        <v>2541</v>
      </c>
      <c r="E2" s="4">
        <v>66661.600000000006</v>
      </c>
      <c r="F2" s="4" t="s">
        <v>2542</v>
      </c>
      <c r="G2" s="4" t="s">
        <v>2543</v>
      </c>
      <c r="H2" s="4" t="s">
        <v>2544</v>
      </c>
      <c r="I2" s="4" t="s">
        <v>2541</v>
      </c>
      <c r="J2" s="8">
        <v>45222.0004976852</v>
      </c>
      <c r="K2" s="4" t="s">
        <v>2545</v>
      </c>
      <c r="L2" s="4" t="s">
        <v>2546</v>
      </c>
      <c r="M2" s="4">
        <v>2799.79</v>
      </c>
      <c r="N2" s="4">
        <v>420</v>
      </c>
      <c r="O2" s="4">
        <v>28</v>
      </c>
      <c r="P2" s="4" t="s">
        <v>2542</v>
      </c>
      <c r="Q2" s="4">
        <v>9899.25</v>
      </c>
      <c r="R2" s="4" t="s">
        <v>2547</v>
      </c>
    </row>
    <row r="3" spans="1:16383" s="1" customFormat="1">
      <c r="A3" s="4" t="s">
        <v>2548</v>
      </c>
      <c r="B3" s="4" t="s">
        <v>2549</v>
      </c>
      <c r="C3" s="4" t="s">
        <v>2550</v>
      </c>
      <c r="D3" s="4" t="s">
        <v>2541</v>
      </c>
      <c r="E3" s="4">
        <v>66666.289999999994</v>
      </c>
      <c r="F3" s="4">
        <v>66666.289999999994</v>
      </c>
      <c r="G3" s="4" t="s">
        <v>2543</v>
      </c>
      <c r="H3" s="4" t="s">
        <v>2544</v>
      </c>
      <c r="I3" s="4" t="s">
        <v>2541</v>
      </c>
      <c r="J3" s="8">
        <v>45190.0004976852</v>
      </c>
      <c r="K3" s="4" t="s">
        <v>2545</v>
      </c>
      <c r="L3" s="4" t="s">
        <v>2551</v>
      </c>
      <c r="M3" s="4">
        <v>5239.97</v>
      </c>
      <c r="N3" s="4">
        <v>785.99</v>
      </c>
      <c r="O3" s="4">
        <v>52.4</v>
      </c>
      <c r="P3" s="4">
        <v>786</v>
      </c>
      <c r="Q3" s="4">
        <v>101.54</v>
      </c>
      <c r="R3" s="4" t="s">
        <v>2547</v>
      </c>
    </row>
    <row r="4" spans="1:16383" s="1" customFormat="1">
      <c r="A4" s="4" t="s">
        <v>2552</v>
      </c>
      <c r="B4" s="4" t="s">
        <v>2553</v>
      </c>
      <c r="C4" s="4" t="s">
        <v>2554</v>
      </c>
      <c r="D4" s="4" t="s">
        <v>2541</v>
      </c>
      <c r="E4" s="4">
        <v>114674.29</v>
      </c>
      <c r="F4" s="4" t="s">
        <v>2542</v>
      </c>
      <c r="G4" s="4" t="s">
        <v>2543</v>
      </c>
      <c r="H4" s="4" t="s">
        <v>2544</v>
      </c>
      <c r="I4" s="4" t="s">
        <v>2541</v>
      </c>
      <c r="J4" s="8">
        <v>45188.0004976852</v>
      </c>
      <c r="K4" s="4" t="s">
        <v>2545</v>
      </c>
      <c r="L4" s="4" t="s">
        <v>2555</v>
      </c>
      <c r="M4" s="4">
        <v>4472.3</v>
      </c>
      <c r="N4" s="4">
        <v>390</v>
      </c>
      <c r="O4" s="4">
        <v>26</v>
      </c>
      <c r="P4" s="4" t="s">
        <v>2542</v>
      </c>
      <c r="Q4" s="4">
        <v>17101.150000000001</v>
      </c>
      <c r="R4" s="4" t="s">
        <v>2547</v>
      </c>
    </row>
    <row r="5" spans="1:16383" s="1" customFormat="1">
      <c r="A5" s="4" t="s">
        <v>2556</v>
      </c>
      <c r="B5" s="4" t="s">
        <v>2557</v>
      </c>
      <c r="C5" s="4" t="s">
        <v>2558</v>
      </c>
      <c r="D5" s="4" t="s">
        <v>2541</v>
      </c>
      <c r="E5" s="4">
        <v>26733.56</v>
      </c>
      <c r="F5" s="4" t="s">
        <v>2542</v>
      </c>
      <c r="G5" s="4" t="s">
        <v>2543</v>
      </c>
      <c r="H5" s="4" t="s">
        <v>2559</v>
      </c>
      <c r="I5" s="4" t="s">
        <v>2541</v>
      </c>
      <c r="J5" s="8">
        <v>45174.0004976852</v>
      </c>
      <c r="K5" s="4" t="s">
        <v>2545</v>
      </c>
      <c r="L5" s="4" t="s">
        <v>2560</v>
      </c>
      <c r="M5" s="4">
        <v>581.46</v>
      </c>
      <c r="N5" s="4">
        <v>217.5</v>
      </c>
      <c r="O5" s="4">
        <v>14.5</v>
      </c>
      <c r="P5" s="4" t="s">
        <v>2542</v>
      </c>
      <c r="Q5" s="4">
        <v>3910.07</v>
      </c>
      <c r="R5" s="4" t="s">
        <v>2547</v>
      </c>
    </row>
    <row r="6" spans="1:16383" s="1" customFormat="1">
      <c r="A6" s="4" t="s">
        <v>2561</v>
      </c>
      <c r="B6" s="4" t="s">
        <v>2562</v>
      </c>
      <c r="C6" s="4" t="s">
        <v>2563</v>
      </c>
      <c r="D6" s="4" t="s">
        <v>2541</v>
      </c>
      <c r="E6" s="4">
        <v>33290.449999999997</v>
      </c>
      <c r="F6" s="4">
        <v>49935.67</v>
      </c>
      <c r="G6" s="4" t="s">
        <v>2564</v>
      </c>
      <c r="H6" s="4" t="s">
        <v>2544</v>
      </c>
      <c r="I6" s="4" t="s">
        <v>2541</v>
      </c>
      <c r="J6" s="8">
        <v>45170.0004976852</v>
      </c>
      <c r="K6" s="4" t="s">
        <v>2545</v>
      </c>
      <c r="L6" s="4" t="s">
        <v>2565</v>
      </c>
      <c r="M6" s="4">
        <v>1503.06</v>
      </c>
      <c r="N6" s="4">
        <v>451.49</v>
      </c>
      <c r="O6" s="4">
        <v>30.1</v>
      </c>
      <c r="P6" s="4">
        <v>301</v>
      </c>
      <c r="Q6" s="4">
        <v>0.33</v>
      </c>
      <c r="R6" s="4" t="s">
        <v>2547</v>
      </c>
    </row>
    <row r="7" spans="1:16383" s="1" customFormat="1">
      <c r="A7" s="4" t="s">
        <v>2566</v>
      </c>
      <c r="B7" s="4" t="s">
        <v>2567</v>
      </c>
      <c r="C7" s="4" t="s">
        <v>2568</v>
      </c>
      <c r="D7" s="4" t="s">
        <v>2541</v>
      </c>
      <c r="E7" s="4">
        <v>20010.400000000001</v>
      </c>
      <c r="F7" s="4" t="s">
        <v>2542</v>
      </c>
      <c r="G7" s="4" t="s">
        <v>2543</v>
      </c>
      <c r="H7" s="4" t="s">
        <v>2559</v>
      </c>
      <c r="I7" s="4" t="s">
        <v>2541</v>
      </c>
      <c r="J7" s="8">
        <v>45156.0004976852</v>
      </c>
      <c r="K7" s="4" t="s">
        <v>2545</v>
      </c>
      <c r="L7" s="4" t="s">
        <v>2569</v>
      </c>
      <c r="M7" s="4">
        <v>435.23</v>
      </c>
      <c r="N7" s="4">
        <v>217.5</v>
      </c>
      <c r="O7" s="4">
        <v>14.5</v>
      </c>
      <c r="P7" s="4" t="s">
        <v>2542</v>
      </c>
      <c r="Q7" s="4">
        <v>2901.59</v>
      </c>
      <c r="R7" s="4" t="s">
        <v>2547</v>
      </c>
    </row>
    <row r="8" spans="1:16383" s="1" customFormat="1">
      <c r="A8" s="4" t="s">
        <v>2570</v>
      </c>
      <c r="B8" s="4" t="s">
        <v>2571</v>
      </c>
      <c r="C8" s="4" t="s">
        <v>2572</v>
      </c>
      <c r="D8" s="4" t="s">
        <v>2541</v>
      </c>
      <c r="E8" s="4">
        <v>870.23</v>
      </c>
      <c r="F8" s="4">
        <v>870.23</v>
      </c>
      <c r="G8" s="4" t="s">
        <v>2543</v>
      </c>
      <c r="H8" s="4" t="s">
        <v>2544</v>
      </c>
      <c r="I8" s="4" t="s">
        <v>2541</v>
      </c>
      <c r="J8" s="8">
        <v>45134.0004976852</v>
      </c>
      <c r="K8" s="4" t="s">
        <v>2545</v>
      </c>
      <c r="L8" s="4" t="s">
        <v>2573</v>
      </c>
      <c r="M8" s="4">
        <v>17.29</v>
      </c>
      <c r="N8" s="4">
        <v>198.68</v>
      </c>
      <c r="O8" s="4">
        <v>13.25</v>
      </c>
      <c r="P8" s="4">
        <v>199</v>
      </c>
      <c r="Q8" s="4">
        <v>0</v>
      </c>
      <c r="R8" s="4">
        <v>50</v>
      </c>
    </row>
    <row r="9" spans="1:16383" s="1" customFormat="1">
      <c r="A9" s="4" t="s">
        <v>2574</v>
      </c>
      <c r="B9" s="4" t="s">
        <v>2575</v>
      </c>
      <c r="C9" s="4" t="s">
        <v>2576</v>
      </c>
      <c r="D9" s="4" t="s">
        <v>2541</v>
      </c>
      <c r="E9" s="4">
        <v>341339.31</v>
      </c>
      <c r="F9" s="4">
        <v>512008.96000000002</v>
      </c>
      <c r="G9" s="4" t="s">
        <v>2564</v>
      </c>
      <c r="H9" s="4" t="s">
        <v>2559</v>
      </c>
      <c r="I9" s="4" t="s">
        <v>2541</v>
      </c>
      <c r="J9" s="8">
        <v>45118.0004976852</v>
      </c>
      <c r="K9" s="4" t="s">
        <v>2545</v>
      </c>
      <c r="L9" s="4" t="s">
        <v>2577</v>
      </c>
      <c r="M9" s="4">
        <v>17920.310000000001</v>
      </c>
      <c r="N9" s="4">
        <v>524.99</v>
      </c>
      <c r="O9" s="4">
        <v>35</v>
      </c>
      <c r="P9" s="4">
        <v>350</v>
      </c>
      <c r="Q9" s="4">
        <v>0</v>
      </c>
      <c r="R9" s="4" t="s">
        <v>2547</v>
      </c>
    </row>
    <row r="10" spans="1:16383" s="1" customFormat="1">
      <c r="A10" s="4" t="s">
        <v>2578</v>
      </c>
      <c r="B10" s="4" t="s">
        <v>2579</v>
      </c>
      <c r="C10" s="4" t="s">
        <v>2580</v>
      </c>
      <c r="D10" s="4" t="s">
        <v>2541</v>
      </c>
      <c r="E10" s="4">
        <v>133333.34</v>
      </c>
      <c r="F10" s="4">
        <v>133333.34</v>
      </c>
      <c r="G10" s="4" t="s">
        <v>2543</v>
      </c>
      <c r="H10" s="4" t="s">
        <v>2559</v>
      </c>
      <c r="I10" s="4" t="s">
        <v>2541</v>
      </c>
      <c r="J10" s="8">
        <v>45118.0004976852</v>
      </c>
      <c r="K10" s="4" t="s">
        <v>2545</v>
      </c>
      <c r="L10" s="4" t="s">
        <v>2581</v>
      </c>
      <c r="M10" s="4">
        <v>5020</v>
      </c>
      <c r="N10" s="4">
        <v>376.49</v>
      </c>
      <c r="O10" s="4">
        <v>25.1</v>
      </c>
      <c r="P10" s="4">
        <v>377</v>
      </c>
      <c r="Q10" s="4">
        <v>0</v>
      </c>
      <c r="R10" s="4" t="s">
        <v>2547</v>
      </c>
    </row>
    <row r="11" spans="1:16383" s="1" customFormat="1">
      <c r="A11" s="4" t="s">
        <v>2548</v>
      </c>
      <c r="B11" s="4" t="s">
        <v>2582</v>
      </c>
      <c r="C11" s="4" t="s">
        <v>2550</v>
      </c>
      <c r="D11" s="4" t="s">
        <v>2541</v>
      </c>
      <c r="E11" s="4">
        <v>133312.29999999999</v>
      </c>
      <c r="F11" s="4">
        <v>133312.29999999999</v>
      </c>
      <c r="G11" s="4" t="s">
        <v>2583</v>
      </c>
      <c r="H11" s="4" t="s">
        <v>2559</v>
      </c>
      <c r="I11" s="4" t="s">
        <v>2541</v>
      </c>
      <c r="J11" s="8">
        <v>45090.0004976852</v>
      </c>
      <c r="K11" s="4" t="s">
        <v>2545</v>
      </c>
      <c r="L11" s="4" t="s">
        <v>2584</v>
      </c>
      <c r="M11" s="4">
        <v>4299.32</v>
      </c>
      <c r="N11" s="4">
        <v>322.49</v>
      </c>
      <c r="O11" s="4">
        <v>21.5</v>
      </c>
      <c r="P11" s="4">
        <v>323</v>
      </c>
      <c r="Q11" s="4">
        <v>2.38</v>
      </c>
      <c r="R11" s="4" t="s">
        <v>2547</v>
      </c>
    </row>
    <row r="12" spans="1:16383" s="1" customFormat="1">
      <c r="A12" s="4" t="s">
        <v>2585</v>
      </c>
      <c r="B12" s="4" t="s">
        <v>2586</v>
      </c>
      <c r="C12" s="4" t="s">
        <v>2587</v>
      </c>
      <c r="D12" s="4" t="s">
        <v>2541</v>
      </c>
      <c r="E12" s="4">
        <v>66670.62</v>
      </c>
      <c r="F12" s="4">
        <v>100005.93</v>
      </c>
      <c r="G12" s="4" t="s">
        <v>2588</v>
      </c>
      <c r="H12" s="4" t="s">
        <v>2559</v>
      </c>
      <c r="I12" s="4" t="s">
        <v>2541</v>
      </c>
      <c r="J12" s="8">
        <v>45085.0004976852</v>
      </c>
      <c r="K12" s="4" t="s">
        <v>2545</v>
      </c>
      <c r="L12" s="4" t="s">
        <v>2589</v>
      </c>
      <c r="M12" s="4">
        <v>2560.15</v>
      </c>
      <c r="N12" s="4">
        <v>383.99</v>
      </c>
      <c r="O12" s="4">
        <v>25.6</v>
      </c>
      <c r="P12" s="4">
        <v>256</v>
      </c>
      <c r="Q12" s="4">
        <v>0.39</v>
      </c>
      <c r="R12" s="4" t="s">
        <v>2547</v>
      </c>
    </row>
    <row r="13" spans="1:16383" s="1" customFormat="1">
      <c r="A13" s="4" t="s">
        <v>2585</v>
      </c>
      <c r="B13" s="4" t="s">
        <v>2590</v>
      </c>
      <c r="C13" s="4" t="s">
        <v>2587</v>
      </c>
      <c r="D13" s="4" t="s">
        <v>2541</v>
      </c>
      <c r="E13" s="4">
        <v>125057.88</v>
      </c>
      <c r="F13" s="4">
        <v>187586.82</v>
      </c>
      <c r="G13" s="4" t="s">
        <v>2588</v>
      </c>
      <c r="H13" s="4" t="s">
        <v>2559</v>
      </c>
      <c r="I13" s="4" t="s">
        <v>2541</v>
      </c>
      <c r="J13" s="8">
        <v>45075.0004976852</v>
      </c>
      <c r="K13" s="4" t="s">
        <v>2545</v>
      </c>
      <c r="L13" s="4" t="s">
        <v>2591</v>
      </c>
      <c r="M13" s="4">
        <v>4051.88</v>
      </c>
      <c r="N13" s="4">
        <v>324</v>
      </c>
      <c r="O13" s="4">
        <v>21.6</v>
      </c>
      <c r="P13" s="4">
        <v>216</v>
      </c>
      <c r="Q13" s="4">
        <v>0</v>
      </c>
      <c r="R13" s="4" t="s">
        <v>2547</v>
      </c>
    </row>
    <row r="14" spans="1:16383" s="1" customFormat="1">
      <c r="A14" s="4" t="s">
        <v>2592</v>
      </c>
      <c r="B14" s="4" t="s">
        <v>2593</v>
      </c>
      <c r="C14" s="4" t="s">
        <v>2594</v>
      </c>
      <c r="D14" s="4" t="s">
        <v>2541</v>
      </c>
      <c r="E14" s="4">
        <v>10905.35</v>
      </c>
      <c r="F14" s="4">
        <v>10905.35</v>
      </c>
      <c r="G14" s="4" t="s">
        <v>2583</v>
      </c>
      <c r="H14" s="4" t="s">
        <v>2544</v>
      </c>
      <c r="I14" s="4" t="s">
        <v>2541</v>
      </c>
      <c r="J14" s="8">
        <v>45056.0004976852</v>
      </c>
      <c r="K14" s="4" t="s">
        <v>2545</v>
      </c>
      <c r="L14" s="4" t="s">
        <v>2595</v>
      </c>
      <c r="M14" s="4">
        <v>215.95</v>
      </c>
      <c r="N14" s="4">
        <v>198.02</v>
      </c>
      <c r="O14" s="4">
        <v>13.2</v>
      </c>
      <c r="P14" s="4">
        <v>198</v>
      </c>
      <c r="Q14" s="4">
        <v>0</v>
      </c>
      <c r="R14" s="4" t="s">
        <v>2547</v>
      </c>
    </row>
    <row r="15" spans="1:16383" s="2" customFormat="1">
      <c r="A15" s="5" t="s">
        <v>2596</v>
      </c>
      <c r="B15" s="5" t="s">
        <v>2597</v>
      </c>
      <c r="C15" s="5" t="s">
        <v>2598</v>
      </c>
      <c r="D15" s="5" t="s">
        <v>2541</v>
      </c>
      <c r="E15" s="6">
        <v>20004.2</v>
      </c>
      <c r="F15" s="6">
        <v>20004.2</v>
      </c>
      <c r="G15" s="5" t="s">
        <v>2583</v>
      </c>
      <c r="H15" s="5" t="s">
        <v>2544</v>
      </c>
      <c r="I15" s="5" t="s">
        <v>2541</v>
      </c>
      <c r="J15" s="9">
        <v>45056.0004976852</v>
      </c>
      <c r="K15" s="5" t="s">
        <v>2545</v>
      </c>
      <c r="L15" s="5" t="s">
        <v>2599</v>
      </c>
      <c r="M15" s="6">
        <v>285.10000000000002</v>
      </c>
      <c r="N15" s="6">
        <v>142.52000000000001</v>
      </c>
      <c r="O15" s="6">
        <v>9.5</v>
      </c>
      <c r="P15" s="6">
        <v>143</v>
      </c>
      <c r="Q15" s="6">
        <v>0</v>
      </c>
      <c r="R15" s="5" t="s">
        <v>2547</v>
      </c>
      <c r="S15" s="11"/>
      <c r="T15" s="11"/>
      <c r="U15" s="11"/>
      <c r="V15" s="11"/>
      <c r="W15" s="11"/>
      <c r="X15" s="11"/>
      <c r="Y15" s="11"/>
      <c r="Z15" s="11"/>
      <c r="AA15" s="11"/>
      <c r="AB15" s="11"/>
      <c r="AC15" s="11"/>
      <c r="AD15" s="11"/>
      <c r="AE15" s="11"/>
      <c r="AF15" s="11"/>
      <c r="AG15" s="11"/>
      <c r="AH15" s="11"/>
      <c r="AI15" s="11"/>
      <c r="AJ15" s="11"/>
      <c r="AK15" s="11"/>
      <c r="AL15" s="11"/>
      <c r="AM15" s="11"/>
      <c r="AN15" s="11"/>
      <c r="AO15" s="11"/>
      <c r="AP15" s="11"/>
      <c r="AQ15" s="11"/>
      <c r="AR15" s="11"/>
      <c r="AS15" s="11"/>
      <c r="AT15" s="11"/>
      <c r="AU15" s="11"/>
      <c r="AV15" s="11"/>
      <c r="AW15" s="11"/>
      <c r="AX15" s="11"/>
      <c r="AY15" s="11"/>
      <c r="AZ15" s="11"/>
      <c r="BA15" s="11"/>
      <c r="BB15" s="11"/>
      <c r="BC15" s="11"/>
      <c r="BD15" s="11"/>
      <c r="BE15" s="11"/>
      <c r="BF15" s="11"/>
      <c r="BG15" s="11"/>
      <c r="BH15" s="11"/>
      <c r="BI15" s="11"/>
      <c r="BJ15" s="11"/>
      <c r="BK15" s="11"/>
      <c r="BL15" s="11"/>
      <c r="BM15" s="11"/>
      <c r="BN15" s="11"/>
      <c r="BO15" s="11"/>
      <c r="BP15" s="11"/>
      <c r="BQ15" s="11"/>
      <c r="BR15" s="11"/>
      <c r="BS15" s="11"/>
      <c r="BT15" s="11"/>
      <c r="BU15" s="11"/>
      <c r="BV15" s="11"/>
      <c r="BW15" s="11"/>
      <c r="BX15" s="11"/>
      <c r="BY15" s="11"/>
      <c r="BZ15" s="11"/>
      <c r="CA15" s="11"/>
      <c r="CB15" s="11"/>
      <c r="CC15" s="11"/>
      <c r="CD15" s="11"/>
      <c r="CE15" s="11"/>
      <c r="CF15" s="11"/>
      <c r="CG15" s="11"/>
      <c r="CH15" s="11"/>
      <c r="CI15" s="11"/>
      <c r="CJ15" s="11"/>
      <c r="CK15" s="11"/>
      <c r="CL15" s="11"/>
      <c r="CM15" s="11"/>
      <c r="CN15" s="11"/>
      <c r="CO15" s="11"/>
      <c r="CP15" s="11"/>
      <c r="CQ15" s="11"/>
      <c r="CR15" s="11"/>
      <c r="CS15" s="11"/>
      <c r="CT15" s="11"/>
      <c r="CU15" s="11"/>
      <c r="CV15" s="11"/>
      <c r="CW15" s="11"/>
      <c r="CX15" s="11"/>
      <c r="CY15" s="11"/>
      <c r="CZ15" s="11"/>
      <c r="DA15" s="11"/>
      <c r="DB15" s="11"/>
      <c r="DC15" s="11"/>
      <c r="DD15" s="11"/>
      <c r="DE15" s="11"/>
      <c r="DF15" s="11"/>
      <c r="DG15" s="11"/>
      <c r="DH15" s="11"/>
      <c r="DI15" s="11"/>
      <c r="DJ15" s="11"/>
      <c r="DK15" s="11"/>
      <c r="DL15" s="11"/>
      <c r="DM15" s="11"/>
      <c r="DN15" s="11"/>
      <c r="DO15" s="11"/>
      <c r="DP15" s="11"/>
      <c r="DQ15" s="11"/>
      <c r="DR15" s="11"/>
      <c r="DS15" s="11"/>
      <c r="DT15" s="11"/>
      <c r="DU15" s="11"/>
      <c r="DV15" s="11"/>
      <c r="DW15" s="11"/>
      <c r="DX15" s="11"/>
      <c r="DY15" s="11"/>
      <c r="DZ15" s="11"/>
      <c r="EA15" s="11"/>
      <c r="EB15" s="11"/>
      <c r="EC15" s="11"/>
      <c r="ED15" s="11"/>
      <c r="EE15" s="11"/>
      <c r="EF15" s="11"/>
      <c r="EG15" s="11"/>
      <c r="EH15" s="11"/>
      <c r="EI15" s="11"/>
      <c r="EJ15" s="11"/>
      <c r="EK15" s="11"/>
      <c r="EL15" s="11"/>
      <c r="EM15" s="11"/>
      <c r="EN15" s="11"/>
      <c r="EO15" s="11"/>
      <c r="EP15" s="11"/>
      <c r="EQ15" s="11"/>
      <c r="ER15" s="11"/>
      <c r="ES15" s="11"/>
      <c r="ET15" s="11"/>
      <c r="EU15" s="11"/>
      <c r="EV15" s="11"/>
      <c r="EW15" s="11"/>
      <c r="EX15" s="11"/>
      <c r="EY15" s="11"/>
      <c r="EZ15" s="11"/>
      <c r="FA15" s="11"/>
      <c r="FB15" s="11"/>
      <c r="FC15" s="11"/>
      <c r="FD15" s="11"/>
      <c r="FE15" s="11"/>
      <c r="FF15" s="11"/>
      <c r="FG15" s="11"/>
      <c r="FH15" s="11"/>
      <c r="FI15" s="11"/>
      <c r="FJ15" s="11"/>
      <c r="FK15" s="11"/>
      <c r="FL15" s="11"/>
      <c r="FM15" s="11"/>
      <c r="FN15" s="11"/>
      <c r="FO15" s="11"/>
      <c r="FP15" s="11"/>
      <c r="FQ15" s="11"/>
      <c r="FR15" s="11"/>
      <c r="FS15" s="11"/>
      <c r="FT15" s="11"/>
      <c r="FU15" s="11"/>
      <c r="FV15" s="11"/>
      <c r="FW15" s="11"/>
      <c r="FX15" s="11"/>
      <c r="FY15" s="11"/>
      <c r="FZ15" s="11"/>
      <c r="GA15" s="11"/>
      <c r="GB15" s="11"/>
      <c r="GC15" s="11"/>
      <c r="GD15" s="11"/>
      <c r="GE15" s="11"/>
      <c r="GF15" s="11"/>
      <c r="GG15" s="11"/>
      <c r="GH15" s="11"/>
      <c r="GI15" s="11"/>
      <c r="GJ15" s="11"/>
      <c r="GK15" s="11"/>
      <c r="GL15" s="11"/>
      <c r="GM15" s="11"/>
      <c r="GN15" s="11"/>
      <c r="GO15" s="11"/>
      <c r="GP15" s="11"/>
      <c r="GQ15" s="11"/>
      <c r="GR15" s="11"/>
      <c r="GS15" s="11"/>
      <c r="GT15" s="11"/>
      <c r="GU15" s="11"/>
      <c r="GV15" s="11"/>
      <c r="GW15" s="11"/>
      <c r="GX15" s="11"/>
      <c r="GY15" s="11"/>
      <c r="GZ15" s="11"/>
      <c r="HA15" s="11"/>
      <c r="HB15" s="11"/>
      <c r="HC15" s="11"/>
      <c r="HD15" s="11"/>
      <c r="HE15" s="11"/>
      <c r="HF15" s="11"/>
      <c r="HG15" s="11"/>
      <c r="HH15" s="11"/>
      <c r="HI15" s="11"/>
      <c r="HJ15" s="11"/>
      <c r="HK15" s="11"/>
      <c r="HL15" s="11"/>
      <c r="HM15" s="11"/>
      <c r="HN15" s="11"/>
      <c r="HO15" s="11"/>
      <c r="HP15" s="11"/>
      <c r="HQ15" s="11"/>
      <c r="HR15" s="11"/>
      <c r="HS15" s="11"/>
      <c r="HT15" s="11"/>
      <c r="HU15" s="11"/>
      <c r="HV15" s="11"/>
      <c r="HW15" s="11"/>
      <c r="HX15" s="11"/>
      <c r="HY15" s="11"/>
      <c r="HZ15" s="11"/>
      <c r="IA15" s="11"/>
      <c r="IB15" s="11"/>
      <c r="IC15" s="11"/>
      <c r="ID15" s="11"/>
      <c r="IE15" s="11"/>
      <c r="IF15" s="11"/>
      <c r="IG15" s="11"/>
      <c r="IH15" s="11"/>
      <c r="II15" s="11"/>
      <c r="IJ15" s="11"/>
      <c r="IK15" s="11"/>
      <c r="IL15" s="11"/>
      <c r="IM15" s="11"/>
      <c r="IN15" s="11"/>
      <c r="IO15" s="11"/>
      <c r="IP15" s="11"/>
      <c r="IQ15" s="11"/>
      <c r="IR15" s="11"/>
      <c r="IS15" s="11"/>
      <c r="IT15" s="11"/>
      <c r="IU15" s="11"/>
      <c r="IV15" s="11"/>
      <c r="IW15" s="11"/>
      <c r="IX15" s="11"/>
      <c r="IY15" s="11"/>
      <c r="IZ15" s="11"/>
      <c r="JA15" s="11"/>
      <c r="JB15" s="11"/>
      <c r="JC15" s="11"/>
      <c r="JD15" s="11"/>
      <c r="JE15" s="11"/>
      <c r="JF15" s="11"/>
      <c r="JG15" s="11"/>
      <c r="JH15" s="11"/>
      <c r="JI15" s="11"/>
      <c r="JJ15" s="11"/>
      <c r="JK15" s="11"/>
      <c r="JL15" s="11"/>
      <c r="JM15" s="11"/>
      <c r="JN15" s="11"/>
      <c r="JO15" s="11"/>
      <c r="JP15" s="11"/>
      <c r="JQ15" s="11"/>
      <c r="JR15" s="11"/>
      <c r="JS15" s="11"/>
      <c r="JT15" s="11"/>
      <c r="JU15" s="11"/>
      <c r="JV15" s="11"/>
      <c r="JW15" s="11"/>
      <c r="JX15" s="11"/>
      <c r="JY15" s="11"/>
      <c r="JZ15" s="11"/>
      <c r="KA15" s="11"/>
      <c r="KB15" s="11"/>
      <c r="KC15" s="11"/>
      <c r="KD15" s="11"/>
      <c r="KE15" s="11"/>
      <c r="KF15" s="11"/>
      <c r="KG15" s="11"/>
      <c r="KH15" s="11"/>
      <c r="KI15" s="11"/>
      <c r="KJ15" s="11"/>
      <c r="KK15" s="11"/>
      <c r="KL15" s="11"/>
      <c r="KM15" s="11"/>
      <c r="KN15" s="11"/>
      <c r="KO15" s="11"/>
      <c r="KP15" s="11"/>
      <c r="KQ15" s="11"/>
      <c r="KR15" s="11"/>
      <c r="KS15" s="11"/>
      <c r="KT15" s="11"/>
      <c r="KU15" s="11"/>
      <c r="KV15" s="11"/>
      <c r="KW15" s="11"/>
      <c r="KX15" s="11"/>
      <c r="KY15" s="11"/>
      <c r="KZ15" s="11"/>
      <c r="LA15" s="11"/>
      <c r="LB15" s="11"/>
      <c r="LC15" s="11"/>
      <c r="LD15" s="11"/>
      <c r="LE15" s="11"/>
      <c r="LF15" s="11"/>
      <c r="LG15" s="11"/>
      <c r="LH15" s="11"/>
      <c r="LI15" s="11"/>
      <c r="LJ15" s="11"/>
      <c r="LK15" s="11"/>
      <c r="LL15" s="11"/>
      <c r="LM15" s="11"/>
      <c r="LN15" s="11"/>
      <c r="LO15" s="11"/>
      <c r="LP15" s="11"/>
      <c r="LQ15" s="11"/>
      <c r="LR15" s="11"/>
      <c r="LS15" s="11"/>
      <c r="LT15" s="11"/>
      <c r="LU15" s="11"/>
      <c r="LV15" s="11"/>
      <c r="LW15" s="11"/>
      <c r="LX15" s="11"/>
      <c r="LY15" s="11"/>
      <c r="LZ15" s="11"/>
      <c r="MA15" s="11"/>
      <c r="MB15" s="11"/>
      <c r="MC15" s="11"/>
      <c r="MD15" s="11"/>
      <c r="ME15" s="11"/>
      <c r="MF15" s="11"/>
      <c r="MG15" s="11"/>
      <c r="MH15" s="11"/>
      <c r="MI15" s="11"/>
      <c r="MJ15" s="11"/>
      <c r="MK15" s="11"/>
      <c r="ML15" s="11"/>
      <c r="MM15" s="11"/>
      <c r="MN15" s="11"/>
      <c r="MO15" s="11"/>
      <c r="MP15" s="11"/>
      <c r="MQ15" s="11"/>
      <c r="MR15" s="11"/>
      <c r="MS15" s="11"/>
      <c r="MT15" s="11"/>
      <c r="MU15" s="11"/>
      <c r="MV15" s="11"/>
      <c r="MW15" s="11"/>
      <c r="MX15" s="11"/>
      <c r="MY15" s="11"/>
      <c r="MZ15" s="11"/>
      <c r="NA15" s="11"/>
      <c r="NB15" s="11"/>
      <c r="NC15" s="11"/>
      <c r="ND15" s="11"/>
      <c r="NE15" s="11"/>
      <c r="NF15" s="11"/>
      <c r="NG15" s="11"/>
      <c r="NH15" s="11"/>
      <c r="NI15" s="11"/>
      <c r="NJ15" s="11"/>
      <c r="NK15" s="11"/>
      <c r="NL15" s="11"/>
      <c r="NM15" s="11"/>
      <c r="NN15" s="11"/>
      <c r="NO15" s="11"/>
      <c r="NP15" s="11"/>
      <c r="NQ15" s="11"/>
      <c r="NR15" s="11"/>
      <c r="NS15" s="11"/>
      <c r="NT15" s="11"/>
      <c r="NU15" s="11"/>
      <c r="NV15" s="11"/>
      <c r="NW15" s="11"/>
      <c r="NX15" s="11"/>
      <c r="NY15" s="11"/>
      <c r="NZ15" s="11"/>
      <c r="OA15" s="11"/>
      <c r="OB15" s="11"/>
      <c r="OC15" s="11"/>
      <c r="OD15" s="11"/>
      <c r="OE15" s="11"/>
      <c r="OF15" s="11"/>
      <c r="OG15" s="11"/>
      <c r="OH15" s="11"/>
      <c r="OI15" s="11"/>
      <c r="OJ15" s="11"/>
      <c r="OK15" s="11"/>
      <c r="OL15" s="11"/>
      <c r="OM15" s="11"/>
      <c r="ON15" s="11"/>
      <c r="OO15" s="11"/>
      <c r="OP15" s="11"/>
      <c r="OQ15" s="11"/>
      <c r="OR15" s="11"/>
      <c r="OS15" s="11"/>
      <c r="OT15" s="11"/>
      <c r="OU15" s="11"/>
      <c r="OV15" s="11"/>
      <c r="OW15" s="11"/>
      <c r="OX15" s="11"/>
      <c r="OY15" s="11"/>
      <c r="OZ15" s="11"/>
      <c r="PA15" s="11"/>
      <c r="PB15" s="11"/>
      <c r="PC15" s="11"/>
      <c r="PD15" s="11"/>
      <c r="PE15" s="11"/>
      <c r="PF15" s="11"/>
      <c r="PG15" s="11"/>
      <c r="PH15" s="11"/>
      <c r="PI15" s="11"/>
      <c r="PJ15" s="11"/>
      <c r="PK15" s="11"/>
      <c r="PL15" s="11"/>
      <c r="PM15" s="11"/>
      <c r="PN15" s="11"/>
      <c r="PO15" s="11"/>
      <c r="PP15" s="11"/>
      <c r="PQ15" s="11"/>
      <c r="PR15" s="11"/>
      <c r="PS15" s="11"/>
      <c r="PT15" s="11"/>
      <c r="PU15" s="11"/>
      <c r="PV15" s="11"/>
      <c r="PW15" s="11"/>
      <c r="PX15" s="11"/>
      <c r="PY15" s="11"/>
      <c r="PZ15" s="11"/>
      <c r="QA15" s="11"/>
      <c r="QB15" s="11"/>
      <c r="QC15" s="11"/>
      <c r="QD15" s="11"/>
      <c r="QE15" s="11"/>
      <c r="QF15" s="11"/>
      <c r="QG15" s="11"/>
      <c r="QH15" s="11"/>
      <c r="QI15" s="11"/>
      <c r="QJ15" s="11"/>
      <c r="QK15" s="11"/>
      <c r="QL15" s="11"/>
      <c r="QM15" s="11"/>
      <c r="QN15" s="11"/>
      <c r="QO15" s="11"/>
      <c r="QP15" s="11"/>
      <c r="QQ15" s="11"/>
      <c r="QR15" s="11"/>
      <c r="QS15" s="11"/>
      <c r="QT15" s="11"/>
      <c r="QU15" s="11"/>
      <c r="QV15" s="11"/>
      <c r="QW15" s="11"/>
      <c r="QX15" s="11"/>
      <c r="QY15" s="11"/>
      <c r="QZ15" s="11"/>
      <c r="RA15" s="11"/>
      <c r="RB15" s="11"/>
      <c r="RC15" s="11"/>
      <c r="RD15" s="11"/>
      <c r="RE15" s="11"/>
      <c r="RF15" s="11"/>
      <c r="RG15" s="11"/>
      <c r="RH15" s="11"/>
      <c r="RI15" s="11"/>
      <c r="RJ15" s="11"/>
      <c r="RK15" s="11"/>
      <c r="RL15" s="11"/>
      <c r="RM15" s="11"/>
      <c r="RN15" s="11"/>
      <c r="RO15" s="11"/>
      <c r="RP15" s="11"/>
      <c r="RQ15" s="11"/>
      <c r="RR15" s="11"/>
      <c r="RS15" s="11"/>
      <c r="RT15" s="11"/>
      <c r="RU15" s="11"/>
      <c r="RV15" s="11"/>
      <c r="RW15" s="11"/>
      <c r="RX15" s="11"/>
      <c r="RY15" s="11"/>
      <c r="RZ15" s="11"/>
      <c r="SA15" s="11"/>
      <c r="SB15" s="11"/>
      <c r="SC15" s="11"/>
      <c r="SD15" s="11"/>
      <c r="SE15" s="11"/>
      <c r="SF15" s="11"/>
      <c r="SG15" s="11"/>
      <c r="SH15" s="11"/>
      <c r="SI15" s="11"/>
      <c r="SJ15" s="11"/>
      <c r="SK15" s="11"/>
      <c r="SL15" s="11"/>
      <c r="SM15" s="11"/>
      <c r="SN15" s="11"/>
      <c r="SO15" s="11"/>
      <c r="SP15" s="11"/>
      <c r="SQ15" s="11"/>
      <c r="SR15" s="11"/>
      <c r="SS15" s="11"/>
      <c r="ST15" s="11"/>
      <c r="SU15" s="11"/>
      <c r="SV15" s="11"/>
      <c r="SW15" s="11"/>
      <c r="SX15" s="11"/>
      <c r="SY15" s="11"/>
      <c r="SZ15" s="11"/>
      <c r="TA15" s="11"/>
      <c r="TB15" s="11"/>
      <c r="TC15" s="11"/>
      <c r="TD15" s="11"/>
      <c r="TE15" s="11"/>
      <c r="TF15" s="11"/>
      <c r="TG15" s="11"/>
      <c r="TH15" s="11"/>
      <c r="TI15" s="11"/>
      <c r="TJ15" s="11"/>
      <c r="TK15" s="11"/>
      <c r="TL15" s="11"/>
      <c r="TM15" s="11"/>
      <c r="TN15" s="11"/>
      <c r="TO15" s="11"/>
      <c r="TP15" s="11"/>
      <c r="TQ15" s="11"/>
      <c r="TR15" s="11"/>
      <c r="TS15" s="11"/>
      <c r="TT15" s="11"/>
      <c r="TU15" s="11"/>
      <c r="TV15" s="11"/>
      <c r="TW15" s="11"/>
      <c r="TX15" s="11"/>
      <c r="TY15" s="11"/>
      <c r="TZ15" s="11"/>
      <c r="UA15" s="11"/>
      <c r="UB15" s="11"/>
      <c r="UC15" s="11"/>
      <c r="UD15" s="11"/>
      <c r="UE15" s="11"/>
      <c r="UF15" s="11"/>
      <c r="UG15" s="11"/>
      <c r="UH15" s="11"/>
      <c r="UI15" s="11"/>
      <c r="UJ15" s="11"/>
      <c r="UK15" s="11"/>
      <c r="UL15" s="11"/>
      <c r="UM15" s="11"/>
      <c r="UN15" s="11"/>
      <c r="UO15" s="11"/>
      <c r="UP15" s="11"/>
      <c r="UQ15" s="11"/>
      <c r="UR15" s="11"/>
      <c r="US15" s="11"/>
      <c r="UT15" s="11"/>
      <c r="UU15" s="11"/>
      <c r="UV15" s="11"/>
      <c r="UW15" s="11"/>
      <c r="UX15" s="11"/>
      <c r="UY15" s="11"/>
      <c r="UZ15" s="11"/>
      <c r="VA15" s="11"/>
      <c r="VB15" s="11"/>
      <c r="VC15" s="11"/>
      <c r="VD15" s="11"/>
      <c r="VE15" s="11"/>
      <c r="VF15" s="11"/>
      <c r="VG15" s="11"/>
      <c r="VH15" s="11"/>
      <c r="VI15" s="11"/>
      <c r="VJ15" s="11"/>
      <c r="VK15" s="11"/>
      <c r="VL15" s="11"/>
      <c r="VM15" s="11"/>
      <c r="VN15" s="11"/>
      <c r="VO15" s="11"/>
      <c r="VP15" s="11"/>
      <c r="VQ15" s="11"/>
      <c r="VR15" s="11"/>
      <c r="VS15" s="11"/>
      <c r="VT15" s="11"/>
      <c r="VU15" s="11"/>
      <c r="VV15" s="11"/>
      <c r="VW15" s="11"/>
      <c r="VX15" s="11"/>
      <c r="VY15" s="11"/>
      <c r="VZ15" s="11"/>
      <c r="WA15" s="11"/>
      <c r="WB15" s="11"/>
      <c r="WC15" s="11"/>
      <c r="WD15" s="11"/>
      <c r="WE15" s="11"/>
      <c r="WF15" s="11"/>
      <c r="WG15" s="11"/>
      <c r="WH15" s="11"/>
      <c r="WI15" s="11"/>
      <c r="WJ15" s="11"/>
      <c r="WK15" s="11"/>
      <c r="WL15" s="11"/>
      <c r="WM15" s="11"/>
      <c r="WN15" s="11"/>
      <c r="WO15" s="11"/>
      <c r="WP15" s="11"/>
      <c r="WQ15" s="11"/>
      <c r="WR15" s="11"/>
      <c r="WS15" s="11"/>
      <c r="WT15" s="11"/>
      <c r="WU15" s="11"/>
      <c r="WV15" s="11"/>
      <c r="WW15" s="11"/>
      <c r="WX15" s="11"/>
      <c r="WY15" s="11"/>
      <c r="WZ15" s="11"/>
      <c r="XA15" s="11"/>
      <c r="XB15" s="11"/>
      <c r="XC15" s="11"/>
      <c r="XD15" s="11"/>
      <c r="XE15" s="11"/>
      <c r="XF15" s="11"/>
      <c r="XG15" s="11"/>
      <c r="XH15" s="11"/>
      <c r="XI15" s="11"/>
      <c r="XJ15" s="11"/>
      <c r="XK15" s="11"/>
      <c r="XL15" s="11"/>
      <c r="XM15" s="11"/>
      <c r="XN15" s="11"/>
      <c r="XO15" s="11"/>
      <c r="XP15" s="11"/>
      <c r="XQ15" s="11"/>
      <c r="XR15" s="11"/>
      <c r="XS15" s="11"/>
      <c r="XT15" s="11"/>
      <c r="XU15" s="11"/>
      <c r="XV15" s="11"/>
      <c r="XW15" s="11"/>
      <c r="XX15" s="11"/>
      <c r="XY15" s="11"/>
      <c r="XZ15" s="11"/>
      <c r="YA15" s="11"/>
      <c r="YB15" s="11"/>
      <c r="YC15" s="11"/>
      <c r="YD15" s="11"/>
      <c r="YE15" s="11"/>
      <c r="YF15" s="11"/>
      <c r="YG15" s="11"/>
      <c r="YH15" s="11"/>
      <c r="YI15" s="11"/>
      <c r="YJ15" s="11"/>
      <c r="YK15" s="11"/>
      <c r="YL15" s="11"/>
      <c r="YM15" s="11"/>
      <c r="YN15" s="11"/>
      <c r="YO15" s="11"/>
      <c r="YP15" s="11"/>
      <c r="YQ15" s="11"/>
      <c r="YR15" s="11"/>
      <c r="YS15" s="11"/>
      <c r="YT15" s="11"/>
      <c r="YU15" s="11"/>
      <c r="YV15" s="11"/>
      <c r="YW15" s="11"/>
      <c r="YX15" s="11"/>
      <c r="YY15" s="11"/>
      <c r="YZ15" s="11"/>
      <c r="ZA15" s="11"/>
      <c r="ZB15" s="11"/>
      <c r="ZC15" s="11"/>
      <c r="ZD15" s="11"/>
      <c r="ZE15" s="11"/>
      <c r="ZF15" s="11"/>
      <c r="ZG15" s="11"/>
      <c r="ZH15" s="11"/>
      <c r="ZI15" s="11"/>
      <c r="ZJ15" s="11"/>
      <c r="ZK15" s="11"/>
      <c r="ZL15" s="11"/>
      <c r="ZM15" s="11"/>
      <c r="ZN15" s="11"/>
      <c r="ZO15" s="11"/>
      <c r="ZP15" s="11"/>
      <c r="ZQ15" s="11"/>
      <c r="ZR15" s="11"/>
      <c r="ZS15" s="11"/>
      <c r="ZT15" s="11"/>
      <c r="ZU15" s="11"/>
      <c r="ZV15" s="11"/>
      <c r="ZW15" s="11"/>
      <c r="ZX15" s="11"/>
      <c r="ZY15" s="11"/>
      <c r="ZZ15" s="11"/>
      <c r="AAA15" s="11"/>
      <c r="AAB15" s="11"/>
      <c r="AAC15" s="11"/>
      <c r="AAD15" s="11"/>
      <c r="AAE15" s="11"/>
      <c r="AAF15" s="11"/>
      <c r="AAG15" s="11"/>
      <c r="AAH15" s="11"/>
      <c r="AAI15" s="11"/>
      <c r="AAJ15" s="11"/>
      <c r="AAK15" s="11"/>
      <c r="AAL15" s="11"/>
      <c r="AAM15" s="11"/>
      <c r="AAN15" s="11"/>
      <c r="AAO15" s="11"/>
      <c r="AAP15" s="11"/>
      <c r="AAQ15" s="11"/>
      <c r="AAR15" s="11"/>
      <c r="AAS15" s="11"/>
      <c r="AAT15" s="11"/>
      <c r="AAU15" s="11"/>
      <c r="AAV15" s="11"/>
      <c r="AAW15" s="11"/>
      <c r="AAX15" s="11"/>
      <c r="AAY15" s="11"/>
      <c r="AAZ15" s="11"/>
      <c r="ABA15" s="11"/>
      <c r="ABB15" s="11"/>
      <c r="ABC15" s="11"/>
      <c r="ABD15" s="11"/>
      <c r="ABE15" s="11"/>
      <c r="ABF15" s="11"/>
      <c r="ABG15" s="11"/>
      <c r="ABH15" s="11"/>
      <c r="ABI15" s="11"/>
      <c r="ABJ15" s="11"/>
      <c r="ABK15" s="11"/>
      <c r="ABL15" s="11"/>
      <c r="ABM15" s="11"/>
      <c r="ABN15" s="11"/>
      <c r="ABO15" s="11"/>
      <c r="ABP15" s="11"/>
      <c r="ABQ15" s="11"/>
      <c r="ABR15" s="11"/>
      <c r="ABS15" s="11"/>
      <c r="ABT15" s="11"/>
      <c r="ABU15" s="11"/>
      <c r="ABV15" s="11"/>
      <c r="ABW15" s="11"/>
      <c r="ABX15" s="11"/>
      <c r="ABY15" s="11"/>
      <c r="ABZ15" s="11"/>
      <c r="ACA15" s="11"/>
      <c r="ACB15" s="11"/>
      <c r="ACC15" s="11"/>
      <c r="ACD15" s="11"/>
      <c r="ACE15" s="11"/>
      <c r="ACF15" s="11"/>
      <c r="ACG15" s="11"/>
      <c r="ACH15" s="11"/>
      <c r="ACI15" s="11"/>
      <c r="ACJ15" s="11"/>
      <c r="ACK15" s="11"/>
      <c r="ACL15" s="11"/>
      <c r="ACM15" s="11"/>
      <c r="ACN15" s="11"/>
      <c r="ACO15" s="11"/>
      <c r="ACP15" s="11"/>
      <c r="ACQ15" s="11"/>
      <c r="ACR15" s="11"/>
      <c r="ACS15" s="11"/>
      <c r="ACT15" s="11"/>
      <c r="ACU15" s="11"/>
      <c r="ACV15" s="11"/>
      <c r="ACW15" s="11"/>
      <c r="ACX15" s="11"/>
      <c r="ACY15" s="11"/>
      <c r="ACZ15" s="11"/>
      <c r="ADA15" s="11"/>
      <c r="ADB15" s="11"/>
      <c r="ADC15" s="11"/>
      <c r="ADD15" s="11"/>
      <c r="ADE15" s="11"/>
      <c r="ADF15" s="11"/>
      <c r="ADG15" s="11"/>
      <c r="ADH15" s="11"/>
      <c r="ADI15" s="11"/>
      <c r="ADJ15" s="11"/>
      <c r="ADK15" s="11"/>
      <c r="ADL15" s="11"/>
      <c r="ADM15" s="11"/>
      <c r="ADN15" s="11"/>
      <c r="ADO15" s="11"/>
      <c r="ADP15" s="11"/>
      <c r="ADQ15" s="11"/>
      <c r="ADR15" s="11"/>
      <c r="ADS15" s="11"/>
      <c r="ADT15" s="11"/>
      <c r="ADU15" s="11"/>
      <c r="ADV15" s="11"/>
      <c r="ADW15" s="11"/>
      <c r="ADX15" s="11"/>
      <c r="ADY15" s="11"/>
      <c r="ADZ15" s="11"/>
      <c r="AEA15" s="11"/>
      <c r="AEB15" s="11"/>
      <c r="AEC15" s="11"/>
      <c r="AED15" s="11"/>
      <c r="AEE15" s="11"/>
      <c r="AEF15" s="11"/>
      <c r="AEG15" s="11"/>
      <c r="AEH15" s="11"/>
      <c r="AEI15" s="11"/>
      <c r="AEJ15" s="11"/>
      <c r="AEK15" s="11"/>
      <c r="AEL15" s="11"/>
      <c r="AEM15" s="11"/>
      <c r="AEN15" s="11"/>
      <c r="AEO15" s="11"/>
      <c r="AEP15" s="11"/>
      <c r="AEQ15" s="11"/>
      <c r="AER15" s="11"/>
      <c r="AES15" s="11"/>
      <c r="AET15" s="11"/>
      <c r="AEU15" s="11"/>
      <c r="AEV15" s="11"/>
      <c r="AEW15" s="11"/>
      <c r="AEX15" s="11"/>
      <c r="AEY15" s="11"/>
      <c r="AEZ15" s="11"/>
      <c r="AFA15" s="11"/>
      <c r="AFB15" s="11"/>
      <c r="AFC15" s="11"/>
      <c r="AFD15" s="11"/>
      <c r="AFE15" s="11"/>
      <c r="AFF15" s="11"/>
      <c r="AFG15" s="11"/>
      <c r="AFH15" s="11"/>
      <c r="AFI15" s="11"/>
      <c r="AFJ15" s="11"/>
      <c r="AFK15" s="11"/>
      <c r="AFL15" s="11"/>
      <c r="AFM15" s="11"/>
      <c r="AFN15" s="11"/>
      <c r="AFO15" s="11"/>
      <c r="AFP15" s="11"/>
      <c r="AFQ15" s="11"/>
      <c r="AFR15" s="11"/>
      <c r="AFS15" s="11"/>
      <c r="AFT15" s="11"/>
      <c r="AFU15" s="11"/>
      <c r="AFV15" s="11"/>
      <c r="AFW15" s="11"/>
      <c r="AFX15" s="11"/>
      <c r="AFY15" s="11"/>
      <c r="AFZ15" s="11"/>
      <c r="AGA15" s="11"/>
      <c r="AGB15" s="11"/>
      <c r="AGC15" s="11"/>
      <c r="AGD15" s="11"/>
      <c r="AGE15" s="11"/>
      <c r="AGF15" s="11"/>
      <c r="AGG15" s="11"/>
      <c r="AGH15" s="11"/>
      <c r="AGI15" s="11"/>
      <c r="AGJ15" s="11"/>
      <c r="AGK15" s="11"/>
      <c r="AGL15" s="11"/>
      <c r="AGM15" s="11"/>
      <c r="AGN15" s="11"/>
      <c r="AGO15" s="11"/>
      <c r="AGP15" s="11"/>
      <c r="AGQ15" s="11"/>
      <c r="AGR15" s="11"/>
      <c r="AGS15" s="11"/>
      <c r="AGT15" s="11"/>
      <c r="AGU15" s="11"/>
      <c r="AGV15" s="11"/>
      <c r="AGW15" s="11"/>
      <c r="AGX15" s="11"/>
      <c r="AGY15" s="11"/>
      <c r="AGZ15" s="11"/>
      <c r="AHA15" s="11"/>
      <c r="AHB15" s="11"/>
      <c r="AHC15" s="11"/>
      <c r="AHD15" s="11"/>
      <c r="AHE15" s="11"/>
      <c r="AHF15" s="11"/>
      <c r="AHG15" s="11"/>
      <c r="AHH15" s="11"/>
      <c r="AHI15" s="11"/>
      <c r="AHJ15" s="11"/>
      <c r="AHK15" s="11"/>
      <c r="AHL15" s="11"/>
      <c r="AHM15" s="11"/>
      <c r="AHN15" s="11"/>
      <c r="AHO15" s="11"/>
      <c r="AHP15" s="11"/>
      <c r="AHQ15" s="11"/>
      <c r="AHR15" s="11"/>
      <c r="AHS15" s="11"/>
      <c r="AHT15" s="11"/>
      <c r="AHU15" s="11"/>
      <c r="AHV15" s="11"/>
      <c r="AHW15" s="11"/>
      <c r="AHX15" s="11"/>
      <c r="AHY15" s="11"/>
      <c r="AHZ15" s="11"/>
      <c r="AIA15" s="11"/>
      <c r="AIB15" s="11"/>
      <c r="AIC15" s="11"/>
      <c r="AID15" s="11"/>
      <c r="AIE15" s="11"/>
      <c r="AIF15" s="11"/>
      <c r="AIG15" s="11"/>
      <c r="AIH15" s="11"/>
      <c r="AII15" s="11"/>
      <c r="AIJ15" s="11"/>
      <c r="AIK15" s="11"/>
      <c r="AIL15" s="11"/>
      <c r="AIM15" s="11"/>
      <c r="AIN15" s="11"/>
      <c r="AIO15" s="11"/>
      <c r="AIP15" s="11"/>
      <c r="AIQ15" s="11"/>
      <c r="AIR15" s="11"/>
      <c r="AIS15" s="11"/>
      <c r="AIT15" s="11"/>
      <c r="AIU15" s="11"/>
      <c r="AIV15" s="11"/>
      <c r="AIW15" s="11"/>
      <c r="AIX15" s="11"/>
      <c r="AIY15" s="11"/>
      <c r="AIZ15" s="11"/>
      <c r="AJA15" s="11"/>
      <c r="AJB15" s="11"/>
      <c r="AJC15" s="11"/>
      <c r="AJD15" s="11"/>
      <c r="AJE15" s="11"/>
      <c r="AJF15" s="11"/>
      <c r="AJG15" s="11"/>
      <c r="AJH15" s="11"/>
      <c r="AJI15" s="11"/>
      <c r="AJJ15" s="11"/>
      <c r="AJK15" s="11"/>
      <c r="AJL15" s="11"/>
      <c r="AJM15" s="11"/>
      <c r="AJN15" s="11"/>
      <c r="AJO15" s="11"/>
      <c r="AJP15" s="11"/>
      <c r="AJQ15" s="11"/>
      <c r="AJR15" s="11"/>
      <c r="AJS15" s="11"/>
      <c r="AJT15" s="11"/>
      <c r="AJU15" s="11"/>
      <c r="AJV15" s="11"/>
      <c r="AJW15" s="11"/>
      <c r="AJX15" s="11"/>
      <c r="AJY15" s="11"/>
      <c r="AJZ15" s="11"/>
      <c r="AKA15" s="11"/>
      <c r="AKB15" s="11"/>
      <c r="AKC15" s="11"/>
      <c r="AKD15" s="11"/>
      <c r="AKE15" s="11"/>
      <c r="AKF15" s="11"/>
      <c r="AKG15" s="11"/>
      <c r="AKH15" s="11"/>
      <c r="AKI15" s="11"/>
      <c r="AKJ15" s="11"/>
      <c r="AKK15" s="11"/>
      <c r="AKL15" s="11"/>
      <c r="AKM15" s="11"/>
      <c r="AKN15" s="11"/>
      <c r="AKO15" s="11"/>
      <c r="AKP15" s="11"/>
      <c r="AKQ15" s="11"/>
      <c r="AKR15" s="11"/>
      <c r="AKS15" s="11"/>
      <c r="AKT15" s="11"/>
      <c r="AKU15" s="11"/>
      <c r="AKV15" s="11"/>
      <c r="AKW15" s="11"/>
      <c r="AKX15" s="11"/>
      <c r="AKY15" s="11"/>
      <c r="AKZ15" s="11"/>
      <c r="ALA15" s="11"/>
      <c r="ALB15" s="11"/>
      <c r="ALC15" s="11"/>
      <c r="ALD15" s="11"/>
      <c r="ALE15" s="11"/>
      <c r="ALF15" s="11"/>
      <c r="ALG15" s="11"/>
      <c r="ALH15" s="11"/>
      <c r="ALI15" s="11"/>
      <c r="ALJ15" s="11"/>
      <c r="ALK15" s="11"/>
      <c r="ALL15" s="11"/>
      <c r="ALM15" s="11"/>
      <c r="ALN15" s="11"/>
      <c r="ALO15" s="11"/>
      <c r="ALP15" s="11"/>
      <c r="ALQ15" s="11"/>
      <c r="ALR15" s="11"/>
      <c r="ALS15" s="11"/>
      <c r="ALT15" s="11"/>
      <c r="ALU15" s="11"/>
      <c r="ALV15" s="11"/>
      <c r="ALW15" s="11"/>
      <c r="ALX15" s="11"/>
      <c r="ALY15" s="11"/>
      <c r="ALZ15" s="11"/>
      <c r="AMA15" s="11"/>
      <c r="AMB15" s="11"/>
      <c r="AMC15" s="11"/>
      <c r="AMD15" s="11"/>
      <c r="AME15" s="11"/>
      <c r="AMF15" s="11"/>
      <c r="AMG15" s="11"/>
      <c r="AMH15" s="11"/>
      <c r="AMI15" s="11"/>
      <c r="AMJ15" s="11"/>
      <c r="AMK15" s="11"/>
      <c r="AML15" s="11"/>
      <c r="AMM15" s="11"/>
      <c r="AMN15" s="11"/>
      <c r="AMO15" s="11"/>
      <c r="AMP15" s="11"/>
      <c r="AMQ15" s="11"/>
      <c r="AMR15" s="11"/>
      <c r="AMS15" s="11"/>
      <c r="AMT15" s="11"/>
      <c r="AMU15" s="11"/>
      <c r="AMV15" s="11"/>
      <c r="AMW15" s="11"/>
      <c r="AMX15" s="11"/>
      <c r="AMY15" s="11"/>
      <c r="AMZ15" s="11"/>
      <c r="ANA15" s="11"/>
      <c r="ANB15" s="11"/>
      <c r="ANC15" s="11"/>
      <c r="AND15" s="11"/>
      <c r="ANE15" s="11"/>
      <c r="ANF15" s="11"/>
      <c r="ANG15" s="11"/>
      <c r="ANH15" s="11"/>
      <c r="ANI15" s="11"/>
      <c r="ANJ15" s="11"/>
      <c r="ANK15" s="11"/>
      <c r="ANL15" s="11"/>
      <c r="ANM15" s="11"/>
      <c r="ANN15" s="11"/>
      <c r="ANO15" s="11"/>
      <c r="ANP15" s="11"/>
      <c r="ANQ15" s="11"/>
      <c r="ANR15" s="11"/>
      <c r="ANS15" s="11"/>
      <c r="ANT15" s="11"/>
      <c r="ANU15" s="11"/>
      <c r="ANV15" s="11"/>
      <c r="ANW15" s="11"/>
      <c r="ANX15" s="11"/>
      <c r="ANY15" s="11"/>
      <c r="ANZ15" s="11"/>
      <c r="AOA15" s="11"/>
      <c r="AOB15" s="11"/>
      <c r="AOC15" s="11"/>
      <c r="AOD15" s="11"/>
      <c r="AOE15" s="11"/>
      <c r="AOF15" s="11"/>
      <c r="AOG15" s="11"/>
      <c r="AOH15" s="11"/>
      <c r="AOI15" s="11"/>
      <c r="AOJ15" s="11"/>
      <c r="AOK15" s="11"/>
      <c r="AOL15" s="11"/>
      <c r="AOM15" s="11"/>
      <c r="AON15" s="11"/>
      <c r="AOO15" s="11"/>
      <c r="AOP15" s="11"/>
      <c r="AOQ15" s="11"/>
      <c r="AOR15" s="11"/>
      <c r="AOS15" s="11"/>
      <c r="AOT15" s="11"/>
      <c r="AOU15" s="11"/>
      <c r="AOV15" s="11"/>
      <c r="AOW15" s="11"/>
      <c r="AOX15" s="11"/>
      <c r="AOY15" s="11"/>
      <c r="AOZ15" s="11"/>
      <c r="APA15" s="11"/>
      <c r="APB15" s="11"/>
      <c r="APC15" s="11"/>
      <c r="APD15" s="11"/>
      <c r="APE15" s="11"/>
      <c r="APF15" s="11"/>
      <c r="APG15" s="11"/>
      <c r="APH15" s="11"/>
      <c r="API15" s="11"/>
      <c r="APJ15" s="11"/>
      <c r="APK15" s="11"/>
      <c r="APL15" s="11"/>
      <c r="APM15" s="11"/>
      <c r="APN15" s="11"/>
      <c r="APO15" s="11"/>
      <c r="APP15" s="11"/>
      <c r="APQ15" s="11"/>
      <c r="APR15" s="11"/>
      <c r="APS15" s="11"/>
      <c r="APT15" s="11"/>
      <c r="APU15" s="11"/>
      <c r="APV15" s="11"/>
      <c r="APW15" s="11"/>
      <c r="APX15" s="11"/>
      <c r="APY15" s="11"/>
      <c r="APZ15" s="11"/>
      <c r="AQA15" s="11"/>
      <c r="AQB15" s="11"/>
      <c r="AQC15" s="11"/>
      <c r="AQD15" s="11"/>
      <c r="AQE15" s="11"/>
      <c r="AQF15" s="11"/>
      <c r="AQG15" s="11"/>
      <c r="AQH15" s="11"/>
      <c r="AQI15" s="11"/>
      <c r="AQJ15" s="11"/>
      <c r="AQK15" s="11"/>
      <c r="AQL15" s="11"/>
      <c r="AQM15" s="11"/>
      <c r="AQN15" s="11"/>
      <c r="AQO15" s="11"/>
      <c r="AQP15" s="11"/>
      <c r="AQQ15" s="11"/>
      <c r="AQR15" s="11"/>
      <c r="AQS15" s="11"/>
      <c r="AQT15" s="11"/>
      <c r="AQU15" s="11"/>
      <c r="AQV15" s="11"/>
      <c r="AQW15" s="11"/>
      <c r="AQX15" s="11"/>
      <c r="AQY15" s="11"/>
      <c r="AQZ15" s="11"/>
      <c r="ARA15" s="11"/>
      <c r="ARB15" s="11"/>
      <c r="ARC15" s="11"/>
      <c r="ARD15" s="11"/>
      <c r="ARE15" s="11"/>
      <c r="ARF15" s="11"/>
      <c r="ARG15" s="11"/>
      <c r="ARH15" s="11"/>
      <c r="ARI15" s="11"/>
      <c r="ARJ15" s="11"/>
      <c r="ARK15" s="11"/>
      <c r="ARL15" s="11"/>
      <c r="ARM15" s="11"/>
      <c r="ARN15" s="11"/>
      <c r="ARO15" s="11"/>
      <c r="ARP15" s="11"/>
      <c r="ARQ15" s="11"/>
      <c r="ARR15" s="11"/>
      <c r="ARS15" s="11"/>
      <c r="ART15" s="11"/>
      <c r="ARU15" s="11"/>
      <c r="ARV15" s="11"/>
      <c r="ARW15" s="11"/>
      <c r="ARX15" s="11"/>
      <c r="ARY15" s="11"/>
      <c r="ARZ15" s="11"/>
      <c r="ASA15" s="11"/>
      <c r="ASB15" s="11"/>
      <c r="ASC15" s="11"/>
      <c r="ASD15" s="11"/>
      <c r="ASE15" s="11"/>
      <c r="ASF15" s="11"/>
      <c r="ASG15" s="11"/>
      <c r="ASH15" s="11"/>
      <c r="ASI15" s="11"/>
      <c r="ASJ15" s="11"/>
      <c r="ASK15" s="11"/>
      <c r="ASL15" s="11"/>
      <c r="ASM15" s="11"/>
      <c r="ASN15" s="11"/>
      <c r="ASO15" s="11"/>
      <c r="ASP15" s="11"/>
      <c r="ASQ15" s="11"/>
      <c r="ASR15" s="11"/>
      <c r="ASS15" s="11"/>
      <c r="AST15" s="11"/>
      <c r="ASU15" s="11"/>
      <c r="ASV15" s="11"/>
      <c r="ASW15" s="11"/>
      <c r="ASX15" s="11"/>
      <c r="ASY15" s="11"/>
      <c r="ASZ15" s="11"/>
      <c r="ATA15" s="11"/>
      <c r="ATB15" s="11"/>
      <c r="ATC15" s="11"/>
      <c r="ATD15" s="11"/>
      <c r="ATE15" s="11"/>
      <c r="ATF15" s="11"/>
      <c r="ATG15" s="11"/>
      <c r="ATH15" s="11"/>
      <c r="ATI15" s="11"/>
      <c r="ATJ15" s="11"/>
      <c r="ATK15" s="11"/>
      <c r="ATL15" s="11"/>
      <c r="ATM15" s="11"/>
      <c r="ATN15" s="11"/>
      <c r="ATO15" s="11"/>
      <c r="ATP15" s="11"/>
      <c r="ATQ15" s="11"/>
      <c r="ATR15" s="11"/>
      <c r="ATS15" s="11"/>
      <c r="ATT15" s="11"/>
      <c r="ATU15" s="11"/>
      <c r="ATV15" s="11"/>
      <c r="ATW15" s="11"/>
      <c r="ATX15" s="11"/>
      <c r="ATY15" s="11"/>
      <c r="ATZ15" s="11"/>
      <c r="AUA15" s="11"/>
      <c r="AUB15" s="11"/>
      <c r="AUC15" s="11"/>
      <c r="AUD15" s="11"/>
      <c r="AUE15" s="11"/>
      <c r="AUF15" s="11"/>
      <c r="AUG15" s="11"/>
      <c r="AUH15" s="11"/>
      <c r="AUI15" s="11"/>
      <c r="AUJ15" s="11"/>
      <c r="AUK15" s="11"/>
      <c r="AUL15" s="11"/>
      <c r="AUM15" s="11"/>
      <c r="AUN15" s="11"/>
      <c r="AUO15" s="11"/>
      <c r="AUP15" s="11"/>
      <c r="AUQ15" s="11"/>
      <c r="AUR15" s="11"/>
      <c r="AUS15" s="11"/>
      <c r="AUT15" s="11"/>
      <c r="AUU15" s="11"/>
      <c r="AUV15" s="11"/>
      <c r="AUW15" s="11"/>
      <c r="AUX15" s="11"/>
      <c r="AUY15" s="11"/>
      <c r="AUZ15" s="11"/>
      <c r="AVA15" s="11"/>
      <c r="AVB15" s="11"/>
      <c r="AVC15" s="11"/>
      <c r="AVD15" s="11"/>
      <c r="AVE15" s="11"/>
      <c r="AVF15" s="11"/>
      <c r="AVG15" s="11"/>
      <c r="AVH15" s="11"/>
      <c r="AVI15" s="11"/>
      <c r="AVJ15" s="11"/>
      <c r="AVK15" s="11"/>
      <c r="AVL15" s="11"/>
      <c r="AVM15" s="11"/>
      <c r="AVN15" s="11"/>
      <c r="AVO15" s="11"/>
      <c r="AVP15" s="11"/>
      <c r="AVQ15" s="11"/>
      <c r="AVR15" s="11"/>
      <c r="AVS15" s="11"/>
      <c r="AVT15" s="11"/>
      <c r="AVU15" s="11"/>
      <c r="AVV15" s="11"/>
      <c r="AVW15" s="11"/>
      <c r="AVX15" s="11"/>
      <c r="AVY15" s="11"/>
      <c r="AVZ15" s="11"/>
      <c r="AWA15" s="11"/>
      <c r="AWB15" s="11"/>
      <c r="AWC15" s="11"/>
      <c r="AWD15" s="11"/>
      <c r="AWE15" s="11"/>
      <c r="AWF15" s="11"/>
      <c r="AWG15" s="11"/>
      <c r="AWH15" s="11"/>
      <c r="AWI15" s="11"/>
      <c r="AWJ15" s="11"/>
      <c r="AWK15" s="11"/>
      <c r="AWL15" s="11"/>
      <c r="AWM15" s="11"/>
      <c r="AWN15" s="11"/>
      <c r="AWO15" s="11"/>
      <c r="AWP15" s="11"/>
      <c r="AWQ15" s="11"/>
      <c r="AWR15" s="11"/>
      <c r="AWS15" s="11"/>
      <c r="AWT15" s="11"/>
      <c r="AWU15" s="11"/>
      <c r="AWV15" s="11"/>
      <c r="AWW15" s="11"/>
      <c r="AWX15" s="11"/>
      <c r="AWY15" s="11"/>
      <c r="AWZ15" s="11"/>
      <c r="AXA15" s="11"/>
      <c r="AXB15" s="11"/>
      <c r="AXC15" s="11"/>
      <c r="AXD15" s="11"/>
      <c r="AXE15" s="11"/>
      <c r="AXF15" s="11"/>
      <c r="AXG15" s="11"/>
      <c r="AXH15" s="11"/>
      <c r="AXI15" s="11"/>
      <c r="AXJ15" s="11"/>
      <c r="AXK15" s="11"/>
      <c r="AXL15" s="11"/>
      <c r="AXM15" s="11"/>
      <c r="AXN15" s="11"/>
      <c r="AXO15" s="11"/>
      <c r="AXP15" s="11"/>
      <c r="AXQ15" s="11"/>
      <c r="AXR15" s="11"/>
      <c r="AXS15" s="11"/>
      <c r="AXT15" s="11"/>
      <c r="AXU15" s="11"/>
      <c r="AXV15" s="11"/>
      <c r="AXW15" s="11"/>
      <c r="AXX15" s="11"/>
      <c r="AXY15" s="11"/>
      <c r="AXZ15" s="11"/>
      <c r="AYA15" s="11"/>
      <c r="AYB15" s="11"/>
      <c r="AYC15" s="11"/>
      <c r="AYD15" s="11"/>
      <c r="AYE15" s="11"/>
      <c r="AYF15" s="11"/>
      <c r="AYG15" s="11"/>
      <c r="AYH15" s="11"/>
      <c r="AYI15" s="11"/>
      <c r="AYJ15" s="11"/>
      <c r="AYK15" s="11"/>
      <c r="AYL15" s="11"/>
      <c r="AYM15" s="11"/>
      <c r="AYN15" s="11"/>
      <c r="AYO15" s="11"/>
      <c r="AYP15" s="11"/>
      <c r="AYQ15" s="11"/>
      <c r="AYR15" s="11"/>
      <c r="AYS15" s="11"/>
      <c r="AYT15" s="11"/>
      <c r="AYU15" s="11"/>
      <c r="AYV15" s="11"/>
      <c r="AYW15" s="11"/>
      <c r="AYX15" s="11"/>
      <c r="AYY15" s="11"/>
      <c r="AYZ15" s="11"/>
      <c r="AZA15" s="11"/>
      <c r="AZB15" s="11"/>
      <c r="AZC15" s="11"/>
      <c r="AZD15" s="11"/>
      <c r="AZE15" s="11"/>
      <c r="AZF15" s="11"/>
      <c r="AZG15" s="11"/>
      <c r="AZH15" s="11"/>
      <c r="AZI15" s="11"/>
      <c r="AZJ15" s="11"/>
      <c r="AZK15" s="11"/>
      <c r="AZL15" s="11"/>
      <c r="AZM15" s="11"/>
      <c r="AZN15" s="11"/>
      <c r="AZO15" s="11"/>
      <c r="AZP15" s="11"/>
      <c r="AZQ15" s="11"/>
      <c r="AZR15" s="11"/>
      <c r="AZS15" s="11"/>
      <c r="AZT15" s="11"/>
      <c r="AZU15" s="11"/>
      <c r="AZV15" s="11"/>
      <c r="AZW15" s="11"/>
      <c r="AZX15" s="11"/>
      <c r="AZY15" s="11"/>
      <c r="AZZ15" s="11"/>
      <c r="BAA15" s="11"/>
      <c r="BAB15" s="11"/>
      <c r="BAC15" s="11"/>
      <c r="BAD15" s="11"/>
      <c r="BAE15" s="11"/>
      <c r="BAF15" s="11"/>
      <c r="BAG15" s="11"/>
      <c r="BAH15" s="11"/>
      <c r="BAI15" s="11"/>
      <c r="BAJ15" s="11"/>
      <c r="BAK15" s="11"/>
      <c r="BAL15" s="11"/>
      <c r="BAM15" s="11"/>
      <c r="BAN15" s="11"/>
      <c r="BAO15" s="11"/>
      <c r="BAP15" s="11"/>
      <c r="BAQ15" s="11"/>
      <c r="BAR15" s="11"/>
      <c r="BAS15" s="11"/>
      <c r="BAT15" s="11"/>
      <c r="BAU15" s="11"/>
      <c r="BAV15" s="11"/>
      <c r="BAW15" s="11"/>
      <c r="BAX15" s="11"/>
      <c r="BAY15" s="11"/>
      <c r="BAZ15" s="11"/>
      <c r="BBA15" s="11"/>
      <c r="BBB15" s="11"/>
      <c r="BBC15" s="11"/>
      <c r="BBD15" s="11"/>
      <c r="BBE15" s="11"/>
      <c r="BBF15" s="11"/>
      <c r="BBG15" s="11"/>
      <c r="BBH15" s="11"/>
      <c r="BBI15" s="11"/>
      <c r="BBJ15" s="11"/>
      <c r="BBK15" s="11"/>
      <c r="BBL15" s="11"/>
      <c r="BBM15" s="11"/>
      <c r="BBN15" s="11"/>
      <c r="BBO15" s="11"/>
      <c r="BBP15" s="11"/>
      <c r="BBQ15" s="11"/>
      <c r="BBR15" s="11"/>
      <c r="BBS15" s="11"/>
      <c r="BBT15" s="11"/>
      <c r="BBU15" s="11"/>
      <c r="BBV15" s="11"/>
      <c r="BBW15" s="11"/>
      <c r="BBX15" s="11"/>
      <c r="BBY15" s="11"/>
      <c r="BBZ15" s="11"/>
      <c r="BCA15" s="11"/>
      <c r="BCB15" s="11"/>
      <c r="BCC15" s="11"/>
      <c r="BCD15" s="11"/>
      <c r="BCE15" s="11"/>
      <c r="BCF15" s="11"/>
      <c r="BCG15" s="11"/>
      <c r="BCH15" s="11"/>
      <c r="BCI15" s="11"/>
      <c r="BCJ15" s="11"/>
      <c r="BCK15" s="11"/>
      <c r="BCL15" s="11"/>
      <c r="BCM15" s="11"/>
      <c r="BCN15" s="11"/>
      <c r="BCO15" s="11"/>
      <c r="BCP15" s="11"/>
      <c r="BCQ15" s="11"/>
      <c r="BCR15" s="11"/>
      <c r="BCS15" s="11"/>
      <c r="BCT15" s="11"/>
      <c r="BCU15" s="11"/>
      <c r="BCV15" s="11"/>
      <c r="BCW15" s="11"/>
      <c r="BCX15" s="11"/>
      <c r="BCY15" s="11"/>
      <c r="BCZ15" s="11"/>
      <c r="BDA15" s="11"/>
      <c r="BDB15" s="11"/>
      <c r="BDC15" s="11"/>
      <c r="BDD15" s="11"/>
      <c r="BDE15" s="11"/>
      <c r="BDF15" s="11"/>
      <c r="BDG15" s="11"/>
      <c r="BDH15" s="11"/>
      <c r="BDI15" s="11"/>
      <c r="BDJ15" s="11"/>
      <c r="BDK15" s="11"/>
      <c r="BDL15" s="11"/>
      <c r="BDM15" s="11"/>
      <c r="BDN15" s="11"/>
      <c r="BDO15" s="11"/>
      <c r="BDP15" s="11"/>
      <c r="BDQ15" s="11"/>
      <c r="BDR15" s="11"/>
      <c r="BDS15" s="11"/>
      <c r="BDT15" s="11"/>
      <c r="BDU15" s="11"/>
      <c r="BDV15" s="11"/>
      <c r="BDW15" s="11"/>
      <c r="BDX15" s="11"/>
      <c r="BDY15" s="11"/>
      <c r="BDZ15" s="11"/>
      <c r="BEA15" s="11"/>
      <c r="BEB15" s="11"/>
      <c r="BEC15" s="11"/>
      <c r="BED15" s="11"/>
      <c r="BEE15" s="11"/>
      <c r="BEF15" s="11"/>
      <c r="BEG15" s="11"/>
      <c r="BEH15" s="11"/>
      <c r="BEI15" s="11"/>
      <c r="BEJ15" s="11"/>
      <c r="BEK15" s="11"/>
      <c r="BEL15" s="11"/>
      <c r="BEM15" s="11"/>
      <c r="BEN15" s="11"/>
      <c r="BEO15" s="11"/>
      <c r="BEP15" s="11"/>
      <c r="BEQ15" s="11"/>
      <c r="BER15" s="11"/>
      <c r="BES15" s="11"/>
      <c r="BET15" s="11"/>
      <c r="BEU15" s="11"/>
      <c r="BEV15" s="11"/>
      <c r="BEW15" s="11"/>
      <c r="BEX15" s="11"/>
      <c r="BEY15" s="11"/>
      <c r="BEZ15" s="11"/>
      <c r="BFA15" s="11"/>
      <c r="BFB15" s="11"/>
      <c r="BFC15" s="11"/>
      <c r="BFD15" s="11"/>
      <c r="BFE15" s="11"/>
      <c r="BFF15" s="11"/>
      <c r="BFG15" s="11"/>
      <c r="BFH15" s="11"/>
      <c r="BFI15" s="11"/>
      <c r="BFJ15" s="11"/>
      <c r="BFK15" s="11"/>
      <c r="BFL15" s="11"/>
      <c r="BFM15" s="11"/>
      <c r="BFN15" s="11"/>
      <c r="BFO15" s="11"/>
      <c r="BFP15" s="11"/>
      <c r="BFQ15" s="11"/>
      <c r="BFR15" s="11"/>
      <c r="BFS15" s="11"/>
      <c r="BFT15" s="11"/>
      <c r="BFU15" s="11"/>
      <c r="BFV15" s="11"/>
      <c r="BFW15" s="11"/>
      <c r="BFX15" s="11"/>
      <c r="BFY15" s="11"/>
      <c r="BFZ15" s="11"/>
      <c r="BGA15" s="11"/>
      <c r="BGB15" s="11"/>
      <c r="BGC15" s="11"/>
      <c r="BGD15" s="11"/>
      <c r="BGE15" s="11"/>
      <c r="BGF15" s="11"/>
      <c r="BGG15" s="11"/>
      <c r="BGH15" s="11"/>
      <c r="BGI15" s="11"/>
      <c r="BGJ15" s="11"/>
      <c r="BGK15" s="11"/>
      <c r="BGL15" s="11"/>
      <c r="BGM15" s="11"/>
      <c r="BGN15" s="11"/>
      <c r="BGO15" s="11"/>
      <c r="BGP15" s="11"/>
      <c r="BGQ15" s="11"/>
      <c r="BGR15" s="11"/>
      <c r="BGS15" s="11"/>
      <c r="BGT15" s="11"/>
      <c r="BGU15" s="11"/>
      <c r="BGV15" s="11"/>
      <c r="BGW15" s="11"/>
      <c r="BGX15" s="11"/>
      <c r="BGY15" s="11"/>
      <c r="BGZ15" s="11"/>
      <c r="BHA15" s="11"/>
      <c r="BHB15" s="11"/>
      <c r="BHC15" s="11"/>
      <c r="BHD15" s="11"/>
      <c r="BHE15" s="11"/>
      <c r="BHF15" s="11"/>
      <c r="BHG15" s="11"/>
      <c r="BHH15" s="11"/>
      <c r="BHI15" s="11"/>
      <c r="BHJ15" s="11"/>
      <c r="BHK15" s="11"/>
      <c r="BHL15" s="11"/>
      <c r="BHM15" s="11"/>
      <c r="BHN15" s="11"/>
      <c r="BHO15" s="11"/>
      <c r="BHP15" s="11"/>
      <c r="BHQ15" s="11"/>
      <c r="BHR15" s="11"/>
      <c r="BHS15" s="11"/>
      <c r="BHT15" s="11"/>
      <c r="BHU15" s="11"/>
      <c r="BHV15" s="11"/>
      <c r="BHW15" s="11"/>
      <c r="BHX15" s="11"/>
      <c r="BHY15" s="11"/>
      <c r="BHZ15" s="11"/>
      <c r="BIA15" s="11"/>
      <c r="BIB15" s="11"/>
      <c r="BIC15" s="11"/>
      <c r="BID15" s="11"/>
      <c r="BIE15" s="11"/>
      <c r="BIF15" s="11"/>
      <c r="BIG15" s="11"/>
      <c r="BIH15" s="11"/>
      <c r="BII15" s="11"/>
      <c r="BIJ15" s="11"/>
      <c r="BIK15" s="11"/>
      <c r="BIL15" s="11"/>
      <c r="BIM15" s="11"/>
      <c r="BIN15" s="11"/>
      <c r="BIO15" s="11"/>
      <c r="BIP15" s="11"/>
      <c r="BIQ15" s="11"/>
      <c r="BIR15" s="11"/>
      <c r="BIS15" s="11"/>
      <c r="BIT15" s="11"/>
      <c r="BIU15" s="11"/>
      <c r="BIV15" s="11"/>
      <c r="BIW15" s="11"/>
      <c r="BIX15" s="11"/>
      <c r="BIY15" s="11"/>
      <c r="BIZ15" s="11"/>
      <c r="BJA15" s="11"/>
      <c r="BJB15" s="11"/>
      <c r="BJC15" s="11"/>
      <c r="BJD15" s="11"/>
      <c r="BJE15" s="11"/>
      <c r="BJF15" s="11"/>
      <c r="BJG15" s="11"/>
      <c r="BJH15" s="11"/>
      <c r="BJI15" s="11"/>
      <c r="BJJ15" s="11"/>
      <c r="BJK15" s="11"/>
      <c r="BJL15" s="11"/>
      <c r="BJM15" s="11"/>
      <c r="BJN15" s="11"/>
      <c r="BJO15" s="11"/>
      <c r="BJP15" s="11"/>
      <c r="BJQ15" s="11"/>
      <c r="BJR15" s="11"/>
      <c r="BJS15" s="11"/>
      <c r="BJT15" s="11"/>
      <c r="BJU15" s="11"/>
      <c r="BJV15" s="11"/>
      <c r="BJW15" s="11"/>
      <c r="BJX15" s="11"/>
      <c r="BJY15" s="11"/>
      <c r="BJZ15" s="11"/>
      <c r="BKA15" s="11"/>
      <c r="BKB15" s="11"/>
      <c r="BKC15" s="11"/>
      <c r="BKD15" s="11"/>
      <c r="BKE15" s="11"/>
      <c r="BKF15" s="11"/>
      <c r="BKG15" s="11"/>
      <c r="BKH15" s="11"/>
      <c r="BKI15" s="11"/>
      <c r="BKJ15" s="11"/>
      <c r="BKK15" s="11"/>
      <c r="BKL15" s="11"/>
      <c r="BKM15" s="11"/>
      <c r="BKN15" s="11"/>
      <c r="BKO15" s="11"/>
      <c r="BKP15" s="11"/>
      <c r="BKQ15" s="11"/>
      <c r="BKR15" s="11"/>
      <c r="BKS15" s="11"/>
      <c r="BKT15" s="11"/>
      <c r="BKU15" s="11"/>
      <c r="BKV15" s="11"/>
      <c r="BKW15" s="11"/>
      <c r="BKX15" s="11"/>
      <c r="BKY15" s="11"/>
      <c r="BKZ15" s="11"/>
      <c r="BLA15" s="11"/>
      <c r="BLB15" s="11"/>
      <c r="BLC15" s="11"/>
      <c r="BLD15" s="11"/>
      <c r="BLE15" s="11"/>
      <c r="BLF15" s="11"/>
      <c r="BLG15" s="11"/>
      <c r="BLH15" s="11"/>
      <c r="BLI15" s="11"/>
      <c r="BLJ15" s="11"/>
      <c r="BLK15" s="11"/>
      <c r="BLL15" s="11"/>
      <c r="BLM15" s="11"/>
      <c r="BLN15" s="11"/>
      <c r="BLO15" s="11"/>
      <c r="BLP15" s="11"/>
      <c r="BLQ15" s="11"/>
      <c r="BLR15" s="11"/>
      <c r="BLS15" s="11"/>
      <c r="BLT15" s="11"/>
      <c r="BLU15" s="11"/>
      <c r="BLV15" s="11"/>
      <c r="BLW15" s="11"/>
      <c r="BLX15" s="11"/>
      <c r="BLY15" s="11"/>
      <c r="BLZ15" s="11"/>
      <c r="BMA15" s="11"/>
      <c r="BMB15" s="11"/>
      <c r="BMC15" s="11"/>
      <c r="BMD15" s="11"/>
      <c r="BME15" s="11"/>
      <c r="BMF15" s="11"/>
      <c r="BMG15" s="11"/>
      <c r="BMH15" s="11"/>
      <c r="BMI15" s="11"/>
      <c r="BMJ15" s="11"/>
      <c r="BMK15" s="11"/>
      <c r="BML15" s="11"/>
      <c r="BMM15" s="11"/>
      <c r="BMN15" s="11"/>
      <c r="BMO15" s="11"/>
      <c r="BMP15" s="11"/>
      <c r="BMQ15" s="11"/>
      <c r="BMR15" s="11"/>
      <c r="BMS15" s="11"/>
      <c r="BMT15" s="11"/>
      <c r="BMU15" s="11"/>
      <c r="BMV15" s="11"/>
      <c r="BMW15" s="11"/>
      <c r="BMX15" s="11"/>
      <c r="BMY15" s="11"/>
      <c r="BMZ15" s="11"/>
      <c r="BNA15" s="11"/>
      <c r="BNB15" s="11"/>
      <c r="BNC15" s="11"/>
      <c r="BND15" s="11"/>
      <c r="BNE15" s="11"/>
      <c r="BNF15" s="11"/>
      <c r="BNG15" s="11"/>
      <c r="BNH15" s="11"/>
      <c r="BNI15" s="11"/>
      <c r="BNJ15" s="11"/>
      <c r="BNK15" s="11"/>
      <c r="BNL15" s="11"/>
      <c r="BNM15" s="11"/>
      <c r="BNN15" s="11"/>
      <c r="BNO15" s="11"/>
      <c r="BNP15" s="11"/>
      <c r="BNQ15" s="11"/>
      <c r="BNR15" s="11"/>
      <c r="BNS15" s="11"/>
      <c r="BNT15" s="11"/>
      <c r="BNU15" s="11"/>
      <c r="BNV15" s="11"/>
      <c r="BNW15" s="11"/>
      <c r="BNX15" s="11"/>
      <c r="BNY15" s="11"/>
      <c r="BNZ15" s="11"/>
      <c r="BOA15" s="11"/>
      <c r="BOB15" s="11"/>
      <c r="BOC15" s="11"/>
      <c r="BOD15" s="11"/>
      <c r="BOE15" s="11"/>
      <c r="BOF15" s="11"/>
      <c r="BOG15" s="11"/>
      <c r="BOH15" s="11"/>
      <c r="BOI15" s="11"/>
      <c r="BOJ15" s="11"/>
      <c r="BOK15" s="11"/>
      <c r="BOL15" s="11"/>
      <c r="BOM15" s="11"/>
      <c r="BON15" s="11"/>
      <c r="BOO15" s="11"/>
      <c r="BOP15" s="11"/>
      <c r="BOQ15" s="11"/>
      <c r="BOR15" s="11"/>
      <c r="BOS15" s="11"/>
      <c r="BOT15" s="11"/>
      <c r="BOU15" s="11"/>
      <c r="BOV15" s="11"/>
      <c r="BOW15" s="11"/>
      <c r="BOX15" s="11"/>
      <c r="BOY15" s="11"/>
      <c r="BOZ15" s="11"/>
      <c r="BPA15" s="11"/>
      <c r="BPB15" s="11"/>
      <c r="BPC15" s="11"/>
      <c r="BPD15" s="11"/>
      <c r="BPE15" s="11"/>
      <c r="BPF15" s="11"/>
      <c r="BPG15" s="11"/>
      <c r="BPH15" s="11"/>
      <c r="BPI15" s="11"/>
      <c r="BPJ15" s="11"/>
      <c r="BPK15" s="11"/>
      <c r="BPL15" s="11"/>
      <c r="BPM15" s="11"/>
      <c r="BPN15" s="11"/>
      <c r="BPO15" s="11"/>
      <c r="BPP15" s="11"/>
      <c r="BPQ15" s="11"/>
      <c r="BPR15" s="11"/>
      <c r="BPS15" s="11"/>
      <c r="BPT15" s="11"/>
      <c r="BPU15" s="11"/>
      <c r="BPV15" s="11"/>
      <c r="BPW15" s="11"/>
      <c r="BPX15" s="11"/>
      <c r="BPY15" s="11"/>
      <c r="BPZ15" s="11"/>
      <c r="BQA15" s="11"/>
      <c r="BQB15" s="11"/>
      <c r="BQC15" s="11"/>
      <c r="BQD15" s="11"/>
      <c r="BQE15" s="11"/>
      <c r="BQF15" s="11"/>
      <c r="BQG15" s="11"/>
      <c r="BQH15" s="11"/>
      <c r="BQI15" s="11"/>
      <c r="BQJ15" s="11"/>
      <c r="BQK15" s="11"/>
      <c r="BQL15" s="11"/>
      <c r="BQM15" s="11"/>
      <c r="BQN15" s="11"/>
      <c r="BQO15" s="11"/>
      <c r="BQP15" s="11"/>
      <c r="BQQ15" s="11"/>
      <c r="BQR15" s="11"/>
      <c r="BQS15" s="11"/>
      <c r="BQT15" s="11"/>
      <c r="BQU15" s="11"/>
      <c r="BQV15" s="11"/>
      <c r="BQW15" s="11"/>
      <c r="BQX15" s="11"/>
      <c r="BQY15" s="11"/>
      <c r="BQZ15" s="11"/>
      <c r="BRA15" s="11"/>
      <c r="BRB15" s="11"/>
      <c r="BRC15" s="11"/>
      <c r="BRD15" s="11"/>
      <c r="BRE15" s="11"/>
      <c r="BRF15" s="11"/>
      <c r="BRG15" s="11"/>
      <c r="BRH15" s="11"/>
      <c r="BRI15" s="11"/>
      <c r="BRJ15" s="11"/>
      <c r="BRK15" s="11"/>
      <c r="BRL15" s="11"/>
      <c r="BRM15" s="11"/>
      <c r="BRN15" s="11"/>
      <c r="BRO15" s="11"/>
      <c r="BRP15" s="11"/>
      <c r="BRQ15" s="11"/>
      <c r="BRR15" s="11"/>
      <c r="BRS15" s="11"/>
      <c r="BRT15" s="11"/>
      <c r="BRU15" s="11"/>
      <c r="BRV15" s="11"/>
      <c r="BRW15" s="11"/>
      <c r="BRX15" s="11"/>
      <c r="BRY15" s="11"/>
      <c r="BRZ15" s="11"/>
      <c r="BSA15" s="11"/>
      <c r="BSB15" s="11"/>
      <c r="BSC15" s="11"/>
      <c r="BSD15" s="11"/>
      <c r="BSE15" s="11"/>
      <c r="BSF15" s="11"/>
      <c r="BSG15" s="11"/>
      <c r="BSH15" s="11"/>
      <c r="BSI15" s="11"/>
      <c r="BSJ15" s="11"/>
      <c r="BSK15" s="11"/>
      <c r="BSL15" s="11"/>
      <c r="BSM15" s="11"/>
      <c r="BSN15" s="11"/>
      <c r="BSO15" s="11"/>
      <c r="BSP15" s="11"/>
      <c r="BSQ15" s="11"/>
      <c r="BSR15" s="11"/>
      <c r="BSS15" s="11"/>
      <c r="BST15" s="11"/>
      <c r="BSU15" s="11"/>
      <c r="BSV15" s="11"/>
      <c r="BSW15" s="11"/>
      <c r="BSX15" s="11"/>
      <c r="BSY15" s="11"/>
      <c r="BSZ15" s="11"/>
      <c r="BTA15" s="11"/>
      <c r="BTB15" s="11"/>
      <c r="BTC15" s="11"/>
      <c r="BTD15" s="11"/>
      <c r="BTE15" s="11"/>
      <c r="BTF15" s="11"/>
      <c r="BTG15" s="11"/>
      <c r="BTH15" s="11"/>
      <c r="BTI15" s="11"/>
      <c r="BTJ15" s="11"/>
      <c r="BTK15" s="11"/>
      <c r="BTL15" s="11"/>
      <c r="BTM15" s="11"/>
      <c r="BTN15" s="11"/>
      <c r="BTO15" s="11"/>
      <c r="BTP15" s="11"/>
      <c r="BTQ15" s="11"/>
      <c r="BTR15" s="11"/>
      <c r="BTS15" s="11"/>
      <c r="BTT15" s="11"/>
      <c r="BTU15" s="11"/>
      <c r="BTV15" s="11"/>
      <c r="BTW15" s="11"/>
      <c r="BTX15" s="11"/>
      <c r="BTY15" s="11"/>
      <c r="BTZ15" s="11"/>
      <c r="BUA15" s="11"/>
      <c r="BUB15" s="11"/>
      <c r="BUC15" s="11"/>
      <c r="BUD15" s="11"/>
      <c r="BUE15" s="11"/>
      <c r="BUF15" s="11"/>
      <c r="BUG15" s="11"/>
      <c r="BUH15" s="11"/>
      <c r="BUI15" s="11"/>
      <c r="BUJ15" s="11"/>
      <c r="BUK15" s="11"/>
      <c r="BUL15" s="11"/>
      <c r="BUM15" s="11"/>
      <c r="BUN15" s="11"/>
      <c r="BUO15" s="11"/>
      <c r="BUP15" s="11"/>
      <c r="BUQ15" s="11"/>
      <c r="BUR15" s="11"/>
      <c r="BUS15" s="11"/>
      <c r="BUT15" s="11"/>
      <c r="BUU15" s="11"/>
      <c r="BUV15" s="11"/>
      <c r="BUW15" s="11"/>
      <c r="BUX15" s="11"/>
      <c r="BUY15" s="11"/>
      <c r="BUZ15" s="11"/>
      <c r="BVA15" s="11"/>
      <c r="BVB15" s="11"/>
      <c r="BVC15" s="11"/>
      <c r="BVD15" s="11"/>
      <c r="BVE15" s="11"/>
      <c r="BVF15" s="11"/>
      <c r="BVG15" s="11"/>
      <c r="BVH15" s="11"/>
      <c r="BVI15" s="11"/>
      <c r="BVJ15" s="11"/>
      <c r="BVK15" s="11"/>
      <c r="BVL15" s="11"/>
      <c r="BVM15" s="11"/>
      <c r="BVN15" s="11"/>
      <c r="BVO15" s="11"/>
      <c r="BVP15" s="11"/>
      <c r="BVQ15" s="11"/>
      <c r="BVR15" s="11"/>
      <c r="BVS15" s="11"/>
      <c r="BVT15" s="11"/>
      <c r="BVU15" s="11"/>
      <c r="BVV15" s="11"/>
      <c r="BVW15" s="11"/>
      <c r="BVX15" s="11"/>
      <c r="BVY15" s="11"/>
      <c r="BVZ15" s="11"/>
      <c r="BWA15" s="11"/>
      <c r="BWB15" s="11"/>
      <c r="BWC15" s="11"/>
      <c r="BWD15" s="11"/>
      <c r="BWE15" s="11"/>
      <c r="BWF15" s="11"/>
      <c r="BWG15" s="11"/>
      <c r="BWH15" s="11"/>
      <c r="BWI15" s="11"/>
      <c r="BWJ15" s="11"/>
      <c r="BWK15" s="11"/>
      <c r="BWL15" s="11"/>
      <c r="BWM15" s="11"/>
      <c r="BWN15" s="11"/>
      <c r="BWO15" s="11"/>
      <c r="BWP15" s="11"/>
      <c r="BWQ15" s="11"/>
      <c r="BWR15" s="11"/>
      <c r="BWS15" s="11"/>
      <c r="BWT15" s="11"/>
      <c r="BWU15" s="11"/>
      <c r="BWV15" s="11"/>
      <c r="BWW15" s="11"/>
      <c r="BWX15" s="11"/>
      <c r="BWY15" s="11"/>
      <c r="BWZ15" s="11"/>
      <c r="BXA15" s="11"/>
      <c r="BXB15" s="11"/>
      <c r="BXC15" s="11"/>
      <c r="BXD15" s="11"/>
      <c r="BXE15" s="11"/>
      <c r="BXF15" s="11"/>
      <c r="BXG15" s="11"/>
      <c r="BXH15" s="11"/>
      <c r="BXI15" s="11"/>
      <c r="BXJ15" s="11"/>
      <c r="BXK15" s="11"/>
      <c r="BXL15" s="11"/>
      <c r="BXM15" s="11"/>
      <c r="BXN15" s="11"/>
      <c r="BXO15" s="11"/>
      <c r="BXP15" s="11"/>
      <c r="BXQ15" s="11"/>
      <c r="BXR15" s="11"/>
      <c r="BXS15" s="11"/>
      <c r="BXT15" s="11"/>
      <c r="BXU15" s="11"/>
      <c r="BXV15" s="11"/>
      <c r="BXW15" s="11"/>
      <c r="BXX15" s="11"/>
      <c r="BXY15" s="11"/>
      <c r="BXZ15" s="11"/>
      <c r="BYA15" s="11"/>
      <c r="BYB15" s="11"/>
      <c r="BYC15" s="11"/>
      <c r="BYD15" s="11"/>
      <c r="BYE15" s="11"/>
      <c r="BYF15" s="11"/>
      <c r="BYG15" s="11"/>
      <c r="BYH15" s="11"/>
      <c r="BYI15" s="11"/>
      <c r="BYJ15" s="11"/>
      <c r="BYK15" s="11"/>
      <c r="BYL15" s="11"/>
      <c r="BYM15" s="11"/>
      <c r="BYN15" s="11"/>
      <c r="BYO15" s="11"/>
      <c r="BYP15" s="11"/>
      <c r="BYQ15" s="11"/>
      <c r="BYR15" s="11"/>
      <c r="BYS15" s="11"/>
      <c r="BYT15" s="11"/>
      <c r="BYU15" s="11"/>
      <c r="BYV15" s="11"/>
      <c r="BYW15" s="11"/>
      <c r="BYX15" s="11"/>
      <c r="BYY15" s="11"/>
      <c r="BYZ15" s="11"/>
      <c r="BZA15" s="11"/>
      <c r="BZB15" s="11"/>
      <c r="BZC15" s="11"/>
      <c r="BZD15" s="11"/>
      <c r="BZE15" s="11"/>
      <c r="BZF15" s="11"/>
      <c r="BZG15" s="11"/>
      <c r="BZH15" s="11"/>
      <c r="BZI15" s="11"/>
      <c r="BZJ15" s="11"/>
      <c r="BZK15" s="11"/>
      <c r="BZL15" s="11"/>
      <c r="BZM15" s="11"/>
      <c r="BZN15" s="11"/>
      <c r="BZO15" s="11"/>
      <c r="BZP15" s="11"/>
      <c r="BZQ15" s="11"/>
      <c r="BZR15" s="11"/>
      <c r="BZS15" s="11"/>
      <c r="BZT15" s="11"/>
      <c r="BZU15" s="11"/>
      <c r="BZV15" s="11"/>
      <c r="BZW15" s="11"/>
      <c r="BZX15" s="11"/>
      <c r="BZY15" s="11"/>
      <c r="BZZ15" s="11"/>
      <c r="CAA15" s="11"/>
      <c r="CAB15" s="11"/>
      <c r="CAC15" s="11"/>
      <c r="CAD15" s="11"/>
      <c r="CAE15" s="11"/>
      <c r="CAF15" s="11"/>
      <c r="CAG15" s="11"/>
      <c r="CAH15" s="11"/>
      <c r="CAI15" s="11"/>
      <c r="CAJ15" s="11"/>
      <c r="CAK15" s="11"/>
      <c r="CAL15" s="11"/>
      <c r="CAM15" s="11"/>
      <c r="CAN15" s="11"/>
      <c r="CAO15" s="11"/>
      <c r="CAP15" s="11"/>
      <c r="CAQ15" s="11"/>
      <c r="CAR15" s="11"/>
      <c r="CAS15" s="11"/>
      <c r="CAT15" s="11"/>
      <c r="CAU15" s="11"/>
      <c r="CAV15" s="11"/>
      <c r="CAW15" s="11"/>
      <c r="CAX15" s="11"/>
      <c r="CAY15" s="11"/>
      <c r="CAZ15" s="11"/>
      <c r="CBA15" s="11"/>
      <c r="CBB15" s="11"/>
      <c r="CBC15" s="11"/>
      <c r="CBD15" s="11"/>
      <c r="CBE15" s="11"/>
      <c r="CBF15" s="11"/>
      <c r="CBG15" s="11"/>
      <c r="CBH15" s="11"/>
      <c r="CBI15" s="11"/>
      <c r="CBJ15" s="11"/>
      <c r="CBK15" s="11"/>
      <c r="CBL15" s="11"/>
      <c r="CBM15" s="11"/>
      <c r="CBN15" s="11"/>
      <c r="CBO15" s="11"/>
      <c r="CBP15" s="11"/>
      <c r="CBQ15" s="11"/>
      <c r="CBR15" s="11"/>
      <c r="CBS15" s="11"/>
      <c r="CBT15" s="11"/>
      <c r="CBU15" s="11"/>
      <c r="CBV15" s="11"/>
      <c r="CBW15" s="11"/>
      <c r="CBX15" s="11"/>
      <c r="CBY15" s="11"/>
      <c r="CBZ15" s="11"/>
      <c r="CCA15" s="11"/>
      <c r="CCB15" s="11"/>
      <c r="CCC15" s="11"/>
      <c r="CCD15" s="11"/>
      <c r="CCE15" s="11"/>
      <c r="CCF15" s="11"/>
      <c r="CCG15" s="11"/>
      <c r="CCH15" s="11"/>
      <c r="CCI15" s="11"/>
      <c r="CCJ15" s="11"/>
      <c r="CCK15" s="11"/>
      <c r="CCL15" s="11"/>
      <c r="CCM15" s="11"/>
      <c r="CCN15" s="11"/>
      <c r="CCO15" s="11"/>
      <c r="CCP15" s="11"/>
      <c r="CCQ15" s="11"/>
      <c r="CCR15" s="11"/>
      <c r="CCS15" s="11"/>
      <c r="CCT15" s="11"/>
      <c r="CCU15" s="11"/>
      <c r="CCV15" s="11"/>
      <c r="CCW15" s="11"/>
      <c r="CCX15" s="11"/>
      <c r="CCY15" s="11"/>
      <c r="CCZ15" s="11"/>
      <c r="CDA15" s="11"/>
      <c r="CDB15" s="11"/>
      <c r="CDC15" s="11"/>
      <c r="CDD15" s="11"/>
      <c r="CDE15" s="11"/>
      <c r="CDF15" s="11"/>
      <c r="CDG15" s="11"/>
      <c r="CDH15" s="11"/>
      <c r="CDI15" s="11"/>
      <c r="CDJ15" s="11"/>
      <c r="CDK15" s="11"/>
      <c r="CDL15" s="11"/>
      <c r="CDM15" s="11"/>
      <c r="CDN15" s="11"/>
      <c r="CDO15" s="11"/>
      <c r="CDP15" s="11"/>
      <c r="CDQ15" s="11"/>
      <c r="CDR15" s="11"/>
      <c r="CDS15" s="11"/>
      <c r="CDT15" s="11"/>
      <c r="CDU15" s="11"/>
      <c r="CDV15" s="11"/>
      <c r="CDW15" s="11"/>
      <c r="CDX15" s="11"/>
      <c r="CDY15" s="11"/>
      <c r="CDZ15" s="11"/>
      <c r="CEA15" s="11"/>
      <c r="CEB15" s="11"/>
      <c r="CEC15" s="11"/>
      <c r="CED15" s="11"/>
      <c r="CEE15" s="11"/>
      <c r="CEF15" s="11"/>
      <c r="CEG15" s="11"/>
      <c r="CEH15" s="11"/>
      <c r="CEI15" s="11"/>
      <c r="CEJ15" s="11"/>
      <c r="CEK15" s="11"/>
      <c r="CEL15" s="11"/>
      <c r="CEM15" s="11"/>
      <c r="CEN15" s="11"/>
      <c r="CEO15" s="11"/>
      <c r="CEP15" s="11"/>
      <c r="CEQ15" s="11"/>
      <c r="CER15" s="11"/>
      <c r="CES15" s="11"/>
      <c r="CET15" s="11"/>
      <c r="CEU15" s="11"/>
      <c r="CEV15" s="11"/>
      <c r="CEW15" s="11"/>
      <c r="CEX15" s="11"/>
      <c r="CEY15" s="11"/>
      <c r="CEZ15" s="11"/>
      <c r="CFA15" s="11"/>
      <c r="CFB15" s="11"/>
      <c r="CFC15" s="11"/>
      <c r="CFD15" s="11"/>
      <c r="CFE15" s="11"/>
      <c r="CFF15" s="11"/>
      <c r="CFG15" s="11"/>
      <c r="CFH15" s="11"/>
      <c r="CFI15" s="11"/>
      <c r="CFJ15" s="11"/>
      <c r="CFK15" s="11"/>
      <c r="CFL15" s="11"/>
      <c r="CFM15" s="11"/>
      <c r="CFN15" s="11"/>
      <c r="CFO15" s="11"/>
      <c r="CFP15" s="11"/>
      <c r="CFQ15" s="11"/>
      <c r="CFR15" s="11"/>
      <c r="CFS15" s="11"/>
      <c r="CFT15" s="11"/>
      <c r="CFU15" s="11"/>
      <c r="CFV15" s="11"/>
      <c r="CFW15" s="11"/>
      <c r="CFX15" s="11"/>
      <c r="CFY15" s="11"/>
      <c r="CFZ15" s="11"/>
      <c r="CGA15" s="11"/>
      <c r="CGB15" s="11"/>
      <c r="CGC15" s="11"/>
      <c r="CGD15" s="11"/>
      <c r="CGE15" s="11"/>
      <c r="CGF15" s="11"/>
      <c r="CGG15" s="11"/>
      <c r="CGH15" s="11"/>
      <c r="CGI15" s="11"/>
      <c r="CGJ15" s="11"/>
      <c r="CGK15" s="11"/>
      <c r="CGL15" s="11"/>
      <c r="CGM15" s="11"/>
      <c r="CGN15" s="11"/>
      <c r="CGO15" s="11"/>
      <c r="CGP15" s="11"/>
      <c r="CGQ15" s="11"/>
      <c r="CGR15" s="11"/>
      <c r="CGS15" s="11"/>
      <c r="CGT15" s="11"/>
      <c r="CGU15" s="11"/>
      <c r="CGV15" s="11"/>
      <c r="CGW15" s="11"/>
      <c r="CGX15" s="11"/>
      <c r="CGY15" s="11"/>
      <c r="CGZ15" s="11"/>
      <c r="CHA15" s="11"/>
      <c r="CHB15" s="11"/>
      <c r="CHC15" s="11"/>
      <c r="CHD15" s="11"/>
      <c r="CHE15" s="11"/>
      <c r="CHF15" s="11"/>
      <c r="CHG15" s="11"/>
      <c r="CHH15" s="11"/>
      <c r="CHI15" s="11"/>
      <c r="CHJ15" s="11"/>
      <c r="CHK15" s="11"/>
      <c r="CHL15" s="11"/>
      <c r="CHM15" s="11"/>
      <c r="CHN15" s="11"/>
      <c r="CHO15" s="11"/>
      <c r="CHP15" s="11"/>
      <c r="CHQ15" s="11"/>
      <c r="CHR15" s="11"/>
      <c r="CHS15" s="11"/>
      <c r="CHT15" s="11"/>
      <c r="CHU15" s="11"/>
      <c r="CHV15" s="11"/>
      <c r="CHW15" s="11"/>
      <c r="CHX15" s="11"/>
      <c r="CHY15" s="11"/>
      <c r="CHZ15" s="11"/>
      <c r="CIA15" s="11"/>
      <c r="CIB15" s="11"/>
      <c r="CIC15" s="11"/>
      <c r="CID15" s="11"/>
      <c r="CIE15" s="11"/>
      <c r="CIF15" s="11"/>
      <c r="CIG15" s="11"/>
      <c r="CIH15" s="11"/>
      <c r="CII15" s="11"/>
      <c r="CIJ15" s="11"/>
      <c r="CIK15" s="11"/>
      <c r="CIL15" s="11"/>
      <c r="CIM15" s="11"/>
      <c r="CIN15" s="11"/>
      <c r="CIO15" s="11"/>
      <c r="CIP15" s="11"/>
      <c r="CIQ15" s="11"/>
      <c r="CIR15" s="11"/>
      <c r="CIS15" s="11"/>
      <c r="CIT15" s="11"/>
      <c r="CIU15" s="11"/>
      <c r="CIV15" s="11"/>
      <c r="CIW15" s="11"/>
      <c r="CIX15" s="11"/>
      <c r="CIY15" s="11"/>
      <c r="CIZ15" s="11"/>
      <c r="CJA15" s="11"/>
      <c r="CJB15" s="11"/>
      <c r="CJC15" s="11"/>
      <c r="CJD15" s="11"/>
      <c r="CJE15" s="11"/>
      <c r="CJF15" s="11"/>
      <c r="CJG15" s="11"/>
      <c r="CJH15" s="11"/>
      <c r="CJI15" s="11"/>
      <c r="CJJ15" s="11"/>
      <c r="CJK15" s="11"/>
      <c r="CJL15" s="11"/>
      <c r="CJM15" s="11"/>
      <c r="CJN15" s="11"/>
      <c r="CJO15" s="11"/>
      <c r="CJP15" s="11"/>
      <c r="CJQ15" s="11"/>
      <c r="CJR15" s="11"/>
      <c r="CJS15" s="11"/>
      <c r="CJT15" s="11"/>
      <c r="CJU15" s="11"/>
      <c r="CJV15" s="11"/>
      <c r="CJW15" s="11"/>
      <c r="CJX15" s="11"/>
      <c r="CJY15" s="11"/>
      <c r="CJZ15" s="11"/>
      <c r="CKA15" s="11"/>
      <c r="CKB15" s="11"/>
      <c r="CKC15" s="11"/>
      <c r="CKD15" s="11"/>
      <c r="CKE15" s="11"/>
      <c r="CKF15" s="11"/>
      <c r="CKG15" s="11"/>
      <c r="CKH15" s="11"/>
      <c r="CKI15" s="11"/>
      <c r="CKJ15" s="11"/>
      <c r="CKK15" s="11"/>
      <c r="CKL15" s="11"/>
      <c r="CKM15" s="11"/>
      <c r="CKN15" s="11"/>
      <c r="CKO15" s="11"/>
      <c r="CKP15" s="11"/>
      <c r="CKQ15" s="11"/>
      <c r="CKR15" s="11"/>
      <c r="CKS15" s="11"/>
      <c r="CKT15" s="11"/>
      <c r="CKU15" s="11"/>
      <c r="CKV15" s="11"/>
      <c r="CKW15" s="11"/>
      <c r="CKX15" s="11"/>
      <c r="CKY15" s="11"/>
      <c r="CKZ15" s="11"/>
      <c r="CLA15" s="11"/>
      <c r="CLB15" s="11"/>
      <c r="CLC15" s="11"/>
      <c r="CLD15" s="11"/>
      <c r="CLE15" s="11"/>
      <c r="CLF15" s="11"/>
      <c r="CLG15" s="11"/>
      <c r="CLH15" s="11"/>
      <c r="CLI15" s="11"/>
      <c r="CLJ15" s="11"/>
      <c r="CLK15" s="11"/>
      <c r="CLL15" s="11"/>
      <c r="CLM15" s="11"/>
      <c r="CLN15" s="11"/>
      <c r="CLO15" s="11"/>
      <c r="CLP15" s="11"/>
      <c r="CLQ15" s="11"/>
      <c r="CLR15" s="11"/>
      <c r="CLS15" s="11"/>
      <c r="CLT15" s="11"/>
      <c r="CLU15" s="11"/>
      <c r="CLV15" s="11"/>
      <c r="CLW15" s="11"/>
      <c r="CLX15" s="11"/>
      <c r="CLY15" s="11"/>
      <c r="CLZ15" s="11"/>
      <c r="CMA15" s="11"/>
      <c r="CMB15" s="11"/>
      <c r="CMC15" s="11"/>
      <c r="CMD15" s="11"/>
      <c r="CME15" s="11"/>
      <c r="CMF15" s="11"/>
      <c r="CMG15" s="11"/>
      <c r="CMH15" s="11"/>
      <c r="CMI15" s="11"/>
      <c r="CMJ15" s="11"/>
      <c r="CMK15" s="11"/>
      <c r="CML15" s="11"/>
      <c r="CMM15" s="11"/>
      <c r="CMN15" s="11"/>
      <c r="CMO15" s="11"/>
      <c r="CMP15" s="11"/>
      <c r="CMQ15" s="11"/>
      <c r="CMR15" s="11"/>
      <c r="CMS15" s="11"/>
      <c r="CMT15" s="11"/>
      <c r="CMU15" s="11"/>
      <c r="CMV15" s="11"/>
      <c r="CMW15" s="11"/>
      <c r="CMX15" s="11"/>
      <c r="CMY15" s="11"/>
      <c r="CMZ15" s="11"/>
      <c r="CNA15" s="11"/>
      <c r="CNB15" s="11"/>
      <c r="CNC15" s="11"/>
      <c r="CND15" s="11"/>
      <c r="CNE15" s="11"/>
      <c r="CNF15" s="11"/>
      <c r="CNG15" s="11"/>
      <c r="CNH15" s="11"/>
      <c r="CNI15" s="11"/>
      <c r="CNJ15" s="11"/>
      <c r="CNK15" s="11"/>
      <c r="CNL15" s="11"/>
      <c r="CNM15" s="11"/>
      <c r="CNN15" s="11"/>
      <c r="CNO15" s="11"/>
      <c r="CNP15" s="11"/>
      <c r="CNQ15" s="11"/>
      <c r="CNR15" s="11"/>
      <c r="CNS15" s="11"/>
      <c r="CNT15" s="11"/>
      <c r="CNU15" s="11"/>
      <c r="CNV15" s="11"/>
      <c r="CNW15" s="11"/>
      <c r="CNX15" s="11"/>
      <c r="CNY15" s="11"/>
      <c r="CNZ15" s="11"/>
      <c r="COA15" s="11"/>
      <c r="COB15" s="11"/>
      <c r="COC15" s="11"/>
      <c r="COD15" s="11"/>
      <c r="COE15" s="11"/>
      <c r="COF15" s="11"/>
      <c r="COG15" s="11"/>
      <c r="COH15" s="11"/>
      <c r="COI15" s="11"/>
      <c r="COJ15" s="11"/>
      <c r="COK15" s="11"/>
      <c r="COL15" s="11"/>
      <c r="COM15" s="11"/>
      <c r="CON15" s="11"/>
      <c r="COO15" s="11"/>
      <c r="COP15" s="11"/>
      <c r="COQ15" s="11"/>
      <c r="COR15" s="11"/>
      <c r="COS15" s="11"/>
      <c r="COT15" s="11"/>
      <c r="COU15" s="11"/>
      <c r="COV15" s="11"/>
      <c r="COW15" s="11"/>
      <c r="COX15" s="11"/>
      <c r="COY15" s="11"/>
      <c r="COZ15" s="11"/>
      <c r="CPA15" s="11"/>
      <c r="CPB15" s="11"/>
      <c r="CPC15" s="11"/>
      <c r="CPD15" s="11"/>
      <c r="CPE15" s="11"/>
      <c r="CPF15" s="11"/>
      <c r="CPG15" s="11"/>
      <c r="CPH15" s="11"/>
      <c r="CPI15" s="11"/>
      <c r="CPJ15" s="11"/>
      <c r="CPK15" s="11"/>
      <c r="CPL15" s="11"/>
      <c r="CPM15" s="11"/>
      <c r="CPN15" s="11"/>
      <c r="CPO15" s="11"/>
      <c r="CPP15" s="11"/>
      <c r="CPQ15" s="11"/>
      <c r="CPR15" s="11"/>
      <c r="CPS15" s="11"/>
      <c r="CPT15" s="11"/>
      <c r="CPU15" s="11"/>
      <c r="CPV15" s="11"/>
      <c r="CPW15" s="11"/>
      <c r="CPX15" s="11"/>
      <c r="CPY15" s="11"/>
      <c r="CPZ15" s="11"/>
      <c r="CQA15" s="11"/>
      <c r="CQB15" s="11"/>
      <c r="CQC15" s="11"/>
      <c r="CQD15" s="11"/>
      <c r="CQE15" s="11"/>
      <c r="CQF15" s="11"/>
      <c r="CQG15" s="11"/>
      <c r="CQH15" s="11"/>
      <c r="CQI15" s="11"/>
      <c r="CQJ15" s="11"/>
      <c r="CQK15" s="11"/>
      <c r="CQL15" s="11"/>
      <c r="CQM15" s="11"/>
      <c r="CQN15" s="11"/>
      <c r="CQO15" s="11"/>
      <c r="CQP15" s="11"/>
      <c r="CQQ15" s="11"/>
      <c r="CQR15" s="11"/>
      <c r="CQS15" s="11"/>
      <c r="CQT15" s="11"/>
      <c r="CQU15" s="11"/>
      <c r="CQV15" s="11"/>
      <c r="CQW15" s="11"/>
      <c r="CQX15" s="11"/>
      <c r="CQY15" s="11"/>
      <c r="CQZ15" s="11"/>
      <c r="CRA15" s="11"/>
      <c r="CRB15" s="11"/>
      <c r="CRC15" s="11"/>
      <c r="CRD15" s="11"/>
      <c r="CRE15" s="11"/>
      <c r="CRF15" s="11"/>
      <c r="CRG15" s="11"/>
      <c r="CRH15" s="11"/>
      <c r="CRI15" s="11"/>
      <c r="CRJ15" s="11"/>
      <c r="CRK15" s="11"/>
      <c r="CRL15" s="11"/>
      <c r="CRM15" s="11"/>
      <c r="CRN15" s="11"/>
      <c r="CRO15" s="11"/>
      <c r="CRP15" s="11"/>
      <c r="CRQ15" s="11"/>
      <c r="CRR15" s="11"/>
      <c r="CRS15" s="11"/>
      <c r="CRT15" s="11"/>
      <c r="CRU15" s="11"/>
      <c r="CRV15" s="11"/>
      <c r="CRW15" s="11"/>
      <c r="CRX15" s="11"/>
      <c r="CRY15" s="11"/>
      <c r="CRZ15" s="11"/>
      <c r="CSA15" s="11"/>
      <c r="CSB15" s="11"/>
      <c r="CSC15" s="11"/>
      <c r="CSD15" s="11"/>
      <c r="CSE15" s="11"/>
      <c r="CSF15" s="11"/>
      <c r="CSG15" s="11"/>
      <c r="CSH15" s="11"/>
      <c r="CSI15" s="11"/>
      <c r="CSJ15" s="11"/>
      <c r="CSK15" s="11"/>
      <c r="CSL15" s="11"/>
      <c r="CSM15" s="11"/>
      <c r="CSN15" s="11"/>
      <c r="CSO15" s="11"/>
      <c r="CSP15" s="11"/>
      <c r="CSQ15" s="11"/>
      <c r="CSR15" s="11"/>
      <c r="CSS15" s="11"/>
      <c r="CST15" s="11"/>
      <c r="CSU15" s="11"/>
      <c r="CSV15" s="11"/>
      <c r="CSW15" s="11"/>
      <c r="CSX15" s="11"/>
      <c r="CSY15" s="11"/>
      <c r="CSZ15" s="11"/>
      <c r="CTA15" s="11"/>
      <c r="CTB15" s="11"/>
      <c r="CTC15" s="11"/>
      <c r="CTD15" s="11"/>
      <c r="CTE15" s="11"/>
      <c r="CTF15" s="11"/>
      <c r="CTG15" s="11"/>
      <c r="CTH15" s="11"/>
      <c r="CTI15" s="11"/>
      <c r="CTJ15" s="11"/>
      <c r="CTK15" s="11"/>
      <c r="CTL15" s="11"/>
      <c r="CTM15" s="11"/>
      <c r="CTN15" s="11"/>
      <c r="CTO15" s="11"/>
      <c r="CTP15" s="11"/>
      <c r="CTQ15" s="11"/>
      <c r="CTR15" s="11"/>
      <c r="CTS15" s="11"/>
      <c r="CTT15" s="11"/>
      <c r="CTU15" s="11"/>
      <c r="CTV15" s="11"/>
      <c r="CTW15" s="11"/>
      <c r="CTX15" s="11"/>
      <c r="CTY15" s="11"/>
      <c r="CTZ15" s="11"/>
      <c r="CUA15" s="11"/>
      <c r="CUB15" s="11"/>
      <c r="CUC15" s="11"/>
      <c r="CUD15" s="11"/>
      <c r="CUE15" s="11"/>
      <c r="CUF15" s="11"/>
      <c r="CUG15" s="11"/>
      <c r="CUH15" s="11"/>
      <c r="CUI15" s="11"/>
      <c r="CUJ15" s="11"/>
      <c r="CUK15" s="11"/>
      <c r="CUL15" s="11"/>
      <c r="CUM15" s="11"/>
      <c r="CUN15" s="11"/>
      <c r="CUO15" s="11"/>
      <c r="CUP15" s="11"/>
      <c r="CUQ15" s="11"/>
      <c r="CUR15" s="11"/>
      <c r="CUS15" s="11"/>
      <c r="CUT15" s="11"/>
      <c r="CUU15" s="11"/>
      <c r="CUV15" s="11"/>
      <c r="CUW15" s="11"/>
      <c r="CUX15" s="11"/>
      <c r="CUY15" s="11"/>
      <c r="CUZ15" s="11"/>
      <c r="CVA15" s="11"/>
      <c r="CVB15" s="11"/>
      <c r="CVC15" s="11"/>
      <c r="CVD15" s="11"/>
      <c r="CVE15" s="11"/>
      <c r="CVF15" s="11"/>
      <c r="CVG15" s="11"/>
      <c r="CVH15" s="11"/>
      <c r="CVI15" s="11"/>
      <c r="CVJ15" s="11"/>
      <c r="CVK15" s="11"/>
      <c r="CVL15" s="11"/>
      <c r="CVM15" s="11"/>
      <c r="CVN15" s="11"/>
      <c r="CVO15" s="11"/>
      <c r="CVP15" s="11"/>
      <c r="CVQ15" s="11"/>
      <c r="CVR15" s="11"/>
      <c r="CVS15" s="11"/>
      <c r="CVT15" s="11"/>
      <c r="CVU15" s="11"/>
      <c r="CVV15" s="11"/>
      <c r="CVW15" s="11"/>
      <c r="CVX15" s="11"/>
      <c r="CVY15" s="11"/>
      <c r="CVZ15" s="11"/>
      <c r="CWA15" s="11"/>
      <c r="CWB15" s="11"/>
      <c r="CWC15" s="11"/>
      <c r="CWD15" s="11"/>
      <c r="CWE15" s="11"/>
      <c r="CWF15" s="11"/>
      <c r="CWG15" s="11"/>
      <c r="CWH15" s="11"/>
      <c r="CWI15" s="11"/>
      <c r="CWJ15" s="11"/>
      <c r="CWK15" s="11"/>
      <c r="CWL15" s="11"/>
      <c r="CWM15" s="11"/>
      <c r="CWN15" s="11"/>
      <c r="CWO15" s="11"/>
      <c r="CWP15" s="11"/>
      <c r="CWQ15" s="11"/>
      <c r="CWR15" s="11"/>
      <c r="CWS15" s="11"/>
      <c r="CWT15" s="11"/>
      <c r="CWU15" s="11"/>
      <c r="CWV15" s="11"/>
      <c r="CWW15" s="11"/>
      <c r="CWX15" s="11"/>
      <c r="CWY15" s="11"/>
      <c r="CWZ15" s="11"/>
      <c r="CXA15" s="11"/>
      <c r="CXB15" s="11"/>
      <c r="CXC15" s="11"/>
      <c r="CXD15" s="11"/>
      <c r="CXE15" s="11"/>
      <c r="CXF15" s="11"/>
      <c r="CXG15" s="11"/>
      <c r="CXH15" s="11"/>
      <c r="CXI15" s="11"/>
      <c r="CXJ15" s="11"/>
      <c r="CXK15" s="11"/>
      <c r="CXL15" s="11"/>
      <c r="CXM15" s="11"/>
      <c r="CXN15" s="11"/>
      <c r="CXO15" s="11"/>
      <c r="CXP15" s="11"/>
      <c r="CXQ15" s="11"/>
      <c r="CXR15" s="11"/>
      <c r="CXS15" s="11"/>
      <c r="CXT15" s="11"/>
      <c r="CXU15" s="11"/>
      <c r="CXV15" s="11"/>
      <c r="CXW15" s="11"/>
      <c r="CXX15" s="11"/>
      <c r="CXY15" s="11"/>
      <c r="CXZ15" s="11"/>
      <c r="CYA15" s="11"/>
      <c r="CYB15" s="11"/>
      <c r="CYC15" s="11"/>
      <c r="CYD15" s="11"/>
      <c r="CYE15" s="11"/>
      <c r="CYF15" s="11"/>
      <c r="CYG15" s="11"/>
      <c r="CYH15" s="11"/>
      <c r="CYI15" s="11"/>
      <c r="CYJ15" s="11"/>
      <c r="CYK15" s="11"/>
      <c r="CYL15" s="11"/>
      <c r="CYM15" s="11"/>
      <c r="CYN15" s="11"/>
      <c r="CYO15" s="11"/>
      <c r="CYP15" s="11"/>
      <c r="CYQ15" s="11"/>
      <c r="CYR15" s="11"/>
      <c r="CYS15" s="11"/>
      <c r="CYT15" s="11"/>
      <c r="CYU15" s="11"/>
      <c r="CYV15" s="11"/>
      <c r="CYW15" s="11"/>
      <c r="CYX15" s="11"/>
      <c r="CYY15" s="11"/>
      <c r="CYZ15" s="11"/>
      <c r="CZA15" s="11"/>
      <c r="CZB15" s="11"/>
      <c r="CZC15" s="11"/>
      <c r="CZD15" s="11"/>
      <c r="CZE15" s="11"/>
      <c r="CZF15" s="11"/>
      <c r="CZG15" s="11"/>
      <c r="CZH15" s="11"/>
      <c r="CZI15" s="11"/>
      <c r="CZJ15" s="11"/>
      <c r="CZK15" s="11"/>
      <c r="CZL15" s="11"/>
      <c r="CZM15" s="11"/>
      <c r="CZN15" s="11"/>
      <c r="CZO15" s="11"/>
      <c r="CZP15" s="11"/>
      <c r="CZQ15" s="11"/>
      <c r="CZR15" s="11"/>
      <c r="CZS15" s="11"/>
      <c r="CZT15" s="11"/>
      <c r="CZU15" s="11"/>
      <c r="CZV15" s="11"/>
      <c r="CZW15" s="11"/>
      <c r="CZX15" s="11"/>
      <c r="CZY15" s="11"/>
      <c r="CZZ15" s="11"/>
      <c r="DAA15" s="11"/>
      <c r="DAB15" s="11"/>
      <c r="DAC15" s="11"/>
      <c r="DAD15" s="11"/>
      <c r="DAE15" s="11"/>
      <c r="DAF15" s="11"/>
      <c r="DAG15" s="11"/>
      <c r="DAH15" s="11"/>
      <c r="DAI15" s="11"/>
      <c r="DAJ15" s="11"/>
      <c r="DAK15" s="11"/>
      <c r="DAL15" s="11"/>
      <c r="DAM15" s="11"/>
      <c r="DAN15" s="11"/>
      <c r="DAO15" s="11"/>
      <c r="DAP15" s="11"/>
      <c r="DAQ15" s="11"/>
      <c r="DAR15" s="11"/>
      <c r="DAS15" s="11"/>
      <c r="DAT15" s="11"/>
      <c r="DAU15" s="11"/>
      <c r="DAV15" s="11"/>
      <c r="DAW15" s="11"/>
      <c r="DAX15" s="11"/>
      <c r="DAY15" s="11"/>
      <c r="DAZ15" s="11"/>
      <c r="DBA15" s="11"/>
      <c r="DBB15" s="11"/>
      <c r="DBC15" s="11"/>
      <c r="DBD15" s="11"/>
      <c r="DBE15" s="11"/>
      <c r="DBF15" s="11"/>
      <c r="DBG15" s="11"/>
      <c r="DBH15" s="11"/>
      <c r="DBI15" s="11"/>
      <c r="DBJ15" s="11"/>
      <c r="DBK15" s="11"/>
      <c r="DBL15" s="11"/>
      <c r="DBM15" s="11"/>
      <c r="DBN15" s="11"/>
      <c r="DBO15" s="11"/>
      <c r="DBP15" s="11"/>
      <c r="DBQ15" s="11"/>
      <c r="DBR15" s="11"/>
      <c r="DBS15" s="11"/>
      <c r="DBT15" s="11"/>
      <c r="DBU15" s="11"/>
      <c r="DBV15" s="11"/>
      <c r="DBW15" s="11"/>
      <c r="DBX15" s="11"/>
      <c r="DBY15" s="11"/>
      <c r="DBZ15" s="11"/>
      <c r="DCA15" s="11"/>
      <c r="DCB15" s="11"/>
      <c r="DCC15" s="11"/>
      <c r="DCD15" s="11"/>
      <c r="DCE15" s="11"/>
      <c r="DCF15" s="11"/>
      <c r="DCG15" s="11"/>
      <c r="DCH15" s="11"/>
      <c r="DCI15" s="11"/>
      <c r="DCJ15" s="11"/>
      <c r="DCK15" s="11"/>
      <c r="DCL15" s="11"/>
      <c r="DCM15" s="11"/>
      <c r="DCN15" s="11"/>
      <c r="DCO15" s="11"/>
      <c r="DCP15" s="11"/>
      <c r="DCQ15" s="11"/>
      <c r="DCR15" s="11"/>
      <c r="DCS15" s="11"/>
      <c r="DCT15" s="11"/>
      <c r="DCU15" s="11"/>
      <c r="DCV15" s="11"/>
      <c r="DCW15" s="11"/>
      <c r="DCX15" s="11"/>
      <c r="DCY15" s="11"/>
      <c r="DCZ15" s="11"/>
      <c r="DDA15" s="11"/>
      <c r="DDB15" s="11"/>
      <c r="DDC15" s="11"/>
      <c r="DDD15" s="11"/>
      <c r="DDE15" s="11"/>
      <c r="DDF15" s="11"/>
      <c r="DDG15" s="11"/>
      <c r="DDH15" s="11"/>
      <c r="DDI15" s="11"/>
      <c r="DDJ15" s="11"/>
      <c r="DDK15" s="11"/>
      <c r="DDL15" s="11"/>
      <c r="DDM15" s="11"/>
      <c r="DDN15" s="11"/>
      <c r="DDO15" s="11"/>
      <c r="DDP15" s="11"/>
      <c r="DDQ15" s="11"/>
      <c r="DDR15" s="11"/>
      <c r="DDS15" s="11"/>
      <c r="DDT15" s="11"/>
      <c r="DDU15" s="11"/>
      <c r="DDV15" s="11"/>
      <c r="DDW15" s="11"/>
      <c r="DDX15" s="11"/>
      <c r="DDY15" s="11"/>
      <c r="DDZ15" s="11"/>
      <c r="DEA15" s="11"/>
      <c r="DEB15" s="11"/>
      <c r="DEC15" s="11"/>
      <c r="DED15" s="11"/>
      <c r="DEE15" s="11"/>
      <c r="DEF15" s="11"/>
      <c r="DEG15" s="11"/>
      <c r="DEH15" s="11"/>
      <c r="DEI15" s="11"/>
      <c r="DEJ15" s="11"/>
      <c r="DEK15" s="11"/>
      <c r="DEL15" s="11"/>
      <c r="DEM15" s="11"/>
      <c r="DEN15" s="11"/>
      <c r="DEO15" s="11"/>
      <c r="DEP15" s="11"/>
      <c r="DEQ15" s="11"/>
      <c r="DER15" s="11"/>
      <c r="DES15" s="11"/>
      <c r="DET15" s="11"/>
      <c r="DEU15" s="11"/>
      <c r="DEV15" s="11"/>
      <c r="DEW15" s="11"/>
      <c r="DEX15" s="11"/>
      <c r="DEY15" s="11"/>
      <c r="DEZ15" s="11"/>
      <c r="DFA15" s="11"/>
      <c r="DFB15" s="11"/>
      <c r="DFC15" s="11"/>
      <c r="DFD15" s="11"/>
      <c r="DFE15" s="11"/>
      <c r="DFF15" s="11"/>
      <c r="DFG15" s="11"/>
      <c r="DFH15" s="11"/>
      <c r="DFI15" s="11"/>
      <c r="DFJ15" s="11"/>
      <c r="DFK15" s="11"/>
      <c r="DFL15" s="11"/>
      <c r="DFM15" s="11"/>
      <c r="DFN15" s="11"/>
      <c r="DFO15" s="11"/>
      <c r="DFP15" s="11"/>
      <c r="DFQ15" s="11"/>
      <c r="DFR15" s="11"/>
      <c r="DFS15" s="11"/>
      <c r="DFT15" s="11"/>
      <c r="DFU15" s="11"/>
      <c r="DFV15" s="11"/>
      <c r="DFW15" s="11"/>
      <c r="DFX15" s="11"/>
      <c r="DFY15" s="11"/>
      <c r="DFZ15" s="11"/>
      <c r="DGA15" s="11"/>
      <c r="DGB15" s="11"/>
      <c r="DGC15" s="11"/>
      <c r="DGD15" s="11"/>
      <c r="DGE15" s="11"/>
      <c r="DGF15" s="11"/>
      <c r="DGG15" s="11"/>
      <c r="DGH15" s="11"/>
      <c r="DGI15" s="11"/>
      <c r="DGJ15" s="11"/>
      <c r="DGK15" s="11"/>
      <c r="DGL15" s="11"/>
      <c r="DGM15" s="11"/>
      <c r="DGN15" s="11"/>
      <c r="DGO15" s="11"/>
      <c r="DGP15" s="11"/>
      <c r="DGQ15" s="11"/>
      <c r="DGR15" s="11"/>
      <c r="DGS15" s="11"/>
      <c r="DGT15" s="11"/>
      <c r="DGU15" s="11"/>
      <c r="DGV15" s="11"/>
      <c r="DGW15" s="11"/>
      <c r="DGX15" s="11"/>
      <c r="DGY15" s="11"/>
      <c r="DGZ15" s="11"/>
      <c r="DHA15" s="11"/>
      <c r="DHB15" s="11"/>
      <c r="DHC15" s="11"/>
      <c r="DHD15" s="11"/>
      <c r="DHE15" s="11"/>
      <c r="DHF15" s="11"/>
      <c r="DHG15" s="11"/>
      <c r="DHH15" s="11"/>
      <c r="DHI15" s="11"/>
      <c r="DHJ15" s="11"/>
      <c r="DHK15" s="11"/>
      <c r="DHL15" s="11"/>
      <c r="DHM15" s="11"/>
      <c r="DHN15" s="11"/>
      <c r="DHO15" s="11"/>
      <c r="DHP15" s="11"/>
      <c r="DHQ15" s="11"/>
      <c r="DHR15" s="11"/>
      <c r="DHS15" s="11"/>
      <c r="DHT15" s="11"/>
      <c r="DHU15" s="11"/>
      <c r="DHV15" s="11"/>
      <c r="DHW15" s="11"/>
      <c r="DHX15" s="11"/>
      <c r="DHY15" s="11"/>
      <c r="DHZ15" s="11"/>
      <c r="DIA15" s="11"/>
      <c r="DIB15" s="11"/>
      <c r="DIC15" s="11"/>
      <c r="DID15" s="11"/>
      <c r="DIE15" s="11"/>
      <c r="DIF15" s="11"/>
      <c r="DIG15" s="11"/>
      <c r="DIH15" s="11"/>
      <c r="DII15" s="11"/>
      <c r="DIJ15" s="11"/>
      <c r="DIK15" s="11"/>
      <c r="DIL15" s="11"/>
      <c r="DIM15" s="11"/>
      <c r="DIN15" s="11"/>
      <c r="DIO15" s="11"/>
      <c r="DIP15" s="11"/>
      <c r="DIQ15" s="11"/>
      <c r="DIR15" s="11"/>
      <c r="DIS15" s="11"/>
      <c r="DIT15" s="11"/>
      <c r="DIU15" s="11"/>
      <c r="DIV15" s="11"/>
      <c r="DIW15" s="11"/>
      <c r="DIX15" s="11"/>
      <c r="DIY15" s="11"/>
      <c r="DIZ15" s="11"/>
      <c r="DJA15" s="11"/>
      <c r="DJB15" s="11"/>
      <c r="DJC15" s="11"/>
      <c r="DJD15" s="11"/>
      <c r="DJE15" s="11"/>
      <c r="DJF15" s="11"/>
      <c r="DJG15" s="11"/>
      <c r="DJH15" s="11"/>
      <c r="DJI15" s="11"/>
      <c r="DJJ15" s="11"/>
      <c r="DJK15" s="11"/>
      <c r="DJL15" s="11"/>
      <c r="DJM15" s="11"/>
      <c r="DJN15" s="11"/>
      <c r="DJO15" s="11"/>
      <c r="DJP15" s="11"/>
      <c r="DJQ15" s="11"/>
      <c r="DJR15" s="11"/>
      <c r="DJS15" s="11"/>
      <c r="DJT15" s="11"/>
      <c r="DJU15" s="11"/>
      <c r="DJV15" s="11"/>
      <c r="DJW15" s="11"/>
      <c r="DJX15" s="11"/>
      <c r="DJY15" s="11"/>
      <c r="DJZ15" s="11"/>
      <c r="DKA15" s="11"/>
      <c r="DKB15" s="11"/>
      <c r="DKC15" s="11"/>
      <c r="DKD15" s="11"/>
      <c r="DKE15" s="11"/>
      <c r="DKF15" s="11"/>
      <c r="DKG15" s="11"/>
      <c r="DKH15" s="11"/>
      <c r="DKI15" s="11"/>
      <c r="DKJ15" s="11"/>
      <c r="DKK15" s="11"/>
      <c r="DKL15" s="11"/>
      <c r="DKM15" s="11"/>
      <c r="DKN15" s="11"/>
      <c r="DKO15" s="11"/>
      <c r="DKP15" s="11"/>
      <c r="DKQ15" s="11"/>
      <c r="DKR15" s="11"/>
      <c r="DKS15" s="11"/>
      <c r="DKT15" s="11"/>
      <c r="DKU15" s="11"/>
      <c r="DKV15" s="11"/>
      <c r="DKW15" s="11"/>
      <c r="DKX15" s="11"/>
      <c r="DKY15" s="11"/>
      <c r="DKZ15" s="11"/>
      <c r="DLA15" s="11"/>
      <c r="DLB15" s="11"/>
      <c r="DLC15" s="11"/>
      <c r="DLD15" s="11"/>
      <c r="DLE15" s="11"/>
      <c r="DLF15" s="11"/>
      <c r="DLG15" s="11"/>
      <c r="DLH15" s="11"/>
      <c r="DLI15" s="11"/>
      <c r="DLJ15" s="11"/>
      <c r="DLK15" s="11"/>
      <c r="DLL15" s="11"/>
      <c r="DLM15" s="11"/>
      <c r="DLN15" s="11"/>
      <c r="DLO15" s="11"/>
      <c r="DLP15" s="11"/>
      <c r="DLQ15" s="11"/>
      <c r="DLR15" s="11"/>
      <c r="DLS15" s="11"/>
      <c r="DLT15" s="11"/>
      <c r="DLU15" s="11"/>
      <c r="DLV15" s="11"/>
      <c r="DLW15" s="11"/>
      <c r="DLX15" s="11"/>
      <c r="DLY15" s="11"/>
      <c r="DLZ15" s="11"/>
      <c r="DMA15" s="11"/>
      <c r="DMB15" s="11"/>
      <c r="DMC15" s="11"/>
      <c r="DMD15" s="11"/>
      <c r="DME15" s="11"/>
      <c r="DMF15" s="11"/>
      <c r="DMG15" s="11"/>
      <c r="DMH15" s="11"/>
      <c r="DMI15" s="11"/>
      <c r="DMJ15" s="11"/>
      <c r="DMK15" s="11"/>
      <c r="DML15" s="11"/>
      <c r="DMM15" s="11"/>
      <c r="DMN15" s="11"/>
      <c r="DMO15" s="11"/>
      <c r="DMP15" s="11"/>
      <c r="DMQ15" s="11"/>
      <c r="DMR15" s="11"/>
      <c r="DMS15" s="11"/>
      <c r="DMT15" s="11"/>
      <c r="DMU15" s="11"/>
      <c r="DMV15" s="11"/>
      <c r="DMW15" s="11"/>
      <c r="DMX15" s="11"/>
      <c r="DMY15" s="11"/>
      <c r="DMZ15" s="11"/>
      <c r="DNA15" s="11"/>
      <c r="DNB15" s="11"/>
      <c r="DNC15" s="11"/>
      <c r="DND15" s="11"/>
      <c r="DNE15" s="11"/>
      <c r="DNF15" s="11"/>
      <c r="DNG15" s="11"/>
      <c r="DNH15" s="11"/>
      <c r="DNI15" s="11"/>
      <c r="DNJ15" s="11"/>
      <c r="DNK15" s="11"/>
      <c r="DNL15" s="11"/>
      <c r="DNM15" s="11"/>
      <c r="DNN15" s="11"/>
      <c r="DNO15" s="11"/>
      <c r="DNP15" s="11"/>
      <c r="DNQ15" s="11"/>
      <c r="DNR15" s="11"/>
      <c r="DNS15" s="11"/>
      <c r="DNT15" s="11"/>
      <c r="DNU15" s="11"/>
      <c r="DNV15" s="11"/>
      <c r="DNW15" s="11"/>
      <c r="DNX15" s="11"/>
      <c r="DNY15" s="11"/>
      <c r="DNZ15" s="11"/>
      <c r="DOA15" s="11"/>
      <c r="DOB15" s="11"/>
      <c r="DOC15" s="11"/>
      <c r="DOD15" s="11"/>
      <c r="DOE15" s="11"/>
      <c r="DOF15" s="11"/>
      <c r="DOG15" s="11"/>
      <c r="DOH15" s="11"/>
      <c r="DOI15" s="11"/>
      <c r="DOJ15" s="11"/>
      <c r="DOK15" s="11"/>
      <c r="DOL15" s="11"/>
      <c r="DOM15" s="11"/>
      <c r="DON15" s="11"/>
      <c r="DOO15" s="11"/>
      <c r="DOP15" s="11"/>
      <c r="DOQ15" s="11"/>
      <c r="DOR15" s="11"/>
      <c r="DOS15" s="11"/>
      <c r="DOT15" s="11"/>
      <c r="DOU15" s="11"/>
      <c r="DOV15" s="11"/>
      <c r="DOW15" s="11"/>
      <c r="DOX15" s="11"/>
      <c r="DOY15" s="11"/>
      <c r="DOZ15" s="11"/>
      <c r="DPA15" s="11"/>
      <c r="DPB15" s="11"/>
      <c r="DPC15" s="11"/>
      <c r="DPD15" s="11"/>
      <c r="DPE15" s="11"/>
      <c r="DPF15" s="11"/>
      <c r="DPG15" s="11"/>
      <c r="DPH15" s="11"/>
      <c r="DPI15" s="11"/>
      <c r="DPJ15" s="11"/>
      <c r="DPK15" s="11"/>
      <c r="DPL15" s="11"/>
      <c r="DPM15" s="11"/>
      <c r="DPN15" s="11"/>
      <c r="DPO15" s="11"/>
      <c r="DPP15" s="11"/>
      <c r="DPQ15" s="11"/>
      <c r="DPR15" s="11"/>
      <c r="DPS15" s="11"/>
      <c r="DPT15" s="11"/>
      <c r="DPU15" s="11"/>
      <c r="DPV15" s="11"/>
      <c r="DPW15" s="11"/>
      <c r="DPX15" s="11"/>
      <c r="DPY15" s="11"/>
      <c r="DPZ15" s="11"/>
      <c r="DQA15" s="11"/>
      <c r="DQB15" s="11"/>
      <c r="DQC15" s="11"/>
      <c r="DQD15" s="11"/>
      <c r="DQE15" s="11"/>
      <c r="DQF15" s="11"/>
      <c r="DQG15" s="11"/>
      <c r="DQH15" s="11"/>
      <c r="DQI15" s="11"/>
      <c r="DQJ15" s="11"/>
      <c r="DQK15" s="11"/>
      <c r="DQL15" s="11"/>
      <c r="DQM15" s="11"/>
      <c r="DQN15" s="11"/>
      <c r="DQO15" s="11"/>
      <c r="DQP15" s="11"/>
      <c r="DQQ15" s="11"/>
      <c r="DQR15" s="11"/>
      <c r="DQS15" s="11"/>
      <c r="DQT15" s="11"/>
      <c r="DQU15" s="11"/>
      <c r="DQV15" s="11"/>
      <c r="DQW15" s="11"/>
      <c r="DQX15" s="11"/>
      <c r="DQY15" s="11"/>
      <c r="DQZ15" s="11"/>
      <c r="DRA15" s="11"/>
      <c r="DRB15" s="11"/>
      <c r="DRC15" s="11"/>
      <c r="DRD15" s="11"/>
      <c r="DRE15" s="11"/>
      <c r="DRF15" s="11"/>
      <c r="DRG15" s="11"/>
      <c r="DRH15" s="11"/>
      <c r="DRI15" s="11"/>
      <c r="DRJ15" s="11"/>
      <c r="DRK15" s="11"/>
      <c r="DRL15" s="11"/>
      <c r="DRM15" s="11"/>
      <c r="DRN15" s="11"/>
      <c r="DRO15" s="11"/>
      <c r="DRP15" s="11"/>
      <c r="DRQ15" s="11"/>
      <c r="DRR15" s="11"/>
      <c r="DRS15" s="11"/>
      <c r="DRT15" s="11"/>
      <c r="DRU15" s="11"/>
      <c r="DRV15" s="11"/>
      <c r="DRW15" s="11"/>
      <c r="DRX15" s="11"/>
      <c r="DRY15" s="11"/>
      <c r="DRZ15" s="11"/>
      <c r="DSA15" s="11"/>
      <c r="DSB15" s="11"/>
      <c r="DSC15" s="11"/>
      <c r="DSD15" s="11"/>
      <c r="DSE15" s="11"/>
      <c r="DSF15" s="11"/>
      <c r="DSG15" s="11"/>
      <c r="DSH15" s="11"/>
      <c r="DSI15" s="11"/>
      <c r="DSJ15" s="11"/>
      <c r="DSK15" s="11"/>
      <c r="DSL15" s="11"/>
      <c r="DSM15" s="11"/>
      <c r="DSN15" s="11"/>
      <c r="DSO15" s="11"/>
      <c r="DSP15" s="11"/>
      <c r="DSQ15" s="11"/>
      <c r="DSR15" s="11"/>
      <c r="DSS15" s="11"/>
      <c r="DST15" s="11"/>
      <c r="DSU15" s="11"/>
      <c r="DSV15" s="11"/>
      <c r="DSW15" s="11"/>
      <c r="DSX15" s="11"/>
      <c r="DSY15" s="11"/>
      <c r="DSZ15" s="11"/>
      <c r="DTA15" s="11"/>
      <c r="DTB15" s="11"/>
      <c r="DTC15" s="11"/>
      <c r="DTD15" s="11"/>
      <c r="DTE15" s="11"/>
      <c r="DTF15" s="11"/>
      <c r="DTG15" s="11"/>
      <c r="DTH15" s="11"/>
      <c r="DTI15" s="11"/>
      <c r="DTJ15" s="11"/>
      <c r="DTK15" s="11"/>
      <c r="DTL15" s="11"/>
      <c r="DTM15" s="11"/>
      <c r="DTN15" s="11"/>
      <c r="DTO15" s="11"/>
      <c r="DTP15" s="11"/>
      <c r="DTQ15" s="11"/>
      <c r="DTR15" s="11"/>
      <c r="DTS15" s="11"/>
      <c r="DTT15" s="11"/>
      <c r="DTU15" s="11"/>
      <c r="DTV15" s="11"/>
      <c r="DTW15" s="11"/>
      <c r="DTX15" s="11"/>
      <c r="DTY15" s="11"/>
      <c r="DTZ15" s="11"/>
      <c r="DUA15" s="11"/>
      <c r="DUB15" s="11"/>
      <c r="DUC15" s="11"/>
      <c r="DUD15" s="11"/>
      <c r="DUE15" s="11"/>
      <c r="DUF15" s="11"/>
      <c r="DUG15" s="11"/>
      <c r="DUH15" s="11"/>
      <c r="DUI15" s="11"/>
      <c r="DUJ15" s="11"/>
      <c r="DUK15" s="11"/>
      <c r="DUL15" s="11"/>
      <c r="DUM15" s="11"/>
      <c r="DUN15" s="11"/>
      <c r="DUO15" s="11"/>
      <c r="DUP15" s="11"/>
      <c r="DUQ15" s="11"/>
      <c r="DUR15" s="11"/>
      <c r="DUS15" s="11"/>
      <c r="DUT15" s="11"/>
      <c r="DUU15" s="11"/>
      <c r="DUV15" s="11"/>
      <c r="DUW15" s="11"/>
      <c r="DUX15" s="11"/>
      <c r="DUY15" s="11"/>
      <c r="DUZ15" s="11"/>
      <c r="DVA15" s="11"/>
      <c r="DVB15" s="11"/>
      <c r="DVC15" s="11"/>
      <c r="DVD15" s="11"/>
      <c r="DVE15" s="11"/>
      <c r="DVF15" s="11"/>
      <c r="DVG15" s="11"/>
      <c r="DVH15" s="11"/>
      <c r="DVI15" s="11"/>
      <c r="DVJ15" s="11"/>
      <c r="DVK15" s="11"/>
      <c r="DVL15" s="11"/>
      <c r="DVM15" s="11"/>
      <c r="DVN15" s="11"/>
      <c r="DVO15" s="11"/>
      <c r="DVP15" s="11"/>
      <c r="DVQ15" s="11"/>
      <c r="DVR15" s="11"/>
      <c r="DVS15" s="11"/>
      <c r="DVT15" s="11"/>
      <c r="DVU15" s="11"/>
      <c r="DVV15" s="11"/>
      <c r="DVW15" s="11"/>
      <c r="DVX15" s="11"/>
      <c r="DVY15" s="11"/>
      <c r="DVZ15" s="11"/>
      <c r="DWA15" s="11"/>
      <c r="DWB15" s="11"/>
      <c r="DWC15" s="11"/>
      <c r="DWD15" s="11"/>
      <c r="DWE15" s="11"/>
      <c r="DWF15" s="11"/>
      <c r="DWG15" s="11"/>
      <c r="DWH15" s="11"/>
      <c r="DWI15" s="11"/>
      <c r="DWJ15" s="11"/>
      <c r="DWK15" s="11"/>
      <c r="DWL15" s="11"/>
      <c r="DWM15" s="11"/>
      <c r="DWN15" s="11"/>
      <c r="DWO15" s="11"/>
      <c r="DWP15" s="11"/>
      <c r="DWQ15" s="11"/>
      <c r="DWR15" s="11"/>
      <c r="DWS15" s="11"/>
      <c r="DWT15" s="11"/>
      <c r="DWU15" s="11"/>
      <c r="DWV15" s="11"/>
      <c r="DWW15" s="11"/>
      <c r="DWX15" s="11"/>
      <c r="DWY15" s="11"/>
      <c r="DWZ15" s="11"/>
      <c r="DXA15" s="11"/>
      <c r="DXB15" s="11"/>
      <c r="DXC15" s="11"/>
      <c r="DXD15" s="11"/>
      <c r="DXE15" s="11"/>
      <c r="DXF15" s="11"/>
      <c r="DXG15" s="11"/>
      <c r="DXH15" s="11"/>
      <c r="DXI15" s="11"/>
      <c r="DXJ15" s="11"/>
      <c r="DXK15" s="11"/>
      <c r="DXL15" s="11"/>
      <c r="DXM15" s="11"/>
      <c r="DXN15" s="11"/>
      <c r="DXO15" s="11"/>
      <c r="DXP15" s="11"/>
      <c r="DXQ15" s="11"/>
      <c r="DXR15" s="11"/>
      <c r="DXS15" s="11"/>
      <c r="DXT15" s="11"/>
      <c r="DXU15" s="11"/>
      <c r="DXV15" s="11"/>
      <c r="DXW15" s="11"/>
      <c r="DXX15" s="11"/>
      <c r="DXY15" s="11"/>
      <c r="DXZ15" s="11"/>
      <c r="DYA15" s="11"/>
      <c r="DYB15" s="11"/>
      <c r="DYC15" s="11"/>
      <c r="DYD15" s="11"/>
      <c r="DYE15" s="11"/>
      <c r="DYF15" s="11"/>
      <c r="DYG15" s="11"/>
      <c r="DYH15" s="11"/>
      <c r="DYI15" s="11"/>
      <c r="DYJ15" s="11"/>
      <c r="DYK15" s="11"/>
      <c r="DYL15" s="11"/>
      <c r="DYM15" s="11"/>
      <c r="DYN15" s="11"/>
      <c r="DYO15" s="11"/>
      <c r="DYP15" s="11"/>
      <c r="DYQ15" s="11"/>
      <c r="DYR15" s="11"/>
      <c r="DYS15" s="11"/>
      <c r="DYT15" s="11"/>
      <c r="DYU15" s="11"/>
      <c r="DYV15" s="11"/>
      <c r="DYW15" s="11"/>
      <c r="DYX15" s="11"/>
      <c r="DYY15" s="11"/>
      <c r="DYZ15" s="11"/>
      <c r="DZA15" s="11"/>
      <c r="DZB15" s="11"/>
      <c r="DZC15" s="11"/>
      <c r="DZD15" s="11"/>
      <c r="DZE15" s="11"/>
      <c r="DZF15" s="11"/>
      <c r="DZG15" s="11"/>
      <c r="DZH15" s="11"/>
      <c r="DZI15" s="11"/>
      <c r="DZJ15" s="11"/>
      <c r="DZK15" s="11"/>
      <c r="DZL15" s="11"/>
      <c r="DZM15" s="11"/>
      <c r="DZN15" s="11"/>
      <c r="DZO15" s="11"/>
      <c r="DZP15" s="11"/>
      <c r="DZQ15" s="11"/>
      <c r="DZR15" s="11"/>
      <c r="DZS15" s="11"/>
      <c r="DZT15" s="11"/>
      <c r="DZU15" s="11"/>
      <c r="DZV15" s="11"/>
      <c r="DZW15" s="11"/>
      <c r="DZX15" s="11"/>
      <c r="DZY15" s="11"/>
      <c r="DZZ15" s="11"/>
      <c r="EAA15" s="11"/>
      <c r="EAB15" s="11"/>
      <c r="EAC15" s="11"/>
      <c r="EAD15" s="11"/>
      <c r="EAE15" s="11"/>
      <c r="EAF15" s="11"/>
      <c r="EAG15" s="11"/>
      <c r="EAH15" s="11"/>
      <c r="EAI15" s="11"/>
      <c r="EAJ15" s="11"/>
      <c r="EAK15" s="11"/>
      <c r="EAL15" s="11"/>
      <c r="EAM15" s="11"/>
      <c r="EAN15" s="11"/>
      <c r="EAO15" s="11"/>
      <c r="EAP15" s="11"/>
      <c r="EAQ15" s="11"/>
      <c r="EAR15" s="11"/>
      <c r="EAS15" s="11"/>
      <c r="EAT15" s="11"/>
      <c r="EAU15" s="11"/>
      <c r="EAV15" s="11"/>
      <c r="EAW15" s="11"/>
      <c r="EAX15" s="11"/>
      <c r="EAY15" s="11"/>
      <c r="EAZ15" s="11"/>
      <c r="EBA15" s="11"/>
      <c r="EBB15" s="11"/>
      <c r="EBC15" s="11"/>
      <c r="EBD15" s="11"/>
      <c r="EBE15" s="11"/>
      <c r="EBF15" s="11"/>
      <c r="EBG15" s="11"/>
      <c r="EBH15" s="11"/>
      <c r="EBI15" s="11"/>
      <c r="EBJ15" s="11"/>
      <c r="EBK15" s="11"/>
      <c r="EBL15" s="11"/>
      <c r="EBM15" s="11"/>
      <c r="EBN15" s="11"/>
      <c r="EBO15" s="11"/>
      <c r="EBP15" s="11"/>
      <c r="EBQ15" s="11"/>
      <c r="EBR15" s="11"/>
      <c r="EBS15" s="11"/>
      <c r="EBT15" s="11"/>
      <c r="EBU15" s="11"/>
      <c r="EBV15" s="11"/>
      <c r="EBW15" s="11"/>
      <c r="EBX15" s="11"/>
      <c r="EBY15" s="11"/>
      <c r="EBZ15" s="11"/>
      <c r="ECA15" s="11"/>
      <c r="ECB15" s="11"/>
      <c r="ECC15" s="11"/>
      <c r="ECD15" s="11"/>
      <c r="ECE15" s="11"/>
      <c r="ECF15" s="11"/>
      <c r="ECG15" s="11"/>
      <c r="ECH15" s="11"/>
      <c r="ECI15" s="11"/>
      <c r="ECJ15" s="11"/>
      <c r="ECK15" s="11"/>
      <c r="ECL15" s="11"/>
      <c r="ECM15" s="11"/>
      <c r="ECN15" s="11"/>
      <c r="ECO15" s="11"/>
      <c r="ECP15" s="11"/>
      <c r="ECQ15" s="11"/>
      <c r="ECR15" s="11"/>
      <c r="ECS15" s="11"/>
      <c r="ECT15" s="11"/>
      <c r="ECU15" s="11"/>
      <c r="ECV15" s="11"/>
      <c r="ECW15" s="11"/>
      <c r="ECX15" s="11"/>
      <c r="ECY15" s="11"/>
      <c r="ECZ15" s="11"/>
      <c r="EDA15" s="11"/>
      <c r="EDB15" s="11"/>
      <c r="EDC15" s="11"/>
      <c r="EDD15" s="11"/>
      <c r="EDE15" s="11"/>
      <c r="EDF15" s="11"/>
      <c r="EDG15" s="11"/>
      <c r="EDH15" s="11"/>
      <c r="EDI15" s="11"/>
      <c r="EDJ15" s="11"/>
      <c r="EDK15" s="11"/>
      <c r="EDL15" s="11"/>
      <c r="EDM15" s="11"/>
      <c r="EDN15" s="11"/>
      <c r="EDO15" s="11"/>
      <c r="EDP15" s="11"/>
      <c r="EDQ15" s="11"/>
      <c r="EDR15" s="11"/>
      <c r="EDS15" s="11"/>
      <c r="EDT15" s="11"/>
      <c r="EDU15" s="11"/>
      <c r="EDV15" s="11"/>
      <c r="EDW15" s="11"/>
      <c r="EDX15" s="11"/>
      <c r="EDY15" s="11"/>
      <c r="EDZ15" s="11"/>
      <c r="EEA15" s="11"/>
      <c r="EEB15" s="11"/>
      <c r="EEC15" s="11"/>
      <c r="EED15" s="11"/>
      <c r="EEE15" s="11"/>
      <c r="EEF15" s="11"/>
      <c r="EEG15" s="11"/>
      <c r="EEH15" s="11"/>
      <c r="EEI15" s="11"/>
      <c r="EEJ15" s="11"/>
      <c r="EEK15" s="11"/>
      <c r="EEL15" s="11"/>
      <c r="EEM15" s="11"/>
      <c r="EEN15" s="11"/>
      <c r="EEO15" s="11"/>
      <c r="EEP15" s="11"/>
      <c r="EEQ15" s="11"/>
      <c r="EER15" s="11"/>
      <c r="EES15" s="11"/>
      <c r="EET15" s="11"/>
      <c r="EEU15" s="11"/>
      <c r="EEV15" s="11"/>
      <c r="EEW15" s="11"/>
      <c r="EEX15" s="11"/>
      <c r="EEY15" s="11"/>
      <c r="EEZ15" s="11"/>
      <c r="EFA15" s="11"/>
      <c r="EFB15" s="11"/>
      <c r="EFC15" s="11"/>
      <c r="EFD15" s="11"/>
      <c r="EFE15" s="11"/>
      <c r="EFF15" s="11"/>
      <c r="EFG15" s="11"/>
      <c r="EFH15" s="11"/>
      <c r="EFI15" s="11"/>
      <c r="EFJ15" s="11"/>
      <c r="EFK15" s="11"/>
      <c r="EFL15" s="11"/>
      <c r="EFM15" s="11"/>
      <c r="EFN15" s="11"/>
      <c r="EFO15" s="11"/>
      <c r="EFP15" s="11"/>
      <c r="EFQ15" s="11"/>
      <c r="EFR15" s="11"/>
      <c r="EFS15" s="11"/>
      <c r="EFT15" s="11"/>
      <c r="EFU15" s="11"/>
      <c r="EFV15" s="11"/>
      <c r="EFW15" s="11"/>
      <c r="EFX15" s="11"/>
      <c r="EFY15" s="11"/>
      <c r="EFZ15" s="11"/>
      <c r="EGA15" s="11"/>
      <c r="EGB15" s="11"/>
      <c r="EGC15" s="11"/>
      <c r="EGD15" s="11"/>
      <c r="EGE15" s="11"/>
      <c r="EGF15" s="11"/>
      <c r="EGG15" s="11"/>
      <c r="EGH15" s="11"/>
      <c r="EGI15" s="11"/>
      <c r="EGJ15" s="11"/>
      <c r="EGK15" s="11"/>
      <c r="EGL15" s="11"/>
      <c r="EGM15" s="11"/>
      <c r="EGN15" s="11"/>
      <c r="EGO15" s="11"/>
      <c r="EGP15" s="11"/>
      <c r="EGQ15" s="11"/>
      <c r="EGR15" s="11"/>
      <c r="EGS15" s="11"/>
      <c r="EGT15" s="11"/>
      <c r="EGU15" s="11"/>
      <c r="EGV15" s="11"/>
      <c r="EGW15" s="11"/>
      <c r="EGX15" s="11"/>
      <c r="EGY15" s="11"/>
      <c r="EGZ15" s="11"/>
      <c r="EHA15" s="11"/>
      <c r="EHB15" s="11"/>
      <c r="EHC15" s="11"/>
      <c r="EHD15" s="11"/>
      <c r="EHE15" s="11"/>
      <c r="EHF15" s="11"/>
      <c r="EHG15" s="11"/>
      <c r="EHH15" s="11"/>
      <c r="EHI15" s="11"/>
      <c r="EHJ15" s="11"/>
      <c r="EHK15" s="11"/>
      <c r="EHL15" s="11"/>
      <c r="EHM15" s="11"/>
      <c r="EHN15" s="11"/>
      <c r="EHO15" s="11"/>
      <c r="EHP15" s="11"/>
      <c r="EHQ15" s="11"/>
      <c r="EHR15" s="11"/>
      <c r="EHS15" s="11"/>
      <c r="EHT15" s="11"/>
      <c r="EHU15" s="11"/>
      <c r="EHV15" s="11"/>
      <c r="EHW15" s="11"/>
      <c r="EHX15" s="11"/>
      <c r="EHY15" s="11"/>
      <c r="EHZ15" s="11"/>
      <c r="EIA15" s="11"/>
      <c r="EIB15" s="11"/>
      <c r="EIC15" s="11"/>
      <c r="EID15" s="11"/>
      <c r="EIE15" s="11"/>
      <c r="EIF15" s="11"/>
      <c r="EIG15" s="11"/>
      <c r="EIH15" s="11"/>
      <c r="EII15" s="11"/>
      <c r="EIJ15" s="11"/>
      <c r="EIK15" s="11"/>
      <c r="EIL15" s="11"/>
      <c r="EIM15" s="11"/>
      <c r="EIN15" s="11"/>
      <c r="EIO15" s="11"/>
      <c r="EIP15" s="11"/>
      <c r="EIQ15" s="11"/>
      <c r="EIR15" s="11"/>
      <c r="EIS15" s="11"/>
      <c r="EIT15" s="11"/>
      <c r="EIU15" s="11"/>
      <c r="EIV15" s="11"/>
      <c r="EIW15" s="11"/>
      <c r="EIX15" s="11"/>
      <c r="EIY15" s="11"/>
      <c r="EIZ15" s="11"/>
      <c r="EJA15" s="11"/>
      <c r="EJB15" s="11"/>
      <c r="EJC15" s="11"/>
      <c r="EJD15" s="11"/>
      <c r="EJE15" s="11"/>
      <c r="EJF15" s="11"/>
      <c r="EJG15" s="11"/>
      <c r="EJH15" s="11"/>
      <c r="EJI15" s="11"/>
      <c r="EJJ15" s="11"/>
      <c r="EJK15" s="11"/>
      <c r="EJL15" s="11"/>
      <c r="EJM15" s="11"/>
      <c r="EJN15" s="11"/>
      <c r="EJO15" s="11"/>
      <c r="EJP15" s="11"/>
      <c r="EJQ15" s="11"/>
      <c r="EJR15" s="11"/>
      <c r="EJS15" s="11"/>
      <c r="EJT15" s="11"/>
      <c r="EJU15" s="11"/>
      <c r="EJV15" s="11"/>
      <c r="EJW15" s="11"/>
      <c r="EJX15" s="11"/>
      <c r="EJY15" s="11"/>
      <c r="EJZ15" s="11"/>
      <c r="EKA15" s="11"/>
      <c r="EKB15" s="11"/>
      <c r="EKC15" s="11"/>
      <c r="EKD15" s="11"/>
      <c r="EKE15" s="11"/>
      <c r="EKF15" s="11"/>
      <c r="EKG15" s="11"/>
      <c r="EKH15" s="11"/>
      <c r="EKI15" s="11"/>
      <c r="EKJ15" s="11"/>
      <c r="EKK15" s="11"/>
      <c r="EKL15" s="11"/>
      <c r="EKM15" s="11"/>
      <c r="EKN15" s="11"/>
      <c r="EKO15" s="11"/>
      <c r="EKP15" s="11"/>
      <c r="EKQ15" s="11"/>
      <c r="EKR15" s="11"/>
      <c r="EKS15" s="11"/>
      <c r="EKT15" s="11"/>
      <c r="EKU15" s="11"/>
      <c r="EKV15" s="11"/>
      <c r="EKW15" s="11"/>
      <c r="EKX15" s="11"/>
      <c r="EKY15" s="11"/>
      <c r="EKZ15" s="11"/>
      <c r="ELA15" s="11"/>
      <c r="ELB15" s="11"/>
      <c r="ELC15" s="11"/>
      <c r="ELD15" s="11"/>
      <c r="ELE15" s="11"/>
      <c r="ELF15" s="11"/>
      <c r="ELG15" s="11"/>
      <c r="ELH15" s="11"/>
      <c r="ELI15" s="11"/>
      <c r="ELJ15" s="11"/>
      <c r="ELK15" s="11"/>
      <c r="ELL15" s="11"/>
      <c r="ELM15" s="11"/>
      <c r="ELN15" s="11"/>
      <c r="ELO15" s="11"/>
      <c r="ELP15" s="11"/>
      <c r="ELQ15" s="11"/>
      <c r="ELR15" s="11"/>
      <c r="ELS15" s="11"/>
      <c r="ELT15" s="11"/>
      <c r="ELU15" s="11"/>
      <c r="ELV15" s="11"/>
      <c r="ELW15" s="11"/>
      <c r="ELX15" s="11"/>
      <c r="ELY15" s="11"/>
      <c r="ELZ15" s="11"/>
      <c r="EMA15" s="11"/>
      <c r="EMB15" s="11"/>
      <c r="EMC15" s="11"/>
      <c r="EMD15" s="11"/>
      <c r="EME15" s="11"/>
      <c r="EMF15" s="11"/>
      <c r="EMG15" s="11"/>
      <c r="EMH15" s="11"/>
      <c r="EMI15" s="11"/>
      <c r="EMJ15" s="11"/>
      <c r="EMK15" s="11"/>
      <c r="EML15" s="11"/>
      <c r="EMM15" s="11"/>
      <c r="EMN15" s="11"/>
      <c r="EMO15" s="11"/>
      <c r="EMP15" s="11"/>
      <c r="EMQ15" s="11"/>
      <c r="EMR15" s="11"/>
      <c r="EMS15" s="11"/>
      <c r="EMT15" s="11"/>
      <c r="EMU15" s="11"/>
      <c r="EMV15" s="11"/>
      <c r="EMW15" s="11"/>
      <c r="EMX15" s="11"/>
      <c r="EMY15" s="11"/>
      <c r="EMZ15" s="11"/>
      <c r="ENA15" s="11"/>
      <c r="ENB15" s="11"/>
      <c r="ENC15" s="11"/>
      <c r="END15" s="11"/>
      <c r="ENE15" s="11"/>
      <c r="ENF15" s="11"/>
      <c r="ENG15" s="11"/>
      <c r="ENH15" s="11"/>
      <c r="ENI15" s="11"/>
      <c r="ENJ15" s="11"/>
      <c r="ENK15" s="11"/>
      <c r="ENL15" s="11"/>
      <c r="ENM15" s="11"/>
      <c r="ENN15" s="11"/>
      <c r="ENO15" s="11"/>
      <c r="ENP15" s="11"/>
      <c r="ENQ15" s="11"/>
      <c r="ENR15" s="11"/>
      <c r="ENS15" s="11"/>
      <c r="ENT15" s="11"/>
      <c r="ENU15" s="11"/>
      <c r="ENV15" s="11"/>
      <c r="ENW15" s="11"/>
      <c r="ENX15" s="11"/>
      <c r="ENY15" s="11"/>
      <c r="ENZ15" s="11"/>
      <c r="EOA15" s="11"/>
      <c r="EOB15" s="11"/>
      <c r="EOC15" s="11"/>
      <c r="EOD15" s="11"/>
      <c r="EOE15" s="11"/>
      <c r="EOF15" s="11"/>
      <c r="EOG15" s="11"/>
      <c r="EOH15" s="11"/>
      <c r="EOI15" s="11"/>
      <c r="EOJ15" s="11"/>
      <c r="EOK15" s="11"/>
      <c r="EOL15" s="11"/>
      <c r="EOM15" s="11"/>
      <c r="EON15" s="11"/>
      <c r="EOO15" s="11"/>
      <c r="EOP15" s="11"/>
      <c r="EOQ15" s="11"/>
      <c r="EOR15" s="11"/>
      <c r="EOS15" s="11"/>
      <c r="EOT15" s="11"/>
      <c r="EOU15" s="11"/>
      <c r="EOV15" s="11"/>
      <c r="EOW15" s="11"/>
      <c r="EOX15" s="11"/>
      <c r="EOY15" s="11"/>
      <c r="EOZ15" s="11"/>
      <c r="EPA15" s="11"/>
      <c r="EPB15" s="11"/>
      <c r="EPC15" s="11"/>
      <c r="EPD15" s="11"/>
      <c r="EPE15" s="11"/>
      <c r="EPF15" s="11"/>
      <c r="EPG15" s="11"/>
      <c r="EPH15" s="11"/>
      <c r="EPI15" s="11"/>
      <c r="EPJ15" s="11"/>
      <c r="EPK15" s="11"/>
      <c r="EPL15" s="11"/>
      <c r="EPM15" s="11"/>
      <c r="EPN15" s="11"/>
      <c r="EPO15" s="11"/>
      <c r="EPP15" s="11"/>
      <c r="EPQ15" s="11"/>
      <c r="EPR15" s="11"/>
      <c r="EPS15" s="11"/>
      <c r="EPT15" s="11"/>
      <c r="EPU15" s="11"/>
      <c r="EPV15" s="11"/>
      <c r="EPW15" s="11"/>
      <c r="EPX15" s="11"/>
      <c r="EPY15" s="11"/>
      <c r="EPZ15" s="11"/>
      <c r="EQA15" s="11"/>
      <c r="EQB15" s="11"/>
      <c r="EQC15" s="11"/>
      <c r="EQD15" s="11"/>
      <c r="EQE15" s="11"/>
      <c r="EQF15" s="11"/>
      <c r="EQG15" s="11"/>
      <c r="EQH15" s="11"/>
      <c r="EQI15" s="11"/>
      <c r="EQJ15" s="11"/>
      <c r="EQK15" s="11"/>
      <c r="EQL15" s="11"/>
      <c r="EQM15" s="11"/>
      <c r="EQN15" s="11"/>
      <c r="EQO15" s="11"/>
      <c r="EQP15" s="11"/>
      <c r="EQQ15" s="11"/>
      <c r="EQR15" s="11"/>
      <c r="EQS15" s="11"/>
      <c r="EQT15" s="11"/>
      <c r="EQU15" s="11"/>
      <c r="EQV15" s="11"/>
      <c r="EQW15" s="11"/>
      <c r="EQX15" s="11"/>
      <c r="EQY15" s="11"/>
      <c r="EQZ15" s="11"/>
      <c r="ERA15" s="11"/>
      <c r="ERB15" s="11"/>
      <c r="ERC15" s="11"/>
      <c r="ERD15" s="11"/>
      <c r="ERE15" s="11"/>
      <c r="ERF15" s="11"/>
      <c r="ERG15" s="11"/>
      <c r="ERH15" s="11"/>
      <c r="ERI15" s="11"/>
      <c r="ERJ15" s="11"/>
      <c r="ERK15" s="11"/>
      <c r="ERL15" s="11"/>
      <c r="ERM15" s="11"/>
      <c r="ERN15" s="11"/>
      <c r="ERO15" s="11"/>
      <c r="ERP15" s="11"/>
      <c r="ERQ15" s="11"/>
      <c r="ERR15" s="11"/>
      <c r="ERS15" s="11"/>
      <c r="ERT15" s="11"/>
      <c r="ERU15" s="11"/>
      <c r="ERV15" s="11"/>
      <c r="ERW15" s="11"/>
      <c r="ERX15" s="11"/>
      <c r="ERY15" s="11"/>
      <c r="ERZ15" s="11"/>
      <c r="ESA15" s="11"/>
      <c r="ESB15" s="11"/>
      <c r="ESC15" s="11"/>
      <c r="ESD15" s="11"/>
      <c r="ESE15" s="11"/>
      <c r="ESF15" s="11"/>
      <c r="ESG15" s="11"/>
      <c r="ESH15" s="11"/>
      <c r="ESI15" s="11"/>
      <c r="ESJ15" s="11"/>
      <c r="ESK15" s="11"/>
      <c r="ESL15" s="11"/>
      <c r="ESM15" s="11"/>
      <c r="ESN15" s="11"/>
      <c r="ESO15" s="11"/>
      <c r="ESP15" s="11"/>
      <c r="ESQ15" s="11"/>
      <c r="ESR15" s="11"/>
      <c r="ESS15" s="11"/>
      <c r="EST15" s="11"/>
      <c r="ESU15" s="11"/>
      <c r="ESV15" s="11"/>
      <c r="ESW15" s="11"/>
      <c r="ESX15" s="11"/>
      <c r="ESY15" s="11"/>
      <c r="ESZ15" s="11"/>
      <c r="ETA15" s="11"/>
      <c r="ETB15" s="11"/>
      <c r="ETC15" s="11"/>
      <c r="ETD15" s="11"/>
      <c r="ETE15" s="11"/>
      <c r="ETF15" s="11"/>
      <c r="ETG15" s="11"/>
      <c r="ETH15" s="11"/>
      <c r="ETI15" s="11"/>
      <c r="ETJ15" s="11"/>
      <c r="ETK15" s="11"/>
      <c r="ETL15" s="11"/>
      <c r="ETM15" s="11"/>
      <c r="ETN15" s="11"/>
      <c r="ETO15" s="11"/>
      <c r="ETP15" s="11"/>
      <c r="ETQ15" s="11"/>
      <c r="ETR15" s="11"/>
      <c r="ETS15" s="11"/>
      <c r="ETT15" s="11"/>
      <c r="ETU15" s="11"/>
      <c r="ETV15" s="11"/>
      <c r="ETW15" s="11"/>
      <c r="ETX15" s="11"/>
      <c r="ETY15" s="11"/>
      <c r="ETZ15" s="11"/>
      <c r="EUA15" s="11"/>
      <c r="EUB15" s="11"/>
      <c r="EUC15" s="11"/>
      <c r="EUD15" s="11"/>
      <c r="EUE15" s="11"/>
      <c r="EUF15" s="11"/>
      <c r="EUG15" s="11"/>
      <c r="EUH15" s="11"/>
      <c r="EUI15" s="11"/>
      <c r="EUJ15" s="11"/>
      <c r="EUK15" s="11"/>
      <c r="EUL15" s="11"/>
      <c r="EUM15" s="11"/>
      <c r="EUN15" s="11"/>
      <c r="EUO15" s="11"/>
      <c r="EUP15" s="11"/>
      <c r="EUQ15" s="11"/>
      <c r="EUR15" s="11"/>
      <c r="EUS15" s="11"/>
      <c r="EUT15" s="11"/>
      <c r="EUU15" s="11"/>
      <c r="EUV15" s="11"/>
      <c r="EUW15" s="11"/>
      <c r="EUX15" s="11"/>
      <c r="EUY15" s="11"/>
      <c r="EUZ15" s="11"/>
      <c r="EVA15" s="11"/>
      <c r="EVB15" s="11"/>
      <c r="EVC15" s="11"/>
      <c r="EVD15" s="11"/>
      <c r="EVE15" s="11"/>
      <c r="EVF15" s="11"/>
      <c r="EVG15" s="11"/>
      <c r="EVH15" s="11"/>
      <c r="EVI15" s="11"/>
      <c r="EVJ15" s="11"/>
      <c r="EVK15" s="11"/>
      <c r="EVL15" s="11"/>
      <c r="EVM15" s="11"/>
      <c r="EVN15" s="11"/>
      <c r="EVO15" s="11"/>
      <c r="EVP15" s="11"/>
      <c r="EVQ15" s="11"/>
      <c r="EVR15" s="11"/>
      <c r="EVS15" s="11"/>
      <c r="EVT15" s="11"/>
      <c r="EVU15" s="11"/>
      <c r="EVV15" s="11"/>
      <c r="EVW15" s="11"/>
      <c r="EVX15" s="11"/>
      <c r="EVY15" s="11"/>
      <c r="EVZ15" s="11"/>
      <c r="EWA15" s="11"/>
      <c r="EWB15" s="11"/>
      <c r="EWC15" s="11"/>
      <c r="EWD15" s="11"/>
      <c r="EWE15" s="11"/>
      <c r="EWF15" s="11"/>
      <c r="EWG15" s="11"/>
      <c r="EWH15" s="11"/>
      <c r="EWI15" s="11"/>
      <c r="EWJ15" s="11"/>
      <c r="EWK15" s="11"/>
      <c r="EWL15" s="11"/>
      <c r="EWM15" s="11"/>
      <c r="EWN15" s="11"/>
      <c r="EWO15" s="11"/>
      <c r="EWP15" s="11"/>
      <c r="EWQ15" s="11"/>
      <c r="EWR15" s="11"/>
      <c r="EWS15" s="11"/>
      <c r="EWT15" s="11"/>
      <c r="EWU15" s="11"/>
      <c r="EWV15" s="11"/>
      <c r="EWW15" s="11"/>
      <c r="EWX15" s="11"/>
      <c r="EWY15" s="11"/>
      <c r="EWZ15" s="11"/>
      <c r="EXA15" s="11"/>
      <c r="EXB15" s="11"/>
      <c r="EXC15" s="11"/>
      <c r="EXD15" s="11"/>
      <c r="EXE15" s="11"/>
      <c r="EXF15" s="11"/>
      <c r="EXG15" s="11"/>
      <c r="EXH15" s="11"/>
      <c r="EXI15" s="11"/>
      <c r="EXJ15" s="11"/>
      <c r="EXK15" s="11"/>
      <c r="EXL15" s="11"/>
      <c r="EXM15" s="11"/>
      <c r="EXN15" s="11"/>
      <c r="EXO15" s="11"/>
      <c r="EXP15" s="11"/>
      <c r="EXQ15" s="11"/>
      <c r="EXR15" s="11"/>
      <c r="EXS15" s="11"/>
      <c r="EXT15" s="11"/>
      <c r="EXU15" s="11"/>
      <c r="EXV15" s="11"/>
      <c r="EXW15" s="11"/>
      <c r="EXX15" s="11"/>
      <c r="EXY15" s="11"/>
      <c r="EXZ15" s="11"/>
      <c r="EYA15" s="11"/>
      <c r="EYB15" s="11"/>
      <c r="EYC15" s="11"/>
      <c r="EYD15" s="11"/>
      <c r="EYE15" s="11"/>
      <c r="EYF15" s="11"/>
      <c r="EYG15" s="11"/>
      <c r="EYH15" s="11"/>
      <c r="EYI15" s="11"/>
      <c r="EYJ15" s="11"/>
      <c r="EYK15" s="11"/>
      <c r="EYL15" s="11"/>
      <c r="EYM15" s="11"/>
      <c r="EYN15" s="11"/>
      <c r="EYO15" s="11"/>
      <c r="EYP15" s="11"/>
      <c r="EYQ15" s="11"/>
      <c r="EYR15" s="11"/>
      <c r="EYS15" s="11"/>
      <c r="EYT15" s="11"/>
      <c r="EYU15" s="11"/>
      <c r="EYV15" s="11"/>
      <c r="EYW15" s="11"/>
      <c r="EYX15" s="11"/>
      <c r="EYY15" s="11"/>
      <c r="EYZ15" s="11"/>
      <c r="EZA15" s="11"/>
      <c r="EZB15" s="11"/>
      <c r="EZC15" s="11"/>
      <c r="EZD15" s="11"/>
      <c r="EZE15" s="11"/>
      <c r="EZF15" s="11"/>
      <c r="EZG15" s="11"/>
      <c r="EZH15" s="11"/>
      <c r="EZI15" s="11"/>
      <c r="EZJ15" s="11"/>
      <c r="EZK15" s="11"/>
      <c r="EZL15" s="11"/>
      <c r="EZM15" s="11"/>
      <c r="EZN15" s="11"/>
      <c r="EZO15" s="11"/>
      <c r="EZP15" s="11"/>
      <c r="EZQ15" s="11"/>
      <c r="EZR15" s="11"/>
      <c r="EZS15" s="11"/>
      <c r="EZT15" s="11"/>
      <c r="EZU15" s="11"/>
      <c r="EZV15" s="11"/>
      <c r="EZW15" s="11"/>
      <c r="EZX15" s="11"/>
      <c r="EZY15" s="11"/>
      <c r="EZZ15" s="11"/>
      <c r="FAA15" s="11"/>
      <c r="FAB15" s="11"/>
      <c r="FAC15" s="11"/>
      <c r="FAD15" s="11"/>
      <c r="FAE15" s="11"/>
      <c r="FAF15" s="11"/>
      <c r="FAG15" s="11"/>
      <c r="FAH15" s="11"/>
      <c r="FAI15" s="11"/>
      <c r="FAJ15" s="11"/>
      <c r="FAK15" s="11"/>
      <c r="FAL15" s="11"/>
      <c r="FAM15" s="11"/>
      <c r="FAN15" s="11"/>
      <c r="FAO15" s="11"/>
      <c r="FAP15" s="11"/>
      <c r="FAQ15" s="11"/>
      <c r="FAR15" s="11"/>
      <c r="FAS15" s="11"/>
      <c r="FAT15" s="11"/>
      <c r="FAU15" s="11"/>
      <c r="FAV15" s="11"/>
      <c r="FAW15" s="11"/>
      <c r="FAX15" s="11"/>
      <c r="FAY15" s="11"/>
      <c r="FAZ15" s="11"/>
      <c r="FBA15" s="11"/>
      <c r="FBB15" s="11"/>
      <c r="FBC15" s="11"/>
      <c r="FBD15" s="11"/>
      <c r="FBE15" s="11"/>
      <c r="FBF15" s="11"/>
      <c r="FBG15" s="11"/>
      <c r="FBH15" s="11"/>
      <c r="FBI15" s="11"/>
      <c r="FBJ15" s="11"/>
      <c r="FBK15" s="11"/>
      <c r="FBL15" s="11"/>
      <c r="FBM15" s="11"/>
      <c r="FBN15" s="11"/>
      <c r="FBO15" s="11"/>
      <c r="FBP15" s="11"/>
      <c r="FBQ15" s="11"/>
      <c r="FBR15" s="11"/>
      <c r="FBS15" s="11"/>
      <c r="FBT15" s="11"/>
      <c r="FBU15" s="11"/>
      <c r="FBV15" s="11"/>
      <c r="FBW15" s="11"/>
      <c r="FBX15" s="11"/>
      <c r="FBY15" s="11"/>
      <c r="FBZ15" s="11"/>
      <c r="FCA15" s="11"/>
      <c r="FCB15" s="11"/>
      <c r="FCC15" s="11"/>
      <c r="FCD15" s="11"/>
      <c r="FCE15" s="11"/>
      <c r="FCF15" s="11"/>
      <c r="FCG15" s="11"/>
      <c r="FCH15" s="11"/>
      <c r="FCI15" s="11"/>
      <c r="FCJ15" s="11"/>
      <c r="FCK15" s="11"/>
      <c r="FCL15" s="11"/>
      <c r="FCM15" s="11"/>
      <c r="FCN15" s="11"/>
      <c r="FCO15" s="11"/>
      <c r="FCP15" s="11"/>
      <c r="FCQ15" s="11"/>
      <c r="FCR15" s="11"/>
      <c r="FCS15" s="11"/>
      <c r="FCT15" s="11"/>
      <c r="FCU15" s="11"/>
      <c r="FCV15" s="11"/>
      <c r="FCW15" s="11"/>
      <c r="FCX15" s="11"/>
      <c r="FCY15" s="11"/>
      <c r="FCZ15" s="11"/>
      <c r="FDA15" s="11"/>
      <c r="FDB15" s="11"/>
      <c r="FDC15" s="11"/>
      <c r="FDD15" s="11"/>
      <c r="FDE15" s="11"/>
      <c r="FDF15" s="11"/>
      <c r="FDG15" s="11"/>
      <c r="FDH15" s="11"/>
      <c r="FDI15" s="11"/>
      <c r="FDJ15" s="11"/>
      <c r="FDK15" s="11"/>
      <c r="FDL15" s="11"/>
      <c r="FDM15" s="11"/>
      <c r="FDN15" s="11"/>
      <c r="FDO15" s="11"/>
      <c r="FDP15" s="11"/>
      <c r="FDQ15" s="11"/>
      <c r="FDR15" s="11"/>
      <c r="FDS15" s="11"/>
      <c r="FDT15" s="11"/>
      <c r="FDU15" s="11"/>
      <c r="FDV15" s="11"/>
      <c r="FDW15" s="11"/>
      <c r="FDX15" s="11"/>
      <c r="FDY15" s="11"/>
      <c r="FDZ15" s="11"/>
      <c r="FEA15" s="11"/>
      <c r="FEB15" s="11"/>
      <c r="FEC15" s="11"/>
      <c r="FED15" s="11"/>
      <c r="FEE15" s="11"/>
      <c r="FEF15" s="11"/>
      <c r="FEG15" s="11"/>
      <c r="FEH15" s="11"/>
      <c r="FEI15" s="11"/>
      <c r="FEJ15" s="11"/>
      <c r="FEK15" s="11"/>
      <c r="FEL15" s="11"/>
      <c r="FEM15" s="11"/>
      <c r="FEN15" s="11"/>
      <c r="FEO15" s="11"/>
      <c r="FEP15" s="11"/>
      <c r="FEQ15" s="11"/>
      <c r="FER15" s="11"/>
      <c r="FES15" s="11"/>
      <c r="FET15" s="11"/>
      <c r="FEU15" s="11"/>
      <c r="FEV15" s="11"/>
      <c r="FEW15" s="11"/>
      <c r="FEX15" s="11"/>
      <c r="FEY15" s="11"/>
      <c r="FEZ15" s="11"/>
      <c r="FFA15" s="11"/>
      <c r="FFB15" s="11"/>
      <c r="FFC15" s="11"/>
      <c r="FFD15" s="11"/>
      <c r="FFE15" s="11"/>
      <c r="FFF15" s="11"/>
      <c r="FFG15" s="11"/>
      <c r="FFH15" s="11"/>
      <c r="FFI15" s="11"/>
      <c r="FFJ15" s="11"/>
      <c r="FFK15" s="11"/>
      <c r="FFL15" s="11"/>
      <c r="FFM15" s="11"/>
      <c r="FFN15" s="11"/>
      <c r="FFO15" s="11"/>
      <c r="FFP15" s="11"/>
      <c r="FFQ15" s="11"/>
      <c r="FFR15" s="11"/>
      <c r="FFS15" s="11"/>
      <c r="FFT15" s="11"/>
      <c r="FFU15" s="11"/>
      <c r="FFV15" s="11"/>
      <c r="FFW15" s="11"/>
      <c r="FFX15" s="11"/>
      <c r="FFY15" s="11"/>
      <c r="FFZ15" s="11"/>
      <c r="FGA15" s="11"/>
      <c r="FGB15" s="11"/>
      <c r="FGC15" s="11"/>
      <c r="FGD15" s="11"/>
      <c r="FGE15" s="11"/>
      <c r="FGF15" s="11"/>
      <c r="FGG15" s="11"/>
      <c r="FGH15" s="11"/>
      <c r="FGI15" s="11"/>
      <c r="FGJ15" s="11"/>
      <c r="FGK15" s="11"/>
      <c r="FGL15" s="11"/>
      <c r="FGM15" s="11"/>
      <c r="FGN15" s="11"/>
      <c r="FGO15" s="11"/>
      <c r="FGP15" s="11"/>
      <c r="FGQ15" s="11"/>
      <c r="FGR15" s="11"/>
      <c r="FGS15" s="11"/>
      <c r="FGT15" s="11"/>
      <c r="FGU15" s="11"/>
      <c r="FGV15" s="11"/>
      <c r="FGW15" s="11"/>
      <c r="FGX15" s="11"/>
      <c r="FGY15" s="11"/>
      <c r="FGZ15" s="11"/>
      <c r="FHA15" s="11"/>
      <c r="FHB15" s="11"/>
      <c r="FHC15" s="11"/>
      <c r="FHD15" s="11"/>
      <c r="FHE15" s="11"/>
      <c r="FHF15" s="11"/>
      <c r="FHG15" s="11"/>
      <c r="FHH15" s="11"/>
      <c r="FHI15" s="11"/>
      <c r="FHJ15" s="11"/>
      <c r="FHK15" s="11"/>
      <c r="FHL15" s="11"/>
      <c r="FHM15" s="11"/>
      <c r="FHN15" s="11"/>
      <c r="FHO15" s="11"/>
      <c r="FHP15" s="11"/>
      <c r="FHQ15" s="11"/>
      <c r="FHR15" s="11"/>
      <c r="FHS15" s="11"/>
      <c r="FHT15" s="11"/>
      <c r="FHU15" s="11"/>
      <c r="FHV15" s="11"/>
      <c r="FHW15" s="11"/>
      <c r="FHX15" s="11"/>
      <c r="FHY15" s="11"/>
      <c r="FHZ15" s="11"/>
      <c r="FIA15" s="11"/>
      <c r="FIB15" s="11"/>
      <c r="FIC15" s="11"/>
      <c r="FID15" s="11"/>
      <c r="FIE15" s="11"/>
      <c r="FIF15" s="11"/>
      <c r="FIG15" s="11"/>
      <c r="FIH15" s="11"/>
      <c r="FII15" s="11"/>
      <c r="FIJ15" s="11"/>
      <c r="FIK15" s="11"/>
      <c r="FIL15" s="11"/>
      <c r="FIM15" s="11"/>
      <c r="FIN15" s="11"/>
      <c r="FIO15" s="11"/>
      <c r="FIP15" s="11"/>
      <c r="FIQ15" s="11"/>
      <c r="FIR15" s="11"/>
      <c r="FIS15" s="11"/>
      <c r="FIT15" s="11"/>
      <c r="FIU15" s="11"/>
      <c r="FIV15" s="11"/>
      <c r="FIW15" s="11"/>
      <c r="FIX15" s="11"/>
      <c r="FIY15" s="11"/>
      <c r="FIZ15" s="11"/>
      <c r="FJA15" s="11"/>
      <c r="FJB15" s="11"/>
      <c r="FJC15" s="11"/>
      <c r="FJD15" s="11"/>
      <c r="FJE15" s="11"/>
      <c r="FJF15" s="11"/>
      <c r="FJG15" s="11"/>
      <c r="FJH15" s="11"/>
      <c r="FJI15" s="11"/>
      <c r="FJJ15" s="11"/>
      <c r="FJK15" s="11"/>
      <c r="FJL15" s="11"/>
      <c r="FJM15" s="11"/>
      <c r="FJN15" s="11"/>
      <c r="FJO15" s="11"/>
      <c r="FJP15" s="11"/>
      <c r="FJQ15" s="11"/>
      <c r="FJR15" s="11"/>
      <c r="FJS15" s="11"/>
      <c r="FJT15" s="11"/>
      <c r="FJU15" s="11"/>
      <c r="FJV15" s="11"/>
      <c r="FJW15" s="11"/>
      <c r="FJX15" s="11"/>
      <c r="FJY15" s="11"/>
      <c r="FJZ15" s="11"/>
      <c r="FKA15" s="11"/>
      <c r="FKB15" s="11"/>
      <c r="FKC15" s="11"/>
      <c r="FKD15" s="11"/>
      <c r="FKE15" s="11"/>
      <c r="FKF15" s="11"/>
      <c r="FKG15" s="11"/>
      <c r="FKH15" s="11"/>
      <c r="FKI15" s="11"/>
      <c r="FKJ15" s="11"/>
      <c r="FKK15" s="11"/>
      <c r="FKL15" s="11"/>
      <c r="FKM15" s="11"/>
      <c r="FKN15" s="11"/>
      <c r="FKO15" s="11"/>
      <c r="FKP15" s="11"/>
      <c r="FKQ15" s="11"/>
      <c r="FKR15" s="11"/>
      <c r="FKS15" s="11"/>
      <c r="FKT15" s="11"/>
      <c r="FKU15" s="11"/>
      <c r="FKV15" s="11"/>
      <c r="FKW15" s="11"/>
      <c r="FKX15" s="11"/>
      <c r="FKY15" s="11"/>
      <c r="FKZ15" s="11"/>
      <c r="FLA15" s="11"/>
      <c r="FLB15" s="11"/>
      <c r="FLC15" s="11"/>
      <c r="FLD15" s="11"/>
      <c r="FLE15" s="11"/>
      <c r="FLF15" s="11"/>
      <c r="FLG15" s="11"/>
      <c r="FLH15" s="11"/>
      <c r="FLI15" s="11"/>
      <c r="FLJ15" s="11"/>
      <c r="FLK15" s="11"/>
      <c r="FLL15" s="11"/>
      <c r="FLM15" s="11"/>
      <c r="FLN15" s="11"/>
      <c r="FLO15" s="11"/>
      <c r="FLP15" s="11"/>
      <c r="FLQ15" s="11"/>
      <c r="FLR15" s="11"/>
      <c r="FLS15" s="11"/>
      <c r="FLT15" s="11"/>
      <c r="FLU15" s="11"/>
      <c r="FLV15" s="11"/>
      <c r="FLW15" s="11"/>
      <c r="FLX15" s="11"/>
      <c r="FLY15" s="11"/>
      <c r="FLZ15" s="11"/>
      <c r="FMA15" s="11"/>
      <c r="FMB15" s="11"/>
      <c r="FMC15" s="11"/>
      <c r="FMD15" s="11"/>
      <c r="FME15" s="11"/>
      <c r="FMF15" s="11"/>
      <c r="FMG15" s="11"/>
      <c r="FMH15" s="11"/>
      <c r="FMI15" s="11"/>
      <c r="FMJ15" s="11"/>
      <c r="FMK15" s="11"/>
      <c r="FML15" s="11"/>
      <c r="FMM15" s="11"/>
      <c r="FMN15" s="11"/>
      <c r="FMO15" s="11"/>
      <c r="FMP15" s="11"/>
      <c r="FMQ15" s="11"/>
      <c r="FMR15" s="11"/>
      <c r="FMS15" s="11"/>
      <c r="FMT15" s="11"/>
      <c r="FMU15" s="11"/>
      <c r="FMV15" s="11"/>
      <c r="FMW15" s="11"/>
      <c r="FMX15" s="11"/>
      <c r="FMY15" s="11"/>
      <c r="FMZ15" s="11"/>
      <c r="FNA15" s="11"/>
      <c r="FNB15" s="11"/>
      <c r="FNC15" s="11"/>
      <c r="FND15" s="11"/>
      <c r="FNE15" s="11"/>
      <c r="FNF15" s="11"/>
      <c r="FNG15" s="11"/>
      <c r="FNH15" s="11"/>
      <c r="FNI15" s="11"/>
      <c r="FNJ15" s="11"/>
      <c r="FNK15" s="11"/>
      <c r="FNL15" s="11"/>
      <c r="FNM15" s="11"/>
      <c r="FNN15" s="11"/>
      <c r="FNO15" s="11"/>
      <c r="FNP15" s="11"/>
      <c r="FNQ15" s="11"/>
      <c r="FNR15" s="11"/>
      <c r="FNS15" s="11"/>
      <c r="FNT15" s="11"/>
      <c r="FNU15" s="11"/>
      <c r="FNV15" s="11"/>
      <c r="FNW15" s="11"/>
      <c r="FNX15" s="11"/>
      <c r="FNY15" s="11"/>
      <c r="FNZ15" s="11"/>
      <c r="FOA15" s="11"/>
      <c r="FOB15" s="11"/>
      <c r="FOC15" s="11"/>
      <c r="FOD15" s="11"/>
      <c r="FOE15" s="11"/>
      <c r="FOF15" s="11"/>
      <c r="FOG15" s="11"/>
      <c r="FOH15" s="11"/>
      <c r="FOI15" s="11"/>
      <c r="FOJ15" s="11"/>
      <c r="FOK15" s="11"/>
      <c r="FOL15" s="11"/>
      <c r="FOM15" s="11"/>
      <c r="FON15" s="11"/>
      <c r="FOO15" s="11"/>
      <c r="FOP15" s="11"/>
      <c r="FOQ15" s="11"/>
      <c r="FOR15" s="11"/>
      <c r="FOS15" s="11"/>
      <c r="FOT15" s="11"/>
      <c r="FOU15" s="11"/>
      <c r="FOV15" s="11"/>
      <c r="FOW15" s="11"/>
      <c r="FOX15" s="11"/>
      <c r="FOY15" s="11"/>
      <c r="FOZ15" s="11"/>
      <c r="FPA15" s="11"/>
      <c r="FPB15" s="11"/>
      <c r="FPC15" s="11"/>
      <c r="FPD15" s="11"/>
      <c r="FPE15" s="11"/>
      <c r="FPF15" s="11"/>
      <c r="FPG15" s="11"/>
      <c r="FPH15" s="11"/>
      <c r="FPI15" s="11"/>
      <c r="FPJ15" s="11"/>
      <c r="FPK15" s="11"/>
      <c r="FPL15" s="11"/>
      <c r="FPM15" s="11"/>
      <c r="FPN15" s="11"/>
      <c r="FPO15" s="11"/>
      <c r="FPP15" s="11"/>
      <c r="FPQ15" s="11"/>
      <c r="FPR15" s="11"/>
      <c r="FPS15" s="11"/>
      <c r="FPT15" s="11"/>
      <c r="FPU15" s="11"/>
      <c r="FPV15" s="11"/>
      <c r="FPW15" s="11"/>
      <c r="FPX15" s="11"/>
      <c r="FPY15" s="11"/>
      <c r="FPZ15" s="11"/>
      <c r="FQA15" s="11"/>
      <c r="FQB15" s="11"/>
      <c r="FQC15" s="11"/>
      <c r="FQD15" s="11"/>
      <c r="FQE15" s="11"/>
      <c r="FQF15" s="11"/>
      <c r="FQG15" s="11"/>
      <c r="FQH15" s="11"/>
      <c r="FQI15" s="11"/>
      <c r="FQJ15" s="11"/>
      <c r="FQK15" s="11"/>
      <c r="FQL15" s="11"/>
      <c r="FQM15" s="11"/>
      <c r="FQN15" s="11"/>
      <c r="FQO15" s="11"/>
      <c r="FQP15" s="11"/>
      <c r="FQQ15" s="11"/>
      <c r="FQR15" s="11"/>
      <c r="FQS15" s="11"/>
      <c r="FQT15" s="11"/>
      <c r="FQU15" s="11"/>
      <c r="FQV15" s="11"/>
      <c r="FQW15" s="11"/>
      <c r="FQX15" s="11"/>
      <c r="FQY15" s="11"/>
      <c r="FQZ15" s="11"/>
      <c r="FRA15" s="11"/>
      <c r="FRB15" s="11"/>
      <c r="FRC15" s="11"/>
      <c r="FRD15" s="11"/>
      <c r="FRE15" s="11"/>
      <c r="FRF15" s="11"/>
      <c r="FRG15" s="11"/>
      <c r="FRH15" s="11"/>
      <c r="FRI15" s="11"/>
      <c r="FRJ15" s="11"/>
      <c r="FRK15" s="11"/>
      <c r="FRL15" s="11"/>
      <c r="FRM15" s="11"/>
      <c r="FRN15" s="11"/>
      <c r="FRO15" s="11"/>
      <c r="FRP15" s="11"/>
      <c r="FRQ15" s="11"/>
      <c r="FRR15" s="11"/>
      <c r="FRS15" s="11"/>
      <c r="FRT15" s="11"/>
      <c r="FRU15" s="11"/>
      <c r="FRV15" s="11"/>
      <c r="FRW15" s="11"/>
      <c r="FRX15" s="11"/>
      <c r="FRY15" s="11"/>
      <c r="FRZ15" s="11"/>
      <c r="FSA15" s="11"/>
      <c r="FSB15" s="11"/>
      <c r="FSC15" s="11"/>
      <c r="FSD15" s="11"/>
      <c r="FSE15" s="11"/>
      <c r="FSF15" s="11"/>
      <c r="FSG15" s="11"/>
      <c r="FSH15" s="11"/>
      <c r="FSI15" s="11"/>
      <c r="FSJ15" s="11"/>
      <c r="FSK15" s="11"/>
      <c r="FSL15" s="11"/>
      <c r="FSM15" s="11"/>
      <c r="FSN15" s="11"/>
      <c r="FSO15" s="11"/>
      <c r="FSP15" s="11"/>
      <c r="FSQ15" s="11"/>
      <c r="FSR15" s="11"/>
      <c r="FSS15" s="11"/>
      <c r="FST15" s="11"/>
      <c r="FSU15" s="11"/>
      <c r="FSV15" s="11"/>
      <c r="FSW15" s="11"/>
      <c r="FSX15" s="11"/>
      <c r="FSY15" s="11"/>
      <c r="FSZ15" s="11"/>
      <c r="FTA15" s="11"/>
      <c r="FTB15" s="11"/>
      <c r="FTC15" s="11"/>
      <c r="FTD15" s="11"/>
      <c r="FTE15" s="11"/>
      <c r="FTF15" s="11"/>
      <c r="FTG15" s="11"/>
      <c r="FTH15" s="11"/>
      <c r="FTI15" s="11"/>
      <c r="FTJ15" s="11"/>
      <c r="FTK15" s="11"/>
      <c r="FTL15" s="11"/>
      <c r="FTM15" s="11"/>
      <c r="FTN15" s="11"/>
      <c r="FTO15" s="11"/>
      <c r="FTP15" s="11"/>
      <c r="FTQ15" s="11"/>
      <c r="FTR15" s="11"/>
      <c r="FTS15" s="11"/>
      <c r="FTT15" s="11"/>
      <c r="FTU15" s="11"/>
      <c r="FTV15" s="11"/>
      <c r="FTW15" s="11"/>
      <c r="FTX15" s="11"/>
      <c r="FTY15" s="11"/>
      <c r="FTZ15" s="11"/>
      <c r="FUA15" s="11"/>
      <c r="FUB15" s="11"/>
      <c r="FUC15" s="11"/>
      <c r="FUD15" s="11"/>
      <c r="FUE15" s="11"/>
      <c r="FUF15" s="11"/>
      <c r="FUG15" s="11"/>
      <c r="FUH15" s="11"/>
      <c r="FUI15" s="11"/>
      <c r="FUJ15" s="11"/>
      <c r="FUK15" s="11"/>
      <c r="FUL15" s="11"/>
      <c r="FUM15" s="11"/>
      <c r="FUN15" s="11"/>
      <c r="FUO15" s="11"/>
      <c r="FUP15" s="11"/>
      <c r="FUQ15" s="11"/>
      <c r="FUR15" s="11"/>
      <c r="FUS15" s="11"/>
      <c r="FUT15" s="11"/>
      <c r="FUU15" s="11"/>
      <c r="FUV15" s="11"/>
      <c r="FUW15" s="11"/>
      <c r="FUX15" s="11"/>
      <c r="FUY15" s="11"/>
      <c r="FUZ15" s="11"/>
      <c r="FVA15" s="11"/>
      <c r="FVB15" s="11"/>
      <c r="FVC15" s="11"/>
      <c r="FVD15" s="11"/>
      <c r="FVE15" s="11"/>
      <c r="FVF15" s="11"/>
      <c r="FVG15" s="11"/>
      <c r="FVH15" s="11"/>
      <c r="FVI15" s="11"/>
      <c r="FVJ15" s="11"/>
      <c r="FVK15" s="11"/>
      <c r="FVL15" s="11"/>
      <c r="FVM15" s="11"/>
      <c r="FVN15" s="11"/>
      <c r="FVO15" s="11"/>
      <c r="FVP15" s="11"/>
      <c r="FVQ15" s="11"/>
      <c r="FVR15" s="11"/>
      <c r="FVS15" s="11"/>
      <c r="FVT15" s="11"/>
      <c r="FVU15" s="11"/>
      <c r="FVV15" s="11"/>
      <c r="FVW15" s="11"/>
      <c r="FVX15" s="11"/>
      <c r="FVY15" s="11"/>
      <c r="FVZ15" s="11"/>
      <c r="FWA15" s="11"/>
      <c r="FWB15" s="11"/>
      <c r="FWC15" s="11"/>
      <c r="FWD15" s="11"/>
      <c r="FWE15" s="11"/>
      <c r="FWF15" s="11"/>
      <c r="FWG15" s="11"/>
      <c r="FWH15" s="11"/>
      <c r="FWI15" s="11"/>
      <c r="FWJ15" s="11"/>
      <c r="FWK15" s="11"/>
      <c r="FWL15" s="11"/>
      <c r="FWM15" s="11"/>
      <c r="FWN15" s="11"/>
      <c r="FWO15" s="11"/>
      <c r="FWP15" s="11"/>
      <c r="FWQ15" s="11"/>
      <c r="FWR15" s="11"/>
      <c r="FWS15" s="11"/>
      <c r="FWT15" s="11"/>
      <c r="FWU15" s="11"/>
      <c r="FWV15" s="11"/>
      <c r="FWW15" s="11"/>
      <c r="FWX15" s="11"/>
      <c r="FWY15" s="11"/>
      <c r="FWZ15" s="11"/>
      <c r="FXA15" s="11"/>
      <c r="FXB15" s="11"/>
      <c r="FXC15" s="11"/>
      <c r="FXD15" s="11"/>
      <c r="FXE15" s="11"/>
      <c r="FXF15" s="11"/>
      <c r="FXG15" s="11"/>
      <c r="FXH15" s="11"/>
      <c r="FXI15" s="11"/>
      <c r="FXJ15" s="11"/>
      <c r="FXK15" s="11"/>
      <c r="FXL15" s="11"/>
      <c r="FXM15" s="11"/>
      <c r="FXN15" s="11"/>
      <c r="FXO15" s="11"/>
      <c r="FXP15" s="11"/>
      <c r="FXQ15" s="11"/>
      <c r="FXR15" s="11"/>
      <c r="FXS15" s="11"/>
      <c r="FXT15" s="11"/>
      <c r="FXU15" s="11"/>
      <c r="FXV15" s="11"/>
      <c r="FXW15" s="11"/>
      <c r="FXX15" s="11"/>
      <c r="FXY15" s="11"/>
      <c r="FXZ15" s="11"/>
      <c r="FYA15" s="11"/>
      <c r="FYB15" s="11"/>
      <c r="FYC15" s="11"/>
      <c r="FYD15" s="11"/>
      <c r="FYE15" s="11"/>
      <c r="FYF15" s="11"/>
      <c r="FYG15" s="11"/>
      <c r="FYH15" s="11"/>
      <c r="FYI15" s="11"/>
      <c r="FYJ15" s="11"/>
      <c r="FYK15" s="11"/>
      <c r="FYL15" s="11"/>
      <c r="FYM15" s="11"/>
      <c r="FYN15" s="11"/>
      <c r="FYO15" s="11"/>
      <c r="FYP15" s="11"/>
      <c r="FYQ15" s="11"/>
      <c r="FYR15" s="11"/>
      <c r="FYS15" s="11"/>
      <c r="FYT15" s="11"/>
      <c r="FYU15" s="11"/>
      <c r="FYV15" s="11"/>
      <c r="FYW15" s="11"/>
      <c r="FYX15" s="11"/>
      <c r="FYY15" s="11"/>
      <c r="FYZ15" s="11"/>
      <c r="FZA15" s="11"/>
      <c r="FZB15" s="11"/>
      <c r="FZC15" s="11"/>
      <c r="FZD15" s="11"/>
      <c r="FZE15" s="11"/>
      <c r="FZF15" s="11"/>
      <c r="FZG15" s="11"/>
      <c r="FZH15" s="11"/>
      <c r="FZI15" s="11"/>
      <c r="FZJ15" s="11"/>
      <c r="FZK15" s="11"/>
      <c r="FZL15" s="11"/>
      <c r="FZM15" s="11"/>
      <c r="FZN15" s="11"/>
      <c r="FZO15" s="11"/>
      <c r="FZP15" s="11"/>
      <c r="FZQ15" s="11"/>
      <c r="FZR15" s="11"/>
      <c r="FZS15" s="11"/>
      <c r="FZT15" s="11"/>
      <c r="FZU15" s="11"/>
      <c r="FZV15" s="11"/>
      <c r="FZW15" s="11"/>
      <c r="FZX15" s="11"/>
      <c r="FZY15" s="11"/>
      <c r="FZZ15" s="11"/>
      <c r="GAA15" s="11"/>
      <c r="GAB15" s="11"/>
      <c r="GAC15" s="11"/>
      <c r="GAD15" s="11"/>
      <c r="GAE15" s="11"/>
      <c r="GAF15" s="11"/>
      <c r="GAG15" s="11"/>
      <c r="GAH15" s="11"/>
      <c r="GAI15" s="11"/>
      <c r="GAJ15" s="11"/>
      <c r="GAK15" s="11"/>
      <c r="GAL15" s="11"/>
      <c r="GAM15" s="11"/>
      <c r="GAN15" s="11"/>
      <c r="GAO15" s="11"/>
      <c r="GAP15" s="11"/>
      <c r="GAQ15" s="11"/>
      <c r="GAR15" s="11"/>
      <c r="GAS15" s="11"/>
      <c r="GAT15" s="11"/>
      <c r="GAU15" s="11"/>
      <c r="GAV15" s="11"/>
      <c r="GAW15" s="11"/>
      <c r="GAX15" s="11"/>
      <c r="GAY15" s="11"/>
      <c r="GAZ15" s="11"/>
      <c r="GBA15" s="11"/>
      <c r="GBB15" s="11"/>
      <c r="GBC15" s="11"/>
      <c r="GBD15" s="11"/>
      <c r="GBE15" s="11"/>
      <c r="GBF15" s="11"/>
      <c r="GBG15" s="11"/>
      <c r="GBH15" s="11"/>
      <c r="GBI15" s="11"/>
      <c r="GBJ15" s="11"/>
      <c r="GBK15" s="11"/>
      <c r="GBL15" s="11"/>
      <c r="GBM15" s="11"/>
      <c r="GBN15" s="11"/>
      <c r="GBO15" s="11"/>
      <c r="GBP15" s="11"/>
      <c r="GBQ15" s="11"/>
      <c r="GBR15" s="11"/>
      <c r="GBS15" s="11"/>
      <c r="GBT15" s="11"/>
      <c r="GBU15" s="11"/>
      <c r="GBV15" s="11"/>
      <c r="GBW15" s="11"/>
      <c r="GBX15" s="11"/>
      <c r="GBY15" s="11"/>
      <c r="GBZ15" s="11"/>
      <c r="GCA15" s="11"/>
      <c r="GCB15" s="11"/>
      <c r="GCC15" s="11"/>
      <c r="GCD15" s="11"/>
      <c r="GCE15" s="11"/>
      <c r="GCF15" s="11"/>
      <c r="GCG15" s="11"/>
      <c r="GCH15" s="11"/>
      <c r="GCI15" s="11"/>
      <c r="GCJ15" s="11"/>
      <c r="GCK15" s="11"/>
      <c r="GCL15" s="11"/>
      <c r="GCM15" s="11"/>
      <c r="GCN15" s="11"/>
      <c r="GCO15" s="11"/>
      <c r="GCP15" s="11"/>
      <c r="GCQ15" s="11"/>
      <c r="GCR15" s="11"/>
      <c r="GCS15" s="11"/>
      <c r="GCT15" s="11"/>
      <c r="GCU15" s="11"/>
      <c r="GCV15" s="11"/>
      <c r="GCW15" s="11"/>
      <c r="GCX15" s="11"/>
      <c r="GCY15" s="11"/>
      <c r="GCZ15" s="11"/>
      <c r="GDA15" s="11"/>
      <c r="GDB15" s="11"/>
      <c r="GDC15" s="11"/>
      <c r="GDD15" s="11"/>
      <c r="GDE15" s="11"/>
      <c r="GDF15" s="11"/>
      <c r="GDG15" s="11"/>
      <c r="GDH15" s="11"/>
      <c r="GDI15" s="11"/>
      <c r="GDJ15" s="11"/>
      <c r="GDK15" s="11"/>
      <c r="GDL15" s="11"/>
      <c r="GDM15" s="11"/>
      <c r="GDN15" s="11"/>
      <c r="GDO15" s="11"/>
      <c r="GDP15" s="11"/>
      <c r="GDQ15" s="11"/>
      <c r="GDR15" s="11"/>
      <c r="GDS15" s="11"/>
      <c r="GDT15" s="11"/>
      <c r="GDU15" s="11"/>
      <c r="GDV15" s="11"/>
      <c r="GDW15" s="11"/>
      <c r="GDX15" s="11"/>
      <c r="GDY15" s="11"/>
      <c r="GDZ15" s="11"/>
      <c r="GEA15" s="11"/>
      <c r="GEB15" s="11"/>
      <c r="GEC15" s="11"/>
      <c r="GED15" s="11"/>
      <c r="GEE15" s="11"/>
      <c r="GEF15" s="11"/>
      <c r="GEG15" s="11"/>
      <c r="GEH15" s="11"/>
      <c r="GEI15" s="11"/>
      <c r="GEJ15" s="11"/>
      <c r="GEK15" s="11"/>
      <c r="GEL15" s="11"/>
      <c r="GEM15" s="11"/>
      <c r="GEN15" s="11"/>
      <c r="GEO15" s="11"/>
      <c r="GEP15" s="11"/>
      <c r="GEQ15" s="11"/>
      <c r="GER15" s="11"/>
      <c r="GES15" s="11"/>
      <c r="GET15" s="11"/>
      <c r="GEU15" s="11"/>
      <c r="GEV15" s="11"/>
      <c r="GEW15" s="11"/>
      <c r="GEX15" s="11"/>
      <c r="GEY15" s="11"/>
      <c r="GEZ15" s="11"/>
      <c r="GFA15" s="11"/>
      <c r="GFB15" s="11"/>
      <c r="GFC15" s="11"/>
      <c r="GFD15" s="11"/>
      <c r="GFE15" s="11"/>
      <c r="GFF15" s="11"/>
      <c r="GFG15" s="11"/>
      <c r="GFH15" s="11"/>
      <c r="GFI15" s="11"/>
      <c r="GFJ15" s="11"/>
      <c r="GFK15" s="11"/>
      <c r="GFL15" s="11"/>
      <c r="GFM15" s="11"/>
      <c r="GFN15" s="11"/>
      <c r="GFO15" s="11"/>
      <c r="GFP15" s="11"/>
      <c r="GFQ15" s="11"/>
      <c r="GFR15" s="11"/>
      <c r="GFS15" s="11"/>
      <c r="GFT15" s="11"/>
      <c r="GFU15" s="11"/>
      <c r="GFV15" s="11"/>
      <c r="GFW15" s="11"/>
      <c r="GFX15" s="11"/>
      <c r="GFY15" s="11"/>
      <c r="GFZ15" s="11"/>
      <c r="GGA15" s="11"/>
      <c r="GGB15" s="11"/>
      <c r="GGC15" s="11"/>
      <c r="GGD15" s="11"/>
      <c r="GGE15" s="11"/>
      <c r="GGF15" s="11"/>
      <c r="GGG15" s="11"/>
      <c r="GGH15" s="11"/>
      <c r="GGI15" s="11"/>
      <c r="GGJ15" s="11"/>
      <c r="GGK15" s="11"/>
      <c r="GGL15" s="11"/>
      <c r="GGM15" s="11"/>
      <c r="GGN15" s="11"/>
      <c r="GGO15" s="11"/>
      <c r="GGP15" s="11"/>
      <c r="GGQ15" s="11"/>
      <c r="GGR15" s="11"/>
      <c r="GGS15" s="11"/>
      <c r="GGT15" s="11"/>
      <c r="GGU15" s="11"/>
      <c r="GGV15" s="11"/>
      <c r="GGW15" s="11"/>
      <c r="GGX15" s="11"/>
      <c r="GGY15" s="11"/>
      <c r="GGZ15" s="11"/>
      <c r="GHA15" s="11"/>
      <c r="GHB15" s="11"/>
      <c r="GHC15" s="11"/>
      <c r="GHD15" s="11"/>
      <c r="GHE15" s="11"/>
      <c r="GHF15" s="11"/>
      <c r="GHG15" s="11"/>
      <c r="GHH15" s="11"/>
      <c r="GHI15" s="11"/>
      <c r="GHJ15" s="11"/>
      <c r="GHK15" s="11"/>
      <c r="GHL15" s="11"/>
      <c r="GHM15" s="11"/>
      <c r="GHN15" s="11"/>
      <c r="GHO15" s="11"/>
      <c r="GHP15" s="11"/>
      <c r="GHQ15" s="11"/>
      <c r="GHR15" s="11"/>
      <c r="GHS15" s="11"/>
      <c r="GHT15" s="11"/>
      <c r="GHU15" s="11"/>
      <c r="GHV15" s="11"/>
      <c r="GHW15" s="11"/>
      <c r="GHX15" s="11"/>
      <c r="GHY15" s="11"/>
      <c r="GHZ15" s="11"/>
      <c r="GIA15" s="11"/>
      <c r="GIB15" s="11"/>
      <c r="GIC15" s="11"/>
      <c r="GID15" s="11"/>
      <c r="GIE15" s="11"/>
      <c r="GIF15" s="11"/>
      <c r="GIG15" s="11"/>
      <c r="GIH15" s="11"/>
      <c r="GII15" s="11"/>
      <c r="GIJ15" s="11"/>
      <c r="GIK15" s="11"/>
      <c r="GIL15" s="11"/>
      <c r="GIM15" s="11"/>
      <c r="GIN15" s="11"/>
      <c r="GIO15" s="11"/>
      <c r="GIP15" s="11"/>
      <c r="GIQ15" s="11"/>
      <c r="GIR15" s="11"/>
      <c r="GIS15" s="11"/>
      <c r="GIT15" s="11"/>
      <c r="GIU15" s="11"/>
      <c r="GIV15" s="11"/>
      <c r="GIW15" s="11"/>
      <c r="GIX15" s="11"/>
      <c r="GIY15" s="11"/>
      <c r="GIZ15" s="11"/>
      <c r="GJA15" s="11"/>
      <c r="GJB15" s="11"/>
      <c r="GJC15" s="11"/>
      <c r="GJD15" s="11"/>
      <c r="GJE15" s="11"/>
      <c r="GJF15" s="11"/>
      <c r="GJG15" s="11"/>
      <c r="GJH15" s="11"/>
      <c r="GJI15" s="11"/>
      <c r="GJJ15" s="11"/>
      <c r="GJK15" s="11"/>
      <c r="GJL15" s="11"/>
      <c r="GJM15" s="11"/>
      <c r="GJN15" s="11"/>
      <c r="GJO15" s="11"/>
      <c r="GJP15" s="11"/>
      <c r="GJQ15" s="11"/>
      <c r="GJR15" s="11"/>
      <c r="GJS15" s="11"/>
      <c r="GJT15" s="11"/>
      <c r="GJU15" s="11"/>
      <c r="GJV15" s="11"/>
      <c r="GJW15" s="11"/>
      <c r="GJX15" s="11"/>
      <c r="GJY15" s="11"/>
      <c r="GJZ15" s="11"/>
      <c r="GKA15" s="11"/>
      <c r="GKB15" s="11"/>
      <c r="GKC15" s="11"/>
      <c r="GKD15" s="11"/>
      <c r="GKE15" s="11"/>
      <c r="GKF15" s="11"/>
      <c r="GKG15" s="11"/>
      <c r="GKH15" s="11"/>
      <c r="GKI15" s="11"/>
      <c r="GKJ15" s="11"/>
      <c r="GKK15" s="11"/>
      <c r="GKL15" s="11"/>
      <c r="GKM15" s="11"/>
      <c r="GKN15" s="11"/>
      <c r="GKO15" s="11"/>
      <c r="GKP15" s="11"/>
      <c r="GKQ15" s="11"/>
      <c r="GKR15" s="11"/>
      <c r="GKS15" s="11"/>
      <c r="GKT15" s="11"/>
      <c r="GKU15" s="11"/>
      <c r="GKV15" s="11"/>
      <c r="GKW15" s="11"/>
      <c r="GKX15" s="11"/>
      <c r="GKY15" s="11"/>
      <c r="GKZ15" s="11"/>
      <c r="GLA15" s="11"/>
      <c r="GLB15" s="11"/>
      <c r="GLC15" s="11"/>
      <c r="GLD15" s="11"/>
      <c r="GLE15" s="11"/>
      <c r="GLF15" s="11"/>
      <c r="GLG15" s="11"/>
      <c r="GLH15" s="11"/>
      <c r="GLI15" s="11"/>
      <c r="GLJ15" s="11"/>
      <c r="GLK15" s="11"/>
      <c r="GLL15" s="11"/>
      <c r="GLM15" s="11"/>
      <c r="GLN15" s="11"/>
      <c r="GLO15" s="11"/>
      <c r="GLP15" s="11"/>
      <c r="GLQ15" s="11"/>
      <c r="GLR15" s="11"/>
      <c r="GLS15" s="11"/>
      <c r="GLT15" s="11"/>
      <c r="GLU15" s="11"/>
      <c r="GLV15" s="11"/>
      <c r="GLW15" s="11"/>
      <c r="GLX15" s="11"/>
      <c r="GLY15" s="11"/>
      <c r="GLZ15" s="11"/>
      <c r="GMA15" s="11"/>
      <c r="GMB15" s="11"/>
      <c r="GMC15" s="11"/>
      <c r="GMD15" s="11"/>
      <c r="GME15" s="11"/>
      <c r="GMF15" s="11"/>
      <c r="GMG15" s="11"/>
      <c r="GMH15" s="11"/>
      <c r="GMI15" s="11"/>
      <c r="GMJ15" s="11"/>
      <c r="GMK15" s="11"/>
      <c r="GML15" s="11"/>
      <c r="GMM15" s="11"/>
      <c r="GMN15" s="11"/>
      <c r="GMO15" s="11"/>
      <c r="GMP15" s="11"/>
      <c r="GMQ15" s="11"/>
      <c r="GMR15" s="11"/>
      <c r="GMS15" s="11"/>
      <c r="GMT15" s="11"/>
      <c r="GMU15" s="11"/>
      <c r="GMV15" s="11"/>
      <c r="GMW15" s="11"/>
      <c r="GMX15" s="11"/>
      <c r="GMY15" s="11"/>
      <c r="GMZ15" s="11"/>
      <c r="GNA15" s="11"/>
      <c r="GNB15" s="11"/>
      <c r="GNC15" s="11"/>
      <c r="GND15" s="11"/>
      <c r="GNE15" s="11"/>
      <c r="GNF15" s="11"/>
      <c r="GNG15" s="11"/>
      <c r="GNH15" s="11"/>
      <c r="GNI15" s="11"/>
      <c r="GNJ15" s="11"/>
      <c r="GNK15" s="11"/>
      <c r="GNL15" s="11"/>
      <c r="GNM15" s="11"/>
      <c r="GNN15" s="11"/>
      <c r="GNO15" s="11"/>
      <c r="GNP15" s="11"/>
      <c r="GNQ15" s="11"/>
      <c r="GNR15" s="11"/>
      <c r="GNS15" s="11"/>
      <c r="GNT15" s="11"/>
      <c r="GNU15" s="11"/>
      <c r="GNV15" s="11"/>
      <c r="GNW15" s="11"/>
      <c r="GNX15" s="11"/>
      <c r="GNY15" s="11"/>
      <c r="GNZ15" s="11"/>
      <c r="GOA15" s="11"/>
      <c r="GOB15" s="11"/>
      <c r="GOC15" s="11"/>
      <c r="GOD15" s="11"/>
      <c r="GOE15" s="11"/>
      <c r="GOF15" s="11"/>
      <c r="GOG15" s="11"/>
      <c r="GOH15" s="11"/>
      <c r="GOI15" s="11"/>
      <c r="GOJ15" s="11"/>
      <c r="GOK15" s="11"/>
      <c r="GOL15" s="11"/>
      <c r="GOM15" s="11"/>
      <c r="GON15" s="11"/>
      <c r="GOO15" s="11"/>
      <c r="GOP15" s="11"/>
      <c r="GOQ15" s="11"/>
      <c r="GOR15" s="11"/>
      <c r="GOS15" s="11"/>
      <c r="GOT15" s="11"/>
      <c r="GOU15" s="11"/>
      <c r="GOV15" s="11"/>
      <c r="GOW15" s="11"/>
      <c r="GOX15" s="11"/>
      <c r="GOY15" s="11"/>
      <c r="GOZ15" s="11"/>
      <c r="GPA15" s="11"/>
      <c r="GPB15" s="11"/>
      <c r="GPC15" s="11"/>
      <c r="GPD15" s="11"/>
      <c r="GPE15" s="11"/>
      <c r="GPF15" s="11"/>
      <c r="GPG15" s="11"/>
      <c r="GPH15" s="11"/>
      <c r="GPI15" s="11"/>
      <c r="GPJ15" s="11"/>
      <c r="GPK15" s="11"/>
      <c r="GPL15" s="11"/>
      <c r="GPM15" s="11"/>
      <c r="GPN15" s="11"/>
      <c r="GPO15" s="11"/>
      <c r="GPP15" s="11"/>
      <c r="GPQ15" s="11"/>
      <c r="GPR15" s="11"/>
      <c r="GPS15" s="11"/>
      <c r="GPT15" s="11"/>
      <c r="GPU15" s="11"/>
      <c r="GPV15" s="11"/>
      <c r="GPW15" s="11"/>
      <c r="GPX15" s="11"/>
      <c r="GPY15" s="11"/>
      <c r="GPZ15" s="11"/>
      <c r="GQA15" s="11"/>
      <c r="GQB15" s="11"/>
      <c r="GQC15" s="11"/>
      <c r="GQD15" s="11"/>
      <c r="GQE15" s="11"/>
      <c r="GQF15" s="11"/>
      <c r="GQG15" s="11"/>
      <c r="GQH15" s="11"/>
      <c r="GQI15" s="11"/>
      <c r="GQJ15" s="11"/>
      <c r="GQK15" s="11"/>
      <c r="GQL15" s="11"/>
      <c r="GQM15" s="11"/>
      <c r="GQN15" s="11"/>
      <c r="GQO15" s="11"/>
      <c r="GQP15" s="11"/>
      <c r="GQQ15" s="11"/>
      <c r="GQR15" s="11"/>
      <c r="GQS15" s="11"/>
      <c r="GQT15" s="11"/>
      <c r="GQU15" s="11"/>
      <c r="GQV15" s="11"/>
      <c r="GQW15" s="11"/>
      <c r="GQX15" s="11"/>
      <c r="GQY15" s="11"/>
      <c r="GQZ15" s="11"/>
      <c r="GRA15" s="11"/>
      <c r="GRB15" s="11"/>
      <c r="GRC15" s="11"/>
      <c r="GRD15" s="11"/>
      <c r="GRE15" s="11"/>
      <c r="GRF15" s="11"/>
      <c r="GRG15" s="11"/>
      <c r="GRH15" s="11"/>
      <c r="GRI15" s="11"/>
      <c r="GRJ15" s="11"/>
      <c r="GRK15" s="11"/>
      <c r="GRL15" s="11"/>
      <c r="GRM15" s="11"/>
      <c r="GRN15" s="11"/>
      <c r="GRO15" s="11"/>
      <c r="GRP15" s="11"/>
      <c r="GRQ15" s="11"/>
      <c r="GRR15" s="11"/>
      <c r="GRS15" s="11"/>
      <c r="GRT15" s="11"/>
      <c r="GRU15" s="11"/>
      <c r="GRV15" s="11"/>
      <c r="GRW15" s="11"/>
      <c r="GRX15" s="11"/>
      <c r="GRY15" s="11"/>
      <c r="GRZ15" s="11"/>
      <c r="GSA15" s="11"/>
      <c r="GSB15" s="11"/>
      <c r="GSC15" s="11"/>
      <c r="GSD15" s="11"/>
      <c r="GSE15" s="11"/>
      <c r="GSF15" s="11"/>
      <c r="GSG15" s="11"/>
      <c r="GSH15" s="11"/>
      <c r="GSI15" s="11"/>
      <c r="GSJ15" s="11"/>
      <c r="GSK15" s="11"/>
      <c r="GSL15" s="11"/>
      <c r="GSM15" s="11"/>
      <c r="GSN15" s="11"/>
      <c r="GSO15" s="11"/>
      <c r="GSP15" s="11"/>
      <c r="GSQ15" s="11"/>
      <c r="GSR15" s="11"/>
      <c r="GSS15" s="11"/>
      <c r="GST15" s="11"/>
      <c r="GSU15" s="11"/>
      <c r="GSV15" s="11"/>
      <c r="GSW15" s="11"/>
      <c r="GSX15" s="11"/>
      <c r="GSY15" s="11"/>
      <c r="GSZ15" s="11"/>
      <c r="GTA15" s="11"/>
      <c r="GTB15" s="11"/>
      <c r="GTC15" s="11"/>
      <c r="GTD15" s="11"/>
      <c r="GTE15" s="11"/>
      <c r="GTF15" s="11"/>
      <c r="GTG15" s="11"/>
      <c r="GTH15" s="11"/>
      <c r="GTI15" s="11"/>
      <c r="GTJ15" s="11"/>
      <c r="GTK15" s="11"/>
      <c r="GTL15" s="11"/>
      <c r="GTM15" s="11"/>
      <c r="GTN15" s="11"/>
      <c r="GTO15" s="11"/>
      <c r="GTP15" s="11"/>
      <c r="GTQ15" s="11"/>
      <c r="GTR15" s="11"/>
      <c r="GTS15" s="11"/>
      <c r="GTT15" s="11"/>
      <c r="GTU15" s="11"/>
      <c r="GTV15" s="11"/>
      <c r="GTW15" s="11"/>
      <c r="GTX15" s="11"/>
      <c r="GTY15" s="11"/>
      <c r="GTZ15" s="11"/>
      <c r="GUA15" s="11"/>
      <c r="GUB15" s="11"/>
      <c r="GUC15" s="11"/>
      <c r="GUD15" s="11"/>
      <c r="GUE15" s="11"/>
      <c r="GUF15" s="11"/>
      <c r="GUG15" s="11"/>
      <c r="GUH15" s="11"/>
      <c r="GUI15" s="11"/>
      <c r="GUJ15" s="11"/>
      <c r="GUK15" s="11"/>
      <c r="GUL15" s="11"/>
      <c r="GUM15" s="11"/>
      <c r="GUN15" s="11"/>
      <c r="GUO15" s="11"/>
      <c r="GUP15" s="11"/>
      <c r="GUQ15" s="11"/>
      <c r="GUR15" s="11"/>
      <c r="GUS15" s="11"/>
      <c r="GUT15" s="11"/>
      <c r="GUU15" s="11"/>
      <c r="GUV15" s="11"/>
      <c r="GUW15" s="11"/>
      <c r="GUX15" s="11"/>
      <c r="GUY15" s="11"/>
      <c r="GUZ15" s="11"/>
      <c r="GVA15" s="11"/>
      <c r="GVB15" s="11"/>
      <c r="GVC15" s="11"/>
      <c r="GVD15" s="11"/>
      <c r="GVE15" s="11"/>
      <c r="GVF15" s="11"/>
      <c r="GVG15" s="11"/>
      <c r="GVH15" s="11"/>
      <c r="GVI15" s="11"/>
      <c r="GVJ15" s="11"/>
      <c r="GVK15" s="11"/>
      <c r="GVL15" s="11"/>
      <c r="GVM15" s="11"/>
      <c r="GVN15" s="11"/>
      <c r="GVO15" s="11"/>
      <c r="GVP15" s="11"/>
      <c r="GVQ15" s="11"/>
      <c r="GVR15" s="11"/>
      <c r="GVS15" s="11"/>
      <c r="GVT15" s="11"/>
      <c r="GVU15" s="11"/>
      <c r="GVV15" s="11"/>
      <c r="GVW15" s="11"/>
      <c r="GVX15" s="11"/>
      <c r="GVY15" s="11"/>
      <c r="GVZ15" s="11"/>
      <c r="GWA15" s="11"/>
      <c r="GWB15" s="11"/>
      <c r="GWC15" s="11"/>
      <c r="GWD15" s="11"/>
      <c r="GWE15" s="11"/>
      <c r="GWF15" s="11"/>
      <c r="GWG15" s="11"/>
      <c r="GWH15" s="11"/>
      <c r="GWI15" s="11"/>
      <c r="GWJ15" s="11"/>
      <c r="GWK15" s="11"/>
      <c r="GWL15" s="11"/>
      <c r="GWM15" s="11"/>
      <c r="GWN15" s="11"/>
      <c r="GWO15" s="11"/>
      <c r="GWP15" s="11"/>
      <c r="GWQ15" s="11"/>
      <c r="GWR15" s="11"/>
      <c r="GWS15" s="11"/>
      <c r="GWT15" s="11"/>
      <c r="GWU15" s="11"/>
      <c r="GWV15" s="11"/>
      <c r="GWW15" s="11"/>
      <c r="GWX15" s="11"/>
      <c r="GWY15" s="11"/>
      <c r="GWZ15" s="11"/>
      <c r="GXA15" s="11"/>
      <c r="GXB15" s="11"/>
      <c r="GXC15" s="11"/>
      <c r="GXD15" s="11"/>
      <c r="GXE15" s="11"/>
      <c r="GXF15" s="11"/>
      <c r="GXG15" s="11"/>
      <c r="GXH15" s="11"/>
      <c r="GXI15" s="11"/>
      <c r="GXJ15" s="11"/>
      <c r="GXK15" s="11"/>
      <c r="GXL15" s="11"/>
      <c r="GXM15" s="11"/>
      <c r="GXN15" s="11"/>
      <c r="GXO15" s="11"/>
      <c r="GXP15" s="11"/>
      <c r="GXQ15" s="11"/>
      <c r="GXR15" s="11"/>
      <c r="GXS15" s="11"/>
      <c r="GXT15" s="11"/>
      <c r="GXU15" s="11"/>
      <c r="GXV15" s="11"/>
      <c r="GXW15" s="11"/>
      <c r="GXX15" s="11"/>
      <c r="GXY15" s="11"/>
      <c r="GXZ15" s="11"/>
      <c r="GYA15" s="11"/>
      <c r="GYB15" s="11"/>
      <c r="GYC15" s="11"/>
      <c r="GYD15" s="11"/>
      <c r="GYE15" s="11"/>
      <c r="GYF15" s="11"/>
      <c r="GYG15" s="11"/>
      <c r="GYH15" s="11"/>
      <c r="GYI15" s="11"/>
      <c r="GYJ15" s="11"/>
      <c r="GYK15" s="11"/>
      <c r="GYL15" s="11"/>
      <c r="GYM15" s="11"/>
      <c r="GYN15" s="11"/>
      <c r="GYO15" s="11"/>
      <c r="GYP15" s="11"/>
      <c r="GYQ15" s="11"/>
      <c r="GYR15" s="11"/>
      <c r="GYS15" s="11"/>
      <c r="GYT15" s="11"/>
      <c r="GYU15" s="11"/>
      <c r="GYV15" s="11"/>
      <c r="GYW15" s="11"/>
      <c r="GYX15" s="11"/>
      <c r="GYY15" s="11"/>
      <c r="GYZ15" s="11"/>
      <c r="GZA15" s="11"/>
      <c r="GZB15" s="11"/>
      <c r="GZC15" s="11"/>
      <c r="GZD15" s="11"/>
      <c r="GZE15" s="11"/>
      <c r="GZF15" s="11"/>
      <c r="GZG15" s="11"/>
      <c r="GZH15" s="11"/>
      <c r="GZI15" s="11"/>
      <c r="GZJ15" s="11"/>
      <c r="GZK15" s="11"/>
      <c r="GZL15" s="11"/>
      <c r="GZM15" s="11"/>
      <c r="GZN15" s="11"/>
      <c r="GZO15" s="11"/>
      <c r="GZP15" s="11"/>
      <c r="GZQ15" s="11"/>
      <c r="GZR15" s="11"/>
      <c r="GZS15" s="11"/>
      <c r="GZT15" s="11"/>
      <c r="GZU15" s="11"/>
      <c r="GZV15" s="11"/>
      <c r="GZW15" s="11"/>
      <c r="GZX15" s="11"/>
      <c r="GZY15" s="11"/>
      <c r="GZZ15" s="11"/>
      <c r="HAA15" s="11"/>
      <c r="HAB15" s="11"/>
      <c r="HAC15" s="11"/>
      <c r="HAD15" s="11"/>
      <c r="HAE15" s="11"/>
      <c r="HAF15" s="11"/>
      <c r="HAG15" s="11"/>
      <c r="HAH15" s="11"/>
      <c r="HAI15" s="11"/>
      <c r="HAJ15" s="11"/>
      <c r="HAK15" s="11"/>
      <c r="HAL15" s="11"/>
      <c r="HAM15" s="11"/>
      <c r="HAN15" s="11"/>
      <c r="HAO15" s="11"/>
      <c r="HAP15" s="11"/>
      <c r="HAQ15" s="11"/>
      <c r="HAR15" s="11"/>
      <c r="HAS15" s="11"/>
      <c r="HAT15" s="11"/>
      <c r="HAU15" s="11"/>
      <c r="HAV15" s="11"/>
      <c r="HAW15" s="11"/>
      <c r="HAX15" s="11"/>
      <c r="HAY15" s="11"/>
      <c r="HAZ15" s="11"/>
      <c r="HBA15" s="11"/>
      <c r="HBB15" s="11"/>
      <c r="HBC15" s="11"/>
      <c r="HBD15" s="11"/>
      <c r="HBE15" s="11"/>
      <c r="HBF15" s="11"/>
      <c r="HBG15" s="11"/>
      <c r="HBH15" s="11"/>
      <c r="HBI15" s="11"/>
      <c r="HBJ15" s="11"/>
      <c r="HBK15" s="11"/>
      <c r="HBL15" s="11"/>
      <c r="HBM15" s="11"/>
      <c r="HBN15" s="11"/>
      <c r="HBO15" s="11"/>
      <c r="HBP15" s="11"/>
      <c r="HBQ15" s="11"/>
      <c r="HBR15" s="11"/>
      <c r="HBS15" s="11"/>
      <c r="HBT15" s="11"/>
      <c r="HBU15" s="11"/>
      <c r="HBV15" s="11"/>
      <c r="HBW15" s="11"/>
      <c r="HBX15" s="11"/>
      <c r="HBY15" s="11"/>
      <c r="HBZ15" s="11"/>
      <c r="HCA15" s="11"/>
      <c r="HCB15" s="11"/>
      <c r="HCC15" s="11"/>
      <c r="HCD15" s="11"/>
      <c r="HCE15" s="11"/>
      <c r="HCF15" s="11"/>
      <c r="HCG15" s="11"/>
      <c r="HCH15" s="11"/>
      <c r="HCI15" s="11"/>
      <c r="HCJ15" s="11"/>
      <c r="HCK15" s="11"/>
      <c r="HCL15" s="11"/>
      <c r="HCM15" s="11"/>
      <c r="HCN15" s="11"/>
      <c r="HCO15" s="11"/>
      <c r="HCP15" s="11"/>
      <c r="HCQ15" s="11"/>
      <c r="HCR15" s="11"/>
      <c r="HCS15" s="11"/>
      <c r="HCT15" s="11"/>
      <c r="HCU15" s="11"/>
      <c r="HCV15" s="11"/>
      <c r="HCW15" s="11"/>
      <c r="HCX15" s="11"/>
      <c r="HCY15" s="11"/>
      <c r="HCZ15" s="11"/>
      <c r="HDA15" s="11"/>
      <c r="HDB15" s="11"/>
      <c r="HDC15" s="11"/>
      <c r="HDD15" s="11"/>
      <c r="HDE15" s="11"/>
      <c r="HDF15" s="11"/>
      <c r="HDG15" s="11"/>
      <c r="HDH15" s="11"/>
      <c r="HDI15" s="11"/>
      <c r="HDJ15" s="11"/>
      <c r="HDK15" s="11"/>
      <c r="HDL15" s="11"/>
      <c r="HDM15" s="11"/>
      <c r="HDN15" s="11"/>
      <c r="HDO15" s="11"/>
      <c r="HDP15" s="11"/>
      <c r="HDQ15" s="11"/>
      <c r="HDR15" s="11"/>
      <c r="HDS15" s="11"/>
      <c r="HDT15" s="11"/>
      <c r="HDU15" s="11"/>
      <c r="HDV15" s="11"/>
      <c r="HDW15" s="11"/>
      <c r="HDX15" s="11"/>
      <c r="HDY15" s="11"/>
      <c r="HDZ15" s="11"/>
      <c r="HEA15" s="11"/>
      <c r="HEB15" s="11"/>
      <c r="HEC15" s="11"/>
      <c r="HED15" s="11"/>
      <c r="HEE15" s="11"/>
      <c r="HEF15" s="11"/>
      <c r="HEG15" s="11"/>
      <c r="HEH15" s="11"/>
      <c r="HEI15" s="11"/>
      <c r="HEJ15" s="11"/>
      <c r="HEK15" s="11"/>
      <c r="HEL15" s="11"/>
      <c r="HEM15" s="11"/>
      <c r="HEN15" s="11"/>
      <c r="HEO15" s="11"/>
      <c r="HEP15" s="11"/>
      <c r="HEQ15" s="11"/>
      <c r="HER15" s="11"/>
      <c r="HES15" s="11"/>
      <c r="HET15" s="11"/>
      <c r="HEU15" s="11"/>
      <c r="HEV15" s="11"/>
      <c r="HEW15" s="11"/>
      <c r="HEX15" s="11"/>
      <c r="HEY15" s="11"/>
      <c r="HEZ15" s="11"/>
      <c r="HFA15" s="11"/>
      <c r="HFB15" s="11"/>
      <c r="HFC15" s="11"/>
      <c r="HFD15" s="11"/>
      <c r="HFE15" s="11"/>
      <c r="HFF15" s="11"/>
      <c r="HFG15" s="11"/>
      <c r="HFH15" s="11"/>
      <c r="HFI15" s="11"/>
      <c r="HFJ15" s="11"/>
      <c r="HFK15" s="11"/>
      <c r="HFL15" s="11"/>
      <c r="HFM15" s="11"/>
      <c r="HFN15" s="11"/>
      <c r="HFO15" s="11"/>
      <c r="HFP15" s="11"/>
      <c r="HFQ15" s="11"/>
      <c r="HFR15" s="11"/>
      <c r="HFS15" s="11"/>
      <c r="HFT15" s="11"/>
      <c r="HFU15" s="11"/>
      <c r="HFV15" s="11"/>
      <c r="HFW15" s="11"/>
      <c r="HFX15" s="11"/>
      <c r="HFY15" s="11"/>
      <c r="HFZ15" s="11"/>
      <c r="HGA15" s="11"/>
      <c r="HGB15" s="11"/>
      <c r="HGC15" s="11"/>
      <c r="HGD15" s="11"/>
      <c r="HGE15" s="11"/>
      <c r="HGF15" s="11"/>
      <c r="HGG15" s="11"/>
      <c r="HGH15" s="11"/>
      <c r="HGI15" s="11"/>
      <c r="HGJ15" s="11"/>
      <c r="HGK15" s="11"/>
      <c r="HGL15" s="11"/>
      <c r="HGM15" s="11"/>
      <c r="HGN15" s="11"/>
      <c r="HGO15" s="11"/>
      <c r="HGP15" s="11"/>
      <c r="HGQ15" s="11"/>
      <c r="HGR15" s="11"/>
      <c r="HGS15" s="11"/>
      <c r="HGT15" s="11"/>
      <c r="HGU15" s="11"/>
      <c r="HGV15" s="11"/>
      <c r="HGW15" s="11"/>
      <c r="HGX15" s="11"/>
      <c r="HGY15" s="11"/>
      <c r="HGZ15" s="11"/>
      <c r="HHA15" s="11"/>
      <c r="HHB15" s="11"/>
      <c r="HHC15" s="11"/>
      <c r="HHD15" s="11"/>
      <c r="HHE15" s="11"/>
      <c r="HHF15" s="11"/>
      <c r="HHG15" s="11"/>
      <c r="HHH15" s="11"/>
      <c r="HHI15" s="11"/>
      <c r="HHJ15" s="11"/>
      <c r="HHK15" s="11"/>
      <c r="HHL15" s="11"/>
      <c r="HHM15" s="11"/>
      <c r="HHN15" s="11"/>
      <c r="HHO15" s="11"/>
      <c r="HHP15" s="11"/>
      <c r="HHQ15" s="11"/>
      <c r="HHR15" s="11"/>
      <c r="HHS15" s="11"/>
      <c r="HHT15" s="11"/>
      <c r="HHU15" s="11"/>
      <c r="HHV15" s="11"/>
      <c r="HHW15" s="11"/>
      <c r="HHX15" s="11"/>
      <c r="HHY15" s="11"/>
      <c r="HHZ15" s="11"/>
      <c r="HIA15" s="11"/>
      <c r="HIB15" s="11"/>
      <c r="HIC15" s="11"/>
      <c r="HID15" s="11"/>
      <c r="HIE15" s="11"/>
      <c r="HIF15" s="11"/>
      <c r="HIG15" s="11"/>
      <c r="HIH15" s="11"/>
      <c r="HII15" s="11"/>
      <c r="HIJ15" s="11"/>
      <c r="HIK15" s="11"/>
      <c r="HIL15" s="11"/>
      <c r="HIM15" s="11"/>
      <c r="HIN15" s="11"/>
      <c r="HIO15" s="11"/>
      <c r="HIP15" s="11"/>
      <c r="HIQ15" s="11"/>
      <c r="HIR15" s="11"/>
      <c r="HIS15" s="11"/>
      <c r="HIT15" s="11"/>
      <c r="HIU15" s="11"/>
      <c r="HIV15" s="11"/>
      <c r="HIW15" s="11"/>
      <c r="HIX15" s="11"/>
      <c r="HIY15" s="11"/>
      <c r="HIZ15" s="11"/>
      <c r="HJA15" s="11"/>
      <c r="HJB15" s="11"/>
      <c r="HJC15" s="11"/>
      <c r="HJD15" s="11"/>
      <c r="HJE15" s="11"/>
      <c r="HJF15" s="11"/>
      <c r="HJG15" s="11"/>
      <c r="HJH15" s="11"/>
      <c r="HJI15" s="11"/>
      <c r="HJJ15" s="11"/>
      <c r="HJK15" s="11"/>
      <c r="HJL15" s="11"/>
      <c r="HJM15" s="11"/>
      <c r="HJN15" s="11"/>
      <c r="HJO15" s="11"/>
      <c r="HJP15" s="11"/>
      <c r="HJQ15" s="11"/>
      <c r="HJR15" s="11"/>
      <c r="HJS15" s="11"/>
      <c r="HJT15" s="11"/>
      <c r="HJU15" s="11"/>
      <c r="HJV15" s="11"/>
      <c r="HJW15" s="11"/>
      <c r="HJX15" s="11"/>
      <c r="HJY15" s="11"/>
      <c r="HJZ15" s="11"/>
      <c r="HKA15" s="11"/>
      <c r="HKB15" s="11"/>
      <c r="HKC15" s="11"/>
      <c r="HKD15" s="11"/>
      <c r="HKE15" s="11"/>
      <c r="HKF15" s="11"/>
      <c r="HKG15" s="11"/>
      <c r="HKH15" s="11"/>
      <c r="HKI15" s="11"/>
      <c r="HKJ15" s="11"/>
      <c r="HKK15" s="11"/>
      <c r="HKL15" s="11"/>
      <c r="HKM15" s="11"/>
      <c r="HKN15" s="11"/>
      <c r="HKO15" s="11"/>
      <c r="HKP15" s="11"/>
      <c r="HKQ15" s="11"/>
      <c r="HKR15" s="11"/>
      <c r="HKS15" s="11"/>
      <c r="HKT15" s="11"/>
      <c r="HKU15" s="11"/>
      <c r="HKV15" s="11"/>
      <c r="HKW15" s="11"/>
      <c r="HKX15" s="11"/>
      <c r="HKY15" s="11"/>
      <c r="HKZ15" s="11"/>
      <c r="HLA15" s="11"/>
      <c r="HLB15" s="11"/>
      <c r="HLC15" s="11"/>
      <c r="HLD15" s="11"/>
      <c r="HLE15" s="11"/>
      <c r="HLF15" s="11"/>
      <c r="HLG15" s="11"/>
      <c r="HLH15" s="11"/>
      <c r="HLI15" s="11"/>
      <c r="HLJ15" s="11"/>
      <c r="HLK15" s="11"/>
      <c r="HLL15" s="11"/>
      <c r="HLM15" s="11"/>
      <c r="HLN15" s="11"/>
      <c r="HLO15" s="11"/>
      <c r="HLP15" s="11"/>
      <c r="HLQ15" s="11"/>
      <c r="HLR15" s="11"/>
      <c r="HLS15" s="11"/>
      <c r="HLT15" s="11"/>
      <c r="HLU15" s="11"/>
      <c r="HLV15" s="11"/>
      <c r="HLW15" s="11"/>
      <c r="HLX15" s="11"/>
      <c r="HLY15" s="11"/>
      <c r="HLZ15" s="11"/>
      <c r="HMA15" s="11"/>
      <c r="HMB15" s="11"/>
      <c r="HMC15" s="11"/>
      <c r="HMD15" s="11"/>
      <c r="HME15" s="11"/>
      <c r="HMF15" s="11"/>
      <c r="HMG15" s="11"/>
      <c r="HMH15" s="11"/>
      <c r="HMI15" s="11"/>
      <c r="HMJ15" s="11"/>
      <c r="HMK15" s="11"/>
      <c r="HML15" s="11"/>
      <c r="HMM15" s="11"/>
      <c r="HMN15" s="11"/>
      <c r="HMO15" s="11"/>
      <c r="HMP15" s="11"/>
      <c r="HMQ15" s="11"/>
      <c r="HMR15" s="11"/>
      <c r="HMS15" s="11"/>
      <c r="HMT15" s="11"/>
      <c r="HMU15" s="11"/>
      <c r="HMV15" s="11"/>
      <c r="HMW15" s="11"/>
      <c r="HMX15" s="11"/>
      <c r="HMY15" s="11"/>
      <c r="HMZ15" s="11"/>
      <c r="HNA15" s="11"/>
      <c r="HNB15" s="11"/>
      <c r="HNC15" s="11"/>
      <c r="HND15" s="11"/>
      <c r="HNE15" s="11"/>
      <c r="HNF15" s="11"/>
      <c r="HNG15" s="11"/>
      <c r="HNH15" s="11"/>
      <c r="HNI15" s="11"/>
      <c r="HNJ15" s="11"/>
      <c r="HNK15" s="11"/>
      <c r="HNL15" s="11"/>
      <c r="HNM15" s="11"/>
      <c r="HNN15" s="11"/>
      <c r="HNO15" s="11"/>
      <c r="HNP15" s="11"/>
      <c r="HNQ15" s="11"/>
      <c r="HNR15" s="11"/>
      <c r="HNS15" s="11"/>
      <c r="HNT15" s="11"/>
      <c r="HNU15" s="11"/>
      <c r="HNV15" s="11"/>
      <c r="HNW15" s="11"/>
      <c r="HNX15" s="11"/>
      <c r="HNY15" s="11"/>
      <c r="HNZ15" s="11"/>
      <c r="HOA15" s="11"/>
      <c r="HOB15" s="11"/>
      <c r="HOC15" s="11"/>
      <c r="HOD15" s="11"/>
      <c r="HOE15" s="11"/>
      <c r="HOF15" s="11"/>
      <c r="HOG15" s="11"/>
      <c r="HOH15" s="11"/>
      <c r="HOI15" s="11"/>
      <c r="HOJ15" s="11"/>
      <c r="HOK15" s="11"/>
      <c r="HOL15" s="11"/>
      <c r="HOM15" s="11"/>
      <c r="HON15" s="11"/>
      <c r="HOO15" s="11"/>
      <c r="HOP15" s="11"/>
      <c r="HOQ15" s="11"/>
      <c r="HOR15" s="11"/>
      <c r="HOS15" s="11"/>
      <c r="HOT15" s="11"/>
      <c r="HOU15" s="11"/>
      <c r="HOV15" s="11"/>
      <c r="HOW15" s="11"/>
      <c r="HOX15" s="11"/>
      <c r="HOY15" s="11"/>
      <c r="HOZ15" s="11"/>
      <c r="HPA15" s="11"/>
      <c r="HPB15" s="11"/>
      <c r="HPC15" s="11"/>
      <c r="HPD15" s="11"/>
      <c r="HPE15" s="11"/>
      <c r="HPF15" s="11"/>
      <c r="HPG15" s="11"/>
      <c r="HPH15" s="11"/>
      <c r="HPI15" s="11"/>
      <c r="HPJ15" s="11"/>
      <c r="HPK15" s="11"/>
      <c r="HPL15" s="11"/>
      <c r="HPM15" s="11"/>
      <c r="HPN15" s="11"/>
      <c r="HPO15" s="11"/>
      <c r="HPP15" s="11"/>
      <c r="HPQ15" s="11"/>
      <c r="HPR15" s="11"/>
      <c r="HPS15" s="11"/>
      <c r="HPT15" s="11"/>
      <c r="HPU15" s="11"/>
      <c r="HPV15" s="11"/>
      <c r="HPW15" s="11"/>
      <c r="HPX15" s="11"/>
      <c r="HPY15" s="11"/>
      <c r="HPZ15" s="11"/>
      <c r="HQA15" s="11"/>
      <c r="HQB15" s="11"/>
      <c r="HQC15" s="11"/>
      <c r="HQD15" s="11"/>
      <c r="HQE15" s="11"/>
      <c r="HQF15" s="11"/>
      <c r="HQG15" s="11"/>
      <c r="HQH15" s="11"/>
      <c r="HQI15" s="11"/>
      <c r="HQJ15" s="11"/>
      <c r="HQK15" s="11"/>
      <c r="HQL15" s="11"/>
      <c r="HQM15" s="11"/>
      <c r="HQN15" s="11"/>
      <c r="HQO15" s="11"/>
      <c r="HQP15" s="11"/>
      <c r="HQQ15" s="11"/>
      <c r="HQR15" s="11"/>
      <c r="HQS15" s="11"/>
      <c r="HQT15" s="11"/>
      <c r="HQU15" s="11"/>
      <c r="HQV15" s="11"/>
      <c r="HQW15" s="11"/>
      <c r="HQX15" s="11"/>
      <c r="HQY15" s="11"/>
      <c r="HQZ15" s="11"/>
      <c r="HRA15" s="11"/>
      <c r="HRB15" s="11"/>
      <c r="HRC15" s="11"/>
      <c r="HRD15" s="11"/>
      <c r="HRE15" s="11"/>
      <c r="HRF15" s="11"/>
      <c r="HRG15" s="11"/>
      <c r="HRH15" s="11"/>
      <c r="HRI15" s="11"/>
      <c r="HRJ15" s="11"/>
      <c r="HRK15" s="11"/>
      <c r="HRL15" s="11"/>
      <c r="HRM15" s="11"/>
      <c r="HRN15" s="11"/>
      <c r="HRO15" s="11"/>
      <c r="HRP15" s="11"/>
      <c r="HRQ15" s="11"/>
      <c r="HRR15" s="11"/>
      <c r="HRS15" s="11"/>
      <c r="HRT15" s="11"/>
      <c r="HRU15" s="11"/>
      <c r="HRV15" s="11"/>
      <c r="HRW15" s="11"/>
      <c r="HRX15" s="11"/>
      <c r="HRY15" s="11"/>
      <c r="HRZ15" s="11"/>
      <c r="HSA15" s="11"/>
      <c r="HSB15" s="11"/>
      <c r="HSC15" s="11"/>
      <c r="HSD15" s="11"/>
      <c r="HSE15" s="11"/>
      <c r="HSF15" s="11"/>
      <c r="HSG15" s="11"/>
      <c r="HSH15" s="11"/>
      <c r="HSI15" s="11"/>
      <c r="HSJ15" s="11"/>
      <c r="HSK15" s="11"/>
      <c r="HSL15" s="11"/>
      <c r="HSM15" s="11"/>
      <c r="HSN15" s="11"/>
      <c r="HSO15" s="11"/>
      <c r="HSP15" s="11"/>
      <c r="HSQ15" s="11"/>
      <c r="HSR15" s="11"/>
      <c r="HSS15" s="11"/>
      <c r="HST15" s="11"/>
      <c r="HSU15" s="11"/>
      <c r="HSV15" s="11"/>
      <c r="HSW15" s="11"/>
      <c r="HSX15" s="11"/>
      <c r="HSY15" s="11"/>
      <c r="HSZ15" s="11"/>
      <c r="HTA15" s="11"/>
      <c r="HTB15" s="11"/>
      <c r="HTC15" s="11"/>
      <c r="HTD15" s="11"/>
      <c r="HTE15" s="11"/>
      <c r="HTF15" s="11"/>
      <c r="HTG15" s="11"/>
      <c r="HTH15" s="11"/>
      <c r="HTI15" s="11"/>
      <c r="HTJ15" s="11"/>
      <c r="HTK15" s="11"/>
      <c r="HTL15" s="11"/>
      <c r="HTM15" s="11"/>
      <c r="HTN15" s="11"/>
      <c r="HTO15" s="11"/>
      <c r="HTP15" s="11"/>
      <c r="HTQ15" s="11"/>
      <c r="HTR15" s="11"/>
      <c r="HTS15" s="11"/>
      <c r="HTT15" s="11"/>
      <c r="HTU15" s="11"/>
      <c r="HTV15" s="11"/>
      <c r="HTW15" s="11"/>
      <c r="HTX15" s="11"/>
      <c r="HTY15" s="11"/>
      <c r="HTZ15" s="11"/>
      <c r="HUA15" s="11"/>
      <c r="HUB15" s="11"/>
      <c r="HUC15" s="11"/>
      <c r="HUD15" s="11"/>
      <c r="HUE15" s="11"/>
      <c r="HUF15" s="11"/>
      <c r="HUG15" s="11"/>
      <c r="HUH15" s="11"/>
      <c r="HUI15" s="11"/>
      <c r="HUJ15" s="11"/>
      <c r="HUK15" s="11"/>
      <c r="HUL15" s="11"/>
      <c r="HUM15" s="11"/>
      <c r="HUN15" s="11"/>
      <c r="HUO15" s="11"/>
      <c r="HUP15" s="11"/>
      <c r="HUQ15" s="11"/>
      <c r="HUR15" s="11"/>
      <c r="HUS15" s="11"/>
      <c r="HUT15" s="11"/>
      <c r="HUU15" s="11"/>
      <c r="HUV15" s="11"/>
      <c r="HUW15" s="11"/>
      <c r="HUX15" s="11"/>
      <c r="HUY15" s="11"/>
      <c r="HUZ15" s="11"/>
      <c r="HVA15" s="11"/>
      <c r="HVB15" s="11"/>
      <c r="HVC15" s="11"/>
      <c r="HVD15" s="11"/>
      <c r="HVE15" s="11"/>
      <c r="HVF15" s="11"/>
      <c r="HVG15" s="11"/>
      <c r="HVH15" s="11"/>
      <c r="HVI15" s="11"/>
      <c r="HVJ15" s="11"/>
      <c r="HVK15" s="11"/>
      <c r="HVL15" s="11"/>
      <c r="HVM15" s="11"/>
      <c r="HVN15" s="11"/>
      <c r="HVO15" s="11"/>
      <c r="HVP15" s="11"/>
      <c r="HVQ15" s="11"/>
      <c r="HVR15" s="11"/>
      <c r="HVS15" s="11"/>
      <c r="HVT15" s="11"/>
      <c r="HVU15" s="11"/>
      <c r="HVV15" s="11"/>
      <c r="HVW15" s="11"/>
      <c r="HVX15" s="11"/>
      <c r="HVY15" s="11"/>
      <c r="HVZ15" s="11"/>
      <c r="HWA15" s="11"/>
      <c r="HWB15" s="11"/>
      <c r="HWC15" s="11"/>
      <c r="HWD15" s="11"/>
      <c r="HWE15" s="11"/>
      <c r="HWF15" s="11"/>
      <c r="HWG15" s="11"/>
      <c r="HWH15" s="11"/>
      <c r="HWI15" s="11"/>
      <c r="HWJ15" s="11"/>
      <c r="HWK15" s="11"/>
      <c r="HWL15" s="11"/>
      <c r="HWM15" s="11"/>
      <c r="HWN15" s="11"/>
      <c r="HWO15" s="11"/>
      <c r="HWP15" s="11"/>
      <c r="HWQ15" s="11"/>
      <c r="HWR15" s="11"/>
      <c r="HWS15" s="11"/>
      <c r="HWT15" s="11"/>
      <c r="HWU15" s="11"/>
      <c r="HWV15" s="11"/>
      <c r="HWW15" s="11"/>
      <c r="HWX15" s="11"/>
      <c r="HWY15" s="11"/>
      <c r="HWZ15" s="11"/>
      <c r="HXA15" s="11"/>
      <c r="HXB15" s="11"/>
      <c r="HXC15" s="11"/>
      <c r="HXD15" s="11"/>
      <c r="HXE15" s="11"/>
      <c r="HXF15" s="11"/>
      <c r="HXG15" s="11"/>
      <c r="HXH15" s="11"/>
      <c r="HXI15" s="11"/>
      <c r="HXJ15" s="11"/>
      <c r="HXK15" s="11"/>
      <c r="HXL15" s="11"/>
      <c r="HXM15" s="11"/>
      <c r="HXN15" s="11"/>
      <c r="HXO15" s="11"/>
      <c r="HXP15" s="11"/>
      <c r="HXQ15" s="11"/>
      <c r="HXR15" s="11"/>
      <c r="HXS15" s="11"/>
      <c r="HXT15" s="11"/>
      <c r="HXU15" s="11"/>
      <c r="HXV15" s="11"/>
      <c r="HXW15" s="11"/>
      <c r="HXX15" s="11"/>
      <c r="HXY15" s="11"/>
      <c r="HXZ15" s="11"/>
      <c r="HYA15" s="11"/>
      <c r="HYB15" s="11"/>
      <c r="HYC15" s="11"/>
      <c r="HYD15" s="11"/>
      <c r="HYE15" s="11"/>
      <c r="HYF15" s="11"/>
      <c r="HYG15" s="11"/>
      <c r="HYH15" s="11"/>
      <c r="HYI15" s="11"/>
      <c r="HYJ15" s="11"/>
      <c r="HYK15" s="11"/>
      <c r="HYL15" s="11"/>
      <c r="HYM15" s="11"/>
      <c r="HYN15" s="11"/>
      <c r="HYO15" s="11"/>
      <c r="HYP15" s="11"/>
      <c r="HYQ15" s="11"/>
      <c r="HYR15" s="11"/>
      <c r="HYS15" s="11"/>
      <c r="HYT15" s="11"/>
      <c r="HYU15" s="11"/>
      <c r="HYV15" s="11"/>
      <c r="HYW15" s="11"/>
      <c r="HYX15" s="11"/>
      <c r="HYY15" s="11"/>
      <c r="HYZ15" s="11"/>
      <c r="HZA15" s="11"/>
      <c r="HZB15" s="11"/>
      <c r="HZC15" s="11"/>
      <c r="HZD15" s="11"/>
      <c r="HZE15" s="11"/>
      <c r="HZF15" s="11"/>
      <c r="HZG15" s="11"/>
      <c r="HZH15" s="11"/>
      <c r="HZI15" s="11"/>
      <c r="HZJ15" s="11"/>
      <c r="HZK15" s="11"/>
      <c r="HZL15" s="11"/>
      <c r="HZM15" s="11"/>
      <c r="HZN15" s="11"/>
      <c r="HZO15" s="11"/>
      <c r="HZP15" s="11"/>
      <c r="HZQ15" s="11"/>
      <c r="HZR15" s="11"/>
      <c r="HZS15" s="11"/>
      <c r="HZT15" s="11"/>
      <c r="HZU15" s="11"/>
      <c r="HZV15" s="11"/>
      <c r="HZW15" s="11"/>
      <c r="HZX15" s="11"/>
      <c r="HZY15" s="11"/>
      <c r="HZZ15" s="11"/>
      <c r="IAA15" s="11"/>
      <c r="IAB15" s="11"/>
      <c r="IAC15" s="11"/>
      <c r="IAD15" s="11"/>
      <c r="IAE15" s="11"/>
      <c r="IAF15" s="11"/>
      <c r="IAG15" s="11"/>
      <c r="IAH15" s="11"/>
      <c r="IAI15" s="11"/>
      <c r="IAJ15" s="11"/>
      <c r="IAK15" s="11"/>
      <c r="IAL15" s="11"/>
      <c r="IAM15" s="11"/>
      <c r="IAN15" s="11"/>
      <c r="IAO15" s="11"/>
      <c r="IAP15" s="11"/>
      <c r="IAQ15" s="11"/>
      <c r="IAR15" s="11"/>
      <c r="IAS15" s="11"/>
      <c r="IAT15" s="11"/>
      <c r="IAU15" s="11"/>
      <c r="IAV15" s="11"/>
      <c r="IAW15" s="11"/>
      <c r="IAX15" s="11"/>
      <c r="IAY15" s="11"/>
      <c r="IAZ15" s="11"/>
      <c r="IBA15" s="11"/>
      <c r="IBB15" s="11"/>
      <c r="IBC15" s="11"/>
      <c r="IBD15" s="11"/>
      <c r="IBE15" s="11"/>
      <c r="IBF15" s="11"/>
      <c r="IBG15" s="11"/>
      <c r="IBH15" s="11"/>
      <c r="IBI15" s="11"/>
      <c r="IBJ15" s="11"/>
      <c r="IBK15" s="11"/>
      <c r="IBL15" s="11"/>
      <c r="IBM15" s="11"/>
      <c r="IBN15" s="11"/>
      <c r="IBO15" s="11"/>
      <c r="IBP15" s="11"/>
      <c r="IBQ15" s="11"/>
      <c r="IBR15" s="11"/>
      <c r="IBS15" s="11"/>
      <c r="IBT15" s="11"/>
      <c r="IBU15" s="11"/>
      <c r="IBV15" s="11"/>
      <c r="IBW15" s="11"/>
      <c r="IBX15" s="11"/>
      <c r="IBY15" s="11"/>
      <c r="IBZ15" s="11"/>
      <c r="ICA15" s="11"/>
      <c r="ICB15" s="11"/>
      <c r="ICC15" s="11"/>
      <c r="ICD15" s="11"/>
      <c r="ICE15" s="11"/>
      <c r="ICF15" s="11"/>
      <c r="ICG15" s="11"/>
      <c r="ICH15" s="11"/>
      <c r="ICI15" s="11"/>
      <c r="ICJ15" s="11"/>
      <c r="ICK15" s="11"/>
      <c r="ICL15" s="11"/>
      <c r="ICM15" s="11"/>
      <c r="ICN15" s="11"/>
      <c r="ICO15" s="11"/>
      <c r="ICP15" s="11"/>
      <c r="ICQ15" s="11"/>
      <c r="ICR15" s="11"/>
      <c r="ICS15" s="11"/>
      <c r="ICT15" s="11"/>
      <c r="ICU15" s="11"/>
      <c r="ICV15" s="11"/>
      <c r="ICW15" s="11"/>
      <c r="ICX15" s="11"/>
      <c r="ICY15" s="11"/>
      <c r="ICZ15" s="11"/>
      <c r="IDA15" s="11"/>
      <c r="IDB15" s="11"/>
      <c r="IDC15" s="11"/>
      <c r="IDD15" s="11"/>
      <c r="IDE15" s="11"/>
      <c r="IDF15" s="11"/>
      <c r="IDG15" s="11"/>
      <c r="IDH15" s="11"/>
      <c r="IDI15" s="11"/>
      <c r="IDJ15" s="11"/>
      <c r="IDK15" s="11"/>
      <c r="IDL15" s="11"/>
      <c r="IDM15" s="11"/>
      <c r="IDN15" s="11"/>
      <c r="IDO15" s="11"/>
      <c r="IDP15" s="11"/>
      <c r="IDQ15" s="11"/>
      <c r="IDR15" s="11"/>
      <c r="IDS15" s="11"/>
      <c r="IDT15" s="11"/>
      <c r="IDU15" s="11"/>
      <c r="IDV15" s="11"/>
      <c r="IDW15" s="11"/>
      <c r="IDX15" s="11"/>
      <c r="IDY15" s="11"/>
      <c r="IDZ15" s="11"/>
      <c r="IEA15" s="11"/>
      <c r="IEB15" s="11"/>
      <c r="IEC15" s="11"/>
      <c r="IED15" s="11"/>
      <c r="IEE15" s="11"/>
      <c r="IEF15" s="11"/>
      <c r="IEG15" s="11"/>
      <c r="IEH15" s="11"/>
      <c r="IEI15" s="11"/>
      <c r="IEJ15" s="11"/>
      <c r="IEK15" s="11"/>
      <c r="IEL15" s="11"/>
      <c r="IEM15" s="11"/>
      <c r="IEN15" s="11"/>
      <c r="IEO15" s="11"/>
      <c r="IEP15" s="11"/>
      <c r="IEQ15" s="11"/>
      <c r="IER15" s="11"/>
      <c r="IES15" s="11"/>
      <c r="IET15" s="11"/>
      <c r="IEU15" s="11"/>
      <c r="IEV15" s="11"/>
      <c r="IEW15" s="11"/>
      <c r="IEX15" s="11"/>
      <c r="IEY15" s="11"/>
      <c r="IEZ15" s="11"/>
      <c r="IFA15" s="11"/>
      <c r="IFB15" s="11"/>
      <c r="IFC15" s="11"/>
      <c r="IFD15" s="11"/>
      <c r="IFE15" s="11"/>
      <c r="IFF15" s="11"/>
      <c r="IFG15" s="11"/>
      <c r="IFH15" s="11"/>
      <c r="IFI15" s="11"/>
      <c r="IFJ15" s="11"/>
      <c r="IFK15" s="11"/>
      <c r="IFL15" s="11"/>
      <c r="IFM15" s="11"/>
      <c r="IFN15" s="11"/>
      <c r="IFO15" s="11"/>
      <c r="IFP15" s="11"/>
      <c r="IFQ15" s="11"/>
      <c r="IFR15" s="11"/>
      <c r="IFS15" s="11"/>
      <c r="IFT15" s="11"/>
      <c r="IFU15" s="11"/>
      <c r="IFV15" s="11"/>
      <c r="IFW15" s="11"/>
      <c r="IFX15" s="11"/>
      <c r="IFY15" s="11"/>
      <c r="IFZ15" s="11"/>
      <c r="IGA15" s="11"/>
      <c r="IGB15" s="11"/>
      <c r="IGC15" s="11"/>
      <c r="IGD15" s="11"/>
      <c r="IGE15" s="11"/>
      <c r="IGF15" s="11"/>
      <c r="IGG15" s="11"/>
      <c r="IGH15" s="11"/>
      <c r="IGI15" s="11"/>
      <c r="IGJ15" s="11"/>
      <c r="IGK15" s="11"/>
      <c r="IGL15" s="11"/>
      <c r="IGM15" s="11"/>
      <c r="IGN15" s="11"/>
      <c r="IGO15" s="11"/>
      <c r="IGP15" s="11"/>
      <c r="IGQ15" s="11"/>
      <c r="IGR15" s="11"/>
      <c r="IGS15" s="11"/>
      <c r="IGT15" s="11"/>
      <c r="IGU15" s="11"/>
      <c r="IGV15" s="11"/>
      <c r="IGW15" s="11"/>
      <c r="IGX15" s="11"/>
      <c r="IGY15" s="11"/>
      <c r="IGZ15" s="11"/>
      <c r="IHA15" s="11"/>
      <c r="IHB15" s="11"/>
      <c r="IHC15" s="11"/>
      <c r="IHD15" s="11"/>
      <c r="IHE15" s="11"/>
      <c r="IHF15" s="11"/>
      <c r="IHG15" s="11"/>
      <c r="IHH15" s="11"/>
      <c r="IHI15" s="11"/>
      <c r="IHJ15" s="11"/>
      <c r="IHK15" s="11"/>
      <c r="IHL15" s="11"/>
      <c r="IHM15" s="11"/>
      <c r="IHN15" s="11"/>
      <c r="IHO15" s="11"/>
      <c r="IHP15" s="11"/>
      <c r="IHQ15" s="11"/>
      <c r="IHR15" s="11"/>
      <c r="IHS15" s="11"/>
      <c r="IHT15" s="11"/>
      <c r="IHU15" s="11"/>
      <c r="IHV15" s="11"/>
      <c r="IHW15" s="11"/>
      <c r="IHX15" s="11"/>
      <c r="IHY15" s="11"/>
      <c r="IHZ15" s="11"/>
      <c r="IIA15" s="11"/>
      <c r="IIB15" s="11"/>
      <c r="IIC15" s="11"/>
      <c r="IID15" s="11"/>
      <c r="IIE15" s="11"/>
      <c r="IIF15" s="11"/>
      <c r="IIG15" s="11"/>
      <c r="IIH15" s="11"/>
      <c r="III15" s="11"/>
      <c r="IIJ15" s="11"/>
      <c r="IIK15" s="11"/>
      <c r="IIL15" s="11"/>
      <c r="IIM15" s="11"/>
      <c r="IIN15" s="11"/>
      <c r="IIO15" s="11"/>
      <c r="IIP15" s="11"/>
      <c r="IIQ15" s="11"/>
      <c r="IIR15" s="11"/>
      <c r="IIS15" s="11"/>
      <c r="IIT15" s="11"/>
      <c r="IIU15" s="11"/>
      <c r="IIV15" s="11"/>
      <c r="IIW15" s="11"/>
      <c r="IIX15" s="11"/>
      <c r="IIY15" s="11"/>
      <c r="IIZ15" s="11"/>
      <c r="IJA15" s="11"/>
      <c r="IJB15" s="11"/>
      <c r="IJC15" s="11"/>
      <c r="IJD15" s="11"/>
      <c r="IJE15" s="11"/>
      <c r="IJF15" s="11"/>
      <c r="IJG15" s="11"/>
      <c r="IJH15" s="11"/>
      <c r="IJI15" s="11"/>
      <c r="IJJ15" s="11"/>
      <c r="IJK15" s="11"/>
      <c r="IJL15" s="11"/>
      <c r="IJM15" s="11"/>
      <c r="IJN15" s="11"/>
      <c r="IJO15" s="11"/>
      <c r="IJP15" s="11"/>
      <c r="IJQ15" s="11"/>
      <c r="IJR15" s="11"/>
      <c r="IJS15" s="11"/>
      <c r="IJT15" s="11"/>
      <c r="IJU15" s="11"/>
      <c r="IJV15" s="11"/>
      <c r="IJW15" s="11"/>
      <c r="IJX15" s="11"/>
      <c r="IJY15" s="11"/>
      <c r="IJZ15" s="11"/>
      <c r="IKA15" s="11"/>
      <c r="IKB15" s="11"/>
      <c r="IKC15" s="11"/>
      <c r="IKD15" s="11"/>
      <c r="IKE15" s="11"/>
      <c r="IKF15" s="11"/>
      <c r="IKG15" s="11"/>
      <c r="IKH15" s="11"/>
      <c r="IKI15" s="11"/>
      <c r="IKJ15" s="11"/>
      <c r="IKK15" s="11"/>
      <c r="IKL15" s="11"/>
      <c r="IKM15" s="11"/>
      <c r="IKN15" s="11"/>
      <c r="IKO15" s="11"/>
      <c r="IKP15" s="11"/>
      <c r="IKQ15" s="11"/>
      <c r="IKR15" s="11"/>
      <c r="IKS15" s="11"/>
      <c r="IKT15" s="11"/>
      <c r="IKU15" s="11"/>
      <c r="IKV15" s="11"/>
      <c r="IKW15" s="11"/>
      <c r="IKX15" s="11"/>
      <c r="IKY15" s="11"/>
      <c r="IKZ15" s="11"/>
      <c r="ILA15" s="11"/>
      <c r="ILB15" s="11"/>
      <c r="ILC15" s="11"/>
      <c r="ILD15" s="11"/>
      <c r="ILE15" s="11"/>
      <c r="ILF15" s="11"/>
      <c r="ILG15" s="11"/>
      <c r="ILH15" s="11"/>
      <c r="ILI15" s="11"/>
      <c r="ILJ15" s="11"/>
      <c r="ILK15" s="11"/>
      <c r="ILL15" s="11"/>
      <c r="ILM15" s="11"/>
      <c r="ILN15" s="11"/>
      <c r="ILO15" s="11"/>
      <c r="ILP15" s="11"/>
      <c r="ILQ15" s="11"/>
      <c r="ILR15" s="11"/>
      <c r="ILS15" s="11"/>
      <c r="ILT15" s="11"/>
      <c r="ILU15" s="11"/>
      <c r="ILV15" s="11"/>
      <c r="ILW15" s="11"/>
      <c r="ILX15" s="11"/>
      <c r="ILY15" s="11"/>
      <c r="ILZ15" s="11"/>
      <c r="IMA15" s="11"/>
      <c r="IMB15" s="11"/>
      <c r="IMC15" s="11"/>
      <c r="IMD15" s="11"/>
      <c r="IME15" s="11"/>
      <c r="IMF15" s="11"/>
      <c r="IMG15" s="11"/>
      <c r="IMH15" s="11"/>
      <c r="IMI15" s="11"/>
      <c r="IMJ15" s="11"/>
      <c r="IMK15" s="11"/>
      <c r="IML15" s="11"/>
      <c r="IMM15" s="11"/>
      <c r="IMN15" s="11"/>
      <c r="IMO15" s="11"/>
      <c r="IMP15" s="11"/>
      <c r="IMQ15" s="11"/>
      <c r="IMR15" s="11"/>
      <c r="IMS15" s="11"/>
      <c r="IMT15" s="11"/>
      <c r="IMU15" s="11"/>
      <c r="IMV15" s="11"/>
      <c r="IMW15" s="11"/>
      <c r="IMX15" s="11"/>
      <c r="IMY15" s="11"/>
      <c r="IMZ15" s="11"/>
      <c r="INA15" s="11"/>
      <c r="INB15" s="11"/>
      <c r="INC15" s="11"/>
      <c r="IND15" s="11"/>
      <c r="INE15" s="11"/>
      <c r="INF15" s="11"/>
      <c r="ING15" s="11"/>
      <c r="INH15" s="11"/>
      <c r="INI15" s="11"/>
      <c r="INJ15" s="11"/>
      <c r="INK15" s="11"/>
      <c r="INL15" s="11"/>
      <c r="INM15" s="11"/>
      <c r="INN15" s="11"/>
      <c r="INO15" s="11"/>
      <c r="INP15" s="11"/>
      <c r="INQ15" s="11"/>
      <c r="INR15" s="11"/>
      <c r="INS15" s="11"/>
      <c r="INT15" s="11"/>
      <c r="INU15" s="11"/>
      <c r="INV15" s="11"/>
      <c r="INW15" s="11"/>
      <c r="INX15" s="11"/>
      <c r="INY15" s="11"/>
      <c r="INZ15" s="11"/>
      <c r="IOA15" s="11"/>
      <c r="IOB15" s="11"/>
      <c r="IOC15" s="11"/>
      <c r="IOD15" s="11"/>
      <c r="IOE15" s="11"/>
      <c r="IOF15" s="11"/>
      <c r="IOG15" s="11"/>
      <c r="IOH15" s="11"/>
      <c r="IOI15" s="11"/>
      <c r="IOJ15" s="11"/>
      <c r="IOK15" s="11"/>
      <c r="IOL15" s="11"/>
      <c r="IOM15" s="11"/>
      <c r="ION15" s="11"/>
      <c r="IOO15" s="11"/>
      <c r="IOP15" s="11"/>
      <c r="IOQ15" s="11"/>
      <c r="IOR15" s="11"/>
      <c r="IOS15" s="11"/>
      <c r="IOT15" s="11"/>
      <c r="IOU15" s="11"/>
      <c r="IOV15" s="11"/>
      <c r="IOW15" s="11"/>
      <c r="IOX15" s="11"/>
      <c r="IOY15" s="11"/>
      <c r="IOZ15" s="11"/>
      <c r="IPA15" s="11"/>
      <c r="IPB15" s="11"/>
      <c r="IPC15" s="11"/>
      <c r="IPD15" s="11"/>
      <c r="IPE15" s="11"/>
      <c r="IPF15" s="11"/>
      <c r="IPG15" s="11"/>
      <c r="IPH15" s="11"/>
      <c r="IPI15" s="11"/>
      <c r="IPJ15" s="11"/>
      <c r="IPK15" s="11"/>
      <c r="IPL15" s="11"/>
      <c r="IPM15" s="11"/>
      <c r="IPN15" s="11"/>
      <c r="IPO15" s="11"/>
      <c r="IPP15" s="11"/>
      <c r="IPQ15" s="11"/>
      <c r="IPR15" s="11"/>
      <c r="IPS15" s="11"/>
      <c r="IPT15" s="11"/>
      <c r="IPU15" s="11"/>
      <c r="IPV15" s="11"/>
      <c r="IPW15" s="11"/>
      <c r="IPX15" s="11"/>
      <c r="IPY15" s="11"/>
      <c r="IPZ15" s="11"/>
      <c r="IQA15" s="11"/>
      <c r="IQB15" s="11"/>
      <c r="IQC15" s="11"/>
      <c r="IQD15" s="11"/>
      <c r="IQE15" s="11"/>
      <c r="IQF15" s="11"/>
      <c r="IQG15" s="11"/>
      <c r="IQH15" s="11"/>
      <c r="IQI15" s="11"/>
      <c r="IQJ15" s="11"/>
      <c r="IQK15" s="11"/>
      <c r="IQL15" s="11"/>
      <c r="IQM15" s="11"/>
      <c r="IQN15" s="11"/>
      <c r="IQO15" s="11"/>
      <c r="IQP15" s="11"/>
      <c r="IQQ15" s="11"/>
      <c r="IQR15" s="11"/>
      <c r="IQS15" s="11"/>
      <c r="IQT15" s="11"/>
      <c r="IQU15" s="11"/>
      <c r="IQV15" s="11"/>
      <c r="IQW15" s="11"/>
      <c r="IQX15" s="11"/>
      <c r="IQY15" s="11"/>
      <c r="IQZ15" s="11"/>
      <c r="IRA15" s="11"/>
      <c r="IRB15" s="11"/>
      <c r="IRC15" s="11"/>
      <c r="IRD15" s="11"/>
      <c r="IRE15" s="11"/>
      <c r="IRF15" s="11"/>
      <c r="IRG15" s="11"/>
      <c r="IRH15" s="11"/>
      <c r="IRI15" s="11"/>
      <c r="IRJ15" s="11"/>
      <c r="IRK15" s="11"/>
      <c r="IRL15" s="11"/>
      <c r="IRM15" s="11"/>
      <c r="IRN15" s="11"/>
      <c r="IRO15" s="11"/>
      <c r="IRP15" s="11"/>
      <c r="IRQ15" s="11"/>
      <c r="IRR15" s="11"/>
      <c r="IRS15" s="11"/>
      <c r="IRT15" s="11"/>
      <c r="IRU15" s="11"/>
      <c r="IRV15" s="11"/>
      <c r="IRW15" s="11"/>
      <c r="IRX15" s="11"/>
      <c r="IRY15" s="11"/>
      <c r="IRZ15" s="11"/>
      <c r="ISA15" s="11"/>
      <c r="ISB15" s="11"/>
      <c r="ISC15" s="11"/>
      <c r="ISD15" s="11"/>
      <c r="ISE15" s="11"/>
      <c r="ISF15" s="11"/>
      <c r="ISG15" s="11"/>
      <c r="ISH15" s="11"/>
      <c r="ISI15" s="11"/>
      <c r="ISJ15" s="11"/>
      <c r="ISK15" s="11"/>
      <c r="ISL15" s="11"/>
      <c r="ISM15" s="11"/>
      <c r="ISN15" s="11"/>
      <c r="ISO15" s="11"/>
      <c r="ISP15" s="11"/>
      <c r="ISQ15" s="11"/>
      <c r="ISR15" s="11"/>
      <c r="ISS15" s="11"/>
      <c r="IST15" s="11"/>
      <c r="ISU15" s="11"/>
      <c r="ISV15" s="11"/>
      <c r="ISW15" s="11"/>
      <c r="ISX15" s="11"/>
      <c r="ISY15" s="11"/>
      <c r="ISZ15" s="11"/>
      <c r="ITA15" s="11"/>
      <c r="ITB15" s="11"/>
      <c r="ITC15" s="11"/>
      <c r="ITD15" s="11"/>
      <c r="ITE15" s="11"/>
      <c r="ITF15" s="11"/>
      <c r="ITG15" s="11"/>
      <c r="ITH15" s="11"/>
      <c r="ITI15" s="11"/>
      <c r="ITJ15" s="11"/>
      <c r="ITK15" s="11"/>
      <c r="ITL15" s="11"/>
      <c r="ITM15" s="11"/>
      <c r="ITN15" s="11"/>
      <c r="ITO15" s="11"/>
      <c r="ITP15" s="11"/>
      <c r="ITQ15" s="11"/>
      <c r="ITR15" s="11"/>
      <c r="ITS15" s="11"/>
      <c r="ITT15" s="11"/>
      <c r="ITU15" s="11"/>
      <c r="ITV15" s="11"/>
      <c r="ITW15" s="11"/>
      <c r="ITX15" s="11"/>
      <c r="ITY15" s="11"/>
      <c r="ITZ15" s="11"/>
      <c r="IUA15" s="11"/>
      <c r="IUB15" s="11"/>
      <c r="IUC15" s="11"/>
      <c r="IUD15" s="11"/>
      <c r="IUE15" s="11"/>
      <c r="IUF15" s="11"/>
      <c r="IUG15" s="11"/>
      <c r="IUH15" s="11"/>
      <c r="IUI15" s="11"/>
      <c r="IUJ15" s="11"/>
      <c r="IUK15" s="11"/>
      <c r="IUL15" s="11"/>
      <c r="IUM15" s="11"/>
      <c r="IUN15" s="11"/>
      <c r="IUO15" s="11"/>
      <c r="IUP15" s="11"/>
      <c r="IUQ15" s="11"/>
      <c r="IUR15" s="11"/>
      <c r="IUS15" s="11"/>
      <c r="IUT15" s="11"/>
      <c r="IUU15" s="11"/>
      <c r="IUV15" s="11"/>
      <c r="IUW15" s="11"/>
      <c r="IUX15" s="11"/>
      <c r="IUY15" s="11"/>
      <c r="IUZ15" s="11"/>
      <c r="IVA15" s="11"/>
      <c r="IVB15" s="11"/>
      <c r="IVC15" s="11"/>
      <c r="IVD15" s="11"/>
      <c r="IVE15" s="11"/>
      <c r="IVF15" s="11"/>
      <c r="IVG15" s="11"/>
      <c r="IVH15" s="11"/>
      <c r="IVI15" s="11"/>
      <c r="IVJ15" s="11"/>
      <c r="IVK15" s="11"/>
      <c r="IVL15" s="11"/>
      <c r="IVM15" s="11"/>
      <c r="IVN15" s="11"/>
      <c r="IVO15" s="11"/>
      <c r="IVP15" s="11"/>
      <c r="IVQ15" s="11"/>
      <c r="IVR15" s="11"/>
      <c r="IVS15" s="11"/>
      <c r="IVT15" s="11"/>
      <c r="IVU15" s="11"/>
      <c r="IVV15" s="11"/>
      <c r="IVW15" s="11"/>
      <c r="IVX15" s="11"/>
      <c r="IVY15" s="11"/>
      <c r="IVZ15" s="11"/>
      <c r="IWA15" s="11"/>
      <c r="IWB15" s="11"/>
      <c r="IWC15" s="11"/>
      <c r="IWD15" s="11"/>
      <c r="IWE15" s="11"/>
      <c r="IWF15" s="11"/>
      <c r="IWG15" s="11"/>
      <c r="IWH15" s="11"/>
      <c r="IWI15" s="11"/>
      <c r="IWJ15" s="11"/>
      <c r="IWK15" s="11"/>
      <c r="IWL15" s="11"/>
      <c r="IWM15" s="11"/>
      <c r="IWN15" s="11"/>
      <c r="IWO15" s="11"/>
      <c r="IWP15" s="11"/>
      <c r="IWQ15" s="11"/>
      <c r="IWR15" s="11"/>
      <c r="IWS15" s="11"/>
      <c r="IWT15" s="11"/>
      <c r="IWU15" s="11"/>
      <c r="IWV15" s="11"/>
      <c r="IWW15" s="11"/>
      <c r="IWX15" s="11"/>
      <c r="IWY15" s="11"/>
      <c r="IWZ15" s="11"/>
      <c r="IXA15" s="11"/>
      <c r="IXB15" s="11"/>
      <c r="IXC15" s="11"/>
      <c r="IXD15" s="11"/>
      <c r="IXE15" s="11"/>
      <c r="IXF15" s="11"/>
      <c r="IXG15" s="11"/>
      <c r="IXH15" s="11"/>
      <c r="IXI15" s="11"/>
      <c r="IXJ15" s="11"/>
      <c r="IXK15" s="11"/>
      <c r="IXL15" s="11"/>
      <c r="IXM15" s="11"/>
      <c r="IXN15" s="11"/>
      <c r="IXO15" s="11"/>
      <c r="IXP15" s="11"/>
      <c r="IXQ15" s="11"/>
      <c r="IXR15" s="11"/>
      <c r="IXS15" s="11"/>
      <c r="IXT15" s="11"/>
      <c r="IXU15" s="11"/>
      <c r="IXV15" s="11"/>
      <c r="IXW15" s="11"/>
      <c r="IXX15" s="11"/>
      <c r="IXY15" s="11"/>
      <c r="IXZ15" s="11"/>
      <c r="IYA15" s="11"/>
      <c r="IYB15" s="11"/>
      <c r="IYC15" s="11"/>
      <c r="IYD15" s="11"/>
      <c r="IYE15" s="11"/>
      <c r="IYF15" s="11"/>
      <c r="IYG15" s="11"/>
      <c r="IYH15" s="11"/>
      <c r="IYI15" s="11"/>
      <c r="IYJ15" s="11"/>
      <c r="IYK15" s="11"/>
      <c r="IYL15" s="11"/>
      <c r="IYM15" s="11"/>
      <c r="IYN15" s="11"/>
      <c r="IYO15" s="11"/>
      <c r="IYP15" s="11"/>
      <c r="IYQ15" s="11"/>
      <c r="IYR15" s="11"/>
      <c r="IYS15" s="11"/>
      <c r="IYT15" s="11"/>
      <c r="IYU15" s="11"/>
      <c r="IYV15" s="11"/>
      <c r="IYW15" s="11"/>
      <c r="IYX15" s="11"/>
      <c r="IYY15" s="11"/>
      <c r="IYZ15" s="11"/>
      <c r="IZA15" s="11"/>
      <c r="IZB15" s="11"/>
      <c r="IZC15" s="11"/>
      <c r="IZD15" s="11"/>
      <c r="IZE15" s="11"/>
      <c r="IZF15" s="11"/>
      <c r="IZG15" s="11"/>
      <c r="IZH15" s="11"/>
      <c r="IZI15" s="11"/>
      <c r="IZJ15" s="11"/>
      <c r="IZK15" s="11"/>
      <c r="IZL15" s="11"/>
      <c r="IZM15" s="11"/>
      <c r="IZN15" s="11"/>
      <c r="IZO15" s="11"/>
      <c r="IZP15" s="11"/>
      <c r="IZQ15" s="11"/>
      <c r="IZR15" s="11"/>
      <c r="IZS15" s="11"/>
      <c r="IZT15" s="11"/>
      <c r="IZU15" s="11"/>
      <c r="IZV15" s="11"/>
      <c r="IZW15" s="11"/>
      <c r="IZX15" s="11"/>
      <c r="IZY15" s="11"/>
      <c r="IZZ15" s="11"/>
      <c r="JAA15" s="11"/>
      <c r="JAB15" s="11"/>
      <c r="JAC15" s="11"/>
      <c r="JAD15" s="11"/>
      <c r="JAE15" s="11"/>
      <c r="JAF15" s="11"/>
      <c r="JAG15" s="11"/>
      <c r="JAH15" s="11"/>
      <c r="JAI15" s="11"/>
      <c r="JAJ15" s="11"/>
      <c r="JAK15" s="11"/>
      <c r="JAL15" s="11"/>
      <c r="JAM15" s="11"/>
      <c r="JAN15" s="11"/>
      <c r="JAO15" s="11"/>
      <c r="JAP15" s="11"/>
      <c r="JAQ15" s="11"/>
      <c r="JAR15" s="11"/>
      <c r="JAS15" s="11"/>
      <c r="JAT15" s="11"/>
      <c r="JAU15" s="11"/>
      <c r="JAV15" s="11"/>
      <c r="JAW15" s="11"/>
      <c r="JAX15" s="11"/>
      <c r="JAY15" s="11"/>
      <c r="JAZ15" s="11"/>
      <c r="JBA15" s="11"/>
      <c r="JBB15" s="11"/>
      <c r="JBC15" s="11"/>
      <c r="JBD15" s="11"/>
      <c r="JBE15" s="11"/>
      <c r="JBF15" s="11"/>
      <c r="JBG15" s="11"/>
      <c r="JBH15" s="11"/>
      <c r="JBI15" s="11"/>
      <c r="JBJ15" s="11"/>
      <c r="JBK15" s="11"/>
      <c r="JBL15" s="11"/>
      <c r="JBM15" s="11"/>
      <c r="JBN15" s="11"/>
      <c r="JBO15" s="11"/>
      <c r="JBP15" s="11"/>
      <c r="JBQ15" s="11"/>
      <c r="JBR15" s="11"/>
      <c r="JBS15" s="11"/>
      <c r="JBT15" s="11"/>
      <c r="JBU15" s="11"/>
      <c r="JBV15" s="11"/>
      <c r="JBW15" s="11"/>
      <c r="JBX15" s="11"/>
      <c r="JBY15" s="11"/>
      <c r="JBZ15" s="11"/>
      <c r="JCA15" s="11"/>
      <c r="JCB15" s="11"/>
      <c r="JCC15" s="11"/>
      <c r="JCD15" s="11"/>
      <c r="JCE15" s="11"/>
      <c r="JCF15" s="11"/>
      <c r="JCG15" s="11"/>
      <c r="JCH15" s="11"/>
      <c r="JCI15" s="11"/>
      <c r="JCJ15" s="11"/>
      <c r="JCK15" s="11"/>
      <c r="JCL15" s="11"/>
      <c r="JCM15" s="11"/>
      <c r="JCN15" s="11"/>
      <c r="JCO15" s="11"/>
      <c r="JCP15" s="11"/>
      <c r="JCQ15" s="11"/>
      <c r="JCR15" s="11"/>
      <c r="JCS15" s="11"/>
      <c r="JCT15" s="11"/>
      <c r="JCU15" s="11"/>
      <c r="JCV15" s="11"/>
      <c r="JCW15" s="11"/>
      <c r="JCX15" s="11"/>
      <c r="JCY15" s="11"/>
      <c r="JCZ15" s="11"/>
      <c r="JDA15" s="11"/>
      <c r="JDB15" s="11"/>
      <c r="JDC15" s="11"/>
      <c r="JDD15" s="11"/>
      <c r="JDE15" s="11"/>
      <c r="JDF15" s="11"/>
      <c r="JDG15" s="11"/>
      <c r="JDH15" s="11"/>
      <c r="JDI15" s="11"/>
      <c r="JDJ15" s="11"/>
      <c r="JDK15" s="11"/>
      <c r="JDL15" s="11"/>
      <c r="JDM15" s="11"/>
      <c r="JDN15" s="11"/>
      <c r="JDO15" s="11"/>
      <c r="JDP15" s="11"/>
      <c r="JDQ15" s="11"/>
      <c r="JDR15" s="11"/>
      <c r="JDS15" s="11"/>
      <c r="JDT15" s="11"/>
      <c r="JDU15" s="11"/>
      <c r="JDV15" s="11"/>
      <c r="JDW15" s="11"/>
      <c r="JDX15" s="11"/>
      <c r="JDY15" s="11"/>
      <c r="JDZ15" s="11"/>
      <c r="JEA15" s="11"/>
      <c r="JEB15" s="11"/>
      <c r="JEC15" s="11"/>
      <c r="JED15" s="11"/>
      <c r="JEE15" s="11"/>
      <c r="JEF15" s="11"/>
      <c r="JEG15" s="11"/>
      <c r="JEH15" s="11"/>
      <c r="JEI15" s="11"/>
      <c r="JEJ15" s="11"/>
      <c r="JEK15" s="11"/>
      <c r="JEL15" s="11"/>
      <c r="JEM15" s="11"/>
      <c r="JEN15" s="11"/>
      <c r="JEO15" s="11"/>
      <c r="JEP15" s="11"/>
      <c r="JEQ15" s="11"/>
      <c r="JER15" s="11"/>
      <c r="JES15" s="11"/>
      <c r="JET15" s="11"/>
      <c r="JEU15" s="11"/>
      <c r="JEV15" s="11"/>
      <c r="JEW15" s="11"/>
      <c r="JEX15" s="11"/>
      <c r="JEY15" s="11"/>
      <c r="JEZ15" s="11"/>
      <c r="JFA15" s="11"/>
      <c r="JFB15" s="11"/>
      <c r="JFC15" s="11"/>
      <c r="JFD15" s="11"/>
      <c r="JFE15" s="11"/>
      <c r="JFF15" s="11"/>
      <c r="JFG15" s="11"/>
      <c r="JFH15" s="11"/>
      <c r="JFI15" s="11"/>
      <c r="JFJ15" s="11"/>
      <c r="JFK15" s="11"/>
      <c r="JFL15" s="11"/>
      <c r="JFM15" s="11"/>
      <c r="JFN15" s="11"/>
      <c r="JFO15" s="11"/>
      <c r="JFP15" s="11"/>
      <c r="JFQ15" s="11"/>
      <c r="JFR15" s="11"/>
      <c r="JFS15" s="11"/>
      <c r="JFT15" s="11"/>
      <c r="JFU15" s="11"/>
      <c r="JFV15" s="11"/>
      <c r="JFW15" s="11"/>
      <c r="JFX15" s="11"/>
      <c r="JFY15" s="11"/>
      <c r="JFZ15" s="11"/>
      <c r="JGA15" s="11"/>
      <c r="JGB15" s="11"/>
      <c r="JGC15" s="11"/>
      <c r="JGD15" s="11"/>
      <c r="JGE15" s="11"/>
      <c r="JGF15" s="11"/>
      <c r="JGG15" s="11"/>
      <c r="JGH15" s="11"/>
      <c r="JGI15" s="11"/>
      <c r="JGJ15" s="11"/>
      <c r="JGK15" s="11"/>
      <c r="JGL15" s="11"/>
      <c r="JGM15" s="11"/>
      <c r="JGN15" s="11"/>
      <c r="JGO15" s="11"/>
      <c r="JGP15" s="11"/>
      <c r="JGQ15" s="11"/>
      <c r="JGR15" s="11"/>
      <c r="JGS15" s="11"/>
      <c r="JGT15" s="11"/>
      <c r="JGU15" s="11"/>
      <c r="JGV15" s="11"/>
      <c r="JGW15" s="11"/>
      <c r="JGX15" s="11"/>
      <c r="JGY15" s="11"/>
      <c r="JGZ15" s="11"/>
      <c r="JHA15" s="11"/>
      <c r="JHB15" s="11"/>
      <c r="JHC15" s="11"/>
      <c r="JHD15" s="11"/>
      <c r="JHE15" s="11"/>
      <c r="JHF15" s="11"/>
      <c r="JHG15" s="11"/>
      <c r="JHH15" s="11"/>
      <c r="JHI15" s="11"/>
      <c r="JHJ15" s="11"/>
      <c r="JHK15" s="11"/>
      <c r="JHL15" s="11"/>
      <c r="JHM15" s="11"/>
      <c r="JHN15" s="11"/>
      <c r="JHO15" s="11"/>
      <c r="JHP15" s="11"/>
      <c r="JHQ15" s="11"/>
      <c r="JHR15" s="11"/>
      <c r="JHS15" s="11"/>
      <c r="JHT15" s="11"/>
      <c r="JHU15" s="11"/>
      <c r="JHV15" s="11"/>
      <c r="JHW15" s="11"/>
      <c r="JHX15" s="11"/>
      <c r="JHY15" s="11"/>
      <c r="JHZ15" s="11"/>
      <c r="JIA15" s="11"/>
      <c r="JIB15" s="11"/>
      <c r="JIC15" s="11"/>
      <c r="JID15" s="11"/>
      <c r="JIE15" s="11"/>
      <c r="JIF15" s="11"/>
      <c r="JIG15" s="11"/>
      <c r="JIH15" s="11"/>
      <c r="JII15" s="11"/>
      <c r="JIJ15" s="11"/>
      <c r="JIK15" s="11"/>
      <c r="JIL15" s="11"/>
      <c r="JIM15" s="11"/>
      <c r="JIN15" s="11"/>
      <c r="JIO15" s="11"/>
      <c r="JIP15" s="11"/>
      <c r="JIQ15" s="11"/>
      <c r="JIR15" s="11"/>
      <c r="JIS15" s="11"/>
      <c r="JIT15" s="11"/>
      <c r="JIU15" s="11"/>
      <c r="JIV15" s="11"/>
      <c r="JIW15" s="11"/>
      <c r="JIX15" s="11"/>
      <c r="JIY15" s="11"/>
      <c r="JIZ15" s="11"/>
      <c r="JJA15" s="11"/>
      <c r="JJB15" s="11"/>
      <c r="JJC15" s="11"/>
      <c r="JJD15" s="11"/>
      <c r="JJE15" s="11"/>
      <c r="JJF15" s="11"/>
      <c r="JJG15" s="11"/>
      <c r="JJH15" s="11"/>
      <c r="JJI15" s="11"/>
      <c r="JJJ15" s="11"/>
      <c r="JJK15" s="11"/>
      <c r="JJL15" s="11"/>
      <c r="JJM15" s="11"/>
      <c r="JJN15" s="11"/>
      <c r="JJO15" s="11"/>
      <c r="JJP15" s="11"/>
      <c r="JJQ15" s="11"/>
      <c r="JJR15" s="11"/>
      <c r="JJS15" s="11"/>
      <c r="JJT15" s="11"/>
      <c r="JJU15" s="11"/>
      <c r="JJV15" s="11"/>
      <c r="JJW15" s="11"/>
      <c r="JJX15" s="11"/>
      <c r="JJY15" s="11"/>
      <c r="JJZ15" s="11"/>
      <c r="JKA15" s="11"/>
      <c r="JKB15" s="11"/>
      <c r="JKC15" s="11"/>
      <c r="JKD15" s="11"/>
      <c r="JKE15" s="11"/>
      <c r="JKF15" s="11"/>
      <c r="JKG15" s="11"/>
      <c r="JKH15" s="11"/>
      <c r="JKI15" s="11"/>
      <c r="JKJ15" s="11"/>
      <c r="JKK15" s="11"/>
      <c r="JKL15" s="11"/>
      <c r="JKM15" s="11"/>
      <c r="JKN15" s="11"/>
      <c r="JKO15" s="11"/>
      <c r="JKP15" s="11"/>
      <c r="JKQ15" s="11"/>
      <c r="JKR15" s="11"/>
      <c r="JKS15" s="11"/>
      <c r="JKT15" s="11"/>
      <c r="JKU15" s="11"/>
      <c r="JKV15" s="11"/>
      <c r="JKW15" s="11"/>
      <c r="JKX15" s="11"/>
      <c r="JKY15" s="11"/>
      <c r="JKZ15" s="11"/>
      <c r="JLA15" s="11"/>
      <c r="JLB15" s="11"/>
      <c r="JLC15" s="11"/>
      <c r="JLD15" s="11"/>
      <c r="JLE15" s="11"/>
      <c r="JLF15" s="11"/>
      <c r="JLG15" s="11"/>
      <c r="JLH15" s="11"/>
      <c r="JLI15" s="11"/>
      <c r="JLJ15" s="11"/>
      <c r="JLK15" s="11"/>
      <c r="JLL15" s="11"/>
      <c r="JLM15" s="11"/>
      <c r="JLN15" s="11"/>
      <c r="JLO15" s="11"/>
      <c r="JLP15" s="11"/>
      <c r="JLQ15" s="11"/>
      <c r="JLR15" s="11"/>
      <c r="JLS15" s="11"/>
      <c r="JLT15" s="11"/>
      <c r="JLU15" s="11"/>
      <c r="JLV15" s="11"/>
      <c r="JLW15" s="11"/>
      <c r="JLX15" s="11"/>
      <c r="JLY15" s="11"/>
      <c r="JLZ15" s="11"/>
      <c r="JMA15" s="11"/>
      <c r="JMB15" s="11"/>
      <c r="JMC15" s="11"/>
      <c r="JMD15" s="11"/>
      <c r="JME15" s="11"/>
      <c r="JMF15" s="11"/>
      <c r="JMG15" s="11"/>
      <c r="JMH15" s="11"/>
      <c r="JMI15" s="11"/>
      <c r="JMJ15" s="11"/>
      <c r="JMK15" s="11"/>
      <c r="JML15" s="11"/>
      <c r="JMM15" s="11"/>
      <c r="JMN15" s="11"/>
      <c r="JMO15" s="11"/>
      <c r="JMP15" s="11"/>
      <c r="JMQ15" s="11"/>
      <c r="JMR15" s="11"/>
      <c r="JMS15" s="11"/>
      <c r="JMT15" s="11"/>
      <c r="JMU15" s="11"/>
      <c r="JMV15" s="11"/>
      <c r="JMW15" s="11"/>
      <c r="JMX15" s="11"/>
      <c r="JMY15" s="11"/>
      <c r="JMZ15" s="11"/>
      <c r="JNA15" s="11"/>
      <c r="JNB15" s="11"/>
      <c r="JNC15" s="11"/>
      <c r="JND15" s="11"/>
      <c r="JNE15" s="11"/>
      <c r="JNF15" s="11"/>
      <c r="JNG15" s="11"/>
      <c r="JNH15" s="11"/>
      <c r="JNI15" s="11"/>
      <c r="JNJ15" s="11"/>
      <c r="JNK15" s="11"/>
      <c r="JNL15" s="11"/>
      <c r="JNM15" s="11"/>
      <c r="JNN15" s="11"/>
      <c r="JNO15" s="11"/>
      <c r="JNP15" s="11"/>
      <c r="JNQ15" s="11"/>
      <c r="JNR15" s="11"/>
      <c r="JNS15" s="11"/>
      <c r="JNT15" s="11"/>
      <c r="JNU15" s="11"/>
      <c r="JNV15" s="11"/>
      <c r="JNW15" s="11"/>
      <c r="JNX15" s="11"/>
      <c r="JNY15" s="11"/>
      <c r="JNZ15" s="11"/>
      <c r="JOA15" s="11"/>
      <c r="JOB15" s="11"/>
      <c r="JOC15" s="11"/>
      <c r="JOD15" s="11"/>
      <c r="JOE15" s="11"/>
      <c r="JOF15" s="11"/>
      <c r="JOG15" s="11"/>
      <c r="JOH15" s="11"/>
      <c r="JOI15" s="11"/>
      <c r="JOJ15" s="11"/>
      <c r="JOK15" s="11"/>
      <c r="JOL15" s="11"/>
      <c r="JOM15" s="11"/>
      <c r="JON15" s="11"/>
      <c r="JOO15" s="11"/>
      <c r="JOP15" s="11"/>
      <c r="JOQ15" s="11"/>
      <c r="JOR15" s="11"/>
      <c r="JOS15" s="11"/>
      <c r="JOT15" s="11"/>
      <c r="JOU15" s="11"/>
      <c r="JOV15" s="11"/>
      <c r="JOW15" s="11"/>
      <c r="JOX15" s="11"/>
      <c r="JOY15" s="11"/>
      <c r="JOZ15" s="11"/>
      <c r="JPA15" s="11"/>
      <c r="JPB15" s="11"/>
      <c r="JPC15" s="11"/>
      <c r="JPD15" s="11"/>
      <c r="JPE15" s="11"/>
      <c r="JPF15" s="11"/>
      <c r="JPG15" s="11"/>
      <c r="JPH15" s="11"/>
      <c r="JPI15" s="11"/>
      <c r="JPJ15" s="11"/>
      <c r="JPK15" s="11"/>
      <c r="JPL15" s="11"/>
      <c r="JPM15" s="11"/>
      <c r="JPN15" s="11"/>
      <c r="JPO15" s="11"/>
      <c r="JPP15" s="11"/>
      <c r="JPQ15" s="11"/>
      <c r="JPR15" s="11"/>
      <c r="JPS15" s="11"/>
      <c r="JPT15" s="11"/>
      <c r="JPU15" s="11"/>
      <c r="JPV15" s="11"/>
      <c r="JPW15" s="11"/>
      <c r="JPX15" s="11"/>
      <c r="JPY15" s="11"/>
      <c r="JPZ15" s="11"/>
      <c r="JQA15" s="11"/>
      <c r="JQB15" s="11"/>
      <c r="JQC15" s="11"/>
      <c r="JQD15" s="11"/>
      <c r="JQE15" s="11"/>
      <c r="JQF15" s="11"/>
      <c r="JQG15" s="11"/>
      <c r="JQH15" s="11"/>
      <c r="JQI15" s="11"/>
      <c r="JQJ15" s="11"/>
      <c r="JQK15" s="11"/>
      <c r="JQL15" s="11"/>
      <c r="JQM15" s="11"/>
      <c r="JQN15" s="11"/>
      <c r="JQO15" s="11"/>
      <c r="JQP15" s="11"/>
      <c r="JQQ15" s="11"/>
      <c r="JQR15" s="11"/>
      <c r="JQS15" s="11"/>
      <c r="JQT15" s="11"/>
      <c r="JQU15" s="11"/>
      <c r="JQV15" s="11"/>
      <c r="JQW15" s="11"/>
      <c r="JQX15" s="11"/>
      <c r="JQY15" s="11"/>
      <c r="JQZ15" s="11"/>
      <c r="JRA15" s="11"/>
      <c r="JRB15" s="11"/>
      <c r="JRC15" s="11"/>
      <c r="JRD15" s="11"/>
      <c r="JRE15" s="11"/>
      <c r="JRF15" s="11"/>
      <c r="JRG15" s="11"/>
      <c r="JRH15" s="11"/>
      <c r="JRI15" s="11"/>
      <c r="JRJ15" s="11"/>
      <c r="JRK15" s="11"/>
      <c r="JRL15" s="11"/>
      <c r="JRM15" s="11"/>
      <c r="JRN15" s="11"/>
      <c r="JRO15" s="11"/>
      <c r="JRP15" s="11"/>
      <c r="JRQ15" s="11"/>
      <c r="JRR15" s="11"/>
      <c r="JRS15" s="11"/>
      <c r="JRT15" s="11"/>
      <c r="JRU15" s="11"/>
      <c r="JRV15" s="11"/>
      <c r="JRW15" s="11"/>
      <c r="JRX15" s="11"/>
      <c r="JRY15" s="11"/>
      <c r="JRZ15" s="11"/>
      <c r="JSA15" s="11"/>
      <c r="JSB15" s="11"/>
      <c r="JSC15" s="11"/>
      <c r="JSD15" s="11"/>
      <c r="JSE15" s="11"/>
      <c r="JSF15" s="11"/>
      <c r="JSG15" s="11"/>
      <c r="JSH15" s="11"/>
      <c r="JSI15" s="11"/>
      <c r="JSJ15" s="11"/>
      <c r="JSK15" s="11"/>
      <c r="JSL15" s="11"/>
      <c r="JSM15" s="11"/>
      <c r="JSN15" s="11"/>
      <c r="JSO15" s="11"/>
      <c r="JSP15" s="11"/>
      <c r="JSQ15" s="11"/>
      <c r="JSR15" s="11"/>
      <c r="JSS15" s="11"/>
      <c r="JST15" s="11"/>
      <c r="JSU15" s="11"/>
      <c r="JSV15" s="11"/>
      <c r="JSW15" s="11"/>
      <c r="JSX15" s="11"/>
      <c r="JSY15" s="11"/>
      <c r="JSZ15" s="11"/>
      <c r="JTA15" s="11"/>
      <c r="JTB15" s="11"/>
      <c r="JTC15" s="11"/>
      <c r="JTD15" s="11"/>
      <c r="JTE15" s="11"/>
      <c r="JTF15" s="11"/>
      <c r="JTG15" s="11"/>
      <c r="JTH15" s="11"/>
      <c r="JTI15" s="11"/>
      <c r="JTJ15" s="11"/>
      <c r="JTK15" s="11"/>
      <c r="JTL15" s="11"/>
      <c r="JTM15" s="11"/>
      <c r="JTN15" s="11"/>
      <c r="JTO15" s="11"/>
      <c r="JTP15" s="11"/>
      <c r="JTQ15" s="11"/>
      <c r="JTR15" s="11"/>
      <c r="JTS15" s="11"/>
      <c r="JTT15" s="11"/>
      <c r="JTU15" s="11"/>
      <c r="JTV15" s="11"/>
      <c r="JTW15" s="11"/>
      <c r="JTX15" s="11"/>
      <c r="JTY15" s="11"/>
      <c r="JTZ15" s="11"/>
      <c r="JUA15" s="11"/>
      <c r="JUB15" s="11"/>
      <c r="JUC15" s="11"/>
      <c r="JUD15" s="11"/>
      <c r="JUE15" s="11"/>
      <c r="JUF15" s="11"/>
      <c r="JUG15" s="11"/>
      <c r="JUH15" s="11"/>
      <c r="JUI15" s="11"/>
      <c r="JUJ15" s="11"/>
      <c r="JUK15" s="11"/>
      <c r="JUL15" s="11"/>
      <c r="JUM15" s="11"/>
      <c r="JUN15" s="11"/>
      <c r="JUO15" s="11"/>
      <c r="JUP15" s="11"/>
      <c r="JUQ15" s="11"/>
      <c r="JUR15" s="11"/>
      <c r="JUS15" s="11"/>
      <c r="JUT15" s="11"/>
      <c r="JUU15" s="11"/>
      <c r="JUV15" s="11"/>
      <c r="JUW15" s="11"/>
      <c r="JUX15" s="11"/>
      <c r="JUY15" s="11"/>
      <c r="JUZ15" s="11"/>
      <c r="JVA15" s="11"/>
      <c r="JVB15" s="11"/>
      <c r="JVC15" s="11"/>
      <c r="JVD15" s="11"/>
      <c r="JVE15" s="11"/>
      <c r="JVF15" s="11"/>
      <c r="JVG15" s="11"/>
      <c r="JVH15" s="11"/>
      <c r="JVI15" s="11"/>
      <c r="JVJ15" s="11"/>
      <c r="JVK15" s="11"/>
      <c r="JVL15" s="11"/>
      <c r="JVM15" s="11"/>
      <c r="JVN15" s="11"/>
      <c r="JVO15" s="11"/>
      <c r="JVP15" s="11"/>
      <c r="JVQ15" s="11"/>
      <c r="JVR15" s="11"/>
      <c r="JVS15" s="11"/>
      <c r="JVT15" s="11"/>
      <c r="JVU15" s="11"/>
      <c r="JVV15" s="11"/>
      <c r="JVW15" s="11"/>
      <c r="JVX15" s="11"/>
      <c r="JVY15" s="11"/>
      <c r="JVZ15" s="11"/>
      <c r="JWA15" s="11"/>
      <c r="JWB15" s="11"/>
      <c r="JWC15" s="11"/>
      <c r="JWD15" s="11"/>
      <c r="JWE15" s="11"/>
      <c r="JWF15" s="11"/>
      <c r="JWG15" s="11"/>
      <c r="JWH15" s="11"/>
      <c r="JWI15" s="11"/>
      <c r="JWJ15" s="11"/>
      <c r="JWK15" s="11"/>
      <c r="JWL15" s="11"/>
      <c r="JWM15" s="11"/>
      <c r="JWN15" s="11"/>
      <c r="JWO15" s="11"/>
      <c r="JWP15" s="11"/>
      <c r="JWQ15" s="11"/>
      <c r="JWR15" s="11"/>
      <c r="JWS15" s="11"/>
      <c r="JWT15" s="11"/>
      <c r="JWU15" s="11"/>
      <c r="JWV15" s="11"/>
      <c r="JWW15" s="11"/>
      <c r="JWX15" s="11"/>
      <c r="JWY15" s="11"/>
      <c r="JWZ15" s="11"/>
      <c r="JXA15" s="11"/>
      <c r="JXB15" s="11"/>
      <c r="JXC15" s="11"/>
      <c r="JXD15" s="11"/>
      <c r="JXE15" s="11"/>
      <c r="JXF15" s="11"/>
      <c r="JXG15" s="11"/>
      <c r="JXH15" s="11"/>
      <c r="JXI15" s="11"/>
      <c r="JXJ15" s="11"/>
      <c r="JXK15" s="11"/>
      <c r="JXL15" s="11"/>
      <c r="JXM15" s="11"/>
      <c r="JXN15" s="11"/>
      <c r="JXO15" s="11"/>
      <c r="JXP15" s="11"/>
      <c r="JXQ15" s="11"/>
      <c r="JXR15" s="11"/>
      <c r="JXS15" s="11"/>
      <c r="JXT15" s="11"/>
      <c r="JXU15" s="11"/>
      <c r="JXV15" s="11"/>
      <c r="JXW15" s="11"/>
      <c r="JXX15" s="11"/>
      <c r="JXY15" s="11"/>
      <c r="JXZ15" s="11"/>
      <c r="JYA15" s="11"/>
      <c r="JYB15" s="11"/>
      <c r="JYC15" s="11"/>
      <c r="JYD15" s="11"/>
      <c r="JYE15" s="11"/>
      <c r="JYF15" s="11"/>
      <c r="JYG15" s="11"/>
      <c r="JYH15" s="11"/>
      <c r="JYI15" s="11"/>
      <c r="JYJ15" s="11"/>
      <c r="JYK15" s="11"/>
      <c r="JYL15" s="11"/>
      <c r="JYM15" s="11"/>
      <c r="JYN15" s="11"/>
      <c r="JYO15" s="11"/>
      <c r="JYP15" s="11"/>
      <c r="JYQ15" s="11"/>
      <c r="JYR15" s="11"/>
      <c r="JYS15" s="11"/>
      <c r="JYT15" s="11"/>
      <c r="JYU15" s="11"/>
      <c r="JYV15" s="11"/>
      <c r="JYW15" s="11"/>
      <c r="JYX15" s="11"/>
      <c r="JYY15" s="11"/>
      <c r="JYZ15" s="11"/>
      <c r="JZA15" s="11"/>
      <c r="JZB15" s="11"/>
      <c r="JZC15" s="11"/>
      <c r="JZD15" s="11"/>
      <c r="JZE15" s="11"/>
      <c r="JZF15" s="11"/>
      <c r="JZG15" s="11"/>
      <c r="JZH15" s="11"/>
      <c r="JZI15" s="11"/>
      <c r="JZJ15" s="11"/>
      <c r="JZK15" s="11"/>
      <c r="JZL15" s="11"/>
      <c r="JZM15" s="11"/>
      <c r="JZN15" s="11"/>
      <c r="JZO15" s="11"/>
      <c r="JZP15" s="11"/>
      <c r="JZQ15" s="11"/>
      <c r="JZR15" s="11"/>
      <c r="JZS15" s="11"/>
      <c r="JZT15" s="11"/>
      <c r="JZU15" s="11"/>
      <c r="JZV15" s="11"/>
      <c r="JZW15" s="11"/>
      <c r="JZX15" s="11"/>
      <c r="JZY15" s="11"/>
      <c r="JZZ15" s="11"/>
      <c r="KAA15" s="11"/>
      <c r="KAB15" s="11"/>
      <c r="KAC15" s="11"/>
      <c r="KAD15" s="11"/>
      <c r="KAE15" s="11"/>
      <c r="KAF15" s="11"/>
      <c r="KAG15" s="11"/>
      <c r="KAH15" s="11"/>
      <c r="KAI15" s="11"/>
      <c r="KAJ15" s="11"/>
      <c r="KAK15" s="11"/>
      <c r="KAL15" s="11"/>
      <c r="KAM15" s="11"/>
      <c r="KAN15" s="11"/>
      <c r="KAO15" s="11"/>
      <c r="KAP15" s="11"/>
      <c r="KAQ15" s="11"/>
      <c r="KAR15" s="11"/>
      <c r="KAS15" s="11"/>
      <c r="KAT15" s="11"/>
      <c r="KAU15" s="11"/>
      <c r="KAV15" s="11"/>
      <c r="KAW15" s="11"/>
      <c r="KAX15" s="11"/>
      <c r="KAY15" s="11"/>
      <c r="KAZ15" s="11"/>
      <c r="KBA15" s="11"/>
      <c r="KBB15" s="11"/>
      <c r="KBC15" s="11"/>
      <c r="KBD15" s="11"/>
      <c r="KBE15" s="11"/>
      <c r="KBF15" s="11"/>
      <c r="KBG15" s="11"/>
      <c r="KBH15" s="11"/>
      <c r="KBI15" s="11"/>
      <c r="KBJ15" s="11"/>
      <c r="KBK15" s="11"/>
      <c r="KBL15" s="11"/>
      <c r="KBM15" s="11"/>
      <c r="KBN15" s="11"/>
      <c r="KBO15" s="11"/>
      <c r="KBP15" s="11"/>
      <c r="KBQ15" s="11"/>
      <c r="KBR15" s="11"/>
      <c r="KBS15" s="11"/>
      <c r="KBT15" s="11"/>
      <c r="KBU15" s="11"/>
      <c r="KBV15" s="11"/>
      <c r="KBW15" s="11"/>
      <c r="KBX15" s="11"/>
      <c r="KBY15" s="11"/>
      <c r="KBZ15" s="11"/>
      <c r="KCA15" s="11"/>
      <c r="KCB15" s="11"/>
      <c r="KCC15" s="11"/>
      <c r="KCD15" s="11"/>
      <c r="KCE15" s="11"/>
      <c r="KCF15" s="11"/>
      <c r="KCG15" s="11"/>
      <c r="KCH15" s="11"/>
      <c r="KCI15" s="11"/>
      <c r="KCJ15" s="11"/>
      <c r="KCK15" s="11"/>
      <c r="KCL15" s="11"/>
      <c r="KCM15" s="11"/>
      <c r="KCN15" s="11"/>
      <c r="KCO15" s="11"/>
      <c r="KCP15" s="11"/>
      <c r="KCQ15" s="11"/>
      <c r="KCR15" s="11"/>
      <c r="KCS15" s="11"/>
      <c r="KCT15" s="11"/>
      <c r="KCU15" s="11"/>
      <c r="KCV15" s="11"/>
      <c r="KCW15" s="11"/>
      <c r="KCX15" s="11"/>
      <c r="KCY15" s="11"/>
      <c r="KCZ15" s="11"/>
      <c r="KDA15" s="11"/>
      <c r="KDB15" s="11"/>
      <c r="KDC15" s="11"/>
      <c r="KDD15" s="11"/>
      <c r="KDE15" s="11"/>
      <c r="KDF15" s="11"/>
      <c r="KDG15" s="11"/>
      <c r="KDH15" s="11"/>
      <c r="KDI15" s="11"/>
      <c r="KDJ15" s="11"/>
      <c r="KDK15" s="11"/>
      <c r="KDL15" s="11"/>
      <c r="KDM15" s="11"/>
      <c r="KDN15" s="11"/>
      <c r="KDO15" s="11"/>
      <c r="KDP15" s="11"/>
      <c r="KDQ15" s="11"/>
      <c r="KDR15" s="11"/>
      <c r="KDS15" s="11"/>
      <c r="KDT15" s="11"/>
      <c r="KDU15" s="11"/>
      <c r="KDV15" s="11"/>
      <c r="KDW15" s="11"/>
      <c r="KDX15" s="11"/>
      <c r="KDY15" s="11"/>
      <c r="KDZ15" s="11"/>
      <c r="KEA15" s="11"/>
      <c r="KEB15" s="11"/>
      <c r="KEC15" s="11"/>
      <c r="KED15" s="11"/>
      <c r="KEE15" s="11"/>
      <c r="KEF15" s="11"/>
      <c r="KEG15" s="11"/>
      <c r="KEH15" s="11"/>
      <c r="KEI15" s="11"/>
      <c r="KEJ15" s="11"/>
      <c r="KEK15" s="11"/>
      <c r="KEL15" s="11"/>
      <c r="KEM15" s="11"/>
      <c r="KEN15" s="11"/>
      <c r="KEO15" s="11"/>
      <c r="KEP15" s="11"/>
      <c r="KEQ15" s="11"/>
      <c r="KER15" s="11"/>
      <c r="KES15" s="11"/>
      <c r="KET15" s="11"/>
      <c r="KEU15" s="11"/>
      <c r="KEV15" s="11"/>
      <c r="KEW15" s="11"/>
      <c r="KEX15" s="11"/>
      <c r="KEY15" s="11"/>
      <c r="KEZ15" s="11"/>
      <c r="KFA15" s="11"/>
      <c r="KFB15" s="11"/>
      <c r="KFC15" s="11"/>
      <c r="KFD15" s="11"/>
      <c r="KFE15" s="11"/>
      <c r="KFF15" s="11"/>
      <c r="KFG15" s="11"/>
      <c r="KFH15" s="11"/>
      <c r="KFI15" s="11"/>
      <c r="KFJ15" s="11"/>
      <c r="KFK15" s="11"/>
      <c r="KFL15" s="11"/>
      <c r="KFM15" s="11"/>
      <c r="KFN15" s="11"/>
      <c r="KFO15" s="11"/>
      <c r="KFP15" s="11"/>
      <c r="KFQ15" s="11"/>
      <c r="KFR15" s="11"/>
      <c r="KFS15" s="11"/>
      <c r="KFT15" s="11"/>
      <c r="KFU15" s="11"/>
      <c r="KFV15" s="11"/>
      <c r="KFW15" s="11"/>
      <c r="KFX15" s="11"/>
      <c r="KFY15" s="11"/>
      <c r="KFZ15" s="11"/>
      <c r="KGA15" s="11"/>
      <c r="KGB15" s="11"/>
      <c r="KGC15" s="11"/>
      <c r="KGD15" s="11"/>
      <c r="KGE15" s="11"/>
      <c r="KGF15" s="11"/>
      <c r="KGG15" s="11"/>
      <c r="KGH15" s="11"/>
      <c r="KGI15" s="11"/>
      <c r="KGJ15" s="11"/>
      <c r="KGK15" s="11"/>
      <c r="KGL15" s="11"/>
      <c r="KGM15" s="11"/>
      <c r="KGN15" s="11"/>
      <c r="KGO15" s="11"/>
      <c r="KGP15" s="11"/>
      <c r="KGQ15" s="11"/>
      <c r="KGR15" s="11"/>
      <c r="KGS15" s="11"/>
      <c r="KGT15" s="11"/>
      <c r="KGU15" s="11"/>
      <c r="KGV15" s="11"/>
      <c r="KGW15" s="11"/>
      <c r="KGX15" s="11"/>
      <c r="KGY15" s="11"/>
      <c r="KGZ15" s="11"/>
      <c r="KHA15" s="11"/>
      <c r="KHB15" s="11"/>
      <c r="KHC15" s="11"/>
      <c r="KHD15" s="11"/>
      <c r="KHE15" s="11"/>
      <c r="KHF15" s="11"/>
      <c r="KHG15" s="11"/>
      <c r="KHH15" s="11"/>
      <c r="KHI15" s="11"/>
      <c r="KHJ15" s="11"/>
      <c r="KHK15" s="11"/>
      <c r="KHL15" s="11"/>
      <c r="KHM15" s="11"/>
      <c r="KHN15" s="11"/>
      <c r="KHO15" s="11"/>
      <c r="KHP15" s="11"/>
      <c r="KHQ15" s="11"/>
      <c r="KHR15" s="11"/>
      <c r="KHS15" s="11"/>
      <c r="KHT15" s="11"/>
      <c r="KHU15" s="11"/>
      <c r="KHV15" s="11"/>
      <c r="KHW15" s="11"/>
      <c r="KHX15" s="11"/>
      <c r="KHY15" s="11"/>
      <c r="KHZ15" s="11"/>
      <c r="KIA15" s="11"/>
      <c r="KIB15" s="11"/>
      <c r="KIC15" s="11"/>
      <c r="KID15" s="11"/>
      <c r="KIE15" s="11"/>
      <c r="KIF15" s="11"/>
      <c r="KIG15" s="11"/>
      <c r="KIH15" s="11"/>
      <c r="KII15" s="11"/>
      <c r="KIJ15" s="11"/>
      <c r="KIK15" s="11"/>
      <c r="KIL15" s="11"/>
      <c r="KIM15" s="11"/>
      <c r="KIN15" s="11"/>
      <c r="KIO15" s="11"/>
      <c r="KIP15" s="11"/>
      <c r="KIQ15" s="11"/>
      <c r="KIR15" s="11"/>
      <c r="KIS15" s="11"/>
      <c r="KIT15" s="11"/>
      <c r="KIU15" s="11"/>
      <c r="KIV15" s="11"/>
      <c r="KIW15" s="11"/>
      <c r="KIX15" s="11"/>
      <c r="KIY15" s="11"/>
      <c r="KIZ15" s="11"/>
      <c r="KJA15" s="11"/>
      <c r="KJB15" s="11"/>
      <c r="KJC15" s="11"/>
      <c r="KJD15" s="11"/>
      <c r="KJE15" s="11"/>
      <c r="KJF15" s="11"/>
      <c r="KJG15" s="11"/>
      <c r="KJH15" s="11"/>
      <c r="KJI15" s="11"/>
      <c r="KJJ15" s="11"/>
      <c r="KJK15" s="11"/>
      <c r="KJL15" s="11"/>
      <c r="KJM15" s="11"/>
      <c r="KJN15" s="11"/>
      <c r="KJO15" s="11"/>
      <c r="KJP15" s="11"/>
      <c r="KJQ15" s="11"/>
      <c r="KJR15" s="11"/>
      <c r="KJS15" s="11"/>
      <c r="KJT15" s="11"/>
      <c r="KJU15" s="11"/>
      <c r="KJV15" s="11"/>
      <c r="KJW15" s="11"/>
      <c r="KJX15" s="11"/>
      <c r="KJY15" s="11"/>
      <c r="KJZ15" s="11"/>
      <c r="KKA15" s="11"/>
      <c r="KKB15" s="11"/>
      <c r="KKC15" s="11"/>
      <c r="KKD15" s="11"/>
      <c r="KKE15" s="11"/>
      <c r="KKF15" s="11"/>
      <c r="KKG15" s="11"/>
      <c r="KKH15" s="11"/>
      <c r="KKI15" s="11"/>
      <c r="KKJ15" s="11"/>
      <c r="KKK15" s="11"/>
      <c r="KKL15" s="11"/>
      <c r="KKM15" s="11"/>
      <c r="KKN15" s="11"/>
      <c r="KKO15" s="11"/>
      <c r="KKP15" s="11"/>
      <c r="KKQ15" s="11"/>
      <c r="KKR15" s="11"/>
      <c r="KKS15" s="11"/>
      <c r="KKT15" s="11"/>
      <c r="KKU15" s="11"/>
      <c r="KKV15" s="11"/>
      <c r="KKW15" s="11"/>
      <c r="KKX15" s="11"/>
      <c r="KKY15" s="11"/>
      <c r="KKZ15" s="11"/>
      <c r="KLA15" s="11"/>
      <c r="KLB15" s="11"/>
      <c r="KLC15" s="11"/>
      <c r="KLD15" s="11"/>
      <c r="KLE15" s="11"/>
      <c r="KLF15" s="11"/>
      <c r="KLG15" s="11"/>
      <c r="KLH15" s="11"/>
      <c r="KLI15" s="11"/>
      <c r="KLJ15" s="11"/>
      <c r="KLK15" s="11"/>
      <c r="KLL15" s="11"/>
      <c r="KLM15" s="11"/>
      <c r="KLN15" s="11"/>
      <c r="KLO15" s="11"/>
      <c r="KLP15" s="11"/>
      <c r="KLQ15" s="11"/>
      <c r="KLR15" s="11"/>
      <c r="KLS15" s="11"/>
      <c r="KLT15" s="11"/>
      <c r="KLU15" s="11"/>
      <c r="KLV15" s="11"/>
      <c r="KLW15" s="11"/>
      <c r="KLX15" s="11"/>
      <c r="KLY15" s="11"/>
      <c r="KLZ15" s="11"/>
      <c r="KMA15" s="11"/>
      <c r="KMB15" s="11"/>
      <c r="KMC15" s="11"/>
      <c r="KMD15" s="11"/>
      <c r="KME15" s="11"/>
      <c r="KMF15" s="11"/>
      <c r="KMG15" s="11"/>
      <c r="KMH15" s="11"/>
      <c r="KMI15" s="11"/>
      <c r="KMJ15" s="11"/>
      <c r="KMK15" s="11"/>
      <c r="KML15" s="11"/>
      <c r="KMM15" s="11"/>
      <c r="KMN15" s="11"/>
      <c r="KMO15" s="11"/>
      <c r="KMP15" s="11"/>
      <c r="KMQ15" s="11"/>
      <c r="KMR15" s="11"/>
      <c r="KMS15" s="11"/>
      <c r="KMT15" s="11"/>
      <c r="KMU15" s="11"/>
      <c r="KMV15" s="11"/>
      <c r="KMW15" s="11"/>
      <c r="KMX15" s="11"/>
      <c r="KMY15" s="11"/>
      <c r="KMZ15" s="11"/>
      <c r="KNA15" s="11"/>
      <c r="KNB15" s="11"/>
      <c r="KNC15" s="11"/>
      <c r="KND15" s="11"/>
      <c r="KNE15" s="11"/>
      <c r="KNF15" s="11"/>
      <c r="KNG15" s="11"/>
      <c r="KNH15" s="11"/>
      <c r="KNI15" s="11"/>
      <c r="KNJ15" s="11"/>
      <c r="KNK15" s="11"/>
      <c r="KNL15" s="11"/>
      <c r="KNM15" s="11"/>
      <c r="KNN15" s="11"/>
      <c r="KNO15" s="11"/>
      <c r="KNP15" s="11"/>
      <c r="KNQ15" s="11"/>
      <c r="KNR15" s="11"/>
      <c r="KNS15" s="11"/>
      <c r="KNT15" s="11"/>
      <c r="KNU15" s="11"/>
      <c r="KNV15" s="11"/>
      <c r="KNW15" s="11"/>
      <c r="KNX15" s="11"/>
      <c r="KNY15" s="11"/>
      <c r="KNZ15" s="11"/>
      <c r="KOA15" s="11"/>
      <c r="KOB15" s="11"/>
      <c r="KOC15" s="11"/>
      <c r="KOD15" s="11"/>
      <c r="KOE15" s="11"/>
      <c r="KOF15" s="11"/>
      <c r="KOG15" s="11"/>
      <c r="KOH15" s="11"/>
      <c r="KOI15" s="11"/>
      <c r="KOJ15" s="11"/>
      <c r="KOK15" s="11"/>
      <c r="KOL15" s="11"/>
      <c r="KOM15" s="11"/>
      <c r="KON15" s="11"/>
      <c r="KOO15" s="11"/>
      <c r="KOP15" s="11"/>
      <c r="KOQ15" s="11"/>
      <c r="KOR15" s="11"/>
      <c r="KOS15" s="11"/>
      <c r="KOT15" s="11"/>
      <c r="KOU15" s="11"/>
      <c r="KOV15" s="11"/>
      <c r="KOW15" s="11"/>
      <c r="KOX15" s="11"/>
      <c r="KOY15" s="11"/>
      <c r="KOZ15" s="11"/>
      <c r="KPA15" s="11"/>
      <c r="KPB15" s="11"/>
      <c r="KPC15" s="11"/>
      <c r="KPD15" s="11"/>
      <c r="KPE15" s="11"/>
      <c r="KPF15" s="11"/>
      <c r="KPG15" s="11"/>
      <c r="KPH15" s="11"/>
      <c r="KPI15" s="11"/>
      <c r="KPJ15" s="11"/>
      <c r="KPK15" s="11"/>
      <c r="KPL15" s="11"/>
      <c r="KPM15" s="11"/>
      <c r="KPN15" s="11"/>
      <c r="KPO15" s="11"/>
      <c r="KPP15" s="11"/>
      <c r="KPQ15" s="11"/>
      <c r="KPR15" s="11"/>
      <c r="KPS15" s="11"/>
      <c r="KPT15" s="11"/>
      <c r="KPU15" s="11"/>
      <c r="KPV15" s="11"/>
      <c r="KPW15" s="11"/>
      <c r="KPX15" s="11"/>
      <c r="KPY15" s="11"/>
      <c r="KPZ15" s="11"/>
      <c r="KQA15" s="11"/>
      <c r="KQB15" s="11"/>
      <c r="KQC15" s="11"/>
      <c r="KQD15" s="11"/>
      <c r="KQE15" s="11"/>
      <c r="KQF15" s="11"/>
      <c r="KQG15" s="11"/>
      <c r="KQH15" s="11"/>
      <c r="KQI15" s="11"/>
      <c r="KQJ15" s="11"/>
      <c r="KQK15" s="11"/>
      <c r="KQL15" s="11"/>
      <c r="KQM15" s="11"/>
      <c r="KQN15" s="11"/>
      <c r="KQO15" s="11"/>
      <c r="KQP15" s="11"/>
      <c r="KQQ15" s="11"/>
      <c r="KQR15" s="11"/>
      <c r="KQS15" s="11"/>
      <c r="KQT15" s="11"/>
      <c r="KQU15" s="11"/>
      <c r="KQV15" s="11"/>
      <c r="KQW15" s="11"/>
      <c r="KQX15" s="11"/>
      <c r="KQY15" s="11"/>
      <c r="KQZ15" s="11"/>
      <c r="KRA15" s="11"/>
      <c r="KRB15" s="11"/>
      <c r="KRC15" s="11"/>
      <c r="KRD15" s="11"/>
      <c r="KRE15" s="11"/>
      <c r="KRF15" s="11"/>
      <c r="KRG15" s="11"/>
      <c r="KRH15" s="11"/>
      <c r="KRI15" s="11"/>
      <c r="KRJ15" s="11"/>
      <c r="KRK15" s="11"/>
      <c r="KRL15" s="11"/>
      <c r="KRM15" s="11"/>
      <c r="KRN15" s="11"/>
      <c r="KRO15" s="11"/>
      <c r="KRP15" s="11"/>
      <c r="KRQ15" s="11"/>
      <c r="KRR15" s="11"/>
      <c r="KRS15" s="11"/>
      <c r="KRT15" s="11"/>
      <c r="KRU15" s="11"/>
      <c r="KRV15" s="11"/>
      <c r="KRW15" s="11"/>
      <c r="KRX15" s="11"/>
      <c r="KRY15" s="11"/>
      <c r="KRZ15" s="11"/>
      <c r="KSA15" s="11"/>
      <c r="KSB15" s="11"/>
      <c r="KSC15" s="11"/>
      <c r="KSD15" s="11"/>
      <c r="KSE15" s="11"/>
      <c r="KSF15" s="11"/>
      <c r="KSG15" s="11"/>
      <c r="KSH15" s="11"/>
      <c r="KSI15" s="11"/>
      <c r="KSJ15" s="11"/>
      <c r="KSK15" s="11"/>
      <c r="KSL15" s="11"/>
      <c r="KSM15" s="11"/>
      <c r="KSN15" s="11"/>
      <c r="KSO15" s="11"/>
      <c r="KSP15" s="11"/>
      <c r="KSQ15" s="11"/>
      <c r="KSR15" s="11"/>
      <c r="KSS15" s="11"/>
      <c r="KST15" s="11"/>
      <c r="KSU15" s="11"/>
      <c r="KSV15" s="11"/>
      <c r="KSW15" s="11"/>
      <c r="KSX15" s="11"/>
      <c r="KSY15" s="11"/>
      <c r="KSZ15" s="11"/>
      <c r="KTA15" s="11"/>
      <c r="KTB15" s="11"/>
      <c r="KTC15" s="11"/>
      <c r="KTD15" s="11"/>
      <c r="KTE15" s="11"/>
      <c r="KTF15" s="11"/>
      <c r="KTG15" s="11"/>
      <c r="KTH15" s="11"/>
      <c r="KTI15" s="11"/>
      <c r="KTJ15" s="11"/>
      <c r="KTK15" s="11"/>
      <c r="KTL15" s="11"/>
      <c r="KTM15" s="11"/>
      <c r="KTN15" s="11"/>
      <c r="KTO15" s="11"/>
      <c r="KTP15" s="11"/>
      <c r="KTQ15" s="11"/>
      <c r="KTR15" s="11"/>
      <c r="KTS15" s="11"/>
      <c r="KTT15" s="11"/>
      <c r="KTU15" s="11"/>
      <c r="KTV15" s="11"/>
      <c r="KTW15" s="11"/>
      <c r="KTX15" s="11"/>
      <c r="KTY15" s="11"/>
      <c r="KTZ15" s="11"/>
      <c r="KUA15" s="11"/>
      <c r="KUB15" s="11"/>
      <c r="KUC15" s="11"/>
      <c r="KUD15" s="11"/>
      <c r="KUE15" s="11"/>
      <c r="KUF15" s="11"/>
      <c r="KUG15" s="11"/>
      <c r="KUH15" s="11"/>
      <c r="KUI15" s="11"/>
      <c r="KUJ15" s="11"/>
      <c r="KUK15" s="11"/>
      <c r="KUL15" s="11"/>
      <c r="KUM15" s="11"/>
      <c r="KUN15" s="11"/>
      <c r="KUO15" s="11"/>
      <c r="KUP15" s="11"/>
      <c r="KUQ15" s="11"/>
      <c r="KUR15" s="11"/>
      <c r="KUS15" s="11"/>
      <c r="KUT15" s="11"/>
      <c r="KUU15" s="11"/>
      <c r="KUV15" s="11"/>
      <c r="KUW15" s="11"/>
      <c r="KUX15" s="11"/>
      <c r="KUY15" s="11"/>
      <c r="KUZ15" s="11"/>
      <c r="KVA15" s="11"/>
      <c r="KVB15" s="11"/>
      <c r="KVC15" s="11"/>
      <c r="KVD15" s="11"/>
      <c r="KVE15" s="11"/>
      <c r="KVF15" s="11"/>
      <c r="KVG15" s="11"/>
      <c r="KVH15" s="11"/>
      <c r="KVI15" s="11"/>
      <c r="KVJ15" s="11"/>
      <c r="KVK15" s="11"/>
      <c r="KVL15" s="11"/>
      <c r="KVM15" s="11"/>
      <c r="KVN15" s="11"/>
      <c r="KVO15" s="11"/>
      <c r="KVP15" s="11"/>
      <c r="KVQ15" s="11"/>
      <c r="KVR15" s="11"/>
      <c r="KVS15" s="11"/>
      <c r="KVT15" s="11"/>
      <c r="KVU15" s="11"/>
      <c r="KVV15" s="11"/>
      <c r="KVW15" s="11"/>
      <c r="KVX15" s="11"/>
      <c r="KVY15" s="11"/>
      <c r="KVZ15" s="11"/>
      <c r="KWA15" s="11"/>
      <c r="KWB15" s="11"/>
      <c r="KWC15" s="11"/>
      <c r="KWD15" s="11"/>
      <c r="KWE15" s="11"/>
      <c r="KWF15" s="11"/>
      <c r="KWG15" s="11"/>
      <c r="KWH15" s="11"/>
      <c r="KWI15" s="11"/>
      <c r="KWJ15" s="11"/>
      <c r="KWK15" s="11"/>
      <c r="KWL15" s="11"/>
      <c r="KWM15" s="11"/>
      <c r="KWN15" s="11"/>
      <c r="KWO15" s="11"/>
      <c r="KWP15" s="11"/>
      <c r="KWQ15" s="11"/>
      <c r="KWR15" s="11"/>
      <c r="KWS15" s="11"/>
      <c r="KWT15" s="11"/>
      <c r="KWU15" s="11"/>
      <c r="KWV15" s="11"/>
      <c r="KWW15" s="11"/>
      <c r="KWX15" s="11"/>
      <c r="KWY15" s="11"/>
      <c r="KWZ15" s="11"/>
      <c r="KXA15" s="11"/>
      <c r="KXB15" s="11"/>
      <c r="KXC15" s="11"/>
      <c r="KXD15" s="11"/>
      <c r="KXE15" s="11"/>
      <c r="KXF15" s="11"/>
      <c r="KXG15" s="11"/>
      <c r="KXH15" s="11"/>
      <c r="KXI15" s="11"/>
      <c r="KXJ15" s="11"/>
      <c r="KXK15" s="11"/>
      <c r="KXL15" s="11"/>
      <c r="KXM15" s="11"/>
      <c r="KXN15" s="11"/>
      <c r="KXO15" s="11"/>
      <c r="KXP15" s="11"/>
      <c r="KXQ15" s="11"/>
      <c r="KXR15" s="11"/>
      <c r="KXS15" s="11"/>
      <c r="KXT15" s="11"/>
      <c r="KXU15" s="11"/>
      <c r="KXV15" s="11"/>
      <c r="KXW15" s="11"/>
      <c r="KXX15" s="11"/>
      <c r="KXY15" s="11"/>
      <c r="KXZ15" s="11"/>
      <c r="KYA15" s="11"/>
      <c r="KYB15" s="11"/>
      <c r="KYC15" s="11"/>
      <c r="KYD15" s="11"/>
      <c r="KYE15" s="11"/>
      <c r="KYF15" s="11"/>
      <c r="KYG15" s="11"/>
      <c r="KYH15" s="11"/>
      <c r="KYI15" s="11"/>
      <c r="KYJ15" s="11"/>
      <c r="KYK15" s="11"/>
      <c r="KYL15" s="11"/>
      <c r="KYM15" s="11"/>
      <c r="KYN15" s="11"/>
      <c r="KYO15" s="11"/>
      <c r="KYP15" s="11"/>
      <c r="KYQ15" s="11"/>
      <c r="KYR15" s="11"/>
      <c r="KYS15" s="11"/>
      <c r="KYT15" s="11"/>
      <c r="KYU15" s="11"/>
      <c r="KYV15" s="11"/>
      <c r="KYW15" s="11"/>
      <c r="KYX15" s="11"/>
      <c r="KYY15" s="11"/>
      <c r="KYZ15" s="11"/>
      <c r="KZA15" s="11"/>
      <c r="KZB15" s="11"/>
      <c r="KZC15" s="11"/>
      <c r="KZD15" s="11"/>
      <c r="KZE15" s="11"/>
      <c r="KZF15" s="11"/>
      <c r="KZG15" s="11"/>
      <c r="KZH15" s="11"/>
      <c r="KZI15" s="11"/>
      <c r="KZJ15" s="11"/>
      <c r="KZK15" s="11"/>
      <c r="KZL15" s="11"/>
      <c r="KZM15" s="11"/>
      <c r="KZN15" s="11"/>
      <c r="KZO15" s="11"/>
      <c r="KZP15" s="11"/>
      <c r="KZQ15" s="11"/>
      <c r="KZR15" s="11"/>
      <c r="KZS15" s="11"/>
      <c r="KZT15" s="11"/>
      <c r="KZU15" s="11"/>
      <c r="KZV15" s="11"/>
      <c r="KZW15" s="11"/>
      <c r="KZX15" s="11"/>
      <c r="KZY15" s="11"/>
      <c r="KZZ15" s="11"/>
      <c r="LAA15" s="11"/>
      <c r="LAB15" s="11"/>
      <c r="LAC15" s="11"/>
      <c r="LAD15" s="11"/>
      <c r="LAE15" s="11"/>
      <c r="LAF15" s="11"/>
      <c r="LAG15" s="11"/>
      <c r="LAH15" s="11"/>
      <c r="LAI15" s="11"/>
      <c r="LAJ15" s="11"/>
      <c r="LAK15" s="11"/>
      <c r="LAL15" s="11"/>
      <c r="LAM15" s="11"/>
      <c r="LAN15" s="11"/>
      <c r="LAO15" s="11"/>
      <c r="LAP15" s="11"/>
      <c r="LAQ15" s="11"/>
      <c r="LAR15" s="11"/>
      <c r="LAS15" s="11"/>
      <c r="LAT15" s="11"/>
      <c r="LAU15" s="11"/>
      <c r="LAV15" s="11"/>
      <c r="LAW15" s="11"/>
      <c r="LAX15" s="11"/>
      <c r="LAY15" s="11"/>
      <c r="LAZ15" s="11"/>
      <c r="LBA15" s="11"/>
      <c r="LBB15" s="11"/>
      <c r="LBC15" s="11"/>
      <c r="LBD15" s="11"/>
      <c r="LBE15" s="11"/>
      <c r="LBF15" s="11"/>
      <c r="LBG15" s="11"/>
      <c r="LBH15" s="11"/>
      <c r="LBI15" s="11"/>
      <c r="LBJ15" s="11"/>
      <c r="LBK15" s="11"/>
      <c r="LBL15" s="11"/>
      <c r="LBM15" s="11"/>
      <c r="LBN15" s="11"/>
      <c r="LBO15" s="11"/>
      <c r="LBP15" s="11"/>
      <c r="LBQ15" s="11"/>
      <c r="LBR15" s="11"/>
      <c r="LBS15" s="11"/>
      <c r="LBT15" s="11"/>
      <c r="LBU15" s="11"/>
      <c r="LBV15" s="11"/>
      <c r="LBW15" s="11"/>
      <c r="LBX15" s="11"/>
      <c r="LBY15" s="11"/>
      <c r="LBZ15" s="11"/>
      <c r="LCA15" s="11"/>
      <c r="LCB15" s="11"/>
      <c r="LCC15" s="11"/>
      <c r="LCD15" s="11"/>
      <c r="LCE15" s="11"/>
      <c r="LCF15" s="11"/>
      <c r="LCG15" s="11"/>
      <c r="LCH15" s="11"/>
      <c r="LCI15" s="11"/>
      <c r="LCJ15" s="11"/>
      <c r="LCK15" s="11"/>
      <c r="LCL15" s="11"/>
      <c r="LCM15" s="11"/>
      <c r="LCN15" s="11"/>
      <c r="LCO15" s="11"/>
      <c r="LCP15" s="11"/>
      <c r="LCQ15" s="11"/>
      <c r="LCR15" s="11"/>
      <c r="LCS15" s="11"/>
      <c r="LCT15" s="11"/>
      <c r="LCU15" s="11"/>
      <c r="LCV15" s="11"/>
      <c r="LCW15" s="11"/>
      <c r="LCX15" s="11"/>
      <c r="LCY15" s="11"/>
      <c r="LCZ15" s="11"/>
      <c r="LDA15" s="11"/>
      <c r="LDB15" s="11"/>
      <c r="LDC15" s="11"/>
      <c r="LDD15" s="11"/>
      <c r="LDE15" s="11"/>
      <c r="LDF15" s="11"/>
      <c r="LDG15" s="11"/>
      <c r="LDH15" s="11"/>
      <c r="LDI15" s="11"/>
      <c r="LDJ15" s="11"/>
      <c r="LDK15" s="11"/>
      <c r="LDL15" s="11"/>
      <c r="LDM15" s="11"/>
      <c r="LDN15" s="11"/>
      <c r="LDO15" s="11"/>
      <c r="LDP15" s="11"/>
      <c r="LDQ15" s="11"/>
      <c r="LDR15" s="11"/>
      <c r="LDS15" s="11"/>
      <c r="LDT15" s="11"/>
      <c r="LDU15" s="11"/>
      <c r="LDV15" s="11"/>
      <c r="LDW15" s="11"/>
      <c r="LDX15" s="11"/>
      <c r="LDY15" s="11"/>
      <c r="LDZ15" s="11"/>
      <c r="LEA15" s="11"/>
      <c r="LEB15" s="11"/>
      <c r="LEC15" s="11"/>
      <c r="LED15" s="11"/>
      <c r="LEE15" s="11"/>
      <c r="LEF15" s="11"/>
      <c r="LEG15" s="11"/>
      <c r="LEH15" s="11"/>
      <c r="LEI15" s="11"/>
      <c r="LEJ15" s="11"/>
      <c r="LEK15" s="11"/>
      <c r="LEL15" s="11"/>
      <c r="LEM15" s="11"/>
      <c r="LEN15" s="11"/>
      <c r="LEO15" s="11"/>
      <c r="LEP15" s="11"/>
      <c r="LEQ15" s="11"/>
      <c r="LER15" s="11"/>
      <c r="LES15" s="11"/>
      <c r="LET15" s="11"/>
      <c r="LEU15" s="11"/>
      <c r="LEV15" s="11"/>
      <c r="LEW15" s="11"/>
      <c r="LEX15" s="11"/>
      <c r="LEY15" s="11"/>
      <c r="LEZ15" s="11"/>
      <c r="LFA15" s="11"/>
      <c r="LFB15" s="11"/>
      <c r="LFC15" s="11"/>
      <c r="LFD15" s="11"/>
      <c r="LFE15" s="11"/>
      <c r="LFF15" s="11"/>
      <c r="LFG15" s="11"/>
      <c r="LFH15" s="11"/>
      <c r="LFI15" s="11"/>
      <c r="LFJ15" s="11"/>
      <c r="LFK15" s="11"/>
      <c r="LFL15" s="11"/>
      <c r="LFM15" s="11"/>
      <c r="LFN15" s="11"/>
      <c r="LFO15" s="11"/>
      <c r="LFP15" s="11"/>
      <c r="LFQ15" s="11"/>
      <c r="LFR15" s="11"/>
      <c r="LFS15" s="11"/>
      <c r="LFT15" s="11"/>
      <c r="LFU15" s="11"/>
      <c r="LFV15" s="11"/>
      <c r="LFW15" s="11"/>
      <c r="LFX15" s="11"/>
      <c r="LFY15" s="11"/>
      <c r="LFZ15" s="11"/>
      <c r="LGA15" s="11"/>
      <c r="LGB15" s="11"/>
      <c r="LGC15" s="11"/>
      <c r="LGD15" s="11"/>
      <c r="LGE15" s="11"/>
      <c r="LGF15" s="11"/>
      <c r="LGG15" s="11"/>
      <c r="LGH15" s="11"/>
      <c r="LGI15" s="11"/>
      <c r="LGJ15" s="11"/>
      <c r="LGK15" s="11"/>
      <c r="LGL15" s="11"/>
      <c r="LGM15" s="11"/>
      <c r="LGN15" s="11"/>
      <c r="LGO15" s="11"/>
      <c r="LGP15" s="11"/>
      <c r="LGQ15" s="11"/>
      <c r="LGR15" s="11"/>
      <c r="LGS15" s="11"/>
      <c r="LGT15" s="11"/>
      <c r="LGU15" s="11"/>
      <c r="LGV15" s="11"/>
      <c r="LGW15" s="11"/>
      <c r="LGX15" s="11"/>
      <c r="LGY15" s="11"/>
      <c r="LGZ15" s="11"/>
      <c r="LHA15" s="11"/>
      <c r="LHB15" s="11"/>
      <c r="LHC15" s="11"/>
      <c r="LHD15" s="11"/>
      <c r="LHE15" s="11"/>
      <c r="LHF15" s="11"/>
      <c r="LHG15" s="11"/>
      <c r="LHH15" s="11"/>
      <c r="LHI15" s="11"/>
      <c r="LHJ15" s="11"/>
      <c r="LHK15" s="11"/>
      <c r="LHL15" s="11"/>
      <c r="LHM15" s="11"/>
      <c r="LHN15" s="11"/>
      <c r="LHO15" s="11"/>
      <c r="LHP15" s="11"/>
      <c r="LHQ15" s="11"/>
      <c r="LHR15" s="11"/>
      <c r="LHS15" s="11"/>
      <c r="LHT15" s="11"/>
      <c r="LHU15" s="11"/>
      <c r="LHV15" s="11"/>
      <c r="LHW15" s="11"/>
      <c r="LHX15" s="11"/>
      <c r="LHY15" s="11"/>
      <c r="LHZ15" s="11"/>
      <c r="LIA15" s="11"/>
      <c r="LIB15" s="11"/>
      <c r="LIC15" s="11"/>
      <c r="LID15" s="11"/>
      <c r="LIE15" s="11"/>
      <c r="LIF15" s="11"/>
      <c r="LIG15" s="11"/>
      <c r="LIH15" s="11"/>
      <c r="LII15" s="11"/>
      <c r="LIJ15" s="11"/>
      <c r="LIK15" s="11"/>
      <c r="LIL15" s="11"/>
      <c r="LIM15" s="11"/>
      <c r="LIN15" s="11"/>
      <c r="LIO15" s="11"/>
      <c r="LIP15" s="11"/>
      <c r="LIQ15" s="11"/>
      <c r="LIR15" s="11"/>
      <c r="LIS15" s="11"/>
      <c r="LIT15" s="11"/>
      <c r="LIU15" s="11"/>
      <c r="LIV15" s="11"/>
      <c r="LIW15" s="11"/>
      <c r="LIX15" s="11"/>
      <c r="LIY15" s="11"/>
      <c r="LIZ15" s="11"/>
      <c r="LJA15" s="11"/>
      <c r="LJB15" s="11"/>
      <c r="LJC15" s="11"/>
      <c r="LJD15" s="11"/>
      <c r="LJE15" s="11"/>
      <c r="LJF15" s="11"/>
      <c r="LJG15" s="11"/>
      <c r="LJH15" s="11"/>
      <c r="LJI15" s="11"/>
      <c r="LJJ15" s="11"/>
      <c r="LJK15" s="11"/>
      <c r="LJL15" s="11"/>
      <c r="LJM15" s="11"/>
      <c r="LJN15" s="11"/>
      <c r="LJO15" s="11"/>
      <c r="LJP15" s="11"/>
      <c r="LJQ15" s="11"/>
      <c r="LJR15" s="11"/>
      <c r="LJS15" s="11"/>
      <c r="LJT15" s="11"/>
      <c r="LJU15" s="11"/>
      <c r="LJV15" s="11"/>
      <c r="LJW15" s="11"/>
      <c r="LJX15" s="11"/>
      <c r="LJY15" s="11"/>
      <c r="LJZ15" s="11"/>
      <c r="LKA15" s="11"/>
      <c r="LKB15" s="11"/>
      <c r="LKC15" s="11"/>
      <c r="LKD15" s="11"/>
      <c r="LKE15" s="11"/>
      <c r="LKF15" s="11"/>
      <c r="LKG15" s="11"/>
      <c r="LKH15" s="11"/>
      <c r="LKI15" s="11"/>
      <c r="LKJ15" s="11"/>
      <c r="LKK15" s="11"/>
      <c r="LKL15" s="11"/>
      <c r="LKM15" s="11"/>
      <c r="LKN15" s="11"/>
      <c r="LKO15" s="11"/>
      <c r="LKP15" s="11"/>
      <c r="LKQ15" s="11"/>
      <c r="LKR15" s="11"/>
      <c r="LKS15" s="11"/>
      <c r="LKT15" s="11"/>
      <c r="LKU15" s="11"/>
      <c r="LKV15" s="11"/>
      <c r="LKW15" s="11"/>
      <c r="LKX15" s="11"/>
      <c r="LKY15" s="11"/>
      <c r="LKZ15" s="11"/>
      <c r="LLA15" s="11"/>
      <c r="LLB15" s="11"/>
      <c r="LLC15" s="11"/>
      <c r="LLD15" s="11"/>
      <c r="LLE15" s="11"/>
      <c r="LLF15" s="11"/>
      <c r="LLG15" s="11"/>
      <c r="LLH15" s="11"/>
      <c r="LLI15" s="11"/>
      <c r="LLJ15" s="11"/>
      <c r="LLK15" s="11"/>
      <c r="LLL15" s="11"/>
      <c r="LLM15" s="11"/>
      <c r="LLN15" s="11"/>
      <c r="LLO15" s="11"/>
      <c r="LLP15" s="11"/>
      <c r="LLQ15" s="11"/>
      <c r="LLR15" s="11"/>
      <c r="LLS15" s="11"/>
      <c r="LLT15" s="11"/>
      <c r="LLU15" s="11"/>
      <c r="LLV15" s="11"/>
      <c r="LLW15" s="11"/>
      <c r="LLX15" s="11"/>
      <c r="LLY15" s="11"/>
      <c r="LLZ15" s="11"/>
      <c r="LMA15" s="11"/>
      <c r="LMB15" s="11"/>
      <c r="LMC15" s="11"/>
      <c r="LMD15" s="11"/>
      <c r="LME15" s="11"/>
      <c r="LMF15" s="11"/>
      <c r="LMG15" s="11"/>
      <c r="LMH15" s="11"/>
      <c r="LMI15" s="11"/>
      <c r="LMJ15" s="11"/>
      <c r="LMK15" s="11"/>
      <c r="LML15" s="11"/>
      <c r="LMM15" s="11"/>
      <c r="LMN15" s="11"/>
      <c r="LMO15" s="11"/>
      <c r="LMP15" s="11"/>
      <c r="LMQ15" s="11"/>
      <c r="LMR15" s="11"/>
      <c r="LMS15" s="11"/>
      <c r="LMT15" s="11"/>
      <c r="LMU15" s="11"/>
      <c r="LMV15" s="11"/>
      <c r="LMW15" s="11"/>
      <c r="LMX15" s="11"/>
      <c r="LMY15" s="11"/>
      <c r="LMZ15" s="11"/>
      <c r="LNA15" s="11"/>
      <c r="LNB15" s="11"/>
      <c r="LNC15" s="11"/>
      <c r="LND15" s="11"/>
      <c r="LNE15" s="11"/>
      <c r="LNF15" s="11"/>
      <c r="LNG15" s="11"/>
      <c r="LNH15" s="11"/>
      <c r="LNI15" s="11"/>
      <c r="LNJ15" s="11"/>
      <c r="LNK15" s="11"/>
      <c r="LNL15" s="11"/>
      <c r="LNM15" s="11"/>
      <c r="LNN15" s="11"/>
      <c r="LNO15" s="11"/>
      <c r="LNP15" s="11"/>
      <c r="LNQ15" s="11"/>
      <c r="LNR15" s="11"/>
      <c r="LNS15" s="11"/>
      <c r="LNT15" s="11"/>
      <c r="LNU15" s="11"/>
      <c r="LNV15" s="11"/>
      <c r="LNW15" s="11"/>
      <c r="LNX15" s="11"/>
      <c r="LNY15" s="11"/>
      <c r="LNZ15" s="11"/>
      <c r="LOA15" s="11"/>
      <c r="LOB15" s="11"/>
      <c r="LOC15" s="11"/>
      <c r="LOD15" s="11"/>
      <c r="LOE15" s="11"/>
      <c r="LOF15" s="11"/>
      <c r="LOG15" s="11"/>
      <c r="LOH15" s="11"/>
      <c r="LOI15" s="11"/>
      <c r="LOJ15" s="11"/>
      <c r="LOK15" s="11"/>
      <c r="LOL15" s="11"/>
      <c r="LOM15" s="11"/>
      <c r="LON15" s="11"/>
      <c r="LOO15" s="11"/>
      <c r="LOP15" s="11"/>
      <c r="LOQ15" s="11"/>
      <c r="LOR15" s="11"/>
      <c r="LOS15" s="11"/>
      <c r="LOT15" s="11"/>
      <c r="LOU15" s="11"/>
      <c r="LOV15" s="11"/>
      <c r="LOW15" s="11"/>
      <c r="LOX15" s="11"/>
      <c r="LOY15" s="11"/>
      <c r="LOZ15" s="11"/>
      <c r="LPA15" s="11"/>
      <c r="LPB15" s="11"/>
      <c r="LPC15" s="11"/>
      <c r="LPD15" s="11"/>
      <c r="LPE15" s="11"/>
      <c r="LPF15" s="11"/>
      <c r="LPG15" s="11"/>
      <c r="LPH15" s="11"/>
      <c r="LPI15" s="11"/>
      <c r="LPJ15" s="11"/>
      <c r="LPK15" s="11"/>
      <c r="LPL15" s="11"/>
      <c r="LPM15" s="11"/>
      <c r="LPN15" s="11"/>
      <c r="LPO15" s="11"/>
      <c r="LPP15" s="11"/>
      <c r="LPQ15" s="11"/>
      <c r="LPR15" s="11"/>
      <c r="LPS15" s="11"/>
      <c r="LPT15" s="11"/>
      <c r="LPU15" s="11"/>
      <c r="LPV15" s="11"/>
      <c r="LPW15" s="11"/>
      <c r="LPX15" s="11"/>
      <c r="LPY15" s="11"/>
      <c r="LPZ15" s="11"/>
      <c r="LQA15" s="11"/>
      <c r="LQB15" s="11"/>
      <c r="LQC15" s="11"/>
      <c r="LQD15" s="11"/>
      <c r="LQE15" s="11"/>
      <c r="LQF15" s="11"/>
      <c r="LQG15" s="11"/>
      <c r="LQH15" s="11"/>
      <c r="LQI15" s="11"/>
      <c r="LQJ15" s="11"/>
      <c r="LQK15" s="11"/>
      <c r="LQL15" s="11"/>
      <c r="LQM15" s="11"/>
      <c r="LQN15" s="11"/>
      <c r="LQO15" s="11"/>
      <c r="LQP15" s="11"/>
      <c r="LQQ15" s="11"/>
      <c r="LQR15" s="11"/>
      <c r="LQS15" s="11"/>
      <c r="LQT15" s="11"/>
      <c r="LQU15" s="11"/>
      <c r="LQV15" s="11"/>
      <c r="LQW15" s="11"/>
      <c r="LQX15" s="11"/>
      <c r="LQY15" s="11"/>
      <c r="LQZ15" s="11"/>
      <c r="LRA15" s="11"/>
      <c r="LRB15" s="11"/>
      <c r="LRC15" s="11"/>
      <c r="LRD15" s="11"/>
      <c r="LRE15" s="11"/>
      <c r="LRF15" s="11"/>
      <c r="LRG15" s="11"/>
      <c r="LRH15" s="11"/>
      <c r="LRI15" s="11"/>
      <c r="LRJ15" s="11"/>
      <c r="LRK15" s="11"/>
      <c r="LRL15" s="11"/>
      <c r="LRM15" s="11"/>
      <c r="LRN15" s="11"/>
      <c r="LRO15" s="11"/>
      <c r="LRP15" s="11"/>
      <c r="LRQ15" s="11"/>
      <c r="LRR15" s="11"/>
      <c r="LRS15" s="11"/>
      <c r="LRT15" s="11"/>
      <c r="LRU15" s="11"/>
      <c r="LRV15" s="11"/>
      <c r="LRW15" s="11"/>
      <c r="LRX15" s="11"/>
      <c r="LRY15" s="11"/>
      <c r="LRZ15" s="11"/>
      <c r="LSA15" s="11"/>
      <c r="LSB15" s="11"/>
      <c r="LSC15" s="11"/>
      <c r="LSD15" s="11"/>
      <c r="LSE15" s="11"/>
      <c r="LSF15" s="11"/>
      <c r="LSG15" s="11"/>
      <c r="LSH15" s="11"/>
      <c r="LSI15" s="11"/>
      <c r="LSJ15" s="11"/>
      <c r="LSK15" s="11"/>
      <c r="LSL15" s="11"/>
      <c r="LSM15" s="11"/>
      <c r="LSN15" s="11"/>
      <c r="LSO15" s="11"/>
      <c r="LSP15" s="11"/>
      <c r="LSQ15" s="11"/>
      <c r="LSR15" s="11"/>
      <c r="LSS15" s="11"/>
      <c r="LST15" s="11"/>
      <c r="LSU15" s="11"/>
      <c r="LSV15" s="11"/>
      <c r="LSW15" s="11"/>
      <c r="LSX15" s="11"/>
      <c r="LSY15" s="11"/>
      <c r="LSZ15" s="11"/>
      <c r="LTA15" s="11"/>
      <c r="LTB15" s="11"/>
      <c r="LTC15" s="11"/>
      <c r="LTD15" s="11"/>
      <c r="LTE15" s="11"/>
      <c r="LTF15" s="11"/>
      <c r="LTG15" s="11"/>
      <c r="LTH15" s="11"/>
      <c r="LTI15" s="11"/>
      <c r="LTJ15" s="11"/>
      <c r="LTK15" s="11"/>
      <c r="LTL15" s="11"/>
      <c r="LTM15" s="11"/>
      <c r="LTN15" s="11"/>
      <c r="LTO15" s="11"/>
      <c r="LTP15" s="11"/>
      <c r="LTQ15" s="11"/>
      <c r="LTR15" s="11"/>
      <c r="LTS15" s="11"/>
      <c r="LTT15" s="11"/>
      <c r="LTU15" s="11"/>
      <c r="LTV15" s="11"/>
      <c r="LTW15" s="11"/>
      <c r="LTX15" s="11"/>
      <c r="LTY15" s="11"/>
      <c r="LTZ15" s="11"/>
      <c r="LUA15" s="11"/>
      <c r="LUB15" s="11"/>
      <c r="LUC15" s="11"/>
      <c r="LUD15" s="11"/>
      <c r="LUE15" s="11"/>
      <c r="LUF15" s="11"/>
      <c r="LUG15" s="11"/>
      <c r="LUH15" s="11"/>
      <c r="LUI15" s="11"/>
      <c r="LUJ15" s="11"/>
      <c r="LUK15" s="11"/>
      <c r="LUL15" s="11"/>
      <c r="LUM15" s="11"/>
      <c r="LUN15" s="11"/>
      <c r="LUO15" s="11"/>
      <c r="LUP15" s="11"/>
      <c r="LUQ15" s="11"/>
      <c r="LUR15" s="11"/>
      <c r="LUS15" s="11"/>
      <c r="LUT15" s="11"/>
      <c r="LUU15" s="11"/>
      <c r="LUV15" s="11"/>
      <c r="LUW15" s="11"/>
      <c r="LUX15" s="11"/>
      <c r="LUY15" s="11"/>
      <c r="LUZ15" s="11"/>
      <c r="LVA15" s="11"/>
      <c r="LVB15" s="11"/>
      <c r="LVC15" s="11"/>
      <c r="LVD15" s="11"/>
      <c r="LVE15" s="11"/>
      <c r="LVF15" s="11"/>
      <c r="LVG15" s="11"/>
      <c r="LVH15" s="11"/>
      <c r="LVI15" s="11"/>
      <c r="LVJ15" s="11"/>
      <c r="LVK15" s="11"/>
      <c r="LVL15" s="11"/>
      <c r="LVM15" s="11"/>
      <c r="LVN15" s="11"/>
      <c r="LVO15" s="11"/>
      <c r="LVP15" s="11"/>
      <c r="LVQ15" s="11"/>
      <c r="LVR15" s="11"/>
      <c r="LVS15" s="11"/>
      <c r="LVT15" s="11"/>
      <c r="LVU15" s="11"/>
      <c r="LVV15" s="11"/>
      <c r="LVW15" s="11"/>
      <c r="LVX15" s="11"/>
      <c r="LVY15" s="11"/>
      <c r="LVZ15" s="11"/>
      <c r="LWA15" s="11"/>
      <c r="LWB15" s="11"/>
      <c r="LWC15" s="11"/>
      <c r="LWD15" s="11"/>
      <c r="LWE15" s="11"/>
      <c r="LWF15" s="11"/>
      <c r="LWG15" s="11"/>
      <c r="LWH15" s="11"/>
      <c r="LWI15" s="11"/>
      <c r="LWJ15" s="11"/>
      <c r="LWK15" s="11"/>
      <c r="LWL15" s="11"/>
      <c r="LWM15" s="11"/>
      <c r="LWN15" s="11"/>
      <c r="LWO15" s="11"/>
      <c r="LWP15" s="11"/>
      <c r="LWQ15" s="11"/>
      <c r="LWR15" s="11"/>
      <c r="LWS15" s="11"/>
      <c r="LWT15" s="11"/>
      <c r="LWU15" s="11"/>
      <c r="LWV15" s="11"/>
      <c r="LWW15" s="11"/>
      <c r="LWX15" s="11"/>
      <c r="LWY15" s="11"/>
      <c r="LWZ15" s="11"/>
      <c r="LXA15" s="11"/>
      <c r="LXB15" s="11"/>
      <c r="LXC15" s="11"/>
      <c r="LXD15" s="11"/>
      <c r="LXE15" s="11"/>
      <c r="LXF15" s="11"/>
      <c r="LXG15" s="11"/>
      <c r="LXH15" s="11"/>
      <c r="LXI15" s="11"/>
      <c r="LXJ15" s="11"/>
      <c r="LXK15" s="11"/>
      <c r="LXL15" s="11"/>
      <c r="LXM15" s="11"/>
      <c r="LXN15" s="11"/>
      <c r="LXO15" s="11"/>
      <c r="LXP15" s="11"/>
      <c r="LXQ15" s="11"/>
      <c r="LXR15" s="11"/>
      <c r="LXS15" s="11"/>
      <c r="LXT15" s="11"/>
      <c r="LXU15" s="11"/>
      <c r="LXV15" s="11"/>
      <c r="LXW15" s="11"/>
      <c r="LXX15" s="11"/>
      <c r="LXY15" s="11"/>
      <c r="LXZ15" s="11"/>
      <c r="LYA15" s="11"/>
      <c r="LYB15" s="11"/>
      <c r="LYC15" s="11"/>
      <c r="LYD15" s="11"/>
      <c r="LYE15" s="11"/>
      <c r="LYF15" s="11"/>
      <c r="LYG15" s="11"/>
      <c r="LYH15" s="11"/>
      <c r="LYI15" s="11"/>
      <c r="LYJ15" s="11"/>
      <c r="LYK15" s="11"/>
      <c r="LYL15" s="11"/>
      <c r="LYM15" s="11"/>
      <c r="LYN15" s="11"/>
      <c r="LYO15" s="11"/>
      <c r="LYP15" s="11"/>
      <c r="LYQ15" s="11"/>
      <c r="LYR15" s="11"/>
      <c r="LYS15" s="11"/>
      <c r="LYT15" s="11"/>
      <c r="LYU15" s="11"/>
      <c r="LYV15" s="11"/>
      <c r="LYW15" s="11"/>
      <c r="LYX15" s="11"/>
      <c r="LYY15" s="11"/>
      <c r="LYZ15" s="11"/>
      <c r="LZA15" s="11"/>
      <c r="LZB15" s="11"/>
      <c r="LZC15" s="11"/>
      <c r="LZD15" s="11"/>
      <c r="LZE15" s="11"/>
      <c r="LZF15" s="11"/>
      <c r="LZG15" s="11"/>
      <c r="LZH15" s="11"/>
      <c r="LZI15" s="11"/>
      <c r="LZJ15" s="11"/>
      <c r="LZK15" s="11"/>
      <c r="LZL15" s="11"/>
      <c r="LZM15" s="11"/>
      <c r="LZN15" s="11"/>
      <c r="LZO15" s="11"/>
      <c r="LZP15" s="11"/>
      <c r="LZQ15" s="11"/>
      <c r="LZR15" s="11"/>
      <c r="LZS15" s="11"/>
      <c r="LZT15" s="11"/>
      <c r="LZU15" s="11"/>
      <c r="LZV15" s="11"/>
      <c r="LZW15" s="11"/>
      <c r="LZX15" s="11"/>
      <c r="LZY15" s="11"/>
      <c r="LZZ15" s="11"/>
      <c r="MAA15" s="11"/>
      <c r="MAB15" s="11"/>
      <c r="MAC15" s="11"/>
      <c r="MAD15" s="11"/>
      <c r="MAE15" s="11"/>
      <c r="MAF15" s="11"/>
      <c r="MAG15" s="11"/>
      <c r="MAH15" s="11"/>
      <c r="MAI15" s="11"/>
      <c r="MAJ15" s="11"/>
      <c r="MAK15" s="11"/>
      <c r="MAL15" s="11"/>
      <c r="MAM15" s="11"/>
      <c r="MAN15" s="11"/>
      <c r="MAO15" s="11"/>
      <c r="MAP15" s="11"/>
      <c r="MAQ15" s="11"/>
      <c r="MAR15" s="11"/>
      <c r="MAS15" s="11"/>
      <c r="MAT15" s="11"/>
      <c r="MAU15" s="11"/>
      <c r="MAV15" s="11"/>
      <c r="MAW15" s="11"/>
      <c r="MAX15" s="11"/>
      <c r="MAY15" s="11"/>
      <c r="MAZ15" s="11"/>
      <c r="MBA15" s="11"/>
      <c r="MBB15" s="11"/>
      <c r="MBC15" s="11"/>
      <c r="MBD15" s="11"/>
      <c r="MBE15" s="11"/>
      <c r="MBF15" s="11"/>
      <c r="MBG15" s="11"/>
      <c r="MBH15" s="11"/>
      <c r="MBI15" s="11"/>
      <c r="MBJ15" s="11"/>
      <c r="MBK15" s="11"/>
      <c r="MBL15" s="11"/>
      <c r="MBM15" s="11"/>
      <c r="MBN15" s="11"/>
      <c r="MBO15" s="11"/>
      <c r="MBP15" s="11"/>
      <c r="MBQ15" s="11"/>
      <c r="MBR15" s="11"/>
      <c r="MBS15" s="11"/>
      <c r="MBT15" s="11"/>
      <c r="MBU15" s="11"/>
      <c r="MBV15" s="11"/>
      <c r="MBW15" s="11"/>
      <c r="MBX15" s="11"/>
      <c r="MBY15" s="11"/>
      <c r="MBZ15" s="11"/>
      <c r="MCA15" s="11"/>
      <c r="MCB15" s="11"/>
      <c r="MCC15" s="11"/>
      <c r="MCD15" s="11"/>
      <c r="MCE15" s="11"/>
      <c r="MCF15" s="11"/>
      <c r="MCG15" s="11"/>
      <c r="MCH15" s="11"/>
      <c r="MCI15" s="11"/>
      <c r="MCJ15" s="11"/>
      <c r="MCK15" s="11"/>
      <c r="MCL15" s="11"/>
      <c r="MCM15" s="11"/>
      <c r="MCN15" s="11"/>
      <c r="MCO15" s="11"/>
      <c r="MCP15" s="11"/>
      <c r="MCQ15" s="11"/>
      <c r="MCR15" s="11"/>
      <c r="MCS15" s="11"/>
      <c r="MCT15" s="11"/>
      <c r="MCU15" s="11"/>
      <c r="MCV15" s="11"/>
      <c r="MCW15" s="11"/>
      <c r="MCX15" s="11"/>
      <c r="MCY15" s="11"/>
      <c r="MCZ15" s="11"/>
      <c r="MDA15" s="11"/>
      <c r="MDB15" s="11"/>
      <c r="MDC15" s="11"/>
      <c r="MDD15" s="11"/>
      <c r="MDE15" s="11"/>
      <c r="MDF15" s="11"/>
      <c r="MDG15" s="11"/>
      <c r="MDH15" s="11"/>
      <c r="MDI15" s="11"/>
      <c r="MDJ15" s="11"/>
      <c r="MDK15" s="11"/>
      <c r="MDL15" s="11"/>
      <c r="MDM15" s="11"/>
      <c r="MDN15" s="11"/>
      <c r="MDO15" s="11"/>
      <c r="MDP15" s="11"/>
      <c r="MDQ15" s="11"/>
      <c r="MDR15" s="11"/>
      <c r="MDS15" s="11"/>
      <c r="MDT15" s="11"/>
      <c r="MDU15" s="11"/>
      <c r="MDV15" s="11"/>
      <c r="MDW15" s="11"/>
      <c r="MDX15" s="11"/>
      <c r="MDY15" s="11"/>
      <c r="MDZ15" s="11"/>
      <c r="MEA15" s="11"/>
      <c r="MEB15" s="11"/>
      <c r="MEC15" s="11"/>
      <c r="MED15" s="11"/>
      <c r="MEE15" s="11"/>
      <c r="MEF15" s="11"/>
      <c r="MEG15" s="11"/>
      <c r="MEH15" s="11"/>
      <c r="MEI15" s="11"/>
      <c r="MEJ15" s="11"/>
      <c r="MEK15" s="11"/>
      <c r="MEL15" s="11"/>
      <c r="MEM15" s="11"/>
      <c r="MEN15" s="11"/>
      <c r="MEO15" s="11"/>
      <c r="MEP15" s="11"/>
      <c r="MEQ15" s="11"/>
      <c r="MER15" s="11"/>
      <c r="MES15" s="11"/>
      <c r="MET15" s="11"/>
      <c r="MEU15" s="11"/>
      <c r="MEV15" s="11"/>
      <c r="MEW15" s="11"/>
      <c r="MEX15" s="11"/>
      <c r="MEY15" s="11"/>
      <c r="MEZ15" s="11"/>
      <c r="MFA15" s="11"/>
      <c r="MFB15" s="11"/>
      <c r="MFC15" s="11"/>
      <c r="MFD15" s="11"/>
      <c r="MFE15" s="11"/>
      <c r="MFF15" s="11"/>
      <c r="MFG15" s="11"/>
      <c r="MFH15" s="11"/>
      <c r="MFI15" s="11"/>
      <c r="MFJ15" s="11"/>
      <c r="MFK15" s="11"/>
      <c r="MFL15" s="11"/>
      <c r="MFM15" s="11"/>
      <c r="MFN15" s="11"/>
      <c r="MFO15" s="11"/>
      <c r="MFP15" s="11"/>
      <c r="MFQ15" s="11"/>
      <c r="MFR15" s="11"/>
      <c r="MFS15" s="11"/>
      <c r="MFT15" s="11"/>
      <c r="MFU15" s="11"/>
      <c r="MFV15" s="11"/>
      <c r="MFW15" s="11"/>
      <c r="MFX15" s="11"/>
      <c r="MFY15" s="11"/>
      <c r="MFZ15" s="11"/>
      <c r="MGA15" s="11"/>
      <c r="MGB15" s="11"/>
      <c r="MGC15" s="11"/>
      <c r="MGD15" s="11"/>
      <c r="MGE15" s="11"/>
      <c r="MGF15" s="11"/>
      <c r="MGG15" s="11"/>
      <c r="MGH15" s="11"/>
      <c r="MGI15" s="11"/>
      <c r="MGJ15" s="11"/>
      <c r="MGK15" s="11"/>
      <c r="MGL15" s="11"/>
      <c r="MGM15" s="11"/>
      <c r="MGN15" s="11"/>
      <c r="MGO15" s="11"/>
      <c r="MGP15" s="11"/>
      <c r="MGQ15" s="11"/>
      <c r="MGR15" s="11"/>
      <c r="MGS15" s="11"/>
      <c r="MGT15" s="11"/>
      <c r="MGU15" s="11"/>
      <c r="MGV15" s="11"/>
      <c r="MGW15" s="11"/>
      <c r="MGX15" s="11"/>
      <c r="MGY15" s="11"/>
      <c r="MGZ15" s="11"/>
      <c r="MHA15" s="11"/>
      <c r="MHB15" s="11"/>
      <c r="MHC15" s="11"/>
      <c r="MHD15" s="11"/>
      <c r="MHE15" s="11"/>
      <c r="MHF15" s="11"/>
      <c r="MHG15" s="11"/>
      <c r="MHH15" s="11"/>
      <c r="MHI15" s="11"/>
      <c r="MHJ15" s="11"/>
      <c r="MHK15" s="11"/>
      <c r="MHL15" s="11"/>
      <c r="MHM15" s="11"/>
      <c r="MHN15" s="11"/>
      <c r="MHO15" s="11"/>
      <c r="MHP15" s="11"/>
      <c r="MHQ15" s="11"/>
      <c r="MHR15" s="11"/>
      <c r="MHS15" s="11"/>
      <c r="MHT15" s="11"/>
      <c r="MHU15" s="11"/>
      <c r="MHV15" s="11"/>
      <c r="MHW15" s="11"/>
      <c r="MHX15" s="11"/>
      <c r="MHY15" s="11"/>
      <c r="MHZ15" s="11"/>
      <c r="MIA15" s="11"/>
      <c r="MIB15" s="11"/>
      <c r="MIC15" s="11"/>
      <c r="MID15" s="11"/>
      <c r="MIE15" s="11"/>
      <c r="MIF15" s="11"/>
      <c r="MIG15" s="11"/>
      <c r="MIH15" s="11"/>
      <c r="MII15" s="11"/>
      <c r="MIJ15" s="11"/>
      <c r="MIK15" s="11"/>
      <c r="MIL15" s="11"/>
      <c r="MIM15" s="11"/>
      <c r="MIN15" s="11"/>
      <c r="MIO15" s="11"/>
      <c r="MIP15" s="11"/>
      <c r="MIQ15" s="11"/>
      <c r="MIR15" s="11"/>
      <c r="MIS15" s="11"/>
      <c r="MIT15" s="11"/>
      <c r="MIU15" s="11"/>
      <c r="MIV15" s="11"/>
      <c r="MIW15" s="11"/>
      <c r="MIX15" s="11"/>
      <c r="MIY15" s="11"/>
      <c r="MIZ15" s="11"/>
      <c r="MJA15" s="11"/>
      <c r="MJB15" s="11"/>
      <c r="MJC15" s="11"/>
      <c r="MJD15" s="11"/>
      <c r="MJE15" s="11"/>
      <c r="MJF15" s="11"/>
      <c r="MJG15" s="11"/>
      <c r="MJH15" s="11"/>
      <c r="MJI15" s="11"/>
      <c r="MJJ15" s="11"/>
      <c r="MJK15" s="11"/>
      <c r="MJL15" s="11"/>
      <c r="MJM15" s="11"/>
      <c r="MJN15" s="11"/>
      <c r="MJO15" s="11"/>
      <c r="MJP15" s="11"/>
      <c r="MJQ15" s="11"/>
      <c r="MJR15" s="11"/>
      <c r="MJS15" s="11"/>
      <c r="MJT15" s="11"/>
      <c r="MJU15" s="11"/>
      <c r="MJV15" s="11"/>
      <c r="MJW15" s="11"/>
      <c r="MJX15" s="11"/>
      <c r="MJY15" s="11"/>
      <c r="MJZ15" s="11"/>
      <c r="MKA15" s="11"/>
      <c r="MKB15" s="11"/>
      <c r="MKC15" s="11"/>
      <c r="MKD15" s="11"/>
      <c r="MKE15" s="11"/>
      <c r="MKF15" s="11"/>
      <c r="MKG15" s="11"/>
      <c r="MKH15" s="11"/>
      <c r="MKI15" s="11"/>
      <c r="MKJ15" s="11"/>
      <c r="MKK15" s="11"/>
      <c r="MKL15" s="11"/>
      <c r="MKM15" s="11"/>
      <c r="MKN15" s="11"/>
      <c r="MKO15" s="11"/>
      <c r="MKP15" s="11"/>
      <c r="MKQ15" s="11"/>
      <c r="MKR15" s="11"/>
      <c r="MKS15" s="11"/>
      <c r="MKT15" s="11"/>
      <c r="MKU15" s="11"/>
      <c r="MKV15" s="11"/>
      <c r="MKW15" s="11"/>
      <c r="MKX15" s="11"/>
      <c r="MKY15" s="11"/>
      <c r="MKZ15" s="11"/>
      <c r="MLA15" s="11"/>
      <c r="MLB15" s="11"/>
      <c r="MLC15" s="11"/>
      <c r="MLD15" s="11"/>
      <c r="MLE15" s="11"/>
      <c r="MLF15" s="11"/>
      <c r="MLG15" s="11"/>
      <c r="MLH15" s="11"/>
      <c r="MLI15" s="11"/>
      <c r="MLJ15" s="11"/>
      <c r="MLK15" s="11"/>
      <c r="MLL15" s="11"/>
      <c r="MLM15" s="11"/>
      <c r="MLN15" s="11"/>
      <c r="MLO15" s="11"/>
      <c r="MLP15" s="11"/>
      <c r="MLQ15" s="11"/>
      <c r="MLR15" s="11"/>
      <c r="MLS15" s="11"/>
      <c r="MLT15" s="11"/>
      <c r="MLU15" s="11"/>
      <c r="MLV15" s="11"/>
      <c r="MLW15" s="11"/>
      <c r="MLX15" s="11"/>
      <c r="MLY15" s="11"/>
      <c r="MLZ15" s="11"/>
      <c r="MMA15" s="11"/>
      <c r="MMB15" s="11"/>
      <c r="MMC15" s="11"/>
      <c r="MMD15" s="11"/>
      <c r="MME15" s="11"/>
      <c r="MMF15" s="11"/>
      <c r="MMG15" s="11"/>
      <c r="MMH15" s="11"/>
      <c r="MMI15" s="11"/>
      <c r="MMJ15" s="11"/>
      <c r="MMK15" s="11"/>
      <c r="MML15" s="11"/>
      <c r="MMM15" s="11"/>
      <c r="MMN15" s="11"/>
      <c r="MMO15" s="11"/>
      <c r="MMP15" s="11"/>
      <c r="MMQ15" s="11"/>
      <c r="MMR15" s="11"/>
      <c r="MMS15" s="11"/>
      <c r="MMT15" s="11"/>
      <c r="MMU15" s="11"/>
      <c r="MMV15" s="11"/>
      <c r="MMW15" s="11"/>
      <c r="MMX15" s="11"/>
      <c r="MMY15" s="11"/>
      <c r="MMZ15" s="11"/>
      <c r="MNA15" s="11"/>
      <c r="MNB15" s="11"/>
      <c r="MNC15" s="11"/>
      <c r="MND15" s="11"/>
      <c r="MNE15" s="11"/>
      <c r="MNF15" s="11"/>
      <c r="MNG15" s="11"/>
      <c r="MNH15" s="11"/>
      <c r="MNI15" s="11"/>
      <c r="MNJ15" s="11"/>
      <c r="MNK15" s="11"/>
      <c r="MNL15" s="11"/>
      <c r="MNM15" s="11"/>
      <c r="MNN15" s="11"/>
      <c r="MNO15" s="11"/>
      <c r="MNP15" s="11"/>
      <c r="MNQ15" s="11"/>
      <c r="MNR15" s="11"/>
      <c r="MNS15" s="11"/>
      <c r="MNT15" s="11"/>
      <c r="MNU15" s="11"/>
      <c r="MNV15" s="11"/>
      <c r="MNW15" s="11"/>
      <c r="MNX15" s="11"/>
      <c r="MNY15" s="11"/>
      <c r="MNZ15" s="11"/>
      <c r="MOA15" s="11"/>
      <c r="MOB15" s="11"/>
      <c r="MOC15" s="11"/>
      <c r="MOD15" s="11"/>
      <c r="MOE15" s="11"/>
      <c r="MOF15" s="11"/>
      <c r="MOG15" s="11"/>
      <c r="MOH15" s="11"/>
      <c r="MOI15" s="11"/>
      <c r="MOJ15" s="11"/>
      <c r="MOK15" s="11"/>
      <c r="MOL15" s="11"/>
      <c r="MOM15" s="11"/>
      <c r="MON15" s="11"/>
      <c r="MOO15" s="11"/>
      <c r="MOP15" s="11"/>
      <c r="MOQ15" s="11"/>
      <c r="MOR15" s="11"/>
      <c r="MOS15" s="11"/>
      <c r="MOT15" s="11"/>
      <c r="MOU15" s="11"/>
      <c r="MOV15" s="11"/>
      <c r="MOW15" s="11"/>
      <c r="MOX15" s="11"/>
      <c r="MOY15" s="11"/>
      <c r="MOZ15" s="11"/>
      <c r="MPA15" s="11"/>
      <c r="MPB15" s="11"/>
      <c r="MPC15" s="11"/>
      <c r="MPD15" s="11"/>
      <c r="MPE15" s="11"/>
      <c r="MPF15" s="11"/>
      <c r="MPG15" s="11"/>
      <c r="MPH15" s="11"/>
      <c r="MPI15" s="11"/>
      <c r="MPJ15" s="11"/>
      <c r="MPK15" s="11"/>
      <c r="MPL15" s="11"/>
      <c r="MPM15" s="11"/>
      <c r="MPN15" s="11"/>
      <c r="MPO15" s="11"/>
      <c r="MPP15" s="11"/>
      <c r="MPQ15" s="11"/>
      <c r="MPR15" s="11"/>
      <c r="MPS15" s="11"/>
      <c r="MPT15" s="11"/>
      <c r="MPU15" s="11"/>
      <c r="MPV15" s="11"/>
      <c r="MPW15" s="11"/>
      <c r="MPX15" s="11"/>
      <c r="MPY15" s="11"/>
      <c r="MPZ15" s="11"/>
      <c r="MQA15" s="11"/>
      <c r="MQB15" s="11"/>
      <c r="MQC15" s="11"/>
      <c r="MQD15" s="11"/>
      <c r="MQE15" s="11"/>
      <c r="MQF15" s="11"/>
      <c r="MQG15" s="11"/>
      <c r="MQH15" s="11"/>
      <c r="MQI15" s="11"/>
      <c r="MQJ15" s="11"/>
      <c r="MQK15" s="11"/>
      <c r="MQL15" s="11"/>
      <c r="MQM15" s="11"/>
      <c r="MQN15" s="11"/>
      <c r="MQO15" s="11"/>
      <c r="MQP15" s="11"/>
      <c r="MQQ15" s="11"/>
      <c r="MQR15" s="11"/>
      <c r="MQS15" s="11"/>
      <c r="MQT15" s="11"/>
      <c r="MQU15" s="11"/>
      <c r="MQV15" s="11"/>
      <c r="MQW15" s="11"/>
      <c r="MQX15" s="11"/>
      <c r="MQY15" s="11"/>
      <c r="MQZ15" s="11"/>
      <c r="MRA15" s="11"/>
      <c r="MRB15" s="11"/>
      <c r="MRC15" s="11"/>
      <c r="MRD15" s="11"/>
      <c r="MRE15" s="11"/>
      <c r="MRF15" s="11"/>
      <c r="MRG15" s="11"/>
      <c r="MRH15" s="11"/>
      <c r="MRI15" s="11"/>
      <c r="MRJ15" s="11"/>
      <c r="MRK15" s="11"/>
      <c r="MRL15" s="11"/>
      <c r="MRM15" s="11"/>
      <c r="MRN15" s="11"/>
      <c r="MRO15" s="11"/>
      <c r="MRP15" s="11"/>
      <c r="MRQ15" s="11"/>
      <c r="MRR15" s="11"/>
      <c r="MRS15" s="11"/>
      <c r="MRT15" s="11"/>
      <c r="MRU15" s="11"/>
      <c r="MRV15" s="11"/>
      <c r="MRW15" s="11"/>
      <c r="MRX15" s="11"/>
      <c r="MRY15" s="11"/>
      <c r="MRZ15" s="11"/>
      <c r="MSA15" s="11"/>
      <c r="MSB15" s="11"/>
      <c r="MSC15" s="11"/>
      <c r="MSD15" s="11"/>
      <c r="MSE15" s="11"/>
      <c r="MSF15" s="11"/>
      <c r="MSG15" s="11"/>
      <c r="MSH15" s="11"/>
      <c r="MSI15" s="11"/>
      <c r="MSJ15" s="11"/>
      <c r="MSK15" s="11"/>
      <c r="MSL15" s="11"/>
      <c r="MSM15" s="11"/>
      <c r="MSN15" s="11"/>
      <c r="MSO15" s="11"/>
      <c r="MSP15" s="11"/>
      <c r="MSQ15" s="11"/>
      <c r="MSR15" s="11"/>
      <c r="MSS15" s="11"/>
      <c r="MST15" s="11"/>
      <c r="MSU15" s="11"/>
      <c r="MSV15" s="11"/>
      <c r="MSW15" s="11"/>
      <c r="MSX15" s="11"/>
      <c r="MSY15" s="11"/>
      <c r="MSZ15" s="11"/>
      <c r="MTA15" s="11"/>
      <c r="MTB15" s="11"/>
      <c r="MTC15" s="11"/>
      <c r="MTD15" s="11"/>
      <c r="MTE15" s="11"/>
      <c r="MTF15" s="11"/>
      <c r="MTG15" s="11"/>
      <c r="MTH15" s="11"/>
      <c r="MTI15" s="11"/>
      <c r="MTJ15" s="11"/>
      <c r="MTK15" s="11"/>
      <c r="MTL15" s="11"/>
      <c r="MTM15" s="11"/>
      <c r="MTN15" s="11"/>
      <c r="MTO15" s="11"/>
      <c r="MTP15" s="11"/>
      <c r="MTQ15" s="11"/>
      <c r="MTR15" s="11"/>
      <c r="MTS15" s="11"/>
      <c r="MTT15" s="11"/>
      <c r="MTU15" s="11"/>
      <c r="MTV15" s="11"/>
      <c r="MTW15" s="11"/>
      <c r="MTX15" s="11"/>
      <c r="MTY15" s="11"/>
      <c r="MTZ15" s="11"/>
      <c r="MUA15" s="11"/>
      <c r="MUB15" s="11"/>
      <c r="MUC15" s="11"/>
      <c r="MUD15" s="11"/>
      <c r="MUE15" s="11"/>
      <c r="MUF15" s="11"/>
      <c r="MUG15" s="11"/>
      <c r="MUH15" s="11"/>
      <c r="MUI15" s="11"/>
      <c r="MUJ15" s="11"/>
      <c r="MUK15" s="11"/>
      <c r="MUL15" s="11"/>
      <c r="MUM15" s="11"/>
      <c r="MUN15" s="11"/>
      <c r="MUO15" s="11"/>
      <c r="MUP15" s="11"/>
      <c r="MUQ15" s="11"/>
      <c r="MUR15" s="11"/>
      <c r="MUS15" s="11"/>
      <c r="MUT15" s="11"/>
      <c r="MUU15" s="11"/>
      <c r="MUV15" s="11"/>
      <c r="MUW15" s="11"/>
      <c r="MUX15" s="11"/>
      <c r="MUY15" s="11"/>
      <c r="MUZ15" s="11"/>
      <c r="MVA15" s="11"/>
      <c r="MVB15" s="11"/>
      <c r="MVC15" s="11"/>
      <c r="MVD15" s="11"/>
      <c r="MVE15" s="11"/>
      <c r="MVF15" s="11"/>
      <c r="MVG15" s="11"/>
      <c r="MVH15" s="11"/>
      <c r="MVI15" s="11"/>
      <c r="MVJ15" s="11"/>
      <c r="MVK15" s="11"/>
      <c r="MVL15" s="11"/>
      <c r="MVM15" s="11"/>
      <c r="MVN15" s="11"/>
      <c r="MVO15" s="11"/>
      <c r="MVP15" s="11"/>
      <c r="MVQ15" s="11"/>
      <c r="MVR15" s="11"/>
      <c r="MVS15" s="11"/>
      <c r="MVT15" s="11"/>
      <c r="MVU15" s="11"/>
      <c r="MVV15" s="11"/>
      <c r="MVW15" s="11"/>
      <c r="MVX15" s="11"/>
      <c r="MVY15" s="11"/>
      <c r="MVZ15" s="11"/>
      <c r="MWA15" s="11"/>
      <c r="MWB15" s="11"/>
      <c r="MWC15" s="11"/>
      <c r="MWD15" s="11"/>
      <c r="MWE15" s="11"/>
      <c r="MWF15" s="11"/>
      <c r="MWG15" s="11"/>
      <c r="MWH15" s="11"/>
      <c r="MWI15" s="11"/>
      <c r="MWJ15" s="11"/>
      <c r="MWK15" s="11"/>
      <c r="MWL15" s="11"/>
      <c r="MWM15" s="11"/>
      <c r="MWN15" s="11"/>
      <c r="MWO15" s="11"/>
      <c r="MWP15" s="11"/>
      <c r="MWQ15" s="11"/>
      <c r="MWR15" s="11"/>
      <c r="MWS15" s="11"/>
      <c r="MWT15" s="11"/>
      <c r="MWU15" s="11"/>
      <c r="MWV15" s="11"/>
      <c r="MWW15" s="11"/>
      <c r="MWX15" s="11"/>
      <c r="MWY15" s="11"/>
      <c r="MWZ15" s="11"/>
      <c r="MXA15" s="11"/>
      <c r="MXB15" s="11"/>
      <c r="MXC15" s="11"/>
      <c r="MXD15" s="11"/>
      <c r="MXE15" s="11"/>
      <c r="MXF15" s="11"/>
      <c r="MXG15" s="11"/>
      <c r="MXH15" s="11"/>
      <c r="MXI15" s="11"/>
      <c r="MXJ15" s="11"/>
      <c r="MXK15" s="11"/>
      <c r="MXL15" s="11"/>
      <c r="MXM15" s="11"/>
      <c r="MXN15" s="11"/>
      <c r="MXO15" s="11"/>
      <c r="MXP15" s="11"/>
      <c r="MXQ15" s="11"/>
      <c r="MXR15" s="11"/>
      <c r="MXS15" s="11"/>
      <c r="MXT15" s="11"/>
      <c r="MXU15" s="11"/>
      <c r="MXV15" s="11"/>
      <c r="MXW15" s="11"/>
      <c r="MXX15" s="11"/>
      <c r="MXY15" s="11"/>
      <c r="MXZ15" s="11"/>
      <c r="MYA15" s="11"/>
      <c r="MYB15" s="11"/>
      <c r="MYC15" s="11"/>
      <c r="MYD15" s="11"/>
      <c r="MYE15" s="11"/>
      <c r="MYF15" s="11"/>
      <c r="MYG15" s="11"/>
      <c r="MYH15" s="11"/>
      <c r="MYI15" s="11"/>
      <c r="MYJ15" s="11"/>
      <c r="MYK15" s="11"/>
      <c r="MYL15" s="11"/>
      <c r="MYM15" s="11"/>
      <c r="MYN15" s="11"/>
      <c r="MYO15" s="11"/>
      <c r="MYP15" s="11"/>
      <c r="MYQ15" s="11"/>
      <c r="MYR15" s="11"/>
      <c r="MYS15" s="11"/>
      <c r="MYT15" s="11"/>
      <c r="MYU15" s="11"/>
      <c r="MYV15" s="11"/>
      <c r="MYW15" s="11"/>
      <c r="MYX15" s="11"/>
      <c r="MYY15" s="11"/>
      <c r="MYZ15" s="11"/>
      <c r="MZA15" s="11"/>
      <c r="MZB15" s="11"/>
      <c r="MZC15" s="11"/>
      <c r="MZD15" s="11"/>
      <c r="MZE15" s="11"/>
      <c r="MZF15" s="11"/>
      <c r="MZG15" s="11"/>
      <c r="MZH15" s="11"/>
      <c r="MZI15" s="11"/>
      <c r="MZJ15" s="11"/>
      <c r="MZK15" s="11"/>
      <c r="MZL15" s="11"/>
      <c r="MZM15" s="11"/>
      <c r="MZN15" s="11"/>
      <c r="MZO15" s="11"/>
      <c r="MZP15" s="11"/>
      <c r="MZQ15" s="11"/>
      <c r="MZR15" s="11"/>
      <c r="MZS15" s="11"/>
      <c r="MZT15" s="11"/>
      <c r="MZU15" s="11"/>
      <c r="MZV15" s="11"/>
      <c r="MZW15" s="11"/>
      <c r="MZX15" s="11"/>
      <c r="MZY15" s="11"/>
      <c r="MZZ15" s="11"/>
      <c r="NAA15" s="11"/>
      <c r="NAB15" s="11"/>
      <c r="NAC15" s="11"/>
      <c r="NAD15" s="11"/>
      <c r="NAE15" s="11"/>
      <c r="NAF15" s="11"/>
      <c r="NAG15" s="11"/>
      <c r="NAH15" s="11"/>
      <c r="NAI15" s="11"/>
      <c r="NAJ15" s="11"/>
      <c r="NAK15" s="11"/>
      <c r="NAL15" s="11"/>
      <c r="NAM15" s="11"/>
      <c r="NAN15" s="11"/>
      <c r="NAO15" s="11"/>
      <c r="NAP15" s="11"/>
      <c r="NAQ15" s="11"/>
      <c r="NAR15" s="11"/>
      <c r="NAS15" s="11"/>
      <c r="NAT15" s="11"/>
      <c r="NAU15" s="11"/>
      <c r="NAV15" s="11"/>
      <c r="NAW15" s="11"/>
      <c r="NAX15" s="11"/>
      <c r="NAY15" s="11"/>
      <c r="NAZ15" s="11"/>
      <c r="NBA15" s="11"/>
      <c r="NBB15" s="11"/>
      <c r="NBC15" s="11"/>
      <c r="NBD15" s="11"/>
      <c r="NBE15" s="11"/>
      <c r="NBF15" s="11"/>
      <c r="NBG15" s="11"/>
      <c r="NBH15" s="11"/>
      <c r="NBI15" s="11"/>
      <c r="NBJ15" s="11"/>
      <c r="NBK15" s="11"/>
      <c r="NBL15" s="11"/>
      <c r="NBM15" s="11"/>
      <c r="NBN15" s="11"/>
      <c r="NBO15" s="11"/>
      <c r="NBP15" s="11"/>
      <c r="NBQ15" s="11"/>
      <c r="NBR15" s="11"/>
      <c r="NBS15" s="11"/>
      <c r="NBT15" s="11"/>
      <c r="NBU15" s="11"/>
      <c r="NBV15" s="11"/>
      <c r="NBW15" s="11"/>
      <c r="NBX15" s="11"/>
      <c r="NBY15" s="11"/>
      <c r="NBZ15" s="11"/>
      <c r="NCA15" s="11"/>
      <c r="NCB15" s="11"/>
      <c r="NCC15" s="11"/>
      <c r="NCD15" s="11"/>
      <c r="NCE15" s="11"/>
      <c r="NCF15" s="11"/>
      <c r="NCG15" s="11"/>
      <c r="NCH15" s="11"/>
      <c r="NCI15" s="11"/>
      <c r="NCJ15" s="11"/>
      <c r="NCK15" s="11"/>
      <c r="NCL15" s="11"/>
      <c r="NCM15" s="11"/>
      <c r="NCN15" s="11"/>
      <c r="NCO15" s="11"/>
      <c r="NCP15" s="11"/>
      <c r="NCQ15" s="11"/>
      <c r="NCR15" s="11"/>
      <c r="NCS15" s="11"/>
      <c r="NCT15" s="11"/>
      <c r="NCU15" s="11"/>
      <c r="NCV15" s="11"/>
      <c r="NCW15" s="11"/>
      <c r="NCX15" s="11"/>
      <c r="NCY15" s="11"/>
      <c r="NCZ15" s="11"/>
      <c r="NDA15" s="11"/>
      <c r="NDB15" s="11"/>
      <c r="NDC15" s="11"/>
      <c r="NDD15" s="11"/>
      <c r="NDE15" s="11"/>
      <c r="NDF15" s="11"/>
      <c r="NDG15" s="11"/>
      <c r="NDH15" s="11"/>
      <c r="NDI15" s="11"/>
      <c r="NDJ15" s="11"/>
      <c r="NDK15" s="11"/>
      <c r="NDL15" s="11"/>
      <c r="NDM15" s="11"/>
      <c r="NDN15" s="11"/>
      <c r="NDO15" s="11"/>
      <c r="NDP15" s="11"/>
      <c r="NDQ15" s="11"/>
      <c r="NDR15" s="11"/>
      <c r="NDS15" s="11"/>
      <c r="NDT15" s="11"/>
      <c r="NDU15" s="11"/>
      <c r="NDV15" s="11"/>
      <c r="NDW15" s="11"/>
      <c r="NDX15" s="11"/>
      <c r="NDY15" s="11"/>
      <c r="NDZ15" s="11"/>
      <c r="NEA15" s="11"/>
      <c r="NEB15" s="11"/>
      <c r="NEC15" s="11"/>
      <c r="NED15" s="11"/>
      <c r="NEE15" s="11"/>
      <c r="NEF15" s="11"/>
      <c r="NEG15" s="11"/>
      <c r="NEH15" s="11"/>
      <c r="NEI15" s="11"/>
      <c r="NEJ15" s="11"/>
      <c r="NEK15" s="11"/>
      <c r="NEL15" s="11"/>
      <c r="NEM15" s="11"/>
      <c r="NEN15" s="11"/>
      <c r="NEO15" s="11"/>
      <c r="NEP15" s="11"/>
      <c r="NEQ15" s="11"/>
      <c r="NER15" s="11"/>
      <c r="NES15" s="11"/>
      <c r="NET15" s="11"/>
      <c r="NEU15" s="11"/>
      <c r="NEV15" s="11"/>
      <c r="NEW15" s="11"/>
      <c r="NEX15" s="11"/>
      <c r="NEY15" s="11"/>
      <c r="NEZ15" s="11"/>
      <c r="NFA15" s="11"/>
      <c r="NFB15" s="11"/>
      <c r="NFC15" s="11"/>
      <c r="NFD15" s="11"/>
      <c r="NFE15" s="11"/>
      <c r="NFF15" s="11"/>
      <c r="NFG15" s="11"/>
      <c r="NFH15" s="11"/>
      <c r="NFI15" s="11"/>
      <c r="NFJ15" s="11"/>
      <c r="NFK15" s="11"/>
      <c r="NFL15" s="11"/>
      <c r="NFM15" s="11"/>
      <c r="NFN15" s="11"/>
      <c r="NFO15" s="11"/>
      <c r="NFP15" s="11"/>
      <c r="NFQ15" s="11"/>
      <c r="NFR15" s="11"/>
      <c r="NFS15" s="11"/>
      <c r="NFT15" s="11"/>
      <c r="NFU15" s="11"/>
      <c r="NFV15" s="11"/>
      <c r="NFW15" s="11"/>
      <c r="NFX15" s="11"/>
      <c r="NFY15" s="11"/>
      <c r="NFZ15" s="11"/>
      <c r="NGA15" s="11"/>
      <c r="NGB15" s="11"/>
      <c r="NGC15" s="11"/>
      <c r="NGD15" s="11"/>
      <c r="NGE15" s="11"/>
      <c r="NGF15" s="11"/>
      <c r="NGG15" s="11"/>
      <c r="NGH15" s="11"/>
      <c r="NGI15" s="11"/>
      <c r="NGJ15" s="11"/>
      <c r="NGK15" s="11"/>
      <c r="NGL15" s="11"/>
      <c r="NGM15" s="11"/>
      <c r="NGN15" s="11"/>
      <c r="NGO15" s="11"/>
      <c r="NGP15" s="11"/>
      <c r="NGQ15" s="11"/>
      <c r="NGR15" s="11"/>
      <c r="NGS15" s="11"/>
      <c r="NGT15" s="11"/>
      <c r="NGU15" s="11"/>
      <c r="NGV15" s="11"/>
      <c r="NGW15" s="11"/>
      <c r="NGX15" s="11"/>
      <c r="NGY15" s="11"/>
      <c r="NGZ15" s="11"/>
      <c r="NHA15" s="11"/>
      <c r="NHB15" s="11"/>
      <c r="NHC15" s="11"/>
      <c r="NHD15" s="11"/>
      <c r="NHE15" s="11"/>
      <c r="NHF15" s="11"/>
      <c r="NHG15" s="11"/>
      <c r="NHH15" s="11"/>
      <c r="NHI15" s="11"/>
      <c r="NHJ15" s="11"/>
      <c r="NHK15" s="11"/>
      <c r="NHL15" s="11"/>
      <c r="NHM15" s="11"/>
      <c r="NHN15" s="11"/>
      <c r="NHO15" s="11"/>
      <c r="NHP15" s="11"/>
      <c r="NHQ15" s="11"/>
      <c r="NHR15" s="11"/>
      <c r="NHS15" s="11"/>
      <c r="NHT15" s="11"/>
      <c r="NHU15" s="11"/>
      <c r="NHV15" s="11"/>
      <c r="NHW15" s="11"/>
      <c r="NHX15" s="11"/>
      <c r="NHY15" s="11"/>
      <c r="NHZ15" s="11"/>
      <c r="NIA15" s="11"/>
      <c r="NIB15" s="11"/>
      <c r="NIC15" s="11"/>
      <c r="NID15" s="11"/>
      <c r="NIE15" s="11"/>
      <c r="NIF15" s="11"/>
      <c r="NIG15" s="11"/>
      <c r="NIH15" s="11"/>
      <c r="NII15" s="11"/>
      <c r="NIJ15" s="11"/>
      <c r="NIK15" s="11"/>
      <c r="NIL15" s="11"/>
      <c r="NIM15" s="11"/>
      <c r="NIN15" s="11"/>
      <c r="NIO15" s="11"/>
      <c r="NIP15" s="11"/>
      <c r="NIQ15" s="11"/>
      <c r="NIR15" s="11"/>
      <c r="NIS15" s="11"/>
      <c r="NIT15" s="11"/>
      <c r="NIU15" s="11"/>
      <c r="NIV15" s="11"/>
      <c r="NIW15" s="11"/>
      <c r="NIX15" s="11"/>
      <c r="NIY15" s="11"/>
      <c r="NIZ15" s="11"/>
      <c r="NJA15" s="11"/>
      <c r="NJB15" s="11"/>
      <c r="NJC15" s="11"/>
      <c r="NJD15" s="11"/>
      <c r="NJE15" s="11"/>
      <c r="NJF15" s="11"/>
      <c r="NJG15" s="11"/>
      <c r="NJH15" s="11"/>
      <c r="NJI15" s="11"/>
      <c r="NJJ15" s="11"/>
      <c r="NJK15" s="11"/>
      <c r="NJL15" s="11"/>
      <c r="NJM15" s="11"/>
      <c r="NJN15" s="11"/>
      <c r="NJO15" s="11"/>
      <c r="NJP15" s="11"/>
      <c r="NJQ15" s="11"/>
      <c r="NJR15" s="11"/>
      <c r="NJS15" s="11"/>
      <c r="NJT15" s="11"/>
      <c r="NJU15" s="11"/>
      <c r="NJV15" s="11"/>
      <c r="NJW15" s="11"/>
      <c r="NJX15" s="11"/>
      <c r="NJY15" s="11"/>
      <c r="NJZ15" s="11"/>
      <c r="NKA15" s="11"/>
      <c r="NKB15" s="11"/>
      <c r="NKC15" s="11"/>
      <c r="NKD15" s="11"/>
      <c r="NKE15" s="11"/>
      <c r="NKF15" s="11"/>
      <c r="NKG15" s="11"/>
      <c r="NKH15" s="11"/>
      <c r="NKI15" s="11"/>
      <c r="NKJ15" s="11"/>
      <c r="NKK15" s="11"/>
      <c r="NKL15" s="11"/>
      <c r="NKM15" s="11"/>
      <c r="NKN15" s="11"/>
      <c r="NKO15" s="11"/>
      <c r="NKP15" s="11"/>
      <c r="NKQ15" s="11"/>
      <c r="NKR15" s="11"/>
      <c r="NKS15" s="11"/>
      <c r="NKT15" s="11"/>
      <c r="NKU15" s="11"/>
      <c r="NKV15" s="11"/>
      <c r="NKW15" s="11"/>
      <c r="NKX15" s="11"/>
      <c r="NKY15" s="11"/>
      <c r="NKZ15" s="11"/>
      <c r="NLA15" s="11"/>
      <c r="NLB15" s="11"/>
      <c r="NLC15" s="11"/>
      <c r="NLD15" s="11"/>
      <c r="NLE15" s="11"/>
      <c r="NLF15" s="11"/>
      <c r="NLG15" s="11"/>
      <c r="NLH15" s="11"/>
      <c r="NLI15" s="11"/>
      <c r="NLJ15" s="11"/>
      <c r="NLK15" s="11"/>
      <c r="NLL15" s="11"/>
      <c r="NLM15" s="11"/>
      <c r="NLN15" s="11"/>
      <c r="NLO15" s="11"/>
      <c r="NLP15" s="11"/>
      <c r="NLQ15" s="11"/>
      <c r="NLR15" s="11"/>
      <c r="NLS15" s="11"/>
      <c r="NLT15" s="11"/>
      <c r="NLU15" s="11"/>
      <c r="NLV15" s="11"/>
      <c r="NLW15" s="11"/>
      <c r="NLX15" s="11"/>
      <c r="NLY15" s="11"/>
      <c r="NLZ15" s="11"/>
      <c r="NMA15" s="11"/>
      <c r="NMB15" s="11"/>
      <c r="NMC15" s="11"/>
      <c r="NMD15" s="11"/>
      <c r="NME15" s="11"/>
      <c r="NMF15" s="11"/>
      <c r="NMG15" s="11"/>
      <c r="NMH15" s="11"/>
      <c r="NMI15" s="11"/>
      <c r="NMJ15" s="11"/>
      <c r="NMK15" s="11"/>
      <c r="NML15" s="11"/>
      <c r="NMM15" s="11"/>
      <c r="NMN15" s="11"/>
      <c r="NMO15" s="11"/>
      <c r="NMP15" s="11"/>
      <c r="NMQ15" s="11"/>
      <c r="NMR15" s="11"/>
      <c r="NMS15" s="11"/>
      <c r="NMT15" s="11"/>
      <c r="NMU15" s="11"/>
      <c r="NMV15" s="11"/>
      <c r="NMW15" s="11"/>
      <c r="NMX15" s="11"/>
      <c r="NMY15" s="11"/>
      <c r="NMZ15" s="11"/>
      <c r="NNA15" s="11"/>
      <c r="NNB15" s="11"/>
      <c r="NNC15" s="11"/>
      <c r="NND15" s="11"/>
      <c r="NNE15" s="11"/>
      <c r="NNF15" s="11"/>
      <c r="NNG15" s="11"/>
      <c r="NNH15" s="11"/>
      <c r="NNI15" s="11"/>
      <c r="NNJ15" s="11"/>
      <c r="NNK15" s="11"/>
      <c r="NNL15" s="11"/>
      <c r="NNM15" s="11"/>
      <c r="NNN15" s="11"/>
      <c r="NNO15" s="11"/>
      <c r="NNP15" s="11"/>
      <c r="NNQ15" s="11"/>
      <c r="NNR15" s="11"/>
      <c r="NNS15" s="11"/>
      <c r="NNT15" s="11"/>
      <c r="NNU15" s="11"/>
      <c r="NNV15" s="11"/>
      <c r="NNW15" s="11"/>
      <c r="NNX15" s="11"/>
      <c r="NNY15" s="11"/>
      <c r="NNZ15" s="11"/>
      <c r="NOA15" s="11"/>
      <c r="NOB15" s="11"/>
      <c r="NOC15" s="11"/>
      <c r="NOD15" s="11"/>
      <c r="NOE15" s="11"/>
      <c r="NOF15" s="11"/>
      <c r="NOG15" s="11"/>
      <c r="NOH15" s="11"/>
      <c r="NOI15" s="11"/>
      <c r="NOJ15" s="11"/>
      <c r="NOK15" s="11"/>
      <c r="NOL15" s="11"/>
      <c r="NOM15" s="11"/>
      <c r="NON15" s="11"/>
      <c r="NOO15" s="11"/>
      <c r="NOP15" s="11"/>
      <c r="NOQ15" s="11"/>
      <c r="NOR15" s="11"/>
      <c r="NOS15" s="11"/>
      <c r="NOT15" s="11"/>
      <c r="NOU15" s="11"/>
      <c r="NOV15" s="11"/>
      <c r="NOW15" s="11"/>
      <c r="NOX15" s="11"/>
      <c r="NOY15" s="11"/>
      <c r="NOZ15" s="11"/>
      <c r="NPA15" s="11"/>
      <c r="NPB15" s="11"/>
      <c r="NPC15" s="11"/>
      <c r="NPD15" s="11"/>
      <c r="NPE15" s="11"/>
      <c r="NPF15" s="11"/>
      <c r="NPG15" s="11"/>
      <c r="NPH15" s="11"/>
      <c r="NPI15" s="11"/>
      <c r="NPJ15" s="11"/>
      <c r="NPK15" s="11"/>
      <c r="NPL15" s="11"/>
      <c r="NPM15" s="11"/>
      <c r="NPN15" s="11"/>
      <c r="NPO15" s="11"/>
      <c r="NPP15" s="11"/>
      <c r="NPQ15" s="11"/>
      <c r="NPR15" s="11"/>
      <c r="NPS15" s="11"/>
      <c r="NPT15" s="11"/>
      <c r="NPU15" s="11"/>
      <c r="NPV15" s="11"/>
      <c r="NPW15" s="11"/>
      <c r="NPX15" s="11"/>
      <c r="NPY15" s="11"/>
      <c r="NPZ15" s="11"/>
      <c r="NQA15" s="11"/>
      <c r="NQB15" s="11"/>
      <c r="NQC15" s="11"/>
      <c r="NQD15" s="11"/>
      <c r="NQE15" s="11"/>
      <c r="NQF15" s="11"/>
      <c r="NQG15" s="11"/>
      <c r="NQH15" s="11"/>
      <c r="NQI15" s="11"/>
      <c r="NQJ15" s="11"/>
      <c r="NQK15" s="11"/>
      <c r="NQL15" s="11"/>
      <c r="NQM15" s="11"/>
      <c r="NQN15" s="11"/>
      <c r="NQO15" s="11"/>
      <c r="NQP15" s="11"/>
      <c r="NQQ15" s="11"/>
      <c r="NQR15" s="11"/>
      <c r="NQS15" s="11"/>
      <c r="NQT15" s="11"/>
      <c r="NQU15" s="11"/>
      <c r="NQV15" s="11"/>
      <c r="NQW15" s="11"/>
      <c r="NQX15" s="11"/>
      <c r="NQY15" s="11"/>
      <c r="NQZ15" s="11"/>
      <c r="NRA15" s="11"/>
      <c r="NRB15" s="11"/>
      <c r="NRC15" s="11"/>
      <c r="NRD15" s="11"/>
      <c r="NRE15" s="11"/>
      <c r="NRF15" s="11"/>
      <c r="NRG15" s="11"/>
      <c r="NRH15" s="11"/>
      <c r="NRI15" s="11"/>
      <c r="NRJ15" s="11"/>
      <c r="NRK15" s="11"/>
      <c r="NRL15" s="11"/>
      <c r="NRM15" s="11"/>
      <c r="NRN15" s="11"/>
      <c r="NRO15" s="11"/>
      <c r="NRP15" s="11"/>
      <c r="NRQ15" s="11"/>
      <c r="NRR15" s="11"/>
      <c r="NRS15" s="11"/>
      <c r="NRT15" s="11"/>
      <c r="NRU15" s="11"/>
      <c r="NRV15" s="11"/>
      <c r="NRW15" s="11"/>
      <c r="NRX15" s="11"/>
      <c r="NRY15" s="11"/>
      <c r="NRZ15" s="11"/>
      <c r="NSA15" s="11"/>
      <c r="NSB15" s="11"/>
      <c r="NSC15" s="11"/>
      <c r="NSD15" s="11"/>
      <c r="NSE15" s="11"/>
      <c r="NSF15" s="11"/>
      <c r="NSG15" s="11"/>
      <c r="NSH15" s="11"/>
      <c r="NSI15" s="11"/>
      <c r="NSJ15" s="11"/>
      <c r="NSK15" s="11"/>
      <c r="NSL15" s="11"/>
      <c r="NSM15" s="11"/>
      <c r="NSN15" s="11"/>
      <c r="NSO15" s="11"/>
      <c r="NSP15" s="11"/>
      <c r="NSQ15" s="11"/>
      <c r="NSR15" s="11"/>
      <c r="NSS15" s="11"/>
      <c r="NST15" s="11"/>
      <c r="NSU15" s="11"/>
      <c r="NSV15" s="11"/>
      <c r="NSW15" s="11"/>
      <c r="NSX15" s="11"/>
      <c r="NSY15" s="11"/>
      <c r="NSZ15" s="11"/>
      <c r="NTA15" s="11"/>
      <c r="NTB15" s="11"/>
      <c r="NTC15" s="11"/>
      <c r="NTD15" s="11"/>
      <c r="NTE15" s="11"/>
      <c r="NTF15" s="11"/>
      <c r="NTG15" s="11"/>
      <c r="NTH15" s="11"/>
      <c r="NTI15" s="11"/>
      <c r="NTJ15" s="11"/>
      <c r="NTK15" s="11"/>
      <c r="NTL15" s="11"/>
      <c r="NTM15" s="11"/>
      <c r="NTN15" s="11"/>
      <c r="NTO15" s="11"/>
      <c r="NTP15" s="11"/>
      <c r="NTQ15" s="11"/>
      <c r="NTR15" s="11"/>
      <c r="NTS15" s="11"/>
      <c r="NTT15" s="11"/>
      <c r="NTU15" s="11"/>
      <c r="NTV15" s="11"/>
      <c r="NTW15" s="11"/>
      <c r="NTX15" s="11"/>
      <c r="NTY15" s="11"/>
      <c r="NTZ15" s="11"/>
      <c r="NUA15" s="11"/>
      <c r="NUB15" s="11"/>
      <c r="NUC15" s="11"/>
      <c r="NUD15" s="11"/>
      <c r="NUE15" s="11"/>
      <c r="NUF15" s="11"/>
      <c r="NUG15" s="11"/>
      <c r="NUH15" s="11"/>
      <c r="NUI15" s="11"/>
      <c r="NUJ15" s="11"/>
      <c r="NUK15" s="11"/>
      <c r="NUL15" s="11"/>
      <c r="NUM15" s="11"/>
      <c r="NUN15" s="11"/>
      <c r="NUO15" s="11"/>
      <c r="NUP15" s="11"/>
      <c r="NUQ15" s="11"/>
      <c r="NUR15" s="11"/>
      <c r="NUS15" s="11"/>
      <c r="NUT15" s="11"/>
      <c r="NUU15" s="11"/>
      <c r="NUV15" s="11"/>
      <c r="NUW15" s="11"/>
      <c r="NUX15" s="11"/>
      <c r="NUY15" s="11"/>
      <c r="NUZ15" s="11"/>
      <c r="NVA15" s="11"/>
      <c r="NVB15" s="11"/>
      <c r="NVC15" s="11"/>
      <c r="NVD15" s="11"/>
      <c r="NVE15" s="11"/>
      <c r="NVF15" s="11"/>
      <c r="NVG15" s="11"/>
      <c r="NVH15" s="11"/>
      <c r="NVI15" s="11"/>
      <c r="NVJ15" s="11"/>
      <c r="NVK15" s="11"/>
      <c r="NVL15" s="11"/>
      <c r="NVM15" s="11"/>
      <c r="NVN15" s="11"/>
      <c r="NVO15" s="11"/>
      <c r="NVP15" s="11"/>
      <c r="NVQ15" s="11"/>
      <c r="NVR15" s="11"/>
      <c r="NVS15" s="11"/>
      <c r="NVT15" s="11"/>
      <c r="NVU15" s="11"/>
      <c r="NVV15" s="11"/>
      <c r="NVW15" s="11"/>
      <c r="NVX15" s="11"/>
      <c r="NVY15" s="11"/>
      <c r="NVZ15" s="11"/>
      <c r="NWA15" s="11"/>
      <c r="NWB15" s="11"/>
      <c r="NWC15" s="11"/>
      <c r="NWD15" s="11"/>
      <c r="NWE15" s="11"/>
      <c r="NWF15" s="11"/>
      <c r="NWG15" s="11"/>
      <c r="NWH15" s="11"/>
      <c r="NWI15" s="11"/>
      <c r="NWJ15" s="11"/>
      <c r="NWK15" s="11"/>
      <c r="NWL15" s="11"/>
      <c r="NWM15" s="11"/>
      <c r="NWN15" s="11"/>
      <c r="NWO15" s="11"/>
      <c r="NWP15" s="11"/>
      <c r="NWQ15" s="11"/>
      <c r="NWR15" s="11"/>
      <c r="NWS15" s="11"/>
      <c r="NWT15" s="11"/>
      <c r="NWU15" s="11"/>
      <c r="NWV15" s="11"/>
      <c r="NWW15" s="11"/>
      <c r="NWX15" s="11"/>
      <c r="NWY15" s="11"/>
      <c r="NWZ15" s="11"/>
      <c r="NXA15" s="11"/>
      <c r="NXB15" s="11"/>
      <c r="NXC15" s="11"/>
      <c r="NXD15" s="11"/>
      <c r="NXE15" s="11"/>
      <c r="NXF15" s="11"/>
      <c r="NXG15" s="11"/>
      <c r="NXH15" s="11"/>
      <c r="NXI15" s="11"/>
      <c r="NXJ15" s="11"/>
      <c r="NXK15" s="11"/>
      <c r="NXL15" s="11"/>
      <c r="NXM15" s="11"/>
      <c r="NXN15" s="11"/>
      <c r="NXO15" s="11"/>
      <c r="NXP15" s="11"/>
      <c r="NXQ15" s="11"/>
      <c r="NXR15" s="11"/>
      <c r="NXS15" s="11"/>
      <c r="NXT15" s="11"/>
      <c r="NXU15" s="11"/>
      <c r="NXV15" s="11"/>
      <c r="NXW15" s="11"/>
      <c r="NXX15" s="11"/>
      <c r="NXY15" s="11"/>
      <c r="NXZ15" s="11"/>
      <c r="NYA15" s="11"/>
      <c r="NYB15" s="11"/>
      <c r="NYC15" s="11"/>
      <c r="NYD15" s="11"/>
      <c r="NYE15" s="11"/>
      <c r="NYF15" s="11"/>
      <c r="NYG15" s="11"/>
      <c r="NYH15" s="11"/>
      <c r="NYI15" s="11"/>
      <c r="NYJ15" s="11"/>
      <c r="NYK15" s="11"/>
      <c r="NYL15" s="11"/>
      <c r="NYM15" s="11"/>
      <c r="NYN15" s="11"/>
      <c r="NYO15" s="11"/>
      <c r="NYP15" s="11"/>
      <c r="NYQ15" s="11"/>
      <c r="NYR15" s="11"/>
      <c r="NYS15" s="11"/>
      <c r="NYT15" s="11"/>
      <c r="NYU15" s="11"/>
      <c r="NYV15" s="11"/>
      <c r="NYW15" s="11"/>
      <c r="NYX15" s="11"/>
      <c r="NYY15" s="11"/>
      <c r="NYZ15" s="11"/>
      <c r="NZA15" s="11"/>
      <c r="NZB15" s="11"/>
      <c r="NZC15" s="11"/>
      <c r="NZD15" s="11"/>
      <c r="NZE15" s="11"/>
      <c r="NZF15" s="11"/>
      <c r="NZG15" s="11"/>
      <c r="NZH15" s="11"/>
      <c r="NZI15" s="11"/>
      <c r="NZJ15" s="11"/>
      <c r="NZK15" s="11"/>
      <c r="NZL15" s="11"/>
      <c r="NZM15" s="11"/>
      <c r="NZN15" s="11"/>
      <c r="NZO15" s="11"/>
      <c r="NZP15" s="11"/>
      <c r="NZQ15" s="11"/>
      <c r="NZR15" s="11"/>
      <c r="NZS15" s="11"/>
      <c r="NZT15" s="11"/>
      <c r="NZU15" s="11"/>
      <c r="NZV15" s="11"/>
      <c r="NZW15" s="11"/>
      <c r="NZX15" s="11"/>
      <c r="NZY15" s="11"/>
      <c r="NZZ15" s="11"/>
      <c r="OAA15" s="11"/>
      <c r="OAB15" s="11"/>
      <c r="OAC15" s="11"/>
      <c r="OAD15" s="11"/>
      <c r="OAE15" s="11"/>
      <c r="OAF15" s="11"/>
      <c r="OAG15" s="11"/>
      <c r="OAH15" s="11"/>
      <c r="OAI15" s="11"/>
      <c r="OAJ15" s="11"/>
      <c r="OAK15" s="11"/>
      <c r="OAL15" s="11"/>
      <c r="OAM15" s="11"/>
      <c r="OAN15" s="11"/>
      <c r="OAO15" s="11"/>
      <c r="OAP15" s="11"/>
      <c r="OAQ15" s="11"/>
      <c r="OAR15" s="11"/>
      <c r="OAS15" s="11"/>
      <c r="OAT15" s="11"/>
      <c r="OAU15" s="11"/>
      <c r="OAV15" s="11"/>
      <c r="OAW15" s="11"/>
      <c r="OAX15" s="11"/>
      <c r="OAY15" s="11"/>
      <c r="OAZ15" s="11"/>
      <c r="OBA15" s="11"/>
      <c r="OBB15" s="11"/>
      <c r="OBC15" s="11"/>
      <c r="OBD15" s="11"/>
      <c r="OBE15" s="11"/>
      <c r="OBF15" s="11"/>
      <c r="OBG15" s="11"/>
      <c r="OBH15" s="11"/>
      <c r="OBI15" s="11"/>
      <c r="OBJ15" s="11"/>
      <c r="OBK15" s="11"/>
      <c r="OBL15" s="11"/>
      <c r="OBM15" s="11"/>
      <c r="OBN15" s="11"/>
      <c r="OBO15" s="11"/>
      <c r="OBP15" s="11"/>
      <c r="OBQ15" s="11"/>
      <c r="OBR15" s="11"/>
      <c r="OBS15" s="11"/>
      <c r="OBT15" s="11"/>
      <c r="OBU15" s="11"/>
      <c r="OBV15" s="11"/>
      <c r="OBW15" s="11"/>
      <c r="OBX15" s="11"/>
      <c r="OBY15" s="11"/>
      <c r="OBZ15" s="11"/>
      <c r="OCA15" s="11"/>
      <c r="OCB15" s="11"/>
      <c r="OCC15" s="11"/>
      <c r="OCD15" s="11"/>
      <c r="OCE15" s="11"/>
      <c r="OCF15" s="11"/>
      <c r="OCG15" s="11"/>
      <c r="OCH15" s="11"/>
      <c r="OCI15" s="11"/>
      <c r="OCJ15" s="11"/>
      <c r="OCK15" s="11"/>
      <c r="OCL15" s="11"/>
      <c r="OCM15" s="11"/>
      <c r="OCN15" s="11"/>
      <c r="OCO15" s="11"/>
      <c r="OCP15" s="11"/>
      <c r="OCQ15" s="11"/>
      <c r="OCR15" s="11"/>
      <c r="OCS15" s="11"/>
      <c r="OCT15" s="11"/>
      <c r="OCU15" s="11"/>
      <c r="OCV15" s="11"/>
      <c r="OCW15" s="11"/>
      <c r="OCX15" s="11"/>
      <c r="OCY15" s="11"/>
      <c r="OCZ15" s="11"/>
      <c r="ODA15" s="11"/>
      <c r="ODB15" s="11"/>
      <c r="ODC15" s="11"/>
      <c r="ODD15" s="11"/>
      <c r="ODE15" s="11"/>
      <c r="ODF15" s="11"/>
      <c r="ODG15" s="11"/>
      <c r="ODH15" s="11"/>
      <c r="ODI15" s="11"/>
      <c r="ODJ15" s="11"/>
      <c r="ODK15" s="11"/>
      <c r="ODL15" s="11"/>
      <c r="ODM15" s="11"/>
      <c r="ODN15" s="11"/>
      <c r="ODO15" s="11"/>
      <c r="ODP15" s="11"/>
      <c r="ODQ15" s="11"/>
      <c r="ODR15" s="11"/>
      <c r="ODS15" s="11"/>
      <c r="ODT15" s="11"/>
      <c r="ODU15" s="11"/>
      <c r="ODV15" s="11"/>
      <c r="ODW15" s="11"/>
      <c r="ODX15" s="11"/>
      <c r="ODY15" s="11"/>
      <c r="ODZ15" s="11"/>
      <c r="OEA15" s="11"/>
      <c r="OEB15" s="11"/>
      <c r="OEC15" s="11"/>
      <c r="OED15" s="11"/>
      <c r="OEE15" s="11"/>
      <c r="OEF15" s="11"/>
      <c r="OEG15" s="11"/>
      <c r="OEH15" s="11"/>
      <c r="OEI15" s="11"/>
      <c r="OEJ15" s="11"/>
      <c r="OEK15" s="11"/>
      <c r="OEL15" s="11"/>
      <c r="OEM15" s="11"/>
      <c r="OEN15" s="11"/>
      <c r="OEO15" s="11"/>
      <c r="OEP15" s="11"/>
      <c r="OEQ15" s="11"/>
      <c r="OER15" s="11"/>
      <c r="OES15" s="11"/>
      <c r="OET15" s="11"/>
      <c r="OEU15" s="11"/>
      <c r="OEV15" s="11"/>
      <c r="OEW15" s="11"/>
      <c r="OEX15" s="11"/>
      <c r="OEY15" s="11"/>
      <c r="OEZ15" s="11"/>
      <c r="OFA15" s="11"/>
      <c r="OFB15" s="11"/>
      <c r="OFC15" s="11"/>
      <c r="OFD15" s="11"/>
      <c r="OFE15" s="11"/>
      <c r="OFF15" s="11"/>
      <c r="OFG15" s="11"/>
      <c r="OFH15" s="11"/>
      <c r="OFI15" s="11"/>
      <c r="OFJ15" s="11"/>
      <c r="OFK15" s="11"/>
      <c r="OFL15" s="11"/>
      <c r="OFM15" s="11"/>
      <c r="OFN15" s="11"/>
      <c r="OFO15" s="11"/>
      <c r="OFP15" s="11"/>
      <c r="OFQ15" s="11"/>
      <c r="OFR15" s="11"/>
      <c r="OFS15" s="11"/>
      <c r="OFT15" s="11"/>
      <c r="OFU15" s="11"/>
      <c r="OFV15" s="11"/>
      <c r="OFW15" s="11"/>
      <c r="OFX15" s="11"/>
      <c r="OFY15" s="11"/>
      <c r="OFZ15" s="11"/>
      <c r="OGA15" s="11"/>
      <c r="OGB15" s="11"/>
      <c r="OGC15" s="11"/>
      <c r="OGD15" s="11"/>
      <c r="OGE15" s="11"/>
      <c r="OGF15" s="11"/>
      <c r="OGG15" s="11"/>
      <c r="OGH15" s="11"/>
      <c r="OGI15" s="11"/>
      <c r="OGJ15" s="11"/>
      <c r="OGK15" s="11"/>
      <c r="OGL15" s="11"/>
      <c r="OGM15" s="11"/>
      <c r="OGN15" s="11"/>
      <c r="OGO15" s="11"/>
      <c r="OGP15" s="11"/>
      <c r="OGQ15" s="11"/>
      <c r="OGR15" s="11"/>
      <c r="OGS15" s="11"/>
      <c r="OGT15" s="11"/>
      <c r="OGU15" s="11"/>
      <c r="OGV15" s="11"/>
      <c r="OGW15" s="11"/>
      <c r="OGX15" s="11"/>
      <c r="OGY15" s="11"/>
      <c r="OGZ15" s="11"/>
      <c r="OHA15" s="11"/>
      <c r="OHB15" s="11"/>
      <c r="OHC15" s="11"/>
      <c r="OHD15" s="11"/>
      <c r="OHE15" s="11"/>
      <c r="OHF15" s="11"/>
      <c r="OHG15" s="11"/>
      <c r="OHH15" s="11"/>
      <c r="OHI15" s="11"/>
      <c r="OHJ15" s="11"/>
      <c r="OHK15" s="11"/>
      <c r="OHL15" s="11"/>
      <c r="OHM15" s="11"/>
      <c r="OHN15" s="11"/>
      <c r="OHO15" s="11"/>
      <c r="OHP15" s="11"/>
      <c r="OHQ15" s="11"/>
      <c r="OHR15" s="11"/>
      <c r="OHS15" s="11"/>
      <c r="OHT15" s="11"/>
      <c r="OHU15" s="11"/>
      <c r="OHV15" s="11"/>
      <c r="OHW15" s="11"/>
      <c r="OHX15" s="11"/>
      <c r="OHY15" s="11"/>
      <c r="OHZ15" s="11"/>
      <c r="OIA15" s="11"/>
      <c r="OIB15" s="11"/>
      <c r="OIC15" s="11"/>
      <c r="OID15" s="11"/>
      <c r="OIE15" s="11"/>
      <c r="OIF15" s="11"/>
      <c r="OIG15" s="11"/>
      <c r="OIH15" s="11"/>
      <c r="OII15" s="11"/>
      <c r="OIJ15" s="11"/>
      <c r="OIK15" s="11"/>
      <c r="OIL15" s="11"/>
      <c r="OIM15" s="11"/>
      <c r="OIN15" s="11"/>
      <c r="OIO15" s="11"/>
      <c r="OIP15" s="11"/>
      <c r="OIQ15" s="11"/>
      <c r="OIR15" s="11"/>
      <c r="OIS15" s="11"/>
      <c r="OIT15" s="11"/>
      <c r="OIU15" s="11"/>
      <c r="OIV15" s="11"/>
      <c r="OIW15" s="11"/>
      <c r="OIX15" s="11"/>
      <c r="OIY15" s="11"/>
      <c r="OIZ15" s="11"/>
      <c r="OJA15" s="11"/>
      <c r="OJB15" s="11"/>
      <c r="OJC15" s="11"/>
      <c r="OJD15" s="11"/>
      <c r="OJE15" s="11"/>
      <c r="OJF15" s="11"/>
      <c r="OJG15" s="11"/>
      <c r="OJH15" s="11"/>
      <c r="OJI15" s="11"/>
      <c r="OJJ15" s="11"/>
      <c r="OJK15" s="11"/>
      <c r="OJL15" s="11"/>
      <c r="OJM15" s="11"/>
      <c r="OJN15" s="11"/>
      <c r="OJO15" s="11"/>
      <c r="OJP15" s="11"/>
      <c r="OJQ15" s="11"/>
      <c r="OJR15" s="11"/>
      <c r="OJS15" s="11"/>
      <c r="OJT15" s="11"/>
      <c r="OJU15" s="11"/>
      <c r="OJV15" s="11"/>
      <c r="OJW15" s="11"/>
      <c r="OJX15" s="11"/>
      <c r="OJY15" s="11"/>
      <c r="OJZ15" s="11"/>
      <c r="OKA15" s="11"/>
      <c r="OKB15" s="11"/>
      <c r="OKC15" s="11"/>
      <c r="OKD15" s="11"/>
      <c r="OKE15" s="11"/>
      <c r="OKF15" s="11"/>
      <c r="OKG15" s="11"/>
      <c r="OKH15" s="11"/>
      <c r="OKI15" s="11"/>
      <c r="OKJ15" s="11"/>
      <c r="OKK15" s="11"/>
      <c r="OKL15" s="11"/>
      <c r="OKM15" s="11"/>
      <c r="OKN15" s="11"/>
      <c r="OKO15" s="11"/>
      <c r="OKP15" s="11"/>
      <c r="OKQ15" s="11"/>
      <c r="OKR15" s="11"/>
      <c r="OKS15" s="11"/>
      <c r="OKT15" s="11"/>
      <c r="OKU15" s="11"/>
      <c r="OKV15" s="11"/>
      <c r="OKW15" s="11"/>
      <c r="OKX15" s="11"/>
      <c r="OKY15" s="11"/>
      <c r="OKZ15" s="11"/>
      <c r="OLA15" s="11"/>
      <c r="OLB15" s="11"/>
      <c r="OLC15" s="11"/>
      <c r="OLD15" s="11"/>
      <c r="OLE15" s="11"/>
      <c r="OLF15" s="11"/>
      <c r="OLG15" s="11"/>
      <c r="OLH15" s="11"/>
      <c r="OLI15" s="11"/>
      <c r="OLJ15" s="11"/>
      <c r="OLK15" s="11"/>
      <c r="OLL15" s="11"/>
      <c r="OLM15" s="11"/>
      <c r="OLN15" s="11"/>
      <c r="OLO15" s="11"/>
      <c r="OLP15" s="11"/>
      <c r="OLQ15" s="11"/>
      <c r="OLR15" s="11"/>
      <c r="OLS15" s="11"/>
      <c r="OLT15" s="11"/>
      <c r="OLU15" s="11"/>
      <c r="OLV15" s="11"/>
      <c r="OLW15" s="11"/>
      <c r="OLX15" s="11"/>
      <c r="OLY15" s="11"/>
      <c r="OLZ15" s="11"/>
      <c r="OMA15" s="11"/>
      <c r="OMB15" s="11"/>
      <c r="OMC15" s="11"/>
      <c r="OMD15" s="11"/>
      <c r="OME15" s="11"/>
      <c r="OMF15" s="11"/>
      <c r="OMG15" s="11"/>
      <c r="OMH15" s="11"/>
      <c r="OMI15" s="11"/>
      <c r="OMJ15" s="11"/>
      <c r="OMK15" s="11"/>
      <c r="OML15" s="11"/>
      <c r="OMM15" s="11"/>
      <c r="OMN15" s="11"/>
      <c r="OMO15" s="11"/>
      <c r="OMP15" s="11"/>
      <c r="OMQ15" s="11"/>
      <c r="OMR15" s="11"/>
      <c r="OMS15" s="11"/>
      <c r="OMT15" s="11"/>
      <c r="OMU15" s="11"/>
      <c r="OMV15" s="11"/>
      <c r="OMW15" s="11"/>
      <c r="OMX15" s="11"/>
      <c r="OMY15" s="11"/>
      <c r="OMZ15" s="11"/>
      <c r="ONA15" s="11"/>
      <c r="ONB15" s="11"/>
      <c r="ONC15" s="11"/>
      <c r="OND15" s="11"/>
      <c r="ONE15" s="11"/>
      <c r="ONF15" s="11"/>
      <c r="ONG15" s="11"/>
      <c r="ONH15" s="11"/>
      <c r="ONI15" s="11"/>
      <c r="ONJ15" s="11"/>
      <c r="ONK15" s="11"/>
      <c r="ONL15" s="11"/>
      <c r="ONM15" s="11"/>
      <c r="ONN15" s="11"/>
      <c r="ONO15" s="11"/>
      <c r="ONP15" s="11"/>
      <c r="ONQ15" s="11"/>
      <c r="ONR15" s="11"/>
      <c r="ONS15" s="11"/>
      <c r="ONT15" s="11"/>
      <c r="ONU15" s="11"/>
      <c r="ONV15" s="11"/>
      <c r="ONW15" s="11"/>
      <c r="ONX15" s="11"/>
      <c r="ONY15" s="11"/>
      <c r="ONZ15" s="11"/>
      <c r="OOA15" s="11"/>
      <c r="OOB15" s="11"/>
      <c r="OOC15" s="11"/>
      <c r="OOD15" s="11"/>
      <c r="OOE15" s="11"/>
      <c r="OOF15" s="11"/>
      <c r="OOG15" s="11"/>
      <c r="OOH15" s="11"/>
      <c r="OOI15" s="11"/>
      <c r="OOJ15" s="11"/>
      <c r="OOK15" s="11"/>
      <c r="OOL15" s="11"/>
      <c r="OOM15" s="11"/>
      <c r="OON15" s="11"/>
      <c r="OOO15" s="11"/>
      <c r="OOP15" s="11"/>
      <c r="OOQ15" s="11"/>
      <c r="OOR15" s="11"/>
      <c r="OOS15" s="11"/>
      <c r="OOT15" s="11"/>
      <c r="OOU15" s="11"/>
      <c r="OOV15" s="11"/>
      <c r="OOW15" s="11"/>
      <c r="OOX15" s="11"/>
      <c r="OOY15" s="11"/>
      <c r="OOZ15" s="11"/>
      <c r="OPA15" s="11"/>
      <c r="OPB15" s="11"/>
      <c r="OPC15" s="11"/>
      <c r="OPD15" s="11"/>
      <c r="OPE15" s="11"/>
      <c r="OPF15" s="11"/>
      <c r="OPG15" s="11"/>
      <c r="OPH15" s="11"/>
      <c r="OPI15" s="11"/>
      <c r="OPJ15" s="11"/>
      <c r="OPK15" s="11"/>
      <c r="OPL15" s="11"/>
      <c r="OPM15" s="11"/>
      <c r="OPN15" s="11"/>
      <c r="OPO15" s="11"/>
      <c r="OPP15" s="11"/>
      <c r="OPQ15" s="11"/>
      <c r="OPR15" s="11"/>
      <c r="OPS15" s="11"/>
      <c r="OPT15" s="11"/>
      <c r="OPU15" s="11"/>
      <c r="OPV15" s="11"/>
      <c r="OPW15" s="11"/>
      <c r="OPX15" s="11"/>
      <c r="OPY15" s="11"/>
      <c r="OPZ15" s="11"/>
      <c r="OQA15" s="11"/>
      <c r="OQB15" s="11"/>
      <c r="OQC15" s="11"/>
      <c r="OQD15" s="11"/>
      <c r="OQE15" s="11"/>
      <c r="OQF15" s="11"/>
      <c r="OQG15" s="11"/>
      <c r="OQH15" s="11"/>
      <c r="OQI15" s="11"/>
      <c r="OQJ15" s="11"/>
      <c r="OQK15" s="11"/>
      <c r="OQL15" s="11"/>
      <c r="OQM15" s="11"/>
      <c r="OQN15" s="11"/>
      <c r="OQO15" s="11"/>
      <c r="OQP15" s="11"/>
      <c r="OQQ15" s="11"/>
      <c r="OQR15" s="11"/>
      <c r="OQS15" s="11"/>
      <c r="OQT15" s="11"/>
      <c r="OQU15" s="11"/>
      <c r="OQV15" s="11"/>
      <c r="OQW15" s="11"/>
      <c r="OQX15" s="11"/>
      <c r="OQY15" s="11"/>
      <c r="OQZ15" s="11"/>
      <c r="ORA15" s="11"/>
      <c r="ORB15" s="11"/>
      <c r="ORC15" s="11"/>
      <c r="ORD15" s="11"/>
      <c r="ORE15" s="11"/>
      <c r="ORF15" s="11"/>
      <c r="ORG15" s="11"/>
      <c r="ORH15" s="11"/>
      <c r="ORI15" s="11"/>
      <c r="ORJ15" s="11"/>
      <c r="ORK15" s="11"/>
      <c r="ORL15" s="11"/>
      <c r="ORM15" s="11"/>
      <c r="ORN15" s="11"/>
      <c r="ORO15" s="11"/>
      <c r="ORP15" s="11"/>
      <c r="ORQ15" s="11"/>
      <c r="ORR15" s="11"/>
      <c r="ORS15" s="11"/>
      <c r="ORT15" s="11"/>
      <c r="ORU15" s="11"/>
      <c r="ORV15" s="11"/>
      <c r="ORW15" s="11"/>
      <c r="ORX15" s="11"/>
      <c r="ORY15" s="11"/>
      <c r="ORZ15" s="11"/>
      <c r="OSA15" s="11"/>
      <c r="OSB15" s="11"/>
      <c r="OSC15" s="11"/>
      <c r="OSD15" s="11"/>
      <c r="OSE15" s="11"/>
      <c r="OSF15" s="11"/>
      <c r="OSG15" s="11"/>
      <c r="OSH15" s="11"/>
      <c r="OSI15" s="11"/>
      <c r="OSJ15" s="11"/>
      <c r="OSK15" s="11"/>
      <c r="OSL15" s="11"/>
      <c r="OSM15" s="11"/>
      <c r="OSN15" s="11"/>
      <c r="OSO15" s="11"/>
      <c r="OSP15" s="11"/>
      <c r="OSQ15" s="11"/>
      <c r="OSR15" s="11"/>
      <c r="OSS15" s="11"/>
      <c r="OST15" s="11"/>
      <c r="OSU15" s="11"/>
      <c r="OSV15" s="11"/>
      <c r="OSW15" s="11"/>
      <c r="OSX15" s="11"/>
      <c r="OSY15" s="11"/>
      <c r="OSZ15" s="11"/>
      <c r="OTA15" s="11"/>
      <c r="OTB15" s="11"/>
      <c r="OTC15" s="11"/>
      <c r="OTD15" s="11"/>
      <c r="OTE15" s="11"/>
      <c r="OTF15" s="11"/>
      <c r="OTG15" s="11"/>
      <c r="OTH15" s="11"/>
      <c r="OTI15" s="11"/>
      <c r="OTJ15" s="11"/>
      <c r="OTK15" s="11"/>
      <c r="OTL15" s="11"/>
      <c r="OTM15" s="11"/>
      <c r="OTN15" s="11"/>
      <c r="OTO15" s="11"/>
      <c r="OTP15" s="11"/>
      <c r="OTQ15" s="11"/>
      <c r="OTR15" s="11"/>
      <c r="OTS15" s="11"/>
      <c r="OTT15" s="11"/>
      <c r="OTU15" s="11"/>
      <c r="OTV15" s="11"/>
      <c r="OTW15" s="11"/>
      <c r="OTX15" s="11"/>
      <c r="OTY15" s="11"/>
      <c r="OTZ15" s="11"/>
      <c r="OUA15" s="11"/>
      <c r="OUB15" s="11"/>
      <c r="OUC15" s="11"/>
      <c r="OUD15" s="11"/>
      <c r="OUE15" s="11"/>
      <c r="OUF15" s="11"/>
      <c r="OUG15" s="11"/>
      <c r="OUH15" s="11"/>
      <c r="OUI15" s="11"/>
      <c r="OUJ15" s="11"/>
      <c r="OUK15" s="11"/>
      <c r="OUL15" s="11"/>
      <c r="OUM15" s="11"/>
      <c r="OUN15" s="11"/>
      <c r="OUO15" s="11"/>
      <c r="OUP15" s="11"/>
      <c r="OUQ15" s="11"/>
      <c r="OUR15" s="11"/>
      <c r="OUS15" s="11"/>
      <c r="OUT15" s="11"/>
      <c r="OUU15" s="11"/>
      <c r="OUV15" s="11"/>
      <c r="OUW15" s="11"/>
      <c r="OUX15" s="11"/>
      <c r="OUY15" s="11"/>
      <c r="OUZ15" s="11"/>
      <c r="OVA15" s="11"/>
      <c r="OVB15" s="11"/>
      <c r="OVC15" s="11"/>
      <c r="OVD15" s="11"/>
      <c r="OVE15" s="11"/>
      <c r="OVF15" s="11"/>
      <c r="OVG15" s="11"/>
      <c r="OVH15" s="11"/>
      <c r="OVI15" s="11"/>
      <c r="OVJ15" s="11"/>
      <c r="OVK15" s="11"/>
      <c r="OVL15" s="11"/>
      <c r="OVM15" s="11"/>
      <c r="OVN15" s="11"/>
      <c r="OVO15" s="11"/>
      <c r="OVP15" s="11"/>
      <c r="OVQ15" s="11"/>
      <c r="OVR15" s="11"/>
      <c r="OVS15" s="11"/>
      <c r="OVT15" s="11"/>
      <c r="OVU15" s="11"/>
      <c r="OVV15" s="11"/>
      <c r="OVW15" s="11"/>
      <c r="OVX15" s="11"/>
      <c r="OVY15" s="11"/>
      <c r="OVZ15" s="11"/>
      <c r="OWA15" s="11"/>
      <c r="OWB15" s="11"/>
      <c r="OWC15" s="11"/>
      <c r="OWD15" s="11"/>
      <c r="OWE15" s="11"/>
      <c r="OWF15" s="11"/>
      <c r="OWG15" s="11"/>
      <c r="OWH15" s="11"/>
      <c r="OWI15" s="11"/>
      <c r="OWJ15" s="11"/>
      <c r="OWK15" s="11"/>
      <c r="OWL15" s="11"/>
      <c r="OWM15" s="11"/>
      <c r="OWN15" s="11"/>
      <c r="OWO15" s="11"/>
      <c r="OWP15" s="11"/>
      <c r="OWQ15" s="11"/>
      <c r="OWR15" s="11"/>
      <c r="OWS15" s="11"/>
      <c r="OWT15" s="11"/>
      <c r="OWU15" s="11"/>
      <c r="OWV15" s="11"/>
      <c r="OWW15" s="11"/>
      <c r="OWX15" s="11"/>
      <c r="OWY15" s="11"/>
      <c r="OWZ15" s="11"/>
      <c r="OXA15" s="11"/>
      <c r="OXB15" s="11"/>
      <c r="OXC15" s="11"/>
      <c r="OXD15" s="11"/>
      <c r="OXE15" s="11"/>
      <c r="OXF15" s="11"/>
      <c r="OXG15" s="11"/>
      <c r="OXH15" s="11"/>
      <c r="OXI15" s="11"/>
      <c r="OXJ15" s="11"/>
      <c r="OXK15" s="11"/>
      <c r="OXL15" s="11"/>
      <c r="OXM15" s="11"/>
      <c r="OXN15" s="11"/>
      <c r="OXO15" s="11"/>
      <c r="OXP15" s="11"/>
      <c r="OXQ15" s="11"/>
      <c r="OXR15" s="11"/>
      <c r="OXS15" s="11"/>
      <c r="OXT15" s="11"/>
      <c r="OXU15" s="11"/>
      <c r="OXV15" s="11"/>
      <c r="OXW15" s="11"/>
      <c r="OXX15" s="11"/>
      <c r="OXY15" s="11"/>
      <c r="OXZ15" s="11"/>
      <c r="OYA15" s="11"/>
      <c r="OYB15" s="11"/>
      <c r="OYC15" s="11"/>
      <c r="OYD15" s="11"/>
      <c r="OYE15" s="11"/>
      <c r="OYF15" s="11"/>
      <c r="OYG15" s="11"/>
      <c r="OYH15" s="11"/>
      <c r="OYI15" s="11"/>
      <c r="OYJ15" s="11"/>
      <c r="OYK15" s="11"/>
      <c r="OYL15" s="11"/>
      <c r="OYM15" s="11"/>
      <c r="OYN15" s="11"/>
      <c r="OYO15" s="11"/>
      <c r="OYP15" s="11"/>
      <c r="OYQ15" s="11"/>
      <c r="OYR15" s="11"/>
      <c r="OYS15" s="11"/>
      <c r="OYT15" s="11"/>
      <c r="OYU15" s="11"/>
      <c r="OYV15" s="11"/>
      <c r="OYW15" s="11"/>
      <c r="OYX15" s="11"/>
      <c r="OYY15" s="11"/>
      <c r="OYZ15" s="11"/>
      <c r="OZA15" s="11"/>
      <c r="OZB15" s="11"/>
      <c r="OZC15" s="11"/>
      <c r="OZD15" s="11"/>
      <c r="OZE15" s="11"/>
      <c r="OZF15" s="11"/>
      <c r="OZG15" s="11"/>
      <c r="OZH15" s="11"/>
      <c r="OZI15" s="11"/>
      <c r="OZJ15" s="11"/>
      <c r="OZK15" s="11"/>
      <c r="OZL15" s="11"/>
      <c r="OZM15" s="11"/>
      <c r="OZN15" s="11"/>
      <c r="OZO15" s="11"/>
      <c r="OZP15" s="11"/>
      <c r="OZQ15" s="11"/>
      <c r="OZR15" s="11"/>
      <c r="OZS15" s="11"/>
      <c r="OZT15" s="11"/>
      <c r="OZU15" s="11"/>
      <c r="OZV15" s="11"/>
      <c r="OZW15" s="11"/>
      <c r="OZX15" s="11"/>
      <c r="OZY15" s="11"/>
      <c r="OZZ15" s="11"/>
      <c r="PAA15" s="11"/>
      <c r="PAB15" s="11"/>
      <c r="PAC15" s="11"/>
      <c r="PAD15" s="11"/>
      <c r="PAE15" s="11"/>
      <c r="PAF15" s="11"/>
      <c r="PAG15" s="11"/>
      <c r="PAH15" s="11"/>
      <c r="PAI15" s="11"/>
      <c r="PAJ15" s="11"/>
      <c r="PAK15" s="11"/>
      <c r="PAL15" s="11"/>
      <c r="PAM15" s="11"/>
      <c r="PAN15" s="11"/>
      <c r="PAO15" s="11"/>
      <c r="PAP15" s="11"/>
      <c r="PAQ15" s="11"/>
      <c r="PAR15" s="11"/>
      <c r="PAS15" s="11"/>
      <c r="PAT15" s="11"/>
      <c r="PAU15" s="11"/>
      <c r="PAV15" s="11"/>
      <c r="PAW15" s="11"/>
      <c r="PAX15" s="11"/>
      <c r="PAY15" s="11"/>
      <c r="PAZ15" s="11"/>
      <c r="PBA15" s="11"/>
      <c r="PBB15" s="11"/>
      <c r="PBC15" s="11"/>
      <c r="PBD15" s="11"/>
      <c r="PBE15" s="11"/>
      <c r="PBF15" s="11"/>
      <c r="PBG15" s="11"/>
      <c r="PBH15" s="11"/>
      <c r="PBI15" s="11"/>
      <c r="PBJ15" s="11"/>
      <c r="PBK15" s="11"/>
      <c r="PBL15" s="11"/>
      <c r="PBM15" s="11"/>
      <c r="PBN15" s="11"/>
      <c r="PBO15" s="11"/>
      <c r="PBP15" s="11"/>
      <c r="PBQ15" s="11"/>
      <c r="PBR15" s="11"/>
      <c r="PBS15" s="11"/>
      <c r="PBT15" s="11"/>
      <c r="PBU15" s="11"/>
      <c r="PBV15" s="11"/>
      <c r="PBW15" s="11"/>
      <c r="PBX15" s="11"/>
      <c r="PBY15" s="11"/>
      <c r="PBZ15" s="11"/>
      <c r="PCA15" s="11"/>
      <c r="PCB15" s="11"/>
      <c r="PCC15" s="11"/>
      <c r="PCD15" s="11"/>
      <c r="PCE15" s="11"/>
      <c r="PCF15" s="11"/>
      <c r="PCG15" s="11"/>
      <c r="PCH15" s="11"/>
      <c r="PCI15" s="11"/>
      <c r="PCJ15" s="11"/>
      <c r="PCK15" s="11"/>
      <c r="PCL15" s="11"/>
      <c r="PCM15" s="11"/>
      <c r="PCN15" s="11"/>
      <c r="PCO15" s="11"/>
      <c r="PCP15" s="11"/>
      <c r="PCQ15" s="11"/>
      <c r="PCR15" s="11"/>
      <c r="PCS15" s="11"/>
      <c r="PCT15" s="11"/>
      <c r="PCU15" s="11"/>
      <c r="PCV15" s="11"/>
      <c r="PCW15" s="11"/>
      <c r="PCX15" s="11"/>
      <c r="PCY15" s="11"/>
      <c r="PCZ15" s="11"/>
      <c r="PDA15" s="11"/>
      <c r="PDB15" s="11"/>
      <c r="PDC15" s="11"/>
      <c r="PDD15" s="11"/>
      <c r="PDE15" s="11"/>
      <c r="PDF15" s="11"/>
      <c r="PDG15" s="11"/>
      <c r="PDH15" s="11"/>
      <c r="PDI15" s="11"/>
      <c r="PDJ15" s="11"/>
      <c r="PDK15" s="11"/>
      <c r="PDL15" s="11"/>
      <c r="PDM15" s="11"/>
      <c r="PDN15" s="11"/>
      <c r="PDO15" s="11"/>
      <c r="PDP15" s="11"/>
      <c r="PDQ15" s="11"/>
      <c r="PDR15" s="11"/>
      <c r="PDS15" s="11"/>
      <c r="PDT15" s="11"/>
      <c r="PDU15" s="11"/>
      <c r="PDV15" s="11"/>
      <c r="PDW15" s="11"/>
      <c r="PDX15" s="11"/>
      <c r="PDY15" s="11"/>
      <c r="PDZ15" s="11"/>
      <c r="PEA15" s="11"/>
      <c r="PEB15" s="11"/>
      <c r="PEC15" s="11"/>
      <c r="PED15" s="11"/>
      <c r="PEE15" s="11"/>
      <c r="PEF15" s="11"/>
      <c r="PEG15" s="11"/>
      <c r="PEH15" s="11"/>
      <c r="PEI15" s="11"/>
      <c r="PEJ15" s="11"/>
      <c r="PEK15" s="11"/>
      <c r="PEL15" s="11"/>
      <c r="PEM15" s="11"/>
      <c r="PEN15" s="11"/>
      <c r="PEO15" s="11"/>
      <c r="PEP15" s="11"/>
      <c r="PEQ15" s="11"/>
      <c r="PER15" s="11"/>
      <c r="PES15" s="11"/>
      <c r="PET15" s="11"/>
      <c r="PEU15" s="11"/>
      <c r="PEV15" s="11"/>
      <c r="PEW15" s="11"/>
      <c r="PEX15" s="11"/>
      <c r="PEY15" s="11"/>
      <c r="PEZ15" s="11"/>
      <c r="PFA15" s="11"/>
      <c r="PFB15" s="11"/>
      <c r="PFC15" s="11"/>
      <c r="PFD15" s="11"/>
      <c r="PFE15" s="11"/>
      <c r="PFF15" s="11"/>
      <c r="PFG15" s="11"/>
      <c r="PFH15" s="11"/>
      <c r="PFI15" s="11"/>
      <c r="PFJ15" s="11"/>
      <c r="PFK15" s="11"/>
      <c r="PFL15" s="11"/>
      <c r="PFM15" s="11"/>
      <c r="PFN15" s="11"/>
      <c r="PFO15" s="11"/>
      <c r="PFP15" s="11"/>
      <c r="PFQ15" s="11"/>
      <c r="PFR15" s="11"/>
      <c r="PFS15" s="11"/>
      <c r="PFT15" s="11"/>
      <c r="PFU15" s="11"/>
      <c r="PFV15" s="11"/>
      <c r="PFW15" s="11"/>
      <c r="PFX15" s="11"/>
      <c r="PFY15" s="11"/>
      <c r="PFZ15" s="11"/>
      <c r="PGA15" s="11"/>
      <c r="PGB15" s="11"/>
      <c r="PGC15" s="11"/>
      <c r="PGD15" s="11"/>
      <c r="PGE15" s="11"/>
      <c r="PGF15" s="11"/>
      <c r="PGG15" s="11"/>
      <c r="PGH15" s="11"/>
      <c r="PGI15" s="11"/>
      <c r="PGJ15" s="11"/>
      <c r="PGK15" s="11"/>
      <c r="PGL15" s="11"/>
      <c r="PGM15" s="11"/>
      <c r="PGN15" s="11"/>
      <c r="PGO15" s="11"/>
      <c r="PGP15" s="11"/>
      <c r="PGQ15" s="11"/>
      <c r="PGR15" s="11"/>
      <c r="PGS15" s="11"/>
      <c r="PGT15" s="11"/>
      <c r="PGU15" s="11"/>
      <c r="PGV15" s="11"/>
      <c r="PGW15" s="11"/>
      <c r="PGX15" s="11"/>
      <c r="PGY15" s="11"/>
      <c r="PGZ15" s="11"/>
      <c r="PHA15" s="11"/>
      <c r="PHB15" s="11"/>
      <c r="PHC15" s="11"/>
      <c r="PHD15" s="11"/>
      <c r="PHE15" s="11"/>
      <c r="PHF15" s="11"/>
      <c r="PHG15" s="11"/>
      <c r="PHH15" s="11"/>
      <c r="PHI15" s="11"/>
      <c r="PHJ15" s="11"/>
      <c r="PHK15" s="11"/>
      <c r="PHL15" s="11"/>
      <c r="PHM15" s="11"/>
      <c r="PHN15" s="11"/>
      <c r="PHO15" s="11"/>
      <c r="PHP15" s="11"/>
      <c r="PHQ15" s="11"/>
      <c r="PHR15" s="11"/>
      <c r="PHS15" s="11"/>
      <c r="PHT15" s="11"/>
      <c r="PHU15" s="11"/>
      <c r="PHV15" s="11"/>
      <c r="PHW15" s="11"/>
      <c r="PHX15" s="11"/>
      <c r="PHY15" s="11"/>
      <c r="PHZ15" s="11"/>
      <c r="PIA15" s="11"/>
      <c r="PIB15" s="11"/>
      <c r="PIC15" s="11"/>
      <c r="PID15" s="11"/>
      <c r="PIE15" s="11"/>
      <c r="PIF15" s="11"/>
      <c r="PIG15" s="11"/>
      <c r="PIH15" s="11"/>
      <c r="PII15" s="11"/>
      <c r="PIJ15" s="11"/>
      <c r="PIK15" s="11"/>
      <c r="PIL15" s="11"/>
      <c r="PIM15" s="11"/>
      <c r="PIN15" s="11"/>
      <c r="PIO15" s="11"/>
      <c r="PIP15" s="11"/>
      <c r="PIQ15" s="11"/>
      <c r="PIR15" s="11"/>
      <c r="PIS15" s="11"/>
      <c r="PIT15" s="11"/>
      <c r="PIU15" s="11"/>
      <c r="PIV15" s="11"/>
      <c r="PIW15" s="11"/>
      <c r="PIX15" s="11"/>
      <c r="PIY15" s="11"/>
      <c r="PIZ15" s="11"/>
      <c r="PJA15" s="11"/>
      <c r="PJB15" s="11"/>
      <c r="PJC15" s="11"/>
      <c r="PJD15" s="11"/>
      <c r="PJE15" s="11"/>
      <c r="PJF15" s="11"/>
      <c r="PJG15" s="11"/>
      <c r="PJH15" s="11"/>
      <c r="PJI15" s="11"/>
      <c r="PJJ15" s="11"/>
      <c r="PJK15" s="11"/>
      <c r="PJL15" s="11"/>
      <c r="PJM15" s="11"/>
      <c r="PJN15" s="11"/>
      <c r="PJO15" s="11"/>
      <c r="PJP15" s="11"/>
      <c r="PJQ15" s="11"/>
      <c r="PJR15" s="11"/>
      <c r="PJS15" s="11"/>
      <c r="PJT15" s="11"/>
      <c r="PJU15" s="11"/>
      <c r="PJV15" s="11"/>
      <c r="PJW15" s="11"/>
      <c r="PJX15" s="11"/>
      <c r="PJY15" s="11"/>
      <c r="PJZ15" s="11"/>
      <c r="PKA15" s="11"/>
      <c r="PKB15" s="11"/>
      <c r="PKC15" s="11"/>
      <c r="PKD15" s="11"/>
      <c r="PKE15" s="11"/>
      <c r="PKF15" s="11"/>
      <c r="PKG15" s="11"/>
      <c r="PKH15" s="11"/>
      <c r="PKI15" s="11"/>
      <c r="PKJ15" s="11"/>
      <c r="PKK15" s="11"/>
      <c r="PKL15" s="11"/>
      <c r="PKM15" s="11"/>
      <c r="PKN15" s="11"/>
      <c r="PKO15" s="11"/>
      <c r="PKP15" s="11"/>
      <c r="PKQ15" s="11"/>
      <c r="PKR15" s="11"/>
      <c r="PKS15" s="11"/>
      <c r="PKT15" s="11"/>
      <c r="PKU15" s="11"/>
      <c r="PKV15" s="11"/>
      <c r="PKW15" s="11"/>
      <c r="PKX15" s="11"/>
      <c r="PKY15" s="11"/>
      <c r="PKZ15" s="11"/>
      <c r="PLA15" s="11"/>
      <c r="PLB15" s="11"/>
      <c r="PLC15" s="11"/>
      <c r="PLD15" s="11"/>
      <c r="PLE15" s="11"/>
      <c r="PLF15" s="11"/>
      <c r="PLG15" s="11"/>
      <c r="PLH15" s="11"/>
      <c r="PLI15" s="11"/>
      <c r="PLJ15" s="11"/>
      <c r="PLK15" s="11"/>
      <c r="PLL15" s="11"/>
      <c r="PLM15" s="11"/>
      <c r="PLN15" s="11"/>
      <c r="PLO15" s="11"/>
      <c r="PLP15" s="11"/>
      <c r="PLQ15" s="11"/>
      <c r="PLR15" s="11"/>
      <c r="PLS15" s="11"/>
      <c r="PLT15" s="11"/>
      <c r="PLU15" s="11"/>
      <c r="PLV15" s="11"/>
      <c r="PLW15" s="11"/>
      <c r="PLX15" s="11"/>
      <c r="PLY15" s="11"/>
      <c r="PLZ15" s="11"/>
      <c r="PMA15" s="11"/>
      <c r="PMB15" s="11"/>
      <c r="PMC15" s="11"/>
      <c r="PMD15" s="11"/>
      <c r="PME15" s="11"/>
      <c r="PMF15" s="11"/>
      <c r="PMG15" s="11"/>
      <c r="PMH15" s="11"/>
      <c r="PMI15" s="11"/>
      <c r="PMJ15" s="11"/>
      <c r="PMK15" s="11"/>
      <c r="PML15" s="11"/>
      <c r="PMM15" s="11"/>
      <c r="PMN15" s="11"/>
      <c r="PMO15" s="11"/>
      <c r="PMP15" s="11"/>
      <c r="PMQ15" s="11"/>
      <c r="PMR15" s="11"/>
      <c r="PMS15" s="11"/>
      <c r="PMT15" s="11"/>
      <c r="PMU15" s="11"/>
      <c r="PMV15" s="11"/>
      <c r="PMW15" s="11"/>
      <c r="PMX15" s="11"/>
      <c r="PMY15" s="11"/>
      <c r="PMZ15" s="11"/>
      <c r="PNA15" s="11"/>
      <c r="PNB15" s="11"/>
      <c r="PNC15" s="11"/>
      <c r="PND15" s="11"/>
      <c r="PNE15" s="11"/>
      <c r="PNF15" s="11"/>
      <c r="PNG15" s="11"/>
      <c r="PNH15" s="11"/>
      <c r="PNI15" s="11"/>
      <c r="PNJ15" s="11"/>
      <c r="PNK15" s="11"/>
      <c r="PNL15" s="11"/>
      <c r="PNM15" s="11"/>
      <c r="PNN15" s="11"/>
      <c r="PNO15" s="11"/>
      <c r="PNP15" s="11"/>
      <c r="PNQ15" s="11"/>
      <c r="PNR15" s="11"/>
      <c r="PNS15" s="11"/>
      <c r="PNT15" s="11"/>
      <c r="PNU15" s="11"/>
      <c r="PNV15" s="11"/>
      <c r="PNW15" s="11"/>
      <c r="PNX15" s="11"/>
      <c r="PNY15" s="11"/>
      <c r="PNZ15" s="11"/>
      <c r="POA15" s="11"/>
      <c r="POB15" s="11"/>
      <c r="POC15" s="11"/>
      <c r="POD15" s="11"/>
      <c r="POE15" s="11"/>
      <c r="POF15" s="11"/>
      <c r="POG15" s="11"/>
      <c r="POH15" s="11"/>
      <c r="POI15" s="11"/>
      <c r="POJ15" s="11"/>
      <c r="POK15" s="11"/>
      <c r="POL15" s="11"/>
      <c r="POM15" s="11"/>
      <c r="PON15" s="11"/>
      <c r="POO15" s="11"/>
      <c r="POP15" s="11"/>
      <c r="POQ15" s="11"/>
      <c r="POR15" s="11"/>
      <c r="POS15" s="11"/>
      <c r="POT15" s="11"/>
      <c r="POU15" s="11"/>
      <c r="POV15" s="11"/>
      <c r="POW15" s="11"/>
      <c r="POX15" s="11"/>
      <c r="POY15" s="11"/>
      <c r="POZ15" s="11"/>
      <c r="PPA15" s="11"/>
      <c r="PPB15" s="11"/>
      <c r="PPC15" s="11"/>
      <c r="PPD15" s="11"/>
      <c r="PPE15" s="11"/>
      <c r="PPF15" s="11"/>
      <c r="PPG15" s="11"/>
      <c r="PPH15" s="11"/>
      <c r="PPI15" s="11"/>
      <c r="PPJ15" s="11"/>
      <c r="PPK15" s="11"/>
      <c r="PPL15" s="11"/>
      <c r="PPM15" s="11"/>
      <c r="PPN15" s="11"/>
      <c r="PPO15" s="11"/>
      <c r="PPP15" s="11"/>
      <c r="PPQ15" s="11"/>
      <c r="PPR15" s="11"/>
      <c r="PPS15" s="11"/>
      <c r="PPT15" s="11"/>
      <c r="PPU15" s="11"/>
      <c r="PPV15" s="11"/>
      <c r="PPW15" s="11"/>
      <c r="PPX15" s="11"/>
      <c r="PPY15" s="11"/>
      <c r="PPZ15" s="11"/>
      <c r="PQA15" s="11"/>
      <c r="PQB15" s="11"/>
      <c r="PQC15" s="11"/>
      <c r="PQD15" s="11"/>
      <c r="PQE15" s="11"/>
      <c r="PQF15" s="11"/>
      <c r="PQG15" s="11"/>
      <c r="PQH15" s="11"/>
      <c r="PQI15" s="11"/>
      <c r="PQJ15" s="11"/>
      <c r="PQK15" s="11"/>
      <c r="PQL15" s="11"/>
      <c r="PQM15" s="11"/>
      <c r="PQN15" s="11"/>
      <c r="PQO15" s="11"/>
      <c r="PQP15" s="11"/>
      <c r="PQQ15" s="11"/>
      <c r="PQR15" s="11"/>
      <c r="PQS15" s="11"/>
      <c r="PQT15" s="11"/>
      <c r="PQU15" s="11"/>
      <c r="PQV15" s="11"/>
      <c r="PQW15" s="11"/>
      <c r="PQX15" s="11"/>
      <c r="PQY15" s="11"/>
      <c r="PQZ15" s="11"/>
      <c r="PRA15" s="11"/>
      <c r="PRB15" s="11"/>
      <c r="PRC15" s="11"/>
      <c r="PRD15" s="11"/>
      <c r="PRE15" s="11"/>
      <c r="PRF15" s="11"/>
      <c r="PRG15" s="11"/>
      <c r="PRH15" s="11"/>
      <c r="PRI15" s="11"/>
      <c r="PRJ15" s="11"/>
      <c r="PRK15" s="11"/>
      <c r="PRL15" s="11"/>
      <c r="PRM15" s="11"/>
      <c r="PRN15" s="11"/>
      <c r="PRO15" s="11"/>
      <c r="PRP15" s="11"/>
      <c r="PRQ15" s="11"/>
      <c r="PRR15" s="11"/>
      <c r="PRS15" s="11"/>
      <c r="PRT15" s="11"/>
      <c r="PRU15" s="11"/>
      <c r="PRV15" s="11"/>
      <c r="PRW15" s="11"/>
      <c r="PRX15" s="11"/>
      <c r="PRY15" s="11"/>
      <c r="PRZ15" s="11"/>
      <c r="PSA15" s="11"/>
      <c r="PSB15" s="11"/>
      <c r="PSC15" s="11"/>
      <c r="PSD15" s="11"/>
      <c r="PSE15" s="11"/>
      <c r="PSF15" s="11"/>
      <c r="PSG15" s="11"/>
      <c r="PSH15" s="11"/>
      <c r="PSI15" s="11"/>
      <c r="PSJ15" s="11"/>
      <c r="PSK15" s="11"/>
      <c r="PSL15" s="11"/>
      <c r="PSM15" s="11"/>
      <c r="PSN15" s="11"/>
      <c r="PSO15" s="11"/>
      <c r="PSP15" s="11"/>
      <c r="PSQ15" s="11"/>
      <c r="PSR15" s="11"/>
      <c r="PSS15" s="11"/>
      <c r="PST15" s="11"/>
      <c r="PSU15" s="11"/>
      <c r="PSV15" s="11"/>
      <c r="PSW15" s="11"/>
      <c r="PSX15" s="11"/>
      <c r="PSY15" s="11"/>
      <c r="PSZ15" s="11"/>
      <c r="PTA15" s="11"/>
      <c r="PTB15" s="11"/>
      <c r="PTC15" s="11"/>
      <c r="PTD15" s="11"/>
      <c r="PTE15" s="11"/>
      <c r="PTF15" s="11"/>
      <c r="PTG15" s="11"/>
      <c r="PTH15" s="11"/>
      <c r="PTI15" s="11"/>
      <c r="PTJ15" s="11"/>
      <c r="PTK15" s="11"/>
      <c r="PTL15" s="11"/>
      <c r="PTM15" s="11"/>
      <c r="PTN15" s="11"/>
      <c r="PTO15" s="11"/>
      <c r="PTP15" s="11"/>
      <c r="PTQ15" s="11"/>
      <c r="PTR15" s="11"/>
      <c r="PTS15" s="11"/>
      <c r="PTT15" s="11"/>
      <c r="PTU15" s="11"/>
      <c r="PTV15" s="11"/>
      <c r="PTW15" s="11"/>
      <c r="PTX15" s="11"/>
      <c r="PTY15" s="11"/>
      <c r="PTZ15" s="11"/>
      <c r="PUA15" s="11"/>
      <c r="PUB15" s="11"/>
      <c r="PUC15" s="11"/>
      <c r="PUD15" s="11"/>
      <c r="PUE15" s="11"/>
      <c r="PUF15" s="11"/>
      <c r="PUG15" s="11"/>
      <c r="PUH15" s="11"/>
      <c r="PUI15" s="11"/>
      <c r="PUJ15" s="11"/>
      <c r="PUK15" s="11"/>
      <c r="PUL15" s="11"/>
      <c r="PUM15" s="11"/>
      <c r="PUN15" s="11"/>
      <c r="PUO15" s="11"/>
      <c r="PUP15" s="11"/>
      <c r="PUQ15" s="11"/>
      <c r="PUR15" s="11"/>
      <c r="PUS15" s="11"/>
      <c r="PUT15" s="11"/>
      <c r="PUU15" s="11"/>
      <c r="PUV15" s="11"/>
      <c r="PUW15" s="11"/>
      <c r="PUX15" s="11"/>
      <c r="PUY15" s="11"/>
      <c r="PUZ15" s="11"/>
      <c r="PVA15" s="11"/>
      <c r="PVB15" s="11"/>
      <c r="PVC15" s="11"/>
      <c r="PVD15" s="11"/>
      <c r="PVE15" s="11"/>
      <c r="PVF15" s="11"/>
      <c r="PVG15" s="11"/>
      <c r="PVH15" s="11"/>
      <c r="PVI15" s="11"/>
      <c r="PVJ15" s="11"/>
      <c r="PVK15" s="11"/>
      <c r="PVL15" s="11"/>
      <c r="PVM15" s="11"/>
      <c r="PVN15" s="11"/>
      <c r="PVO15" s="11"/>
      <c r="PVP15" s="11"/>
      <c r="PVQ15" s="11"/>
      <c r="PVR15" s="11"/>
      <c r="PVS15" s="11"/>
      <c r="PVT15" s="11"/>
      <c r="PVU15" s="11"/>
      <c r="PVV15" s="11"/>
      <c r="PVW15" s="11"/>
      <c r="PVX15" s="11"/>
      <c r="PVY15" s="11"/>
      <c r="PVZ15" s="11"/>
      <c r="PWA15" s="11"/>
      <c r="PWB15" s="11"/>
      <c r="PWC15" s="11"/>
      <c r="PWD15" s="11"/>
      <c r="PWE15" s="11"/>
      <c r="PWF15" s="11"/>
      <c r="PWG15" s="11"/>
      <c r="PWH15" s="11"/>
      <c r="PWI15" s="11"/>
      <c r="PWJ15" s="11"/>
      <c r="PWK15" s="11"/>
      <c r="PWL15" s="11"/>
      <c r="PWM15" s="11"/>
      <c r="PWN15" s="11"/>
      <c r="PWO15" s="11"/>
      <c r="PWP15" s="11"/>
      <c r="PWQ15" s="11"/>
      <c r="PWR15" s="11"/>
      <c r="PWS15" s="11"/>
      <c r="PWT15" s="11"/>
      <c r="PWU15" s="11"/>
      <c r="PWV15" s="11"/>
      <c r="PWW15" s="11"/>
      <c r="PWX15" s="11"/>
      <c r="PWY15" s="11"/>
      <c r="PWZ15" s="11"/>
      <c r="PXA15" s="11"/>
      <c r="PXB15" s="11"/>
      <c r="PXC15" s="11"/>
      <c r="PXD15" s="11"/>
      <c r="PXE15" s="11"/>
      <c r="PXF15" s="11"/>
      <c r="PXG15" s="11"/>
      <c r="PXH15" s="11"/>
      <c r="PXI15" s="11"/>
      <c r="PXJ15" s="11"/>
      <c r="PXK15" s="11"/>
      <c r="PXL15" s="11"/>
      <c r="PXM15" s="11"/>
      <c r="PXN15" s="11"/>
      <c r="PXO15" s="11"/>
      <c r="PXP15" s="11"/>
      <c r="PXQ15" s="11"/>
      <c r="PXR15" s="11"/>
      <c r="PXS15" s="11"/>
      <c r="PXT15" s="11"/>
      <c r="PXU15" s="11"/>
      <c r="PXV15" s="11"/>
      <c r="PXW15" s="11"/>
      <c r="PXX15" s="11"/>
      <c r="PXY15" s="11"/>
      <c r="PXZ15" s="11"/>
      <c r="PYA15" s="11"/>
      <c r="PYB15" s="11"/>
      <c r="PYC15" s="11"/>
      <c r="PYD15" s="11"/>
      <c r="PYE15" s="11"/>
      <c r="PYF15" s="11"/>
      <c r="PYG15" s="11"/>
      <c r="PYH15" s="11"/>
      <c r="PYI15" s="11"/>
      <c r="PYJ15" s="11"/>
      <c r="PYK15" s="11"/>
      <c r="PYL15" s="11"/>
      <c r="PYM15" s="11"/>
      <c r="PYN15" s="11"/>
      <c r="PYO15" s="11"/>
      <c r="PYP15" s="11"/>
      <c r="PYQ15" s="11"/>
      <c r="PYR15" s="11"/>
      <c r="PYS15" s="11"/>
      <c r="PYT15" s="11"/>
      <c r="PYU15" s="11"/>
      <c r="PYV15" s="11"/>
      <c r="PYW15" s="11"/>
      <c r="PYX15" s="11"/>
      <c r="PYY15" s="11"/>
      <c r="PYZ15" s="11"/>
      <c r="PZA15" s="11"/>
      <c r="PZB15" s="11"/>
      <c r="PZC15" s="11"/>
      <c r="PZD15" s="11"/>
      <c r="PZE15" s="11"/>
      <c r="PZF15" s="11"/>
      <c r="PZG15" s="11"/>
      <c r="PZH15" s="11"/>
      <c r="PZI15" s="11"/>
      <c r="PZJ15" s="11"/>
      <c r="PZK15" s="11"/>
      <c r="PZL15" s="11"/>
      <c r="PZM15" s="11"/>
      <c r="PZN15" s="11"/>
      <c r="PZO15" s="11"/>
      <c r="PZP15" s="11"/>
      <c r="PZQ15" s="11"/>
      <c r="PZR15" s="11"/>
      <c r="PZS15" s="11"/>
      <c r="PZT15" s="11"/>
      <c r="PZU15" s="11"/>
      <c r="PZV15" s="11"/>
      <c r="PZW15" s="11"/>
      <c r="PZX15" s="11"/>
      <c r="PZY15" s="11"/>
      <c r="PZZ15" s="11"/>
      <c r="QAA15" s="11"/>
      <c r="QAB15" s="11"/>
      <c r="QAC15" s="11"/>
      <c r="QAD15" s="11"/>
      <c r="QAE15" s="11"/>
      <c r="QAF15" s="11"/>
      <c r="QAG15" s="11"/>
      <c r="QAH15" s="11"/>
      <c r="QAI15" s="11"/>
      <c r="QAJ15" s="11"/>
      <c r="QAK15" s="11"/>
      <c r="QAL15" s="11"/>
      <c r="QAM15" s="11"/>
      <c r="QAN15" s="11"/>
      <c r="QAO15" s="11"/>
      <c r="QAP15" s="11"/>
      <c r="QAQ15" s="11"/>
      <c r="QAR15" s="11"/>
      <c r="QAS15" s="11"/>
      <c r="QAT15" s="11"/>
      <c r="QAU15" s="11"/>
      <c r="QAV15" s="11"/>
      <c r="QAW15" s="11"/>
      <c r="QAX15" s="11"/>
      <c r="QAY15" s="11"/>
      <c r="QAZ15" s="11"/>
      <c r="QBA15" s="11"/>
      <c r="QBB15" s="11"/>
      <c r="QBC15" s="11"/>
      <c r="QBD15" s="11"/>
      <c r="QBE15" s="11"/>
      <c r="QBF15" s="11"/>
      <c r="QBG15" s="11"/>
      <c r="QBH15" s="11"/>
      <c r="QBI15" s="11"/>
      <c r="QBJ15" s="11"/>
      <c r="QBK15" s="11"/>
      <c r="QBL15" s="11"/>
      <c r="QBM15" s="11"/>
      <c r="QBN15" s="11"/>
      <c r="QBO15" s="11"/>
      <c r="QBP15" s="11"/>
      <c r="QBQ15" s="11"/>
      <c r="QBR15" s="11"/>
      <c r="QBS15" s="11"/>
      <c r="QBT15" s="11"/>
      <c r="QBU15" s="11"/>
      <c r="QBV15" s="11"/>
      <c r="QBW15" s="11"/>
      <c r="QBX15" s="11"/>
      <c r="QBY15" s="11"/>
      <c r="QBZ15" s="11"/>
      <c r="QCA15" s="11"/>
      <c r="QCB15" s="11"/>
      <c r="QCC15" s="11"/>
      <c r="QCD15" s="11"/>
      <c r="QCE15" s="11"/>
      <c r="QCF15" s="11"/>
      <c r="QCG15" s="11"/>
      <c r="QCH15" s="11"/>
      <c r="QCI15" s="11"/>
      <c r="QCJ15" s="11"/>
      <c r="QCK15" s="11"/>
      <c r="QCL15" s="11"/>
      <c r="QCM15" s="11"/>
      <c r="QCN15" s="11"/>
      <c r="QCO15" s="11"/>
      <c r="QCP15" s="11"/>
      <c r="QCQ15" s="11"/>
      <c r="QCR15" s="11"/>
      <c r="QCS15" s="11"/>
      <c r="QCT15" s="11"/>
      <c r="QCU15" s="11"/>
      <c r="QCV15" s="11"/>
      <c r="QCW15" s="11"/>
      <c r="QCX15" s="11"/>
      <c r="QCY15" s="11"/>
      <c r="QCZ15" s="11"/>
      <c r="QDA15" s="11"/>
      <c r="QDB15" s="11"/>
      <c r="QDC15" s="11"/>
      <c r="QDD15" s="11"/>
      <c r="QDE15" s="11"/>
      <c r="QDF15" s="11"/>
      <c r="QDG15" s="11"/>
      <c r="QDH15" s="11"/>
      <c r="QDI15" s="11"/>
      <c r="QDJ15" s="11"/>
      <c r="QDK15" s="11"/>
      <c r="QDL15" s="11"/>
      <c r="QDM15" s="11"/>
      <c r="QDN15" s="11"/>
      <c r="QDO15" s="11"/>
      <c r="QDP15" s="11"/>
      <c r="QDQ15" s="11"/>
      <c r="QDR15" s="11"/>
      <c r="QDS15" s="11"/>
      <c r="QDT15" s="11"/>
      <c r="QDU15" s="11"/>
      <c r="QDV15" s="11"/>
      <c r="QDW15" s="11"/>
      <c r="QDX15" s="11"/>
      <c r="QDY15" s="11"/>
      <c r="QDZ15" s="11"/>
      <c r="QEA15" s="11"/>
      <c r="QEB15" s="11"/>
      <c r="QEC15" s="11"/>
      <c r="QED15" s="11"/>
      <c r="QEE15" s="11"/>
      <c r="QEF15" s="11"/>
      <c r="QEG15" s="11"/>
      <c r="QEH15" s="11"/>
      <c r="QEI15" s="11"/>
      <c r="QEJ15" s="11"/>
      <c r="QEK15" s="11"/>
      <c r="QEL15" s="11"/>
      <c r="QEM15" s="11"/>
      <c r="QEN15" s="11"/>
      <c r="QEO15" s="11"/>
      <c r="QEP15" s="11"/>
      <c r="QEQ15" s="11"/>
      <c r="QER15" s="11"/>
      <c r="QES15" s="11"/>
      <c r="QET15" s="11"/>
      <c r="QEU15" s="11"/>
      <c r="QEV15" s="11"/>
      <c r="QEW15" s="11"/>
      <c r="QEX15" s="11"/>
      <c r="QEY15" s="11"/>
      <c r="QEZ15" s="11"/>
      <c r="QFA15" s="11"/>
      <c r="QFB15" s="11"/>
      <c r="QFC15" s="11"/>
      <c r="QFD15" s="11"/>
      <c r="QFE15" s="11"/>
      <c r="QFF15" s="11"/>
      <c r="QFG15" s="11"/>
      <c r="QFH15" s="11"/>
      <c r="QFI15" s="11"/>
      <c r="QFJ15" s="11"/>
      <c r="QFK15" s="11"/>
      <c r="QFL15" s="11"/>
      <c r="QFM15" s="11"/>
      <c r="QFN15" s="11"/>
      <c r="QFO15" s="11"/>
      <c r="QFP15" s="11"/>
      <c r="QFQ15" s="11"/>
      <c r="QFR15" s="11"/>
      <c r="QFS15" s="11"/>
      <c r="QFT15" s="11"/>
      <c r="QFU15" s="11"/>
      <c r="QFV15" s="11"/>
      <c r="QFW15" s="11"/>
      <c r="QFX15" s="11"/>
      <c r="QFY15" s="11"/>
      <c r="QFZ15" s="11"/>
      <c r="QGA15" s="11"/>
      <c r="QGB15" s="11"/>
      <c r="QGC15" s="11"/>
      <c r="QGD15" s="11"/>
      <c r="QGE15" s="11"/>
      <c r="QGF15" s="11"/>
      <c r="QGG15" s="11"/>
      <c r="QGH15" s="11"/>
      <c r="QGI15" s="11"/>
      <c r="QGJ15" s="11"/>
      <c r="QGK15" s="11"/>
      <c r="QGL15" s="11"/>
      <c r="QGM15" s="11"/>
      <c r="QGN15" s="11"/>
      <c r="QGO15" s="11"/>
      <c r="QGP15" s="11"/>
      <c r="QGQ15" s="11"/>
      <c r="QGR15" s="11"/>
      <c r="QGS15" s="11"/>
      <c r="QGT15" s="11"/>
      <c r="QGU15" s="11"/>
      <c r="QGV15" s="11"/>
      <c r="QGW15" s="11"/>
      <c r="QGX15" s="11"/>
      <c r="QGY15" s="11"/>
      <c r="QGZ15" s="11"/>
      <c r="QHA15" s="11"/>
      <c r="QHB15" s="11"/>
      <c r="QHC15" s="11"/>
      <c r="QHD15" s="11"/>
      <c r="QHE15" s="11"/>
      <c r="QHF15" s="11"/>
      <c r="QHG15" s="11"/>
      <c r="QHH15" s="11"/>
      <c r="QHI15" s="11"/>
      <c r="QHJ15" s="11"/>
      <c r="QHK15" s="11"/>
      <c r="QHL15" s="11"/>
      <c r="QHM15" s="11"/>
      <c r="QHN15" s="11"/>
      <c r="QHO15" s="11"/>
      <c r="QHP15" s="11"/>
      <c r="QHQ15" s="11"/>
      <c r="QHR15" s="11"/>
      <c r="QHS15" s="11"/>
      <c r="QHT15" s="11"/>
      <c r="QHU15" s="11"/>
      <c r="QHV15" s="11"/>
      <c r="QHW15" s="11"/>
      <c r="QHX15" s="11"/>
      <c r="QHY15" s="11"/>
      <c r="QHZ15" s="11"/>
      <c r="QIA15" s="11"/>
      <c r="QIB15" s="11"/>
      <c r="QIC15" s="11"/>
      <c r="QID15" s="11"/>
      <c r="QIE15" s="11"/>
      <c r="QIF15" s="11"/>
      <c r="QIG15" s="11"/>
      <c r="QIH15" s="11"/>
      <c r="QII15" s="11"/>
      <c r="QIJ15" s="11"/>
      <c r="QIK15" s="11"/>
      <c r="QIL15" s="11"/>
      <c r="QIM15" s="11"/>
      <c r="QIN15" s="11"/>
      <c r="QIO15" s="11"/>
      <c r="QIP15" s="11"/>
      <c r="QIQ15" s="11"/>
      <c r="QIR15" s="11"/>
      <c r="QIS15" s="11"/>
      <c r="QIT15" s="11"/>
      <c r="QIU15" s="11"/>
      <c r="QIV15" s="11"/>
      <c r="QIW15" s="11"/>
      <c r="QIX15" s="11"/>
      <c r="QIY15" s="11"/>
      <c r="QIZ15" s="11"/>
      <c r="QJA15" s="11"/>
      <c r="QJB15" s="11"/>
      <c r="QJC15" s="11"/>
      <c r="QJD15" s="11"/>
      <c r="QJE15" s="11"/>
      <c r="QJF15" s="11"/>
      <c r="QJG15" s="11"/>
      <c r="QJH15" s="11"/>
      <c r="QJI15" s="11"/>
      <c r="QJJ15" s="11"/>
      <c r="QJK15" s="11"/>
      <c r="QJL15" s="11"/>
      <c r="QJM15" s="11"/>
      <c r="QJN15" s="11"/>
      <c r="QJO15" s="11"/>
      <c r="QJP15" s="11"/>
      <c r="QJQ15" s="11"/>
      <c r="QJR15" s="11"/>
      <c r="QJS15" s="11"/>
      <c r="QJT15" s="11"/>
      <c r="QJU15" s="11"/>
      <c r="QJV15" s="11"/>
      <c r="QJW15" s="11"/>
      <c r="QJX15" s="11"/>
      <c r="QJY15" s="11"/>
      <c r="QJZ15" s="11"/>
      <c r="QKA15" s="11"/>
      <c r="QKB15" s="11"/>
      <c r="QKC15" s="11"/>
      <c r="QKD15" s="11"/>
      <c r="QKE15" s="11"/>
      <c r="QKF15" s="11"/>
      <c r="QKG15" s="11"/>
      <c r="QKH15" s="11"/>
      <c r="QKI15" s="11"/>
      <c r="QKJ15" s="11"/>
      <c r="QKK15" s="11"/>
      <c r="QKL15" s="11"/>
      <c r="QKM15" s="11"/>
      <c r="QKN15" s="11"/>
      <c r="QKO15" s="11"/>
      <c r="QKP15" s="11"/>
      <c r="QKQ15" s="11"/>
      <c r="QKR15" s="11"/>
      <c r="QKS15" s="11"/>
      <c r="QKT15" s="11"/>
      <c r="QKU15" s="11"/>
      <c r="QKV15" s="11"/>
      <c r="QKW15" s="11"/>
      <c r="QKX15" s="11"/>
      <c r="QKY15" s="11"/>
      <c r="QKZ15" s="11"/>
      <c r="QLA15" s="11"/>
      <c r="QLB15" s="11"/>
      <c r="QLC15" s="11"/>
      <c r="QLD15" s="11"/>
      <c r="QLE15" s="11"/>
      <c r="QLF15" s="11"/>
      <c r="QLG15" s="11"/>
      <c r="QLH15" s="11"/>
      <c r="QLI15" s="11"/>
      <c r="QLJ15" s="11"/>
      <c r="QLK15" s="11"/>
      <c r="QLL15" s="11"/>
      <c r="QLM15" s="11"/>
      <c r="QLN15" s="11"/>
      <c r="QLO15" s="11"/>
      <c r="QLP15" s="11"/>
      <c r="QLQ15" s="11"/>
      <c r="QLR15" s="11"/>
      <c r="QLS15" s="11"/>
      <c r="QLT15" s="11"/>
      <c r="QLU15" s="11"/>
      <c r="QLV15" s="11"/>
      <c r="QLW15" s="11"/>
      <c r="QLX15" s="11"/>
      <c r="QLY15" s="11"/>
      <c r="QLZ15" s="11"/>
      <c r="QMA15" s="11"/>
      <c r="QMB15" s="11"/>
      <c r="QMC15" s="11"/>
      <c r="QMD15" s="11"/>
      <c r="QME15" s="11"/>
      <c r="QMF15" s="11"/>
      <c r="QMG15" s="11"/>
      <c r="QMH15" s="11"/>
      <c r="QMI15" s="11"/>
      <c r="QMJ15" s="11"/>
      <c r="QMK15" s="11"/>
      <c r="QML15" s="11"/>
      <c r="QMM15" s="11"/>
      <c r="QMN15" s="11"/>
      <c r="QMO15" s="11"/>
      <c r="QMP15" s="11"/>
      <c r="QMQ15" s="11"/>
      <c r="QMR15" s="11"/>
      <c r="QMS15" s="11"/>
      <c r="QMT15" s="11"/>
      <c r="QMU15" s="11"/>
      <c r="QMV15" s="11"/>
      <c r="QMW15" s="11"/>
      <c r="QMX15" s="11"/>
      <c r="QMY15" s="11"/>
      <c r="QMZ15" s="11"/>
      <c r="QNA15" s="11"/>
      <c r="QNB15" s="11"/>
      <c r="QNC15" s="11"/>
      <c r="QND15" s="11"/>
      <c r="QNE15" s="11"/>
      <c r="QNF15" s="11"/>
      <c r="QNG15" s="11"/>
      <c r="QNH15" s="11"/>
      <c r="QNI15" s="11"/>
      <c r="QNJ15" s="11"/>
      <c r="QNK15" s="11"/>
      <c r="QNL15" s="11"/>
      <c r="QNM15" s="11"/>
      <c r="QNN15" s="11"/>
      <c r="QNO15" s="11"/>
      <c r="QNP15" s="11"/>
      <c r="QNQ15" s="11"/>
      <c r="QNR15" s="11"/>
      <c r="QNS15" s="11"/>
      <c r="QNT15" s="11"/>
      <c r="QNU15" s="11"/>
      <c r="QNV15" s="11"/>
      <c r="QNW15" s="11"/>
      <c r="QNX15" s="11"/>
      <c r="QNY15" s="11"/>
      <c r="QNZ15" s="11"/>
      <c r="QOA15" s="11"/>
      <c r="QOB15" s="11"/>
      <c r="QOC15" s="11"/>
      <c r="QOD15" s="11"/>
      <c r="QOE15" s="11"/>
      <c r="QOF15" s="11"/>
      <c r="QOG15" s="11"/>
      <c r="QOH15" s="11"/>
      <c r="QOI15" s="11"/>
      <c r="QOJ15" s="11"/>
      <c r="QOK15" s="11"/>
      <c r="QOL15" s="11"/>
      <c r="QOM15" s="11"/>
      <c r="QON15" s="11"/>
      <c r="QOO15" s="11"/>
      <c r="QOP15" s="11"/>
      <c r="QOQ15" s="11"/>
      <c r="QOR15" s="11"/>
      <c r="QOS15" s="11"/>
      <c r="QOT15" s="11"/>
      <c r="QOU15" s="11"/>
      <c r="QOV15" s="11"/>
      <c r="QOW15" s="11"/>
      <c r="QOX15" s="11"/>
      <c r="QOY15" s="11"/>
      <c r="QOZ15" s="11"/>
      <c r="QPA15" s="11"/>
      <c r="QPB15" s="11"/>
      <c r="QPC15" s="11"/>
      <c r="QPD15" s="11"/>
      <c r="QPE15" s="11"/>
      <c r="QPF15" s="11"/>
      <c r="QPG15" s="11"/>
      <c r="QPH15" s="11"/>
      <c r="QPI15" s="11"/>
      <c r="QPJ15" s="11"/>
      <c r="QPK15" s="11"/>
      <c r="QPL15" s="11"/>
      <c r="QPM15" s="11"/>
      <c r="QPN15" s="11"/>
      <c r="QPO15" s="11"/>
      <c r="QPP15" s="11"/>
      <c r="QPQ15" s="11"/>
      <c r="QPR15" s="11"/>
      <c r="QPS15" s="11"/>
      <c r="QPT15" s="11"/>
      <c r="QPU15" s="11"/>
      <c r="QPV15" s="11"/>
      <c r="QPW15" s="11"/>
      <c r="QPX15" s="11"/>
      <c r="QPY15" s="11"/>
      <c r="QPZ15" s="11"/>
      <c r="QQA15" s="11"/>
      <c r="QQB15" s="11"/>
      <c r="QQC15" s="11"/>
      <c r="QQD15" s="11"/>
      <c r="QQE15" s="11"/>
      <c r="QQF15" s="11"/>
      <c r="QQG15" s="11"/>
      <c r="QQH15" s="11"/>
      <c r="QQI15" s="11"/>
      <c r="QQJ15" s="11"/>
      <c r="QQK15" s="11"/>
      <c r="QQL15" s="11"/>
      <c r="QQM15" s="11"/>
      <c r="QQN15" s="11"/>
      <c r="QQO15" s="11"/>
      <c r="QQP15" s="11"/>
      <c r="QQQ15" s="11"/>
      <c r="QQR15" s="11"/>
      <c r="QQS15" s="11"/>
      <c r="QQT15" s="11"/>
      <c r="QQU15" s="11"/>
      <c r="QQV15" s="11"/>
      <c r="QQW15" s="11"/>
      <c r="QQX15" s="11"/>
      <c r="QQY15" s="11"/>
      <c r="QQZ15" s="11"/>
      <c r="QRA15" s="11"/>
      <c r="QRB15" s="11"/>
      <c r="QRC15" s="11"/>
      <c r="QRD15" s="11"/>
      <c r="QRE15" s="11"/>
      <c r="QRF15" s="11"/>
      <c r="QRG15" s="11"/>
      <c r="QRH15" s="11"/>
      <c r="QRI15" s="11"/>
      <c r="QRJ15" s="11"/>
      <c r="QRK15" s="11"/>
      <c r="QRL15" s="11"/>
      <c r="QRM15" s="11"/>
      <c r="QRN15" s="11"/>
      <c r="QRO15" s="11"/>
      <c r="QRP15" s="11"/>
      <c r="QRQ15" s="11"/>
      <c r="QRR15" s="11"/>
      <c r="QRS15" s="11"/>
      <c r="QRT15" s="11"/>
      <c r="QRU15" s="11"/>
      <c r="QRV15" s="11"/>
      <c r="QRW15" s="11"/>
      <c r="QRX15" s="11"/>
      <c r="QRY15" s="11"/>
      <c r="QRZ15" s="11"/>
      <c r="QSA15" s="11"/>
      <c r="QSB15" s="11"/>
      <c r="QSC15" s="11"/>
      <c r="QSD15" s="11"/>
      <c r="QSE15" s="11"/>
      <c r="QSF15" s="11"/>
      <c r="QSG15" s="11"/>
      <c r="QSH15" s="11"/>
      <c r="QSI15" s="11"/>
      <c r="QSJ15" s="11"/>
      <c r="QSK15" s="11"/>
      <c r="QSL15" s="11"/>
      <c r="QSM15" s="11"/>
      <c r="QSN15" s="11"/>
      <c r="QSO15" s="11"/>
      <c r="QSP15" s="11"/>
      <c r="QSQ15" s="11"/>
      <c r="QSR15" s="11"/>
      <c r="QSS15" s="11"/>
      <c r="QST15" s="11"/>
      <c r="QSU15" s="11"/>
      <c r="QSV15" s="11"/>
      <c r="QSW15" s="11"/>
      <c r="QSX15" s="11"/>
      <c r="QSY15" s="11"/>
      <c r="QSZ15" s="11"/>
      <c r="QTA15" s="11"/>
      <c r="QTB15" s="11"/>
      <c r="QTC15" s="11"/>
      <c r="QTD15" s="11"/>
      <c r="QTE15" s="11"/>
      <c r="QTF15" s="11"/>
      <c r="QTG15" s="11"/>
      <c r="QTH15" s="11"/>
      <c r="QTI15" s="11"/>
      <c r="QTJ15" s="11"/>
      <c r="QTK15" s="11"/>
      <c r="QTL15" s="11"/>
      <c r="QTM15" s="11"/>
      <c r="QTN15" s="11"/>
      <c r="QTO15" s="11"/>
      <c r="QTP15" s="11"/>
      <c r="QTQ15" s="11"/>
      <c r="QTR15" s="11"/>
      <c r="QTS15" s="11"/>
      <c r="QTT15" s="11"/>
      <c r="QTU15" s="11"/>
      <c r="QTV15" s="11"/>
      <c r="QTW15" s="11"/>
      <c r="QTX15" s="11"/>
      <c r="QTY15" s="11"/>
      <c r="QTZ15" s="11"/>
      <c r="QUA15" s="11"/>
      <c r="QUB15" s="11"/>
      <c r="QUC15" s="11"/>
      <c r="QUD15" s="11"/>
      <c r="QUE15" s="11"/>
      <c r="QUF15" s="11"/>
      <c r="QUG15" s="11"/>
      <c r="QUH15" s="11"/>
      <c r="QUI15" s="11"/>
      <c r="QUJ15" s="11"/>
      <c r="QUK15" s="11"/>
      <c r="QUL15" s="11"/>
      <c r="QUM15" s="11"/>
      <c r="QUN15" s="11"/>
      <c r="QUO15" s="11"/>
      <c r="QUP15" s="11"/>
      <c r="QUQ15" s="11"/>
      <c r="QUR15" s="11"/>
      <c r="QUS15" s="11"/>
      <c r="QUT15" s="11"/>
      <c r="QUU15" s="11"/>
      <c r="QUV15" s="11"/>
      <c r="QUW15" s="11"/>
      <c r="QUX15" s="11"/>
      <c r="QUY15" s="11"/>
      <c r="QUZ15" s="11"/>
      <c r="QVA15" s="11"/>
      <c r="QVB15" s="11"/>
      <c r="QVC15" s="11"/>
      <c r="QVD15" s="11"/>
      <c r="QVE15" s="11"/>
      <c r="QVF15" s="11"/>
      <c r="QVG15" s="11"/>
      <c r="QVH15" s="11"/>
      <c r="QVI15" s="11"/>
      <c r="QVJ15" s="11"/>
      <c r="QVK15" s="11"/>
      <c r="QVL15" s="11"/>
      <c r="QVM15" s="11"/>
      <c r="QVN15" s="11"/>
      <c r="QVO15" s="11"/>
      <c r="QVP15" s="11"/>
      <c r="QVQ15" s="11"/>
      <c r="QVR15" s="11"/>
      <c r="QVS15" s="11"/>
      <c r="QVT15" s="11"/>
      <c r="QVU15" s="11"/>
      <c r="QVV15" s="11"/>
      <c r="QVW15" s="11"/>
      <c r="QVX15" s="11"/>
      <c r="QVY15" s="11"/>
      <c r="QVZ15" s="11"/>
      <c r="QWA15" s="11"/>
      <c r="QWB15" s="11"/>
      <c r="QWC15" s="11"/>
      <c r="QWD15" s="11"/>
      <c r="QWE15" s="11"/>
      <c r="QWF15" s="11"/>
      <c r="QWG15" s="11"/>
      <c r="QWH15" s="11"/>
      <c r="QWI15" s="11"/>
      <c r="QWJ15" s="11"/>
      <c r="QWK15" s="11"/>
      <c r="QWL15" s="11"/>
      <c r="QWM15" s="11"/>
      <c r="QWN15" s="11"/>
      <c r="QWO15" s="11"/>
      <c r="QWP15" s="11"/>
      <c r="QWQ15" s="11"/>
      <c r="QWR15" s="11"/>
      <c r="QWS15" s="11"/>
      <c r="QWT15" s="11"/>
      <c r="QWU15" s="11"/>
      <c r="QWV15" s="11"/>
      <c r="QWW15" s="11"/>
      <c r="QWX15" s="11"/>
      <c r="QWY15" s="11"/>
      <c r="QWZ15" s="11"/>
      <c r="QXA15" s="11"/>
      <c r="QXB15" s="11"/>
      <c r="QXC15" s="11"/>
      <c r="QXD15" s="11"/>
      <c r="QXE15" s="11"/>
      <c r="QXF15" s="11"/>
      <c r="QXG15" s="11"/>
      <c r="QXH15" s="11"/>
      <c r="QXI15" s="11"/>
      <c r="QXJ15" s="11"/>
      <c r="QXK15" s="11"/>
      <c r="QXL15" s="11"/>
      <c r="QXM15" s="11"/>
      <c r="QXN15" s="11"/>
      <c r="QXO15" s="11"/>
      <c r="QXP15" s="11"/>
      <c r="QXQ15" s="11"/>
      <c r="QXR15" s="11"/>
      <c r="QXS15" s="11"/>
      <c r="QXT15" s="11"/>
      <c r="QXU15" s="11"/>
      <c r="QXV15" s="11"/>
      <c r="QXW15" s="11"/>
      <c r="QXX15" s="11"/>
      <c r="QXY15" s="11"/>
      <c r="QXZ15" s="11"/>
      <c r="QYA15" s="11"/>
      <c r="QYB15" s="11"/>
      <c r="QYC15" s="11"/>
      <c r="QYD15" s="11"/>
      <c r="QYE15" s="11"/>
      <c r="QYF15" s="11"/>
      <c r="QYG15" s="11"/>
      <c r="QYH15" s="11"/>
      <c r="QYI15" s="11"/>
      <c r="QYJ15" s="11"/>
      <c r="QYK15" s="11"/>
      <c r="QYL15" s="11"/>
      <c r="QYM15" s="11"/>
      <c r="QYN15" s="11"/>
      <c r="QYO15" s="11"/>
      <c r="QYP15" s="11"/>
      <c r="QYQ15" s="11"/>
      <c r="QYR15" s="11"/>
      <c r="QYS15" s="11"/>
      <c r="QYT15" s="11"/>
      <c r="QYU15" s="11"/>
      <c r="QYV15" s="11"/>
      <c r="QYW15" s="11"/>
      <c r="QYX15" s="11"/>
      <c r="QYY15" s="11"/>
      <c r="QYZ15" s="11"/>
      <c r="QZA15" s="11"/>
      <c r="QZB15" s="11"/>
      <c r="QZC15" s="11"/>
      <c r="QZD15" s="11"/>
      <c r="QZE15" s="11"/>
      <c r="QZF15" s="11"/>
      <c r="QZG15" s="11"/>
      <c r="QZH15" s="11"/>
      <c r="QZI15" s="11"/>
      <c r="QZJ15" s="11"/>
      <c r="QZK15" s="11"/>
      <c r="QZL15" s="11"/>
      <c r="QZM15" s="11"/>
      <c r="QZN15" s="11"/>
      <c r="QZO15" s="11"/>
      <c r="QZP15" s="11"/>
      <c r="QZQ15" s="11"/>
      <c r="QZR15" s="11"/>
      <c r="QZS15" s="11"/>
      <c r="QZT15" s="11"/>
      <c r="QZU15" s="11"/>
      <c r="QZV15" s="11"/>
      <c r="QZW15" s="11"/>
      <c r="QZX15" s="11"/>
      <c r="QZY15" s="11"/>
      <c r="QZZ15" s="11"/>
      <c r="RAA15" s="11"/>
      <c r="RAB15" s="11"/>
      <c r="RAC15" s="11"/>
      <c r="RAD15" s="11"/>
      <c r="RAE15" s="11"/>
      <c r="RAF15" s="11"/>
      <c r="RAG15" s="11"/>
      <c r="RAH15" s="11"/>
      <c r="RAI15" s="11"/>
      <c r="RAJ15" s="11"/>
      <c r="RAK15" s="11"/>
      <c r="RAL15" s="11"/>
      <c r="RAM15" s="11"/>
      <c r="RAN15" s="11"/>
      <c r="RAO15" s="11"/>
      <c r="RAP15" s="11"/>
      <c r="RAQ15" s="11"/>
      <c r="RAR15" s="11"/>
      <c r="RAS15" s="11"/>
      <c r="RAT15" s="11"/>
      <c r="RAU15" s="11"/>
      <c r="RAV15" s="11"/>
      <c r="RAW15" s="11"/>
      <c r="RAX15" s="11"/>
      <c r="RAY15" s="11"/>
      <c r="RAZ15" s="11"/>
      <c r="RBA15" s="11"/>
      <c r="RBB15" s="11"/>
      <c r="RBC15" s="11"/>
      <c r="RBD15" s="11"/>
      <c r="RBE15" s="11"/>
      <c r="RBF15" s="11"/>
      <c r="RBG15" s="11"/>
      <c r="RBH15" s="11"/>
      <c r="RBI15" s="11"/>
      <c r="RBJ15" s="11"/>
      <c r="RBK15" s="11"/>
      <c r="RBL15" s="11"/>
      <c r="RBM15" s="11"/>
      <c r="RBN15" s="11"/>
      <c r="RBO15" s="11"/>
      <c r="RBP15" s="11"/>
      <c r="RBQ15" s="11"/>
      <c r="RBR15" s="11"/>
      <c r="RBS15" s="11"/>
      <c r="RBT15" s="11"/>
      <c r="RBU15" s="11"/>
      <c r="RBV15" s="11"/>
      <c r="RBW15" s="11"/>
      <c r="RBX15" s="11"/>
      <c r="RBY15" s="11"/>
      <c r="RBZ15" s="11"/>
      <c r="RCA15" s="11"/>
      <c r="RCB15" s="11"/>
      <c r="RCC15" s="11"/>
      <c r="RCD15" s="11"/>
      <c r="RCE15" s="11"/>
      <c r="RCF15" s="11"/>
      <c r="RCG15" s="11"/>
      <c r="RCH15" s="11"/>
      <c r="RCI15" s="11"/>
      <c r="RCJ15" s="11"/>
      <c r="RCK15" s="11"/>
      <c r="RCL15" s="11"/>
      <c r="RCM15" s="11"/>
      <c r="RCN15" s="11"/>
      <c r="RCO15" s="11"/>
      <c r="RCP15" s="11"/>
      <c r="RCQ15" s="11"/>
      <c r="RCR15" s="11"/>
      <c r="RCS15" s="11"/>
      <c r="RCT15" s="11"/>
      <c r="RCU15" s="11"/>
      <c r="RCV15" s="11"/>
      <c r="RCW15" s="11"/>
      <c r="RCX15" s="11"/>
      <c r="RCY15" s="11"/>
      <c r="RCZ15" s="11"/>
      <c r="RDA15" s="11"/>
      <c r="RDB15" s="11"/>
      <c r="RDC15" s="11"/>
      <c r="RDD15" s="11"/>
      <c r="RDE15" s="11"/>
      <c r="RDF15" s="11"/>
      <c r="RDG15" s="11"/>
      <c r="RDH15" s="11"/>
      <c r="RDI15" s="11"/>
      <c r="RDJ15" s="11"/>
      <c r="RDK15" s="11"/>
      <c r="RDL15" s="11"/>
      <c r="RDM15" s="11"/>
      <c r="RDN15" s="11"/>
      <c r="RDO15" s="11"/>
      <c r="RDP15" s="11"/>
      <c r="RDQ15" s="11"/>
      <c r="RDR15" s="11"/>
      <c r="RDS15" s="11"/>
      <c r="RDT15" s="11"/>
      <c r="RDU15" s="11"/>
      <c r="RDV15" s="11"/>
      <c r="RDW15" s="11"/>
      <c r="RDX15" s="11"/>
      <c r="RDY15" s="11"/>
      <c r="RDZ15" s="11"/>
      <c r="REA15" s="11"/>
      <c r="REB15" s="11"/>
      <c r="REC15" s="11"/>
      <c r="RED15" s="11"/>
      <c r="REE15" s="11"/>
      <c r="REF15" s="11"/>
      <c r="REG15" s="11"/>
      <c r="REH15" s="11"/>
      <c r="REI15" s="11"/>
      <c r="REJ15" s="11"/>
      <c r="REK15" s="11"/>
      <c r="REL15" s="11"/>
      <c r="REM15" s="11"/>
      <c r="REN15" s="11"/>
      <c r="REO15" s="11"/>
      <c r="REP15" s="11"/>
      <c r="REQ15" s="11"/>
      <c r="RER15" s="11"/>
      <c r="RES15" s="11"/>
      <c r="RET15" s="11"/>
      <c r="REU15" s="11"/>
      <c r="REV15" s="11"/>
      <c r="REW15" s="11"/>
      <c r="REX15" s="11"/>
      <c r="REY15" s="11"/>
      <c r="REZ15" s="11"/>
      <c r="RFA15" s="11"/>
      <c r="RFB15" s="11"/>
      <c r="RFC15" s="11"/>
      <c r="RFD15" s="11"/>
      <c r="RFE15" s="11"/>
      <c r="RFF15" s="11"/>
      <c r="RFG15" s="11"/>
      <c r="RFH15" s="11"/>
      <c r="RFI15" s="11"/>
      <c r="RFJ15" s="11"/>
      <c r="RFK15" s="11"/>
      <c r="RFL15" s="11"/>
      <c r="RFM15" s="11"/>
      <c r="RFN15" s="11"/>
      <c r="RFO15" s="11"/>
      <c r="RFP15" s="11"/>
      <c r="RFQ15" s="11"/>
      <c r="RFR15" s="11"/>
      <c r="RFS15" s="11"/>
      <c r="RFT15" s="11"/>
      <c r="RFU15" s="11"/>
      <c r="RFV15" s="11"/>
      <c r="RFW15" s="11"/>
      <c r="RFX15" s="11"/>
      <c r="RFY15" s="11"/>
      <c r="RFZ15" s="11"/>
      <c r="RGA15" s="11"/>
      <c r="RGB15" s="11"/>
      <c r="RGC15" s="11"/>
      <c r="RGD15" s="11"/>
      <c r="RGE15" s="11"/>
      <c r="RGF15" s="11"/>
      <c r="RGG15" s="11"/>
      <c r="RGH15" s="11"/>
      <c r="RGI15" s="11"/>
      <c r="RGJ15" s="11"/>
      <c r="RGK15" s="11"/>
      <c r="RGL15" s="11"/>
      <c r="RGM15" s="11"/>
      <c r="RGN15" s="11"/>
      <c r="RGO15" s="11"/>
      <c r="RGP15" s="11"/>
      <c r="RGQ15" s="11"/>
      <c r="RGR15" s="11"/>
      <c r="RGS15" s="11"/>
      <c r="RGT15" s="11"/>
      <c r="RGU15" s="11"/>
      <c r="RGV15" s="11"/>
      <c r="RGW15" s="11"/>
      <c r="RGX15" s="11"/>
      <c r="RGY15" s="11"/>
      <c r="RGZ15" s="11"/>
      <c r="RHA15" s="11"/>
      <c r="RHB15" s="11"/>
      <c r="RHC15" s="11"/>
      <c r="RHD15" s="11"/>
      <c r="RHE15" s="11"/>
      <c r="RHF15" s="11"/>
      <c r="RHG15" s="11"/>
      <c r="RHH15" s="11"/>
      <c r="RHI15" s="11"/>
      <c r="RHJ15" s="11"/>
      <c r="RHK15" s="11"/>
      <c r="RHL15" s="11"/>
      <c r="RHM15" s="11"/>
      <c r="RHN15" s="11"/>
      <c r="RHO15" s="11"/>
      <c r="RHP15" s="11"/>
      <c r="RHQ15" s="11"/>
      <c r="RHR15" s="11"/>
      <c r="RHS15" s="11"/>
      <c r="RHT15" s="11"/>
      <c r="RHU15" s="11"/>
      <c r="RHV15" s="11"/>
      <c r="RHW15" s="11"/>
      <c r="RHX15" s="11"/>
      <c r="RHY15" s="11"/>
      <c r="RHZ15" s="11"/>
      <c r="RIA15" s="11"/>
      <c r="RIB15" s="11"/>
      <c r="RIC15" s="11"/>
      <c r="RID15" s="11"/>
      <c r="RIE15" s="11"/>
      <c r="RIF15" s="11"/>
      <c r="RIG15" s="11"/>
      <c r="RIH15" s="11"/>
      <c r="RII15" s="11"/>
      <c r="RIJ15" s="11"/>
      <c r="RIK15" s="11"/>
      <c r="RIL15" s="11"/>
      <c r="RIM15" s="11"/>
      <c r="RIN15" s="11"/>
      <c r="RIO15" s="11"/>
      <c r="RIP15" s="11"/>
      <c r="RIQ15" s="11"/>
      <c r="RIR15" s="11"/>
      <c r="RIS15" s="11"/>
      <c r="RIT15" s="11"/>
      <c r="RIU15" s="11"/>
      <c r="RIV15" s="11"/>
      <c r="RIW15" s="11"/>
      <c r="RIX15" s="11"/>
      <c r="RIY15" s="11"/>
      <c r="RIZ15" s="11"/>
      <c r="RJA15" s="11"/>
      <c r="RJB15" s="11"/>
      <c r="RJC15" s="11"/>
      <c r="RJD15" s="11"/>
      <c r="RJE15" s="11"/>
      <c r="RJF15" s="11"/>
      <c r="RJG15" s="11"/>
      <c r="RJH15" s="11"/>
      <c r="RJI15" s="11"/>
      <c r="RJJ15" s="11"/>
      <c r="RJK15" s="11"/>
      <c r="RJL15" s="11"/>
      <c r="RJM15" s="11"/>
      <c r="RJN15" s="11"/>
      <c r="RJO15" s="11"/>
      <c r="RJP15" s="11"/>
      <c r="RJQ15" s="11"/>
      <c r="RJR15" s="11"/>
      <c r="RJS15" s="11"/>
      <c r="RJT15" s="11"/>
      <c r="RJU15" s="11"/>
      <c r="RJV15" s="11"/>
      <c r="RJW15" s="11"/>
      <c r="RJX15" s="11"/>
      <c r="RJY15" s="11"/>
      <c r="RJZ15" s="11"/>
      <c r="RKA15" s="11"/>
      <c r="RKB15" s="11"/>
      <c r="RKC15" s="11"/>
      <c r="RKD15" s="11"/>
      <c r="RKE15" s="11"/>
      <c r="RKF15" s="11"/>
      <c r="RKG15" s="11"/>
      <c r="RKH15" s="11"/>
      <c r="RKI15" s="11"/>
      <c r="RKJ15" s="11"/>
      <c r="RKK15" s="11"/>
      <c r="RKL15" s="11"/>
      <c r="RKM15" s="11"/>
      <c r="RKN15" s="11"/>
      <c r="RKO15" s="11"/>
      <c r="RKP15" s="11"/>
      <c r="RKQ15" s="11"/>
      <c r="RKR15" s="11"/>
      <c r="RKS15" s="11"/>
      <c r="RKT15" s="11"/>
      <c r="RKU15" s="11"/>
      <c r="RKV15" s="11"/>
      <c r="RKW15" s="11"/>
      <c r="RKX15" s="11"/>
      <c r="RKY15" s="11"/>
      <c r="RKZ15" s="11"/>
      <c r="RLA15" s="11"/>
      <c r="RLB15" s="11"/>
      <c r="RLC15" s="11"/>
      <c r="RLD15" s="11"/>
      <c r="RLE15" s="11"/>
      <c r="RLF15" s="11"/>
      <c r="RLG15" s="11"/>
      <c r="RLH15" s="11"/>
      <c r="RLI15" s="11"/>
      <c r="RLJ15" s="11"/>
      <c r="RLK15" s="11"/>
      <c r="RLL15" s="11"/>
      <c r="RLM15" s="11"/>
      <c r="RLN15" s="11"/>
      <c r="RLO15" s="11"/>
      <c r="RLP15" s="11"/>
      <c r="RLQ15" s="11"/>
      <c r="RLR15" s="11"/>
      <c r="RLS15" s="11"/>
      <c r="RLT15" s="11"/>
      <c r="RLU15" s="11"/>
      <c r="RLV15" s="11"/>
      <c r="RLW15" s="11"/>
      <c r="RLX15" s="11"/>
      <c r="RLY15" s="11"/>
      <c r="RLZ15" s="11"/>
      <c r="RMA15" s="11"/>
      <c r="RMB15" s="11"/>
      <c r="RMC15" s="11"/>
      <c r="RMD15" s="11"/>
      <c r="RME15" s="11"/>
      <c r="RMF15" s="11"/>
      <c r="RMG15" s="11"/>
      <c r="RMH15" s="11"/>
      <c r="RMI15" s="11"/>
      <c r="RMJ15" s="11"/>
      <c r="RMK15" s="11"/>
      <c r="RML15" s="11"/>
      <c r="RMM15" s="11"/>
      <c r="RMN15" s="11"/>
      <c r="RMO15" s="11"/>
      <c r="RMP15" s="11"/>
      <c r="RMQ15" s="11"/>
      <c r="RMR15" s="11"/>
      <c r="RMS15" s="11"/>
      <c r="RMT15" s="11"/>
      <c r="RMU15" s="11"/>
      <c r="RMV15" s="11"/>
      <c r="RMW15" s="11"/>
      <c r="RMX15" s="11"/>
      <c r="RMY15" s="11"/>
      <c r="RMZ15" s="11"/>
      <c r="RNA15" s="11"/>
      <c r="RNB15" s="11"/>
      <c r="RNC15" s="11"/>
      <c r="RND15" s="11"/>
      <c r="RNE15" s="11"/>
      <c r="RNF15" s="11"/>
      <c r="RNG15" s="11"/>
      <c r="RNH15" s="11"/>
      <c r="RNI15" s="11"/>
      <c r="RNJ15" s="11"/>
      <c r="RNK15" s="11"/>
      <c r="RNL15" s="11"/>
      <c r="RNM15" s="11"/>
      <c r="RNN15" s="11"/>
      <c r="RNO15" s="11"/>
      <c r="RNP15" s="11"/>
      <c r="RNQ15" s="11"/>
      <c r="RNR15" s="11"/>
      <c r="RNS15" s="11"/>
      <c r="RNT15" s="11"/>
      <c r="RNU15" s="11"/>
      <c r="RNV15" s="11"/>
      <c r="RNW15" s="11"/>
      <c r="RNX15" s="11"/>
      <c r="RNY15" s="11"/>
      <c r="RNZ15" s="11"/>
      <c r="ROA15" s="11"/>
      <c r="ROB15" s="11"/>
      <c r="ROC15" s="11"/>
      <c r="ROD15" s="11"/>
      <c r="ROE15" s="11"/>
      <c r="ROF15" s="11"/>
      <c r="ROG15" s="11"/>
      <c r="ROH15" s="11"/>
      <c r="ROI15" s="11"/>
      <c r="ROJ15" s="11"/>
      <c r="ROK15" s="11"/>
      <c r="ROL15" s="11"/>
      <c r="ROM15" s="11"/>
      <c r="RON15" s="11"/>
      <c r="ROO15" s="11"/>
      <c r="ROP15" s="11"/>
      <c r="ROQ15" s="11"/>
      <c r="ROR15" s="11"/>
      <c r="ROS15" s="11"/>
      <c r="ROT15" s="11"/>
      <c r="ROU15" s="11"/>
      <c r="ROV15" s="11"/>
      <c r="ROW15" s="11"/>
      <c r="ROX15" s="11"/>
      <c r="ROY15" s="11"/>
      <c r="ROZ15" s="11"/>
      <c r="RPA15" s="11"/>
      <c r="RPB15" s="11"/>
      <c r="RPC15" s="11"/>
      <c r="RPD15" s="11"/>
      <c r="RPE15" s="11"/>
      <c r="RPF15" s="11"/>
      <c r="RPG15" s="11"/>
      <c r="RPH15" s="11"/>
      <c r="RPI15" s="11"/>
      <c r="RPJ15" s="11"/>
      <c r="RPK15" s="11"/>
      <c r="RPL15" s="11"/>
      <c r="RPM15" s="11"/>
      <c r="RPN15" s="11"/>
      <c r="RPO15" s="11"/>
      <c r="RPP15" s="11"/>
      <c r="RPQ15" s="11"/>
      <c r="RPR15" s="11"/>
      <c r="RPS15" s="11"/>
      <c r="RPT15" s="11"/>
      <c r="RPU15" s="11"/>
      <c r="RPV15" s="11"/>
      <c r="RPW15" s="11"/>
      <c r="RPX15" s="11"/>
      <c r="RPY15" s="11"/>
      <c r="RPZ15" s="11"/>
      <c r="RQA15" s="11"/>
      <c r="RQB15" s="11"/>
      <c r="RQC15" s="11"/>
      <c r="RQD15" s="11"/>
      <c r="RQE15" s="11"/>
      <c r="RQF15" s="11"/>
      <c r="RQG15" s="11"/>
      <c r="RQH15" s="11"/>
      <c r="RQI15" s="11"/>
      <c r="RQJ15" s="11"/>
      <c r="RQK15" s="11"/>
      <c r="RQL15" s="11"/>
      <c r="RQM15" s="11"/>
      <c r="RQN15" s="11"/>
      <c r="RQO15" s="11"/>
      <c r="RQP15" s="11"/>
      <c r="RQQ15" s="11"/>
      <c r="RQR15" s="11"/>
      <c r="RQS15" s="11"/>
      <c r="RQT15" s="11"/>
      <c r="RQU15" s="11"/>
      <c r="RQV15" s="11"/>
      <c r="RQW15" s="11"/>
      <c r="RQX15" s="11"/>
      <c r="RQY15" s="11"/>
      <c r="RQZ15" s="11"/>
      <c r="RRA15" s="11"/>
      <c r="RRB15" s="11"/>
      <c r="RRC15" s="11"/>
      <c r="RRD15" s="11"/>
      <c r="RRE15" s="11"/>
      <c r="RRF15" s="11"/>
      <c r="RRG15" s="11"/>
      <c r="RRH15" s="11"/>
      <c r="RRI15" s="11"/>
      <c r="RRJ15" s="11"/>
      <c r="RRK15" s="11"/>
      <c r="RRL15" s="11"/>
      <c r="RRM15" s="11"/>
      <c r="RRN15" s="11"/>
      <c r="RRO15" s="11"/>
      <c r="RRP15" s="11"/>
      <c r="RRQ15" s="11"/>
      <c r="RRR15" s="11"/>
      <c r="RRS15" s="11"/>
      <c r="RRT15" s="11"/>
      <c r="RRU15" s="11"/>
      <c r="RRV15" s="11"/>
      <c r="RRW15" s="11"/>
      <c r="RRX15" s="11"/>
      <c r="RRY15" s="11"/>
      <c r="RRZ15" s="11"/>
      <c r="RSA15" s="11"/>
      <c r="RSB15" s="11"/>
      <c r="RSC15" s="11"/>
      <c r="RSD15" s="11"/>
      <c r="RSE15" s="11"/>
      <c r="RSF15" s="11"/>
      <c r="RSG15" s="11"/>
      <c r="RSH15" s="11"/>
      <c r="RSI15" s="11"/>
      <c r="RSJ15" s="11"/>
      <c r="RSK15" s="11"/>
      <c r="RSL15" s="11"/>
      <c r="RSM15" s="11"/>
      <c r="RSN15" s="11"/>
      <c r="RSO15" s="11"/>
      <c r="RSP15" s="11"/>
      <c r="RSQ15" s="11"/>
      <c r="RSR15" s="11"/>
      <c r="RSS15" s="11"/>
      <c r="RST15" s="11"/>
      <c r="RSU15" s="11"/>
      <c r="RSV15" s="11"/>
      <c r="RSW15" s="11"/>
      <c r="RSX15" s="11"/>
      <c r="RSY15" s="11"/>
      <c r="RSZ15" s="11"/>
      <c r="RTA15" s="11"/>
      <c r="RTB15" s="11"/>
      <c r="RTC15" s="11"/>
      <c r="RTD15" s="11"/>
      <c r="RTE15" s="11"/>
      <c r="RTF15" s="11"/>
      <c r="RTG15" s="11"/>
      <c r="RTH15" s="11"/>
      <c r="RTI15" s="11"/>
      <c r="RTJ15" s="11"/>
      <c r="RTK15" s="11"/>
      <c r="RTL15" s="11"/>
      <c r="RTM15" s="11"/>
      <c r="RTN15" s="11"/>
      <c r="RTO15" s="11"/>
      <c r="RTP15" s="11"/>
      <c r="RTQ15" s="11"/>
      <c r="RTR15" s="11"/>
      <c r="RTS15" s="11"/>
      <c r="RTT15" s="11"/>
      <c r="RTU15" s="11"/>
      <c r="RTV15" s="11"/>
      <c r="RTW15" s="11"/>
      <c r="RTX15" s="11"/>
      <c r="RTY15" s="11"/>
      <c r="RTZ15" s="11"/>
      <c r="RUA15" s="11"/>
      <c r="RUB15" s="11"/>
      <c r="RUC15" s="11"/>
      <c r="RUD15" s="11"/>
      <c r="RUE15" s="11"/>
      <c r="RUF15" s="11"/>
      <c r="RUG15" s="11"/>
      <c r="RUH15" s="11"/>
      <c r="RUI15" s="11"/>
      <c r="RUJ15" s="11"/>
      <c r="RUK15" s="11"/>
      <c r="RUL15" s="11"/>
      <c r="RUM15" s="11"/>
      <c r="RUN15" s="11"/>
      <c r="RUO15" s="11"/>
      <c r="RUP15" s="11"/>
      <c r="RUQ15" s="11"/>
      <c r="RUR15" s="11"/>
      <c r="RUS15" s="11"/>
      <c r="RUT15" s="11"/>
      <c r="RUU15" s="11"/>
      <c r="RUV15" s="11"/>
      <c r="RUW15" s="11"/>
      <c r="RUX15" s="11"/>
      <c r="RUY15" s="11"/>
      <c r="RUZ15" s="11"/>
      <c r="RVA15" s="11"/>
      <c r="RVB15" s="11"/>
      <c r="RVC15" s="11"/>
      <c r="RVD15" s="11"/>
      <c r="RVE15" s="11"/>
      <c r="RVF15" s="11"/>
      <c r="RVG15" s="11"/>
      <c r="RVH15" s="11"/>
      <c r="RVI15" s="11"/>
      <c r="RVJ15" s="11"/>
      <c r="RVK15" s="11"/>
      <c r="RVL15" s="11"/>
      <c r="RVM15" s="11"/>
      <c r="RVN15" s="11"/>
      <c r="RVO15" s="11"/>
      <c r="RVP15" s="11"/>
      <c r="RVQ15" s="11"/>
      <c r="RVR15" s="11"/>
      <c r="RVS15" s="11"/>
      <c r="RVT15" s="11"/>
      <c r="RVU15" s="11"/>
      <c r="RVV15" s="11"/>
      <c r="RVW15" s="11"/>
      <c r="RVX15" s="11"/>
      <c r="RVY15" s="11"/>
      <c r="RVZ15" s="11"/>
      <c r="RWA15" s="11"/>
      <c r="RWB15" s="11"/>
      <c r="RWC15" s="11"/>
      <c r="RWD15" s="11"/>
      <c r="RWE15" s="11"/>
      <c r="RWF15" s="11"/>
      <c r="RWG15" s="11"/>
      <c r="RWH15" s="11"/>
      <c r="RWI15" s="11"/>
      <c r="RWJ15" s="11"/>
      <c r="RWK15" s="11"/>
      <c r="RWL15" s="11"/>
      <c r="RWM15" s="11"/>
      <c r="RWN15" s="11"/>
      <c r="RWO15" s="11"/>
      <c r="RWP15" s="11"/>
      <c r="RWQ15" s="11"/>
      <c r="RWR15" s="11"/>
      <c r="RWS15" s="11"/>
      <c r="RWT15" s="11"/>
      <c r="RWU15" s="11"/>
      <c r="RWV15" s="11"/>
      <c r="RWW15" s="11"/>
      <c r="RWX15" s="11"/>
      <c r="RWY15" s="11"/>
      <c r="RWZ15" s="11"/>
      <c r="RXA15" s="11"/>
      <c r="RXB15" s="11"/>
      <c r="RXC15" s="11"/>
      <c r="RXD15" s="11"/>
      <c r="RXE15" s="11"/>
      <c r="RXF15" s="11"/>
      <c r="RXG15" s="11"/>
      <c r="RXH15" s="11"/>
      <c r="RXI15" s="11"/>
      <c r="RXJ15" s="11"/>
      <c r="RXK15" s="11"/>
      <c r="RXL15" s="11"/>
      <c r="RXM15" s="11"/>
      <c r="RXN15" s="11"/>
      <c r="RXO15" s="11"/>
      <c r="RXP15" s="11"/>
      <c r="RXQ15" s="11"/>
      <c r="RXR15" s="11"/>
      <c r="RXS15" s="11"/>
      <c r="RXT15" s="11"/>
      <c r="RXU15" s="11"/>
      <c r="RXV15" s="11"/>
      <c r="RXW15" s="11"/>
      <c r="RXX15" s="11"/>
      <c r="RXY15" s="11"/>
      <c r="RXZ15" s="11"/>
      <c r="RYA15" s="11"/>
      <c r="RYB15" s="11"/>
      <c r="RYC15" s="11"/>
      <c r="RYD15" s="11"/>
      <c r="RYE15" s="11"/>
      <c r="RYF15" s="11"/>
      <c r="RYG15" s="11"/>
      <c r="RYH15" s="11"/>
      <c r="RYI15" s="11"/>
      <c r="RYJ15" s="11"/>
      <c r="RYK15" s="11"/>
      <c r="RYL15" s="11"/>
      <c r="RYM15" s="11"/>
      <c r="RYN15" s="11"/>
      <c r="RYO15" s="11"/>
      <c r="RYP15" s="11"/>
      <c r="RYQ15" s="11"/>
      <c r="RYR15" s="11"/>
      <c r="RYS15" s="11"/>
      <c r="RYT15" s="11"/>
      <c r="RYU15" s="11"/>
      <c r="RYV15" s="11"/>
      <c r="RYW15" s="11"/>
      <c r="RYX15" s="11"/>
      <c r="RYY15" s="11"/>
      <c r="RYZ15" s="11"/>
      <c r="RZA15" s="11"/>
      <c r="RZB15" s="11"/>
      <c r="RZC15" s="11"/>
      <c r="RZD15" s="11"/>
      <c r="RZE15" s="11"/>
      <c r="RZF15" s="11"/>
      <c r="RZG15" s="11"/>
      <c r="RZH15" s="11"/>
      <c r="RZI15" s="11"/>
      <c r="RZJ15" s="11"/>
      <c r="RZK15" s="11"/>
      <c r="RZL15" s="11"/>
      <c r="RZM15" s="11"/>
      <c r="RZN15" s="11"/>
      <c r="RZO15" s="11"/>
      <c r="RZP15" s="11"/>
      <c r="RZQ15" s="11"/>
      <c r="RZR15" s="11"/>
      <c r="RZS15" s="11"/>
      <c r="RZT15" s="11"/>
      <c r="RZU15" s="11"/>
      <c r="RZV15" s="11"/>
      <c r="RZW15" s="11"/>
      <c r="RZX15" s="11"/>
      <c r="RZY15" s="11"/>
      <c r="RZZ15" s="11"/>
      <c r="SAA15" s="11"/>
      <c r="SAB15" s="11"/>
      <c r="SAC15" s="11"/>
      <c r="SAD15" s="11"/>
      <c r="SAE15" s="11"/>
      <c r="SAF15" s="11"/>
      <c r="SAG15" s="11"/>
      <c r="SAH15" s="11"/>
      <c r="SAI15" s="11"/>
      <c r="SAJ15" s="11"/>
      <c r="SAK15" s="11"/>
      <c r="SAL15" s="11"/>
      <c r="SAM15" s="11"/>
      <c r="SAN15" s="11"/>
      <c r="SAO15" s="11"/>
      <c r="SAP15" s="11"/>
      <c r="SAQ15" s="11"/>
      <c r="SAR15" s="11"/>
      <c r="SAS15" s="11"/>
      <c r="SAT15" s="11"/>
      <c r="SAU15" s="11"/>
      <c r="SAV15" s="11"/>
      <c r="SAW15" s="11"/>
      <c r="SAX15" s="11"/>
      <c r="SAY15" s="11"/>
      <c r="SAZ15" s="11"/>
      <c r="SBA15" s="11"/>
      <c r="SBB15" s="11"/>
      <c r="SBC15" s="11"/>
      <c r="SBD15" s="11"/>
      <c r="SBE15" s="11"/>
      <c r="SBF15" s="11"/>
      <c r="SBG15" s="11"/>
      <c r="SBH15" s="11"/>
      <c r="SBI15" s="11"/>
      <c r="SBJ15" s="11"/>
      <c r="SBK15" s="11"/>
      <c r="SBL15" s="11"/>
      <c r="SBM15" s="11"/>
      <c r="SBN15" s="11"/>
      <c r="SBO15" s="11"/>
      <c r="SBP15" s="11"/>
      <c r="SBQ15" s="11"/>
      <c r="SBR15" s="11"/>
      <c r="SBS15" s="11"/>
      <c r="SBT15" s="11"/>
      <c r="SBU15" s="11"/>
      <c r="SBV15" s="11"/>
      <c r="SBW15" s="11"/>
      <c r="SBX15" s="11"/>
      <c r="SBY15" s="11"/>
      <c r="SBZ15" s="11"/>
      <c r="SCA15" s="11"/>
      <c r="SCB15" s="11"/>
      <c r="SCC15" s="11"/>
      <c r="SCD15" s="11"/>
      <c r="SCE15" s="11"/>
      <c r="SCF15" s="11"/>
      <c r="SCG15" s="11"/>
      <c r="SCH15" s="11"/>
      <c r="SCI15" s="11"/>
      <c r="SCJ15" s="11"/>
      <c r="SCK15" s="11"/>
      <c r="SCL15" s="11"/>
      <c r="SCM15" s="11"/>
      <c r="SCN15" s="11"/>
      <c r="SCO15" s="11"/>
      <c r="SCP15" s="11"/>
      <c r="SCQ15" s="11"/>
      <c r="SCR15" s="11"/>
      <c r="SCS15" s="11"/>
      <c r="SCT15" s="11"/>
      <c r="SCU15" s="11"/>
      <c r="SCV15" s="11"/>
      <c r="SCW15" s="11"/>
      <c r="SCX15" s="11"/>
      <c r="SCY15" s="11"/>
      <c r="SCZ15" s="11"/>
      <c r="SDA15" s="11"/>
      <c r="SDB15" s="11"/>
      <c r="SDC15" s="11"/>
      <c r="SDD15" s="11"/>
      <c r="SDE15" s="11"/>
      <c r="SDF15" s="11"/>
      <c r="SDG15" s="11"/>
      <c r="SDH15" s="11"/>
      <c r="SDI15" s="11"/>
      <c r="SDJ15" s="11"/>
      <c r="SDK15" s="11"/>
      <c r="SDL15" s="11"/>
      <c r="SDM15" s="11"/>
      <c r="SDN15" s="11"/>
      <c r="SDO15" s="11"/>
      <c r="SDP15" s="11"/>
      <c r="SDQ15" s="11"/>
      <c r="SDR15" s="11"/>
      <c r="SDS15" s="11"/>
      <c r="SDT15" s="11"/>
      <c r="SDU15" s="11"/>
      <c r="SDV15" s="11"/>
      <c r="SDW15" s="11"/>
      <c r="SDX15" s="11"/>
      <c r="SDY15" s="11"/>
      <c r="SDZ15" s="11"/>
      <c r="SEA15" s="11"/>
      <c r="SEB15" s="11"/>
      <c r="SEC15" s="11"/>
      <c r="SED15" s="11"/>
      <c r="SEE15" s="11"/>
      <c r="SEF15" s="11"/>
      <c r="SEG15" s="11"/>
      <c r="SEH15" s="11"/>
      <c r="SEI15" s="11"/>
      <c r="SEJ15" s="11"/>
      <c r="SEK15" s="11"/>
      <c r="SEL15" s="11"/>
      <c r="SEM15" s="11"/>
      <c r="SEN15" s="11"/>
      <c r="SEO15" s="11"/>
      <c r="SEP15" s="11"/>
      <c r="SEQ15" s="11"/>
      <c r="SER15" s="11"/>
      <c r="SES15" s="11"/>
      <c r="SET15" s="11"/>
      <c r="SEU15" s="11"/>
      <c r="SEV15" s="11"/>
      <c r="SEW15" s="11"/>
      <c r="SEX15" s="11"/>
      <c r="SEY15" s="11"/>
      <c r="SEZ15" s="11"/>
      <c r="SFA15" s="11"/>
      <c r="SFB15" s="11"/>
      <c r="SFC15" s="11"/>
      <c r="SFD15" s="11"/>
      <c r="SFE15" s="11"/>
      <c r="SFF15" s="11"/>
      <c r="SFG15" s="11"/>
      <c r="SFH15" s="11"/>
      <c r="SFI15" s="11"/>
      <c r="SFJ15" s="11"/>
      <c r="SFK15" s="11"/>
      <c r="SFL15" s="11"/>
      <c r="SFM15" s="11"/>
      <c r="SFN15" s="11"/>
      <c r="SFO15" s="11"/>
      <c r="SFP15" s="11"/>
      <c r="SFQ15" s="11"/>
      <c r="SFR15" s="11"/>
      <c r="SFS15" s="11"/>
      <c r="SFT15" s="11"/>
      <c r="SFU15" s="11"/>
      <c r="SFV15" s="11"/>
      <c r="SFW15" s="11"/>
      <c r="SFX15" s="11"/>
      <c r="SFY15" s="11"/>
      <c r="SFZ15" s="11"/>
      <c r="SGA15" s="11"/>
      <c r="SGB15" s="11"/>
      <c r="SGC15" s="11"/>
      <c r="SGD15" s="11"/>
      <c r="SGE15" s="11"/>
      <c r="SGF15" s="11"/>
      <c r="SGG15" s="11"/>
      <c r="SGH15" s="11"/>
      <c r="SGI15" s="11"/>
      <c r="SGJ15" s="11"/>
      <c r="SGK15" s="11"/>
      <c r="SGL15" s="11"/>
      <c r="SGM15" s="11"/>
      <c r="SGN15" s="11"/>
      <c r="SGO15" s="11"/>
      <c r="SGP15" s="11"/>
      <c r="SGQ15" s="11"/>
      <c r="SGR15" s="11"/>
      <c r="SGS15" s="11"/>
      <c r="SGT15" s="11"/>
      <c r="SGU15" s="11"/>
      <c r="SGV15" s="11"/>
      <c r="SGW15" s="11"/>
      <c r="SGX15" s="11"/>
      <c r="SGY15" s="11"/>
      <c r="SGZ15" s="11"/>
      <c r="SHA15" s="11"/>
      <c r="SHB15" s="11"/>
      <c r="SHC15" s="11"/>
      <c r="SHD15" s="11"/>
      <c r="SHE15" s="11"/>
      <c r="SHF15" s="11"/>
      <c r="SHG15" s="11"/>
      <c r="SHH15" s="11"/>
      <c r="SHI15" s="11"/>
      <c r="SHJ15" s="11"/>
      <c r="SHK15" s="11"/>
      <c r="SHL15" s="11"/>
      <c r="SHM15" s="11"/>
      <c r="SHN15" s="11"/>
      <c r="SHO15" s="11"/>
      <c r="SHP15" s="11"/>
      <c r="SHQ15" s="11"/>
      <c r="SHR15" s="11"/>
      <c r="SHS15" s="11"/>
      <c r="SHT15" s="11"/>
      <c r="SHU15" s="11"/>
      <c r="SHV15" s="11"/>
      <c r="SHW15" s="11"/>
      <c r="SHX15" s="11"/>
      <c r="SHY15" s="11"/>
      <c r="SHZ15" s="11"/>
      <c r="SIA15" s="11"/>
      <c r="SIB15" s="11"/>
      <c r="SIC15" s="11"/>
      <c r="SID15" s="11"/>
      <c r="SIE15" s="11"/>
      <c r="SIF15" s="11"/>
      <c r="SIG15" s="11"/>
      <c r="SIH15" s="11"/>
      <c r="SII15" s="11"/>
      <c r="SIJ15" s="11"/>
      <c r="SIK15" s="11"/>
      <c r="SIL15" s="11"/>
      <c r="SIM15" s="11"/>
      <c r="SIN15" s="11"/>
      <c r="SIO15" s="11"/>
      <c r="SIP15" s="11"/>
      <c r="SIQ15" s="11"/>
      <c r="SIR15" s="11"/>
      <c r="SIS15" s="11"/>
      <c r="SIT15" s="11"/>
      <c r="SIU15" s="11"/>
      <c r="SIV15" s="11"/>
      <c r="SIW15" s="11"/>
      <c r="SIX15" s="11"/>
      <c r="SIY15" s="11"/>
      <c r="SIZ15" s="11"/>
      <c r="SJA15" s="11"/>
      <c r="SJB15" s="11"/>
      <c r="SJC15" s="11"/>
      <c r="SJD15" s="11"/>
      <c r="SJE15" s="11"/>
      <c r="SJF15" s="11"/>
      <c r="SJG15" s="11"/>
      <c r="SJH15" s="11"/>
      <c r="SJI15" s="11"/>
      <c r="SJJ15" s="11"/>
      <c r="SJK15" s="11"/>
      <c r="SJL15" s="11"/>
      <c r="SJM15" s="11"/>
      <c r="SJN15" s="11"/>
      <c r="SJO15" s="11"/>
      <c r="SJP15" s="11"/>
      <c r="SJQ15" s="11"/>
      <c r="SJR15" s="11"/>
      <c r="SJS15" s="11"/>
      <c r="SJT15" s="11"/>
      <c r="SJU15" s="11"/>
      <c r="SJV15" s="11"/>
      <c r="SJW15" s="11"/>
      <c r="SJX15" s="11"/>
      <c r="SJY15" s="11"/>
      <c r="SJZ15" s="11"/>
      <c r="SKA15" s="11"/>
      <c r="SKB15" s="11"/>
      <c r="SKC15" s="11"/>
      <c r="SKD15" s="11"/>
      <c r="SKE15" s="11"/>
      <c r="SKF15" s="11"/>
      <c r="SKG15" s="11"/>
      <c r="SKH15" s="11"/>
      <c r="SKI15" s="11"/>
      <c r="SKJ15" s="11"/>
      <c r="SKK15" s="11"/>
      <c r="SKL15" s="11"/>
      <c r="SKM15" s="11"/>
      <c r="SKN15" s="11"/>
      <c r="SKO15" s="11"/>
      <c r="SKP15" s="11"/>
      <c r="SKQ15" s="11"/>
      <c r="SKR15" s="11"/>
      <c r="SKS15" s="11"/>
      <c r="SKT15" s="11"/>
      <c r="SKU15" s="11"/>
      <c r="SKV15" s="11"/>
      <c r="SKW15" s="11"/>
      <c r="SKX15" s="11"/>
      <c r="SKY15" s="11"/>
      <c r="SKZ15" s="11"/>
      <c r="SLA15" s="11"/>
      <c r="SLB15" s="11"/>
      <c r="SLC15" s="11"/>
      <c r="SLD15" s="11"/>
      <c r="SLE15" s="11"/>
      <c r="SLF15" s="11"/>
      <c r="SLG15" s="11"/>
      <c r="SLH15" s="11"/>
      <c r="SLI15" s="11"/>
      <c r="SLJ15" s="11"/>
      <c r="SLK15" s="11"/>
      <c r="SLL15" s="11"/>
      <c r="SLM15" s="11"/>
      <c r="SLN15" s="11"/>
      <c r="SLO15" s="11"/>
      <c r="SLP15" s="11"/>
      <c r="SLQ15" s="11"/>
      <c r="SLR15" s="11"/>
      <c r="SLS15" s="11"/>
      <c r="SLT15" s="11"/>
      <c r="SLU15" s="11"/>
      <c r="SLV15" s="11"/>
      <c r="SLW15" s="11"/>
      <c r="SLX15" s="11"/>
      <c r="SLY15" s="11"/>
      <c r="SLZ15" s="11"/>
      <c r="SMA15" s="11"/>
      <c r="SMB15" s="11"/>
      <c r="SMC15" s="11"/>
      <c r="SMD15" s="11"/>
      <c r="SME15" s="11"/>
      <c r="SMF15" s="11"/>
      <c r="SMG15" s="11"/>
      <c r="SMH15" s="11"/>
      <c r="SMI15" s="11"/>
      <c r="SMJ15" s="11"/>
      <c r="SMK15" s="11"/>
      <c r="SML15" s="11"/>
      <c r="SMM15" s="11"/>
      <c r="SMN15" s="11"/>
      <c r="SMO15" s="11"/>
      <c r="SMP15" s="11"/>
      <c r="SMQ15" s="11"/>
      <c r="SMR15" s="11"/>
      <c r="SMS15" s="11"/>
      <c r="SMT15" s="11"/>
      <c r="SMU15" s="11"/>
      <c r="SMV15" s="11"/>
      <c r="SMW15" s="11"/>
      <c r="SMX15" s="11"/>
      <c r="SMY15" s="11"/>
      <c r="SMZ15" s="11"/>
      <c r="SNA15" s="11"/>
      <c r="SNB15" s="11"/>
      <c r="SNC15" s="11"/>
      <c r="SND15" s="11"/>
      <c r="SNE15" s="11"/>
      <c r="SNF15" s="11"/>
      <c r="SNG15" s="11"/>
      <c r="SNH15" s="11"/>
      <c r="SNI15" s="11"/>
      <c r="SNJ15" s="11"/>
      <c r="SNK15" s="11"/>
      <c r="SNL15" s="11"/>
      <c r="SNM15" s="11"/>
      <c r="SNN15" s="11"/>
      <c r="SNO15" s="11"/>
      <c r="SNP15" s="11"/>
      <c r="SNQ15" s="11"/>
      <c r="SNR15" s="11"/>
      <c r="SNS15" s="11"/>
      <c r="SNT15" s="11"/>
      <c r="SNU15" s="11"/>
      <c r="SNV15" s="11"/>
      <c r="SNW15" s="11"/>
      <c r="SNX15" s="11"/>
      <c r="SNY15" s="11"/>
      <c r="SNZ15" s="11"/>
      <c r="SOA15" s="11"/>
      <c r="SOB15" s="11"/>
      <c r="SOC15" s="11"/>
      <c r="SOD15" s="11"/>
      <c r="SOE15" s="11"/>
      <c r="SOF15" s="11"/>
      <c r="SOG15" s="11"/>
      <c r="SOH15" s="11"/>
      <c r="SOI15" s="11"/>
      <c r="SOJ15" s="11"/>
      <c r="SOK15" s="11"/>
      <c r="SOL15" s="11"/>
      <c r="SOM15" s="11"/>
      <c r="SON15" s="11"/>
      <c r="SOO15" s="11"/>
      <c r="SOP15" s="11"/>
      <c r="SOQ15" s="11"/>
      <c r="SOR15" s="11"/>
      <c r="SOS15" s="11"/>
      <c r="SOT15" s="11"/>
      <c r="SOU15" s="11"/>
      <c r="SOV15" s="11"/>
      <c r="SOW15" s="11"/>
      <c r="SOX15" s="11"/>
      <c r="SOY15" s="11"/>
      <c r="SOZ15" s="11"/>
      <c r="SPA15" s="11"/>
      <c r="SPB15" s="11"/>
      <c r="SPC15" s="11"/>
      <c r="SPD15" s="11"/>
      <c r="SPE15" s="11"/>
      <c r="SPF15" s="11"/>
      <c r="SPG15" s="11"/>
      <c r="SPH15" s="11"/>
      <c r="SPI15" s="11"/>
      <c r="SPJ15" s="11"/>
      <c r="SPK15" s="11"/>
      <c r="SPL15" s="11"/>
      <c r="SPM15" s="11"/>
      <c r="SPN15" s="11"/>
      <c r="SPO15" s="11"/>
      <c r="SPP15" s="11"/>
      <c r="SPQ15" s="11"/>
      <c r="SPR15" s="11"/>
      <c r="SPS15" s="11"/>
      <c r="SPT15" s="11"/>
      <c r="SPU15" s="11"/>
      <c r="SPV15" s="11"/>
      <c r="SPW15" s="11"/>
      <c r="SPX15" s="11"/>
      <c r="SPY15" s="11"/>
      <c r="SPZ15" s="11"/>
      <c r="SQA15" s="11"/>
      <c r="SQB15" s="11"/>
      <c r="SQC15" s="11"/>
      <c r="SQD15" s="11"/>
      <c r="SQE15" s="11"/>
      <c r="SQF15" s="11"/>
      <c r="SQG15" s="11"/>
      <c r="SQH15" s="11"/>
      <c r="SQI15" s="11"/>
      <c r="SQJ15" s="11"/>
      <c r="SQK15" s="11"/>
      <c r="SQL15" s="11"/>
      <c r="SQM15" s="11"/>
      <c r="SQN15" s="11"/>
      <c r="SQO15" s="11"/>
      <c r="SQP15" s="11"/>
      <c r="SQQ15" s="11"/>
      <c r="SQR15" s="11"/>
      <c r="SQS15" s="11"/>
      <c r="SQT15" s="11"/>
      <c r="SQU15" s="11"/>
      <c r="SQV15" s="11"/>
      <c r="SQW15" s="11"/>
      <c r="SQX15" s="11"/>
      <c r="SQY15" s="11"/>
      <c r="SQZ15" s="11"/>
      <c r="SRA15" s="11"/>
      <c r="SRB15" s="11"/>
      <c r="SRC15" s="11"/>
      <c r="SRD15" s="11"/>
      <c r="SRE15" s="11"/>
      <c r="SRF15" s="11"/>
      <c r="SRG15" s="11"/>
      <c r="SRH15" s="11"/>
      <c r="SRI15" s="11"/>
      <c r="SRJ15" s="11"/>
      <c r="SRK15" s="11"/>
      <c r="SRL15" s="11"/>
      <c r="SRM15" s="11"/>
      <c r="SRN15" s="11"/>
      <c r="SRO15" s="11"/>
      <c r="SRP15" s="11"/>
      <c r="SRQ15" s="11"/>
      <c r="SRR15" s="11"/>
      <c r="SRS15" s="11"/>
      <c r="SRT15" s="11"/>
      <c r="SRU15" s="11"/>
      <c r="SRV15" s="11"/>
      <c r="SRW15" s="11"/>
      <c r="SRX15" s="11"/>
      <c r="SRY15" s="11"/>
      <c r="SRZ15" s="11"/>
      <c r="SSA15" s="11"/>
      <c r="SSB15" s="11"/>
      <c r="SSC15" s="11"/>
      <c r="SSD15" s="11"/>
      <c r="SSE15" s="11"/>
      <c r="SSF15" s="11"/>
      <c r="SSG15" s="11"/>
      <c r="SSH15" s="11"/>
      <c r="SSI15" s="11"/>
      <c r="SSJ15" s="11"/>
      <c r="SSK15" s="11"/>
      <c r="SSL15" s="11"/>
      <c r="SSM15" s="11"/>
      <c r="SSN15" s="11"/>
      <c r="SSO15" s="11"/>
      <c r="SSP15" s="11"/>
      <c r="SSQ15" s="11"/>
      <c r="SSR15" s="11"/>
      <c r="SSS15" s="11"/>
      <c r="SST15" s="11"/>
      <c r="SSU15" s="11"/>
      <c r="SSV15" s="11"/>
      <c r="SSW15" s="11"/>
      <c r="SSX15" s="11"/>
      <c r="SSY15" s="11"/>
      <c r="SSZ15" s="11"/>
      <c r="STA15" s="11"/>
      <c r="STB15" s="11"/>
      <c r="STC15" s="11"/>
      <c r="STD15" s="11"/>
      <c r="STE15" s="11"/>
      <c r="STF15" s="11"/>
      <c r="STG15" s="11"/>
      <c r="STH15" s="11"/>
      <c r="STI15" s="11"/>
      <c r="STJ15" s="11"/>
      <c r="STK15" s="11"/>
      <c r="STL15" s="11"/>
      <c r="STM15" s="11"/>
      <c r="STN15" s="11"/>
      <c r="STO15" s="11"/>
      <c r="STP15" s="11"/>
      <c r="STQ15" s="11"/>
      <c r="STR15" s="11"/>
      <c r="STS15" s="11"/>
      <c r="STT15" s="11"/>
      <c r="STU15" s="11"/>
      <c r="STV15" s="11"/>
      <c r="STW15" s="11"/>
      <c r="STX15" s="11"/>
      <c r="STY15" s="11"/>
      <c r="STZ15" s="11"/>
      <c r="SUA15" s="11"/>
      <c r="SUB15" s="11"/>
      <c r="SUC15" s="11"/>
      <c r="SUD15" s="11"/>
      <c r="SUE15" s="11"/>
      <c r="SUF15" s="11"/>
      <c r="SUG15" s="11"/>
      <c r="SUH15" s="11"/>
      <c r="SUI15" s="11"/>
      <c r="SUJ15" s="11"/>
      <c r="SUK15" s="11"/>
      <c r="SUL15" s="11"/>
      <c r="SUM15" s="11"/>
      <c r="SUN15" s="11"/>
      <c r="SUO15" s="11"/>
      <c r="SUP15" s="11"/>
      <c r="SUQ15" s="11"/>
      <c r="SUR15" s="11"/>
      <c r="SUS15" s="11"/>
      <c r="SUT15" s="11"/>
      <c r="SUU15" s="11"/>
      <c r="SUV15" s="11"/>
      <c r="SUW15" s="11"/>
      <c r="SUX15" s="11"/>
      <c r="SUY15" s="11"/>
      <c r="SUZ15" s="11"/>
      <c r="SVA15" s="11"/>
      <c r="SVB15" s="11"/>
      <c r="SVC15" s="11"/>
      <c r="SVD15" s="11"/>
      <c r="SVE15" s="11"/>
      <c r="SVF15" s="11"/>
      <c r="SVG15" s="11"/>
      <c r="SVH15" s="11"/>
      <c r="SVI15" s="11"/>
      <c r="SVJ15" s="11"/>
      <c r="SVK15" s="11"/>
      <c r="SVL15" s="11"/>
      <c r="SVM15" s="11"/>
      <c r="SVN15" s="11"/>
      <c r="SVO15" s="11"/>
      <c r="SVP15" s="11"/>
      <c r="SVQ15" s="11"/>
      <c r="SVR15" s="11"/>
      <c r="SVS15" s="11"/>
      <c r="SVT15" s="11"/>
      <c r="SVU15" s="11"/>
      <c r="SVV15" s="11"/>
      <c r="SVW15" s="11"/>
      <c r="SVX15" s="11"/>
      <c r="SVY15" s="11"/>
      <c r="SVZ15" s="11"/>
      <c r="SWA15" s="11"/>
      <c r="SWB15" s="11"/>
      <c r="SWC15" s="11"/>
      <c r="SWD15" s="11"/>
      <c r="SWE15" s="11"/>
      <c r="SWF15" s="11"/>
      <c r="SWG15" s="11"/>
      <c r="SWH15" s="11"/>
      <c r="SWI15" s="11"/>
      <c r="SWJ15" s="11"/>
      <c r="SWK15" s="11"/>
      <c r="SWL15" s="11"/>
      <c r="SWM15" s="11"/>
      <c r="SWN15" s="11"/>
      <c r="SWO15" s="11"/>
      <c r="SWP15" s="11"/>
      <c r="SWQ15" s="11"/>
      <c r="SWR15" s="11"/>
      <c r="SWS15" s="11"/>
      <c r="SWT15" s="11"/>
      <c r="SWU15" s="11"/>
      <c r="SWV15" s="11"/>
      <c r="SWW15" s="11"/>
      <c r="SWX15" s="11"/>
      <c r="SWY15" s="11"/>
      <c r="SWZ15" s="11"/>
      <c r="SXA15" s="11"/>
      <c r="SXB15" s="11"/>
      <c r="SXC15" s="11"/>
      <c r="SXD15" s="11"/>
      <c r="SXE15" s="11"/>
      <c r="SXF15" s="11"/>
      <c r="SXG15" s="11"/>
      <c r="SXH15" s="11"/>
      <c r="SXI15" s="11"/>
      <c r="SXJ15" s="11"/>
      <c r="SXK15" s="11"/>
      <c r="SXL15" s="11"/>
      <c r="SXM15" s="11"/>
      <c r="SXN15" s="11"/>
      <c r="SXO15" s="11"/>
      <c r="SXP15" s="11"/>
      <c r="SXQ15" s="11"/>
      <c r="SXR15" s="11"/>
      <c r="SXS15" s="11"/>
      <c r="SXT15" s="11"/>
      <c r="SXU15" s="11"/>
      <c r="SXV15" s="11"/>
      <c r="SXW15" s="11"/>
      <c r="SXX15" s="11"/>
      <c r="SXY15" s="11"/>
      <c r="SXZ15" s="11"/>
      <c r="SYA15" s="11"/>
      <c r="SYB15" s="11"/>
      <c r="SYC15" s="11"/>
      <c r="SYD15" s="11"/>
      <c r="SYE15" s="11"/>
      <c r="SYF15" s="11"/>
      <c r="SYG15" s="11"/>
      <c r="SYH15" s="11"/>
      <c r="SYI15" s="11"/>
      <c r="SYJ15" s="11"/>
      <c r="SYK15" s="11"/>
      <c r="SYL15" s="11"/>
      <c r="SYM15" s="11"/>
      <c r="SYN15" s="11"/>
      <c r="SYO15" s="11"/>
      <c r="SYP15" s="11"/>
      <c r="SYQ15" s="11"/>
      <c r="SYR15" s="11"/>
      <c r="SYS15" s="11"/>
      <c r="SYT15" s="11"/>
      <c r="SYU15" s="11"/>
      <c r="SYV15" s="11"/>
      <c r="SYW15" s="11"/>
      <c r="SYX15" s="11"/>
      <c r="SYY15" s="11"/>
      <c r="SYZ15" s="11"/>
      <c r="SZA15" s="11"/>
      <c r="SZB15" s="11"/>
      <c r="SZC15" s="11"/>
      <c r="SZD15" s="11"/>
      <c r="SZE15" s="11"/>
      <c r="SZF15" s="11"/>
      <c r="SZG15" s="11"/>
      <c r="SZH15" s="11"/>
      <c r="SZI15" s="11"/>
      <c r="SZJ15" s="11"/>
      <c r="SZK15" s="11"/>
      <c r="SZL15" s="11"/>
      <c r="SZM15" s="11"/>
      <c r="SZN15" s="11"/>
      <c r="SZO15" s="11"/>
      <c r="SZP15" s="11"/>
      <c r="SZQ15" s="11"/>
      <c r="SZR15" s="11"/>
      <c r="SZS15" s="11"/>
      <c r="SZT15" s="11"/>
      <c r="SZU15" s="11"/>
      <c r="SZV15" s="11"/>
      <c r="SZW15" s="11"/>
      <c r="SZX15" s="11"/>
      <c r="SZY15" s="11"/>
      <c r="SZZ15" s="11"/>
      <c r="TAA15" s="11"/>
      <c r="TAB15" s="11"/>
      <c r="TAC15" s="11"/>
      <c r="TAD15" s="11"/>
      <c r="TAE15" s="11"/>
      <c r="TAF15" s="11"/>
      <c r="TAG15" s="11"/>
      <c r="TAH15" s="11"/>
      <c r="TAI15" s="11"/>
      <c r="TAJ15" s="11"/>
      <c r="TAK15" s="11"/>
      <c r="TAL15" s="11"/>
      <c r="TAM15" s="11"/>
      <c r="TAN15" s="11"/>
      <c r="TAO15" s="11"/>
      <c r="TAP15" s="11"/>
      <c r="TAQ15" s="11"/>
      <c r="TAR15" s="11"/>
      <c r="TAS15" s="11"/>
      <c r="TAT15" s="11"/>
      <c r="TAU15" s="11"/>
      <c r="TAV15" s="11"/>
      <c r="TAW15" s="11"/>
      <c r="TAX15" s="11"/>
      <c r="TAY15" s="11"/>
      <c r="TAZ15" s="11"/>
      <c r="TBA15" s="11"/>
      <c r="TBB15" s="11"/>
      <c r="TBC15" s="11"/>
      <c r="TBD15" s="11"/>
      <c r="TBE15" s="11"/>
      <c r="TBF15" s="11"/>
      <c r="TBG15" s="11"/>
      <c r="TBH15" s="11"/>
      <c r="TBI15" s="11"/>
      <c r="TBJ15" s="11"/>
      <c r="TBK15" s="11"/>
      <c r="TBL15" s="11"/>
      <c r="TBM15" s="11"/>
      <c r="TBN15" s="11"/>
      <c r="TBO15" s="11"/>
      <c r="TBP15" s="11"/>
      <c r="TBQ15" s="11"/>
      <c r="TBR15" s="11"/>
      <c r="TBS15" s="11"/>
      <c r="TBT15" s="11"/>
      <c r="TBU15" s="11"/>
      <c r="TBV15" s="11"/>
      <c r="TBW15" s="11"/>
      <c r="TBX15" s="11"/>
      <c r="TBY15" s="11"/>
      <c r="TBZ15" s="11"/>
      <c r="TCA15" s="11"/>
      <c r="TCB15" s="11"/>
      <c r="TCC15" s="11"/>
      <c r="TCD15" s="11"/>
      <c r="TCE15" s="11"/>
      <c r="TCF15" s="11"/>
      <c r="TCG15" s="11"/>
      <c r="TCH15" s="11"/>
      <c r="TCI15" s="11"/>
      <c r="TCJ15" s="11"/>
      <c r="TCK15" s="11"/>
      <c r="TCL15" s="11"/>
      <c r="TCM15" s="11"/>
      <c r="TCN15" s="11"/>
      <c r="TCO15" s="11"/>
      <c r="TCP15" s="11"/>
      <c r="TCQ15" s="11"/>
      <c r="TCR15" s="11"/>
      <c r="TCS15" s="11"/>
      <c r="TCT15" s="11"/>
      <c r="TCU15" s="11"/>
      <c r="TCV15" s="11"/>
      <c r="TCW15" s="11"/>
      <c r="TCX15" s="11"/>
      <c r="TCY15" s="11"/>
      <c r="TCZ15" s="11"/>
      <c r="TDA15" s="11"/>
      <c r="TDB15" s="11"/>
      <c r="TDC15" s="11"/>
      <c r="TDD15" s="11"/>
      <c r="TDE15" s="11"/>
      <c r="TDF15" s="11"/>
      <c r="TDG15" s="11"/>
      <c r="TDH15" s="11"/>
      <c r="TDI15" s="11"/>
      <c r="TDJ15" s="11"/>
      <c r="TDK15" s="11"/>
      <c r="TDL15" s="11"/>
      <c r="TDM15" s="11"/>
      <c r="TDN15" s="11"/>
      <c r="TDO15" s="11"/>
      <c r="TDP15" s="11"/>
      <c r="TDQ15" s="11"/>
      <c r="TDR15" s="11"/>
      <c r="TDS15" s="11"/>
      <c r="TDT15" s="11"/>
      <c r="TDU15" s="11"/>
      <c r="TDV15" s="11"/>
      <c r="TDW15" s="11"/>
      <c r="TDX15" s="11"/>
      <c r="TDY15" s="11"/>
      <c r="TDZ15" s="11"/>
      <c r="TEA15" s="11"/>
      <c r="TEB15" s="11"/>
      <c r="TEC15" s="11"/>
      <c r="TED15" s="11"/>
      <c r="TEE15" s="11"/>
      <c r="TEF15" s="11"/>
      <c r="TEG15" s="11"/>
      <c r="TEH15" s="11"/>
      <c r="TEI15" s="11"/>
      <c r="TEJ15" s="11"/>
      <c r="TEK15" s="11"/>
      <c r="TEL15" s="11"/>
      <c r="TEM15" s="11"/>
      <c r="TEN15" s="11"/>
      <c r="TEO15" s="11"/>
      <c r="TEP15" s="11"/>
      <c r="TEQ15" s="11"/>
      <c r="TER15" s="11"/>
      <c r="TES15" s="11"/>
      <c r="TET15" s="11"/>
      <c r="TEU15" s="11"/>
      <c r="TEV15" s="11"/>
      <c r="TEW15" s="11"/>
      <c r="TEX15" s="11"/>
      <c r="TEY15" s="11"/>
      <c r="TEZ15" s="11"/>
      <c r="TFA15" s="11"/>
      <c r="TFB15" s="11"/>
      <c r="TFC15" s="11"/>
      <c r="TFD15" s="11"/>
      <c r="TFE15" s="11"/>
      <c r="TFF15" s="11"/>
      <c r="TFG15" s="11"/>
      <c r="TFH15" s="11"/>
      <c r="TFI15" s="11"/>
      <c r="TFJ15" s="11"/>
      <c r="TFK15" s="11"/>
      <c r="TFL15" s="11"/>
      <c r="TFM15" s="11"/>
      <c r="TFN15" s="11"/>
      <c r="TFO15" s="11"/>
      <c r="TFP15" s="11"/>
      <c r="TFQ15" s="11"/>
      <c r="TFR15" s="11"/>
      <c r="TFS15" s="11"/>
      <c r="TFT15" s="11"/>
      <c r="TFU15" s="11"/>
      <c r="TFV15" s="11"/>
      <c r="TFW15" s="11"/>
      <c r="TFX15" s="11"/>
      <c r="TFY15" s="11"/>
      <c r="TFZ15" s="11"/>
      <c r="TGA15" s="11"/>
      <c r="TGB15" s="11"/>
      <c r="TGC15" s="11"/>
      <c r="TGD15" s="11"/>
      <c r="TGE15" s="11"/>
      <c r="TGF15" s="11"/>
      <c r="TGG15" s="11"/>
      <c r="TGH15" s="11"/>
      <c r="TGI15" s="11"/>
      <c r="TGJ15" s="11"/>
      <c r="TGK15" s="11"/>
      <c r="TGL15" s="11"/>
      <c r="TGM15" s="11"/>
      <c r="TGN15" s="11"/>
      <c r="TGO15" s="11"/>
      <c r="TGP15" s="11"/>
      <c r="TGQ15" s="11"/>
      <c r="TGR15" s="11"/>
      <c r="TGS15" s="11"/>
      <c r="TGT15" s="11"/>
      <c r="TGU15" s="11"/>
      <c r="TGV15" s="11"/>
      <c r="TGW15" s="11"/>
      <c r="TGX15" s="11"/>
      <c r="TGY15" s="11"/>
      <c r="TGZ15" s="11"/>
      <c r="THA15" s="11"/>
      <c r="THB15" s="11"/>
      <c r="THC15" s="11"/>
      <c r="THD15" s="11"/>
      <c r="THE15" s="11"/>
      <c r="THF15" s="11"/>
      <c r="THG15" s="11"/>
      <c r="THH15" s="11"/>
      <c r="THI15" s="11"/>
      <c r="THJ15" s="11"/>
      <c r="THK15" s="11"/>
      <c r="THL15" s="11"/>
      <c r="THM15" s="11"/>
      <c r="THN15" s="11"/>
      <c r="THO15" s="11"/>
      <c r="THP15" s="11"/>
      <c r="THQ15" s="11"/>
      <c r="THR15" s="11"/>
      <c r="THS15" s="11"/>
      <c r="THT15" s="11"/>
      <c r="THU15" s="11"/>
      <c r="THV15" s="11"/>
      <c r="THW15" s="11"/>
      <c r="THX15" s="11"/>
      <c r="THY15" s="11"/>
      <c r="THZ15" s="11"/>
      <c r="TIA15" s="11"/>
      <c r="TIB15" s="11"/>
      <c r="TIC15" s="11"/>
      <c r="TID15" s="11"/>
      <c r="TIE15" s="11"/>
      <c r="TIF15" s="11"/>
      <c r="TIG15" s="11"/>
      <c r="TIH15" s="11"/>
      <c r="TII15" s="11"/>
      <c r="TIJ15" s="11"/>
      <c r="TIK15" s="11"/>
      <c r="TIL15" s="11"/>
      <c r="TIM15" s="11"/>
      <c r="TIN15" s="11"/>
      <c r="TIO15" s="11"/>
      <c r="TIP15" s="11"/>
      <c r="TIQ15" s="11"/>
      <c r="TIR15" s="11"/>
      <c r="TIS15" s="11"/>
      <c r="TIT15" s="11"/>
      <c r="TIU15" s="11"/>
      <c r="TIV15" s="11"/>
      <c r="TIW15" s="11"/>
      <c r="TIX15" s="11"/>
      <c r="TIY15" s="11"/>
      <c r="TIZ15" s="11"/>
      <c r="TJA15" s="11"/>
      <c r="TJB15" s="11"/>
      <c r="TJC15" s="11"/>
      <c r="TJD15" s="11"/>
      <c r="TJE15" s="11"/>
      <c r="TJF15" s="11"/>
      <c r="TJG15" s="11"/>
      <c r="TJH15" s="11"/>
      <c r="TJI15" s="11"/>
      <c r="TJJ15" s="11"/>
      <c r="TJK15" s="11"/>
      <c r="TJL15" s="11"/>
      <c r="TJM15" s="11"/>
      <c r="TJN15" s="11"/>
      <c r="TJO15" s="11"/>
      <c r="TJP15" s="11"/>
      <c r="TJQ15" s="11"/>
      <c r="TJR15" s="11"/>
      <c r="TJS15" s="11"/>
      <c r="TJT15" s="11"/>
      <c r="TJU15" s="11"/>
      <c r="TJV15" s="11"/>
      <c r="TJW15" s="11"/>
      <c r="TJX15" s="11"/>
      <c r="TJY15" s="11"/>
      <c r="TJZ15" s="11"/>
      <c r="TKA15" s="11"/>
      <c r="TKB15" s="11"/>
      <c r="TKC15" s="11"/>
      <c r="TKD15" s="11"/>
      <c r="TKE15" s="11"/>
      <c r="TKF15" s="11"/>
      <c r="TKG15" s="11"/>
      <c r="TKH15" s="11"/>
      <c r="TKI15" s="11"/>
      <c r="TKJ15" s="11"/>
      <c r="TKK15" s="11"/>
      <c r="TKL15" s="11"/>
      <c r="TKM15" s="11"/>
      <c r="TKN15" s="11"/>
      <c r="TKO15" s="11"/>
      <c r="TKP15" s="11"/>
      <c r="TKQ15" s="11"/>
      <c r="TKR15" s="11"/>
      <c r="TKS15" s="11"/>
      <c r="TKT15" s="11"/>
      <c r="TKU15" s="11"/>
      <c r="TKV15" s="11"/>
      <c r="TKW15" s="11"/>
      <c r="TKX15" s="11"/>
      <c r="TKY15" s="11"/>
      <c r="TKZ15" s="11"/>
      <c r="TLA15" s="11"/>
      <c r="TLB15" s="11"/>
      <c r="TLC15" s="11"/>
      <c r="TLD15" s="11"/>
      <c r="TLE15" s="11"/>
      <c r="TLF15" s="11"/>
      <c r="TLG15" s="11"/>
      <c r="TLH15" s="11"/>
      <c r="TLI15" s="11"/>
      <c r="TLJ15" s="11"/>
      <c r="TLK15" s="11"/>
      <c r="TLL15" s="11"/>
      <c r="TLM15" s="11"/>
      <c r="TLN15" s="11"/>
      <c r="TLO15" s="11"/>
      <c r="TLP15" s="11"/>
      <c r="TLQ15" s="11"/>
      <c r="TLR15" s="11"/>
      <c r="TLS15" s="11"/>
      <c r="TLT15" s="11"/>
      <c r="TLU15" s="11"/>
      <c r="TLV15" s="11"/>
      <c r="TLW15" s="11"/>
      <c r="TLX15" s="11"/>
      <c r="TLY15" s="11"/>
      <c r="TLZ15" s="11"/>
      <c r="TMA15" s="11"/>
      <c r="TMB15" s="11"/>
      <c r="TMC15" s="11"/>
      <c r="TMD15" s="11"/>
      <c r="TME15" s="11"/>
      <c r="TMF15" s="11"/>
      <c r="TMG15" s="11"/>
      <c r="TMH15" s="11"/>
      <c r="TMI15" s="11"/>
      <c r="TMJ15" s="11"/>
      <c r="TMK15" s="11"/>
      <c r="TML15" s="11"/>
      <c r="TMM15" s="11"/>
      <c r="TMN15" s="11"/>
      <c r="TMO15" s="11"/>
      <c r="TMP15" s="11"/>
      <c r="TMQ15" s="11"/>
      <c r="TMR15" s="11"/>
      <c r="TMS15" s="11"/>
      <c r="TMT15" s="11"/>
      <c r="TMU15" s="11"/>
      <c r="TMV15" s="11"/>
      <c r="TMW15" s="11"/>
      <c r="TMX15" s="11"/>
      <c r="TMY15" s="11"/>
      <c r="TMZ15" s="11"/>
      <c r="TNA15" s="11"/>
      <c r="TNB15" s="11"/>
      <c r="TNC15" s="11"/>
      <c r="TND15" s="11"/>
      <c r="TNE15" s="11"/>
      <c r="TNF15" s="11"/>
      <c r="TNG15" s="11"/>
      <c r="TNH15" s="11"/>
      <c r="TNI15" s="11"/>
      <c r="TNJ15" s="11"/>
      <c r="TNK15" s="11"/>
      <c r="TNL15" s="11"/>
      <c r="TNM15" s="11"/>
      <c r="TNN15" s="11"/>
      <c r="TNO15" s="11"/>
      <c r="TNP15" s="11"/>
      <c r="TNQ15" s="11"/>
      <c r="TNR15" s="11"/>
      <c r="TNS15" s="11"/>
      <c r="TNT15" s="11"/>
      <c r="TNU15" s="11"/>
      <c r="TNV15" s="11"/>
      <c r="TNW15" s="11"/>
      <c r="TNX15" s="11"/>
      <c r="TNY15" s="11"/>
      <c r="TNZ15" s="11"/>
      <c r="TOA15" s="11"/>
      <c r="TOB15" s="11"/>
      <c r="TOC15" s="11"/>
      <c r="TOD15" s="11"/>
      <c r="TOE15" s="11"/>
      <c r="TOF15" s="11"/>
      <c r="TOG15" s="11"/>
      <c r="TOH15" s="11"/>
      <c r="TOI15" s="11"/>
      <c r="TOJ15" s="11"/>
      <c r="TOK15" s="11"/>
      <c r="TOL15" s="11"/>
      <c r="TOM15" s="11"/>
      <c r="TON15" s="11"/>
      <c r="TOO15" s="11"/>
      <c r="TOP15" s="11"/>
      <c r="TOQ15" s="11"/>
      <c r="TOR15" s="11"/>
      <c r="TOS15" s="11"/>
      <c r="TOT15" s="11"/>
      <c r="TOU15" s="11"/>
      <c r="TOV15" s="11"/>
      <c r="TOW15" s="11"/>
      <c r="TOX15" s="11"/>
      <c r="TOY15" s="11"/>
      <c r="TOZ15" s="11"/>
      <c r="TPA15" s="11"/>
      <c r="TPB15" s="11"/>
      <c r="TPC15" s="11"/>
      <c r="TPD15" s="11"/>
      <c r="TPE15" s="11"/>
      <c r="TPF15" s="11"/>
      <c r="TPG15" s="11"/>
      <c r="TPH15" s="11"/>
      <c r="TPI15" s="11"/>
      <c r="TPJ15" s="11"/>
      <c r="TPK15" s="11"/>
      <c r="TPL15" s="11"/>
      <c r="TPM15" s="11"/>
      <c r="TPN15" s="11"/>
      <c r="TPO15" s="11"/>
      <c r="TPP15" s="11"/>
      <c r="TPQ15" s="11"/>
      <c r="TPR15" s="11"/>
      <c r="TPS15" s="11"/>
      <c r="TPT15" s="11"/>
      <c r="TPU15" s="11"/>
      <c r="TPV15" s="11"/>
      <c r="TPW15" s="11"/>
      <c r="TPX15" s="11"/>
      <c r="TPY15" s="11"/>
      <c r="TPZ15" s="11"/>
      <c r="TQA15" s="11"/>
      <c r="TQB15" s="11"/>
      <c r="TQC15" s="11"/>
      <c r="TQD15" s="11"/>
      <c r="TQE15" s="11"/>
      <c r="TQF15" s="11"/>
      <c r="TQG15" s="11"/>
      <c r="TQH15" s="11"/>
      <c r="TQI15" s="11"/>
      <c r="TQJ15" s="11"/>
      <c r="TQK15" s="11"/>
      <c r="TQL15" s="11"/>
      <c r="TQM15" s="11"/>
      <c r="TQN15" s="11"/>
      <c r="TQO15" s="11"/>
      <c r="TQP15" s="11"/>
      <c r="TQQ15" s="11"/>
      <c r="TQR15" s="11"/>
      <c r="TQS15" s="11"/>
      <c r="TQT15" s="11"/>
      <c r="TQU15" s="11"/>
      <c r="TQV15" s="11"/>
      <c r="TQW15" s="11"/>
      <c r="TQX15" s="11"/>
      <c r="TQY15" s="11"/>
      <c r="TQZ15" s="11"/>
      <c r="TRA15" s="11"/>
      <c r="TRB15" s="11"/>
      <c r="TRC15" s="11"/>
      <c r="TRD15" s="11"/>
      <c r="TRE15" s="11"/>
      <c r="TRF15" s="11"/>
      <c r="TRG15" s="11"/>
      <c r="TRH15" s="11"/>
      <c r="TRI15" s="11"/>
      <c r="TRJ15" s="11"/>
      <c r="TRK15" s="11"/>
      <c r="TRL15" s="11"/>
      <c r="TRM15" s="11"/>
      <c r="TRN15" s="11"/>
      <c r="TRO15" s="11"/>
      <c r="TRP15" s="11"/>
      <c r="TRQ15" s="11"/>
      <c r="TRR15" s="11"/>
      <c r="TRS15" s="11"/>
      <c r="TRT15" s="11"/>
      <c r="TRU15" s="11"/>
      <c r="TRV15" s="11"/>
      <c r="TRW15" s="11"/>
      <c r="TRX15" s="11"/>
      <c r="TRY15" s="11"/>
      <c r="TRZ15" s="11"/>
      <c r="TSA15" s="11"/>
      <c r="TSB15" s="11"/>
      <c r="TSC15" s="11"/>
      <c r="TSD15" s="11"/>
      <c r="TSE15" s="11"/>
      <c r="TSF15" s="11"/>
      <c r="TSG15" s="11"/>
      <c r="TSH15" s="11"/>
      <c r="TSI15" s="11"/>
      <c r="TSJ15" s="11"/>
      <c r="TSK15" s="11"/>
      <c r="TSL15" s="11"/>
      <c r="TSM15" s="11"/>
      <c r="TSN15" s="11"/>
      <c r="TSO15" s="11"/>
      <c r="TSP15" s="11"/>
      <c r="TSQ15" s="11"/>
      <c r="TSR15" s="11"/>
      <c r="TSS15" s="11"/>
      <c r="TST15" s="11"/>
      <c r="TSU15" s="11"/>
      <c r="TSV15" s="11"/>
      <c r="TSW15" s="11"/>
      <c r="TSX15" s="11"/>
      <c r="TSY15" s="11"/>
      <c r="TSZ15" s="11"/>
      <c r="TTA15" s="11"/>
      <c r="TTB15" s="11"/>
      <c r="TTC15" s="11"/>
      <c r="TTD15" s="11"/>
      <c r="TTE15" s="11"/>
      <c r="TTF15" s="11"/>
      <c r="TTG15" s="11"/>
      <c r="TTH15" s="11"/>
      <c r="TTI15" s="11"/>
      <c r="TTJ15" s="11"/>
      <c r="TTK15" s="11"/>
      <c r="TTL15" s="11"/>
      <c r="TTM15" s="11"/>
      <c r="TTN15" s="11"/>
      <c r="TTO15" s="11"/>
      <c r="TTP15" s="11"/>
      <c r="TTQ15" s="11"/>
      <c r="TTR15" s="11"/>
      <c r="TTS15" s="11"/>
      <c r="TTT15" s="11"/>
      <c r="TTU15" s="11"/>
      <c r="TTV15" s="11"/>
      <c r="TTW15" s="11"/>
      <c r="TTX15" s="11"/>
      <c r="TTY15" s="11"/>
      <c r="TTZ15" s="11"/>
      <c r="TUA15" s="11"/>
      <c r="TUB15" s="11"/>
      <c r="TUC15" s="11"/>
      <c r="TUD15" s="11"/>
      <c r="TUE15" s="11"/>
      <c r="TUF15" s="11"/>
      <c r="TUG15" s="11"/>
      <c r="TUH15" s="11"/>
      <c r="TUI15" s="11"/>
      <c r="TUJ15" s="11"/>
      <c r="TUK15" s="11"/>
      <c r="TUL15" s="11"/>
      <c r="TUM15" s="11"/>
      <c r="TUN15" s="11"/>
      <c r="TUO15" s="11"/>
      <c r="TUP15" s="11"/>
      <c r="TUQ15" s="11"/>
      <c r="TUR15" s="11"/>
      <c r="TUS15" s="11"/>
      <c r="TUT15" s="11"/>
      <c r="TUU15" s="11"/>
      <c r="TUV15" s="11"/>
      <c r="TUW15" s="11"/>
      <c r="TUX15" s="11"/>
      <c r="TUY15" s="11"/>
      <c r="TUZ15" s="11"/>
      <c r="TVA15" s="11"/>
      <c r="TVB15" s="11"/>
      <c r="TVC15" s="11"/>
      <c r="TVD15" s="11"/>
      <c r="TVE15" s="11"/>
      <c r="TVF15" s="11"/>
      <c r="TVG15" s="11"/>
      <c r="TVH15" s="11"/>
      <c r="TVI15" s="11"/>
      <c r="TVJ15" s="11"/>
      <c r="TVK15" s="11"/>
      <c r="TVL15" s="11"/>
      <c r="TVM15" s="11"/>
      <c r="TVN15" s="11"/>
      <c r="TVO15" s="11"/>
      <c r="TVP15" s="11"/>
      <c r="TVQ15" s="11"/>
      <c r="TVR15" s="11"/>
      <c r="TVS15" s="11"/>
      <c r="TVT15" s="11"/>
      <c r="TVU15" s="11"/>
      <c r="TVV15" s="11"/>
      <c r="TVW15" s="11"/>
      <c r="TVX15" s="11"/>
      <c r="TVY15" s="11"/>
      <c r="TVZ15" s="11"/>
      <c r="TWA15" s="11"/>
      <c r="TWB15" s="11"/>
      <c r="TWC15" s="11"/>
      <c r="TWD15" s="11"/>
      <c r="TWE15" s="11"/>
      <c r="TWF15" s="11"/>
      <c r="TWG15" s="11"/>
      <c r="TWH15" s="11"/>
      <c r="TWI15" s="11"/>
      <c r="TWJ15" s="11"/>
      <c r="TWK15" s="11"/>
      <c r="TWL15" s="11"/>
      <c r="TWM15" s="11"/>
      <c r="TWN15" s="11"/>
      <c r="TWO15" s="11"/>
      <c r="TWP15" s="11"/>
      <c r="TWQ15" s="11"/>
      <c r="TWR15" s="11"/>
      <c r="TWS15" s="11"/>
      <c r="TWT15" s="11"/>
      <c r="TWU15" s="11"/>
      <c r="TWV15" s="11"/>
      <c r="TWW15" s="11"/>
      <c r="TWX15" s="11"/>
      <c r="TWY15" s="11"/>
      <c r="TWZ15" s="11"/>
      <c r="TXA15" s="11"/>
      <c r="TXB15" s="11"/>
      <c r="TXC15" s="11"/>
      <c r="TXD15" s="11"/>
      <c r="TXE15" s="11"/>
      <c r="TXF15" s="11"/>
      <c r="TXG15" s="11"/>
      <c r="TXH15" s="11"/>
      <c r="TXI15" s="11"/>
      <c r="TXJ15" s="11"/>
      <c r="TXK15" s="11"/>
      <c r="TXL15" s="11"/>
      <c r="TXM15" s="11"/>
      <c r="TXN15" s="11"/>
      <c r="TXO15" s="11"/>
      <c r="TXP15" s="11"/>
      <c r="TXQ15" s="11"/>
      <c r="TXR15" s="11"/>
      <c r="TXS15" s="11"/>
      <c r="TXT15" s="11"/>
      <c r="TXU15" s="11"/>
      <c r="TXV15" s="11"/>
      <c r="TXW15" s="11"/>
      <c r="TXX15" s="11"/>
      <c r="TXY15" s="11"/>
      <c r="TXZ15" s="11"/>
      <c r="TYA15" s="11"/>
      <c r="TYB15" s="11"/>
      <c r="TYC15" s="11"/>
      <c r="TYD15" s="11"/>
      <c r="TYE15" s="11"/>
      <c r="TYF15" s="11"/>
      <c r="TYG15" s="11"/>
      <c r="TYH15" s="11"/>
      <c r="TYI15" s="11"/>
      <c r="TYJ15" s="11"/>
      <c r="TYK15" s="11"/>
      <c r="TYL15" s="11"/>
      <c r="TYM15" s="11"/>
      <c r="TYN15" s="11"/>
      <c r="TYO15" s="11"/>
      <c r="TYP15" s="11"/>
      <c r="TYQ15" s="11"/>
      <c r="TYR15" s="11"/>
      <c r="TYS15" s="11"/>
      <c r="TYT15" s="11"/>
      <c r="TYU15" s="11"/>
      <c r="TYV15" s="11"/>
      <c r="TYW15" s="11"/>
      <c r="TYX15" s="11"/>
      <c r="TYY15" s="11"/>
      <c r="TYZ15" s="11"/>
      <c r="TZA15" s="11"/>
      <c r="TZB15" s="11"/>
      <c r="TZC15" s="11"/>
      <c r="TZD15" s="11"/>
      <c r="TZE15" s="11"/>
      <c r="TZF15" s="11"/>
      <c r="TZG15" s="11"/>
      <c r="TZH15" s="11"/>
      <c r="TZI15" s="11"/>
      <c r="TZJ15" s="11"/>
      <c r="TZK15" s="11"/>
      <c r="TZL15" s="11"/>
      <c r="TZM15" s="11"/>
      <c r="TZN15" s="11"/>
      <c r="TZO15" s="11"/>
      <c r="TZP15" s="11"/>
      <c r="TZQ15" s="11"/>
      <c r="TZR15" s="11"/>
      <c r="TZS15" s="11"/>
      <c r="TZT15" s="11"/>
      <c r="TZU15" s="11"/>
      <c r="TZV15" s="11"/>
      <c r="TZW15" s="11"/>
      <c r="TZX15" s="11"/>
      <c r="TZY15" s="11"/>
      <c r="TZZ15" s="11"/>
      <c r="UAA15" s="11"/>
      <c r="UAB15" s="11"/>
      <c r="UAC15" s="11"/>
      <c r="UAD15" s="11"/>
      <c r="UAE15" s="11"/>
      <c r="UAF15" s="11"/>
      <c r="UAG15" s="11"/>
      <c r="UAH15" s="11"/>
      <c r="UAI15" s="11"/>
      <c r="UAJ15" s="11"/>
      <c r="UAK15" s="11"/>
      <c r="UAL15" s="11"/>
      <c r="UAM15" s="11"/>
      <c r="UAN15" s="11"/>
      <c r="UAO15" s="11"/>
      <c r="UAP15" s="11"/>
      <c r="UAQ15" s="11"/>
      <c r="UAR15" s="11"/>
      <c r="UAS15" s="11"/>
      <c r="UAT15" s="11"/>
      <c r="UAU15" s="11"/>
      <c r="UAV15" s="11"/>
      <c r="UAW15" s="11"/>
      <c r="UAX15" s="11"/>
      <c r="UAY15" s="11"/>
      <c r="UAZ15" s="11"/>
      <c r="UBA15" s="11"/>
      <c r="UBB15" s="11"/>
      <c r="UBC15" s="11"/>
      <c r="UBD15" s="11"/>
      <c r="UBE15" s="11"/>
      <c r="UBF15" s="11"/>
      <c r="UBG15" s="11"/>
      <c r="UBH15" s="11"/>
      <c r="UBI15" s="11"/>
      <c r="UBJ15" s="11"/>
      <c r="UBK15" s="11"/>
      <c r="UBL15" s="11"/>
      <c r="UBM15" s="11"/>
      <c r="UBN15" s="11"/>
      <c r="UBO15" s="11"/>
      <c r="UBP15" s="11"/>
      <c r="UBQ15" s="11"/>
      <c r="UBR15" s="11"/>
      <c r="UBS15" s="11"/>
      <c r="UBT15" s="11"/>
      <c r="UBU15" s="11"/>
      <c r="UBV15" s="11"/>
      <c r="UBW15" s="11"/>
      <c r="UBX15" s="11"/>
      <c r="UBY15" s="11"/>
      <c r="UBZ15" s="11"/>
      <c r="UCA15" s="11"/>
      <c r="UCB15" s="11"/>
      <c r="UCC15" s="11"/>
      <c r="UCD15" s="11"/>
      <c r="UCE15" s="11"/>
      <c r="UCF15" s="11"/>
      <c r="UCG15" s="11"/>
      <c r="UCH15" s="11"/>
      <c r="UCI15" s="11"/>
      <c r="UCJ15" s="11"/>
      <c r="UCK15" s="11"/>
      <c r="UCL15" s="11"/>
      <c r="UCM15" s="11"/>
      <c r="UCN15" s="11"/>
      <c r="UCO15" s="11"/>
      <c r="UCP15" s="11"/>
      <c r="UCQ15" s="11"/>
      <c r="UCR15" s="11"/>
      <c r="UCS15" s="11"/>
      <c r="UCT15" s="11"/>
      <c r="UCU15" s="11"/>
      <c r="UCV15" s="11"/>
      <c r="UCW15" s="11"/>
      <c r="UCX15" s="11"/>
      <c r="UCY15" s="11"/>
      <c r="UCZ15" s="11"/>
      <c r="UDA15" s="11"/>
      <c r="UDB15" s="11"/>
      <c r="UDC15" s="11"/>
      <c r="UDD15" s="11"/>
      <c r="UDE15" s="11"/>
      <c r="UDF15" s="11"/>
      <c r="UDG15" s="11"/>
      <c r="UDH15" s="11"/>
      <c r="UDI15" s="11"/>
      <c r="UDJ15" s="11"/>
      <c r="UDK15" s="11"/>
      <c r="UDL15" s="11"/>
      <c r="UDM15" s="11"/>
      <c r="UDN15" s="11"/>
      <c r="UDO15" s="11"/>
      <c r="UDP15" s="11"/>
      <c r="UDQ15" s="11"/>
      <c r="UDR15" s="11"/>
      <c r="UDS15" s="11"/>
      <c r="UDT15" s="11"/>
      <c r="UDU15" s="11"/>
      <c r="UDV15" s="11"/>
      <c r="UDW15" s="11"/>
      <c r="UDX15" s="11"/>
      <c r="UDY15" s="11"/>
      <c r="UDZ15" s="11"/>
      <c r="UEA15" s="11"/>
      <c r="UEB15" s="11"/>
      <c r="UEC15" s="11"/>
      <c r="UED15" s="11"/>
      <c r="UEE15" s="11"/>
      <c r="UEF15" s="11"/>
      <c r="UEG15" s="11"/>
      <c r="UEH15" s="11"/>
      <c r="UEI15" s="11"/>
      <c r="UEJ15" s="11"/>
      <c r="UEK15" s="11"/>
      <c r="UEL15" s="11"/>
      <c r="UEM15" s="11"/>
      <c r="UEN15" s="11"/>
      <c r="UEO15" s="11"/>
      <c r="UEP15" s="11"/>
      <c r="UEQ15" s="11"/>
      <c r="UER15" s="11"/>
      <c r="UES15" s="11"/>
      <c r="UET15" s="11"/>
      <c r="UEU15" s="11"/>
      <c r="UEV15" s="11"/>
      <c r="UEW15" s="11"/>
      <c r="UEX15" s="11"/>
      <c r="UEY15" s="11"/>
      <c r="UEZ15" s="11"/>
      <c r="UFA15" s="11"/>
      <c r="UFB15" s="11"/>
      <c r="UFC15" s="11"/>
      <c r="UFD15" s="11"/>
      <c r="UFE15" s="11"/>
      <c r="UFF15" s="11"/>
      <c r="UFG15" s="11"/>
      <c r="UFH15" s="11"/>
      <c r="UFI15" s="11"/>
      <c r="UFJ15" s="11"/>
      <c r="UFK15" s="11"/>
      <c r="UFL15" s="11"/>
      <c r="UFM15" s="11"/>
      <c r="UFN15" s="11"/>
      <c r="UFO15" s="11"/>
      <c r="UFP15" s="11"/>
      <c r="UFQ15" s="11"/>
      <c r="UFR15" s="11"/>
      <c r="UFS15" s="11"/>
      <c r="UFT15" s="11"/>
      <c r="UFU15" s="11"/>
      <c r="UFV15" s="11"/>
      <c r="UFW15" s="11"/>
      <c r="UFX15" s="11"/>
      <c r="UFY15" s="11"/>
      <c r="UFZ15" s="11"/>
      <c r="UGA15" s="11"/>
      <c r="UGB15" s="11"/>
      <c r="UGC15" s="11"/>
      <c r="UGD15" s="11"/>
      <c r="UGE15" s="11"/>
      <c r="UGF15" s="11"/>
      <c r="UGG15" s="11"/>
      <c r="UGH15" s="11"/>
      <c r="UGI15" s="11"/>
      <c r="UGJ15" s="11"/>
      <c r="UGK15" s="11"/>
      <c r="UGL15" s="11"/>
      <c r="UGM15" s="11"/>
      <c r="UGN15" s="11"/>
      <c r="UGO15" s="11"/>
      <c r="UGP15" s="11"/>
      <c r="UGQ15" s="11"/>
      <c r="UGR15" s="11"/>
      <c r="UGS15" s="11"/>
      <c r="UGT15" s="11"/>
      <c r="UGU15" s="11"/>
      <c r="UGV15" s="11"/>
      <c r="UGW15" s="11"/>
      <c r="UGX15" s="11"/>
      <c r="UGY15" s="11"/>
      <c r="UGZ15" s="11"/>
      <c r="UHA15" s="11"/>
      <c r="UHB15" s="11"/>
      <c r="UHC15" s="11"/>
      <c r="UHD15" s="11"/>
      <c r="UHE15" s="11"/>
      <c r="UHF15" s="11"/>
      <c r="UHG15" s="11"/>
      <c r="UHH15" s="11"/>
      <c r="UHI15" s="11"/>
      <c r="UHJ15" s="11"/>
      <c r="UHK15" s="11"/>
      <c r="UHL15" s="11"/>
      <c r="UHM15" s="11"/>
      <c r="UHN15" s="11"/>
      <c r="UHO15" s="11"/>
      <c r="UHP15" s="11"/>
      <c r="UHQ15" s="11"/>
      <c r="UHR15" s="11"/>
      <c r="UHS15" s="11"/>
      <c r="UHT15" s="11"/>
      <c r="UHU15" s="11"/>
      <c r="UHV15" s="11"/>
      <c r="UHW15" s="11"/>
      <c r="UHX15" s="11"/>
      <c r="UHY15" s="11"/>
      <c r="UHZ15" s="11"/>
      <c r="UIA15" s="11"/>
      <c r="UIB15" s="11"/>
      <c r="UIC15" s="11"/>
      <c r="UID15" s="11"/>
      <c r="UIE15" s="11"/>
      <c r="UIF15" s="11"/>
      <c r="UIG15" s="11"/>
      <c r="UIH15" s="11"/>
      <c r="UII15" s="11"/>
      <c r="UIJ15" s="11"/>
      <c r="UIK15" s="11"/>
      <c r="UIL15" s="11"/>
      <c r="UIM15" s="11"/>
      <c r="UIN15" s="11"/>
      <c r="UIO15" s="11"/>
      <c r="UIP15" s="11"/>
      <c r="UIQ15" s="11"/>
      <c r="UIR15" s="11"/>
      <c r="UIS15" s="11"/>
      <c r="UIT15" s="11"/>
      <c r="UIU15" s="11"/>
      <c r="UIV15" s="11"/>
      <c r="UIW15" s="11"/>
      <c r="UIX15" s="11"/>
      <c r="UIY15" s="11"/>
      <c r="UIZ15" s="11"/>
      <c r="UJA15" s="11"/>
      <c r="UJB15" s="11"/>
      <c r="UJC15" s="11"/>
      <c r="UJD15" s="11"/>
      <c r="UJE15" s="11"/>
      <c r="UJF15" s="11"/>
      <c r="UJG15" s="11"/>
      <c r="UJH15" s="11"/>
      <c r="UJI15" s="11"/>
      <c r="UJJ15" s="11"/>
      <c r="UJK15" s="11"/>
      <c r="UJL15" s="11"/>
      <c r="UJM15" s="11"/>
      <c r="UJN15" s="11"/>
      <c r="UJO15" s="11"/>
      <c r="UJP15" s="11"/>
      <c r="UJQ15" s="11"/>
      <c r="UJR15" s="11"/>
      <c r="UJS15" s="11"/>
      <c r="UJT15" s="11"/>
      <c r="UJU15" s="11"/>
      <c r="UJV15" s="11"/>
      <c r="UJW15" s="11"/>
      <c r="UJX15" s="11"/>
      <c r="UJY15" s="11"/>
      <c r="UJZ15" s="11"/>
      <c r="UKA15" s="11"/>
      <c r="UKB15" s="11"/>
      <c r="UKC15" s="11"/>
      <c r="UKD15" s="11"/>
      <c r="UKE15" s="11"/>
      <c r="UKF15" s="11"/>
      <c r="UKG15" s="11"/>
      <c r="UKH15" s="11"/>
      <c r="UKI15" s="11"/>
      <c r="UKJ15" s="11"/>
      <c r="UKK15" s="11"/>
      <c r="UKL15" s="11"/>
      <c r="UKM15" s="11"/>
      <c r="UKN15" s="11"/>
      <c r="UKO15" s="11"/>
      <c r="UKP15" s="11"/>
      <c r="UKQ15" s="11"/>
      <c r="UKR15" s="11"/>
      <c r="UKS15" s="11"/>
      <c r="UKT15" s="11"/>
      <c r="UKU15" s="11"/>
      <c r="UKV15" s="11"/>
      <c r="UKW15" s="11"/>
      <c r="UKX15" s="11"/>
      <c r="UKY15" s="11"/>
      <c r="UKZ15" s="11"/>
      <c r="ULA15" s="11"/>
      <c r="ULB15" s="11"/>
      <c r="ULC15" s="11"/>
      <c r="ULD15" s="11"/>
      <c r="ULE15" s="11"/>
      <c r="ULF15" s="11"/>
      <c r="ULG15" s="11"/>
      <c r="ULH15" s="11"/>
      <c r="ULI15" s="11"/>
      <c r="ULJ15" s="11"/>
      <c r="ULK15" s="11"/>
      <c r="ULL15" s="11"/>
      <c r="ULM15" s="11"/>
      <c r="ULN15" s="11"/>
      <c r="ULO15" s="11"/>
      <c r="ULP15" s="11"/>
      <c r="ULQ15" s="11"/>
      <c r="ULR15" s="11"/>
      <c r="ULS15" s="11"/>
      <c r="ULT15" s="11"/>
      <c r="ULU15" s="11"/>
      <c r="ULV15" s="11"/>
      <c r="ULW15" s="11"/>
      <c r="ULX15" s="11"/>
      <c r="ULY15" s="11"/>
      <c r="ULZ15" s="11"/>
      <c r="UMA15" s="11"/>
      <c r="UMB15" s="11"/>
      <c r="UMC15" s="11"/>
      <c r="UMD15" s="11"/>
      <c r="UME15" s="11"/>
      <c r="UMF15" s="11"/>
      <c r="UMG15" s="11"/>
      <c r="UMH15" s="11"/>
      <c r="UMI15" s="11"/>
      <c r="UMJ15" s="11"/>
      <c r="UMK15" s="11"/>
      <c r="UML15" s="11"/>
      <c r="UMM15" s="11"/>
      <c r="UMN15" s="11"/>
      <c r="UMO15" s="11"/>
      <c r="UMP15" s="11"/>
      <c r="UMQ15" s="11"/>
      <c r="UMR15" s="11"/>
      <c r="UMS15" s="11"/>
      <c r="UMT15" s="11"/>
      <c r="UMU15" s="11"/>
      <c r="UMV15" s="11"/>
      <c r="UMW15" s="11"/>
      <c r="UMX15" s="11"/>
      <c r="UMY15" s="11"/>
      <c r="UMZ15" s="11"/>
      <c r="UNA15" s="11"/>
      <c r="UNB15" s="11"/>
      <c r="UNC15" s="11"/>
      <c r="UND15" s="11"/>
      <c r="UNE15" s="11"/>
      <c r="UNF15" s="11"/>
      <c r="UNG15" s="11"/>
      <c r="UNH15" s="11"/>
      <c r="UNI15" s="11"/>
      <c r="UNJ15" s="11"/>
      <c r="UNK15" s="11"/>
      <c r="UNL15" s="11"/>
      <c r="UNM15" s="11"/>
      <c r="UNN15" s="11"/>
      <c r="UNO15" s="11"/>
      <c r="UNP15" s="11"/>
      <c r="UNQ15" s="11"/>
      <c r="UNR15" s="11"/>
      <c r="UNS15" s="11"/>
      <c r="UNT15" s="11"/>
      <c r="UNU15" s="11"/>
      <c r="UNV15" s="11"/>
      <c r="UNW15" s="11"/>
      <c r="UNX15" s="11"/>
      <c r="UNY15" s="11"/>
      <c r="UNZ15" s="11"/>
      <c r="UOA15" s="11"/>
      <c r="UOB15" s="11"/>
      <c r="UOC15" s="11"/>
      <c r="UOD15" s="11"/>
      <c r="UOE15" s="11"/>
      <c r="UOF15" s="11"/>
      <c r="UOG15" s="11"/>
      <c r="UOH15" s="11"/>
      <c r="UOI15" s="11"/>
      <c r="UOJ15" s="11"/>
      <c r="UOK15" s="11"/>
      <c r="UOL15" s="11"/>
      <c r="UOM15" s="11"/>
      <c r="UON15" s="11"/>
      <c r="UOO15" s="11"/>
      <c r="UOP15" s="11"/>
      <c r="UOQ15" s="11"/>
      <c r="UOR15" s="11"/>
      <c r="UOS15" s="11"/>
      <c r="UOT15" s="11"/>
      <c r="UOU15" s="11"/>
      <c r="UOV15" s="11"/>
      <c r="UOW15" s="11"/>
      <c r="UOX15" s="11"/>
      <c r="UOY15" s="11"/>
      <c r="UOZ15" s="11"/>
      <c r="UPA15" s="11"/>
      <c r="UPB15" s="11"/>
      <c r="UPC15" s="11"/>
      <c r="UPD15" s="11"/>
      <c r="UPE15" s="11"/>
      <c r="UPF15" s="11"/>
      <c r="UPG15" s="11"/>
      <c r="UPH15" s="11"/>
      <c r="UPI15" s="11"/>
      <c r="UPJ15" s="11"/>
      <c r="UPK15" s="11"/>
      <c r="UPL15" s="11"/>
      <c r="UPM15" s="11"/>
      <c r="UPN15" s="11"/>
      <c r="UPO15" s="11"/>
      <c r="UPP15" s="11"/>
      <c r="UPQ15" s="11"/>
      <c r="UPR15" s="11"/>
      <c r="UPS15" s="11"/>
      <c r="UPT15" s="11"/>
      <c r="UPU15" s="11"/>
      <c r="UPV15" s="11"/>
      <c r="UPW15" s="11"/>
      <c r="UPX15" s="11"/>
      <c r="UPY15" s="11"/>
      <c r="UPZ15" s="11"/>
      <c r="UQA15" s="11"/>
      <c r="UQB15" s="11"/>
      <c r="UQC15" s="11"/>
      <c r="UQD15" s="11"/>
      <c r="UQE15" s="11"/>
      <c r="UQF15" s="11"/>
      <c r="UQG15" s="11"/>
      <c r="UQH15" s="11"/>
      <c r="UQI15" s="11"/>
      <c r="UQJ15" s="11"/>
      <c r="UQK15" s="11"/>
      <c r="UQL15" s="11"/>
      <c r="UQM15" s="11"/>
      <c r="UQN15" s="11"/>
      <c r="UQO15" s="11"/>
      <c r="UQP15" s="11"/>
      <c r="UQQ15" s="11"/>
      <c r="UQR15" s="11"/>
      <c r="UQS15" s="11"/>
      <c r="UQT15" s="11"/>
      <c r="UQU15" s="11"/>
      <c r="UQV15" s="11"/>
      <c r="UQW15" s="11"/>
      <c r="UQX15" s="11"/>
      <c r="UQY15" s="11"/>
      <c r="UQZ15" s="11"/>
      <c r="URA15" s="11"/>
      <c r="URB15" s="11"/>
      <c r="URC15" s="11"/>
      <c r="URD15" s="11"/>
      <c r="URE15" s="11"/>
      <c r="URF15" s="11"/>
      <c r="URG15" s="11"/>
      <c r="URH15" s="11"/>
      <c r="URI15" s="11"/>
      <c r="URJ15" s="11"/>
      <c r="URK15" s="11"/>
      <c r="URL15" s="11"/>
      <c r="URM15" s="11"/>
      <c r="URN15" s="11"/>
      <c r="URO15" s="11"/>
      <c r="URP15" s="11"/>
      <c r="URQ15" s="11"/>
      <c r="URR15" s="11"/>
      <c r="URS15" s="11"/>
      <c r="URT15" s="11"/>
      <c r="URU15" s="11"/>
      <c r="URV15" s="11"/>
      <c r="URW15" s="11"/>
      <c r="URX15" s="11"/>
      <c r="URY15" s="11"/>
      <c r="URZ15" s="11"/>
      <c r="USA15" s="11"/>
      <c r="USB15" s="11"/>
      <c r="USC15" s="11"/>
      <c r="USD15" s="11"/>
      <c r="USE15" s="11"/>
      <c r="USF15" s="11"/>
      <c r="USG15" s="11"/>
      <c r="USH15" s="11"/>
      <c r="USI15" s="11"/>
      <c r="USJ15" s="11"/>
      <c r="USK15" s="11"/>
      <c r="USL15" s="11"/>
      <c r="USM15" s="11"/>
      <c r="USN15" s="11"/>
      <c r="USO15" s="11"/>
      <c r="USP15" s="11"/>
      <c r="USQ15" s="11"/>
      <c r="USR15" s="11"/>
      <c r="USS15" s="11"/>
      <c r="UST15" s="11"/>
      <c r="USU15" s="11"/>
      <c r="USV15" s="11"/>
      <c r="USW15" s="11"/>
      <c r="USX15" s="11"/>
      <c r="USY15" s="11"/>
      <c r="USZ15" s="11"/>
      <c r="UTA15" s="11"/>
      <c r="UTB15" s="11"/>
      <c r="UTC15" s="11"/>
      <c r="UTD15" s="11"/>
      <c r="UTE15" s="11"/>
      <c r="UTF15" s="11"/>
      <c r="UTG15" s="11"/>
      <c r="UTH15" s="11"/>
      <c r="UTI15" s="11"/>
      <c r="UTJ15" s="11"/>
      <c r="UTK15" s="11"/>
      <c r="UTL15" s="11"/>
      <c r="UTM15" s="11"/>
      <c r="UTN15" s="11"/>
      <c r="UTO15" s="11"/>
      <c r="UTP15" s="11"/>
      <c r="UTQ15" s="11"/>
      <c r="UTR15" s="11"/>
      <c r="UTS15" s="11"/>
      <c r="UTT15" s="11"/>
      <c r="UTU15" s="11"/>
      <c r="UTV15" s="11"/>
      <c r="UTW15" s="11"/>
      <c r="UTX15" s="11"/>
      <c r="UTY15" s="11"/>
      <c r="UTZ15" s="11"/>
      <c r="UUA15" s="11"/>
      <c r="UUB15" s="11"/>
      <c r="UUC15" s="11"/>
      <c r="UUD15" s="11"/>
      <c r="UUE15" s="11"/>
      <c r="UUF15" s="11"/>
      <c r="UUG15" s="11"/>
      <c r="UUH15" s="11"/>
      <c r="UUI15" s="11"/>
      <c r="UUJ15" s="11"/>
      <c r="UUK15" s="11"/>
      <c r="UUL15" s="11"/>
      <c r="UUM15" s="11"/>
      <c r="UUN15" s="11"/>
      <c r="UUO15" s="11"/>
      <c r="UUP15" s="11"/>
      <c r="UUQ15" s="11"/>
      <c r="UUR15" s="11"/>
      <c r="UUS15" s="11"/>
      <c r="UUT15" s="11"/>
      <c r="UUU15" s="11"/>
      <c r="UUV15" s="11"/>
      <c r="UUW15" s="11"/>
      <c r="UUX15" s="11"/>
      <c r="UUY15" s="11"/>
      <c r="UUZ15" s="11"/>
      <c r="UVA15" s="11"/>
      <c r="UVB15" s="11"/>
      <c r="UVC15" s="11"/>
      <c r="UVD15" s="11"/>
      <c r="UVE15" s="11"/>
      <c r="UVF15" s="11"/>
      <c r="UVG15" s="11"/>
      <c r="UVH15" s="11"/>
      <c r="UVI15" s="11"/>
      <c r="UVJ15" s="11"/>
      <c r="UVK15" s="11"/>
      <c r="UVL15" s="11"/>
      <c r="UVM15" s="11"/>
      <c r="UVN15" s="11"/>
      <c r="UVO15" s="11"/>
      <c r="UVP15" s="11"/>
      <c r="UVQ15" s="11"/>
      <c r="UVR15" s="11"/>
      <c r="UVS15" s="11"/>
      <c r="UVT15" s="11"/>
      <c r="UVU15" s="11"/>
      <c r="UVV15" s="11"/>
      <c r="UVW15" s="11"/>
      <c r="UVX15" s="11"/>
      <c r="UVY15" s="11"/>
      <c r="UVZ15" s="11"/>
      <c r="UWA15" s="11"/>
      <c r="UWB15" s="11"/>
      <c r="UWC15" s="11"/>
      <c r="UWD15" s="11"/>
      <c r="UWE15" s="11"/>
      <c r="UWF15" s="11"/>
      <c r="UWG15" s="11"/>
      <c r="UWH15" s="11"/>
      <c r="UWI15" s="11"/>
      <c r="UWJ15" s="11"/>
      <c r="UWK15" s="11"/>
      <c r="UWL15" s="11"/>
      <c r="UWM15" s="11"/>
      <c r="UWN15" s="11"/>
      <c r="UWO15" s="11"/>
      <c r="UWP15" s="11"/>
      <c r="UWQ15" s="11"/>
      <c r="UWR15" s="11"/>
      <c r="UWS15" s="11"/>
      <c r="UWT15" s="11"/>
      <c r="UWU15" s="11"/>
      <c r="UWV15" s="11"/>
      <c r="UWW15" s="11"/>
      <c r="UWX15" s="11"/>
      <c r="UWY15" s="11"/>
      <c r="UWZ15" s="11"/>
      <c r="UXA15" s="11"/>
      <c r="UXB15" s="11"/>
      <c r="UXC15" s="11"/>
      <c r="UXD15" s="11"/>
      <c r="UXE15" s="11"/>
      <c r="UXF15" s="11"/>
      <c r="UXG15" s="11"/>
      <c r="UXH15" s="11"/>
      <c r="UXI15" s="11"/>
      <c r="UXJ15" s="11"/>
      <c r="UXK15" s="11"/>
      <c r="UXL15" s="11"/>
      <c r="UXM15" s="11"/>
      <c r="UXN15" s="11"/>
      <c r="UXO15" s="11"/>
      <c r="UXP15" s="11"/>
      <c r="UXQ15" s="11"/>
      <c r="UXR15" s="11"/>
      <c r="UXS15" s="11"/>
      <c r="UXT15" s="11"/>
      <c r="UXU15" s="11"/>
      <c r="UXV15" s="11"/>
      <c r="UXW15" s="11"/>
      <c r="UXX15" s="11"/>
      <c r="UXY15" s="11"/>
      <c r="UXZ15" s="11"/>
      <c r="UYA15" s="11"/>
      <c r="UYB15" s="11"/>
      <c r="UYC15" s="11"/>
      <c r="UYD15" s="11"/>
      <c r="UYE15" s="11"/>
      <c r="UYF15" s="11"/>
      <c r="UYG15" s="11"/>
      <c r="UYH15" s="11"/>
      <c r="UYI15" s="11"/>
      <c r="UYJ15" s="11"/>
      <c r="UYK15" s="11"/>
      <c r="UYL15" s="11"/>
      <c r="UYM15" s="11"/>
      <c r="UYN15" s="11"/>
      <c r="UYO15" s="11"/>
      <c r="UYP15" s="11"/>
      <c r="UYQ15" s="11"/>
      <c r="UYR15" s="11"/>
      <c r="UYS15" s="11"/>
      <c r="UYT15" s="11"/>
      <c r="UYU15" s="11"/>
      <c r="UYV15" s="11"/>
      <c r="UYW15" s="11"/>
      <c r="UYX15" s="11"/>
      <c r="UYY15" s="11"/>
      <c r="UYZ15" s="11"/>
      <c r="UZA15" s="11"/>
      <c r="UZB15" s="11"/>
      <c r="UZC15" s="11"/>
      <c r="UZD15" s="11"/>
      <c r="UZE15" s="11"/>
      <c r="UZF15" s="11"/>
      <c r="UZG15" s="11"/>
      <c r="UZH15" s="11"/>
      <c r="UZI15" s="11"/>
      <c r="UZJ15" s="11"/>
      <c r="UZK15" s="11"/>
      <c r="UZL15" s="11"/>
      <c r="UZM15" s="11"/>
      <c r="UZN15" s="11"/>
      <c r="UZO15" s="11"/>
      <c r="UZP15" s="11"/>
      <c r="UZQ15" s="11"/>
      <c r="UZR15" s="11"/>
      <c r="UZS15" s="11"/>
      <c r="UZT15" s="11"/>
      <c r="UZU15" s="11"/>
      <c r="UZV15" s="11"/>
      <c r="UZW15" s="11"/>
      <c r="UZX15" s="11"/>
      <c r="UZY15" s="11"/>
      <c r="UZZ15" s="11"/>
      <c r="VAA15" s="11"/>
      <c r="VAB15" s="11"/>
      <c r="VAC15" s="11"/>
      <c r="VAD15" s="11"/>
      <c r="VAE15" s="11"/>
      <c r="VAF15" s="11"/>
      <c r="VAG15" s="11"/>
      <c r="VAH15" s="11"/>
      <c r="VAI15" s="11"/>
      <c r="VAJ15" s="11"/>
      <c r="VAK15" s="11"/>
      <c r="VAL15" s="11"/>
      <c r="VAM15" s="11"/>
      <c r="VAN15" s="11"/>
      <c r="VAO15" s="11"/>
      <c r="VAP15" s="11"/>
      <c r="VAQ15" s="11"/>
      <c r="VAR15" s="11"/>
      <c r="VAS15" s="11"/>
      <c r="VAT15" s="11"/>
      <c r="VAU15" s="11"/>
      <c r="VAV15" s="11"/>
      <c r="VAW15" s="11"/>
      <c r="VAX15" s="11"/>
      <c r="VAY15" s="11"/>
      <c r="VAZ15" s="11"/>
      <c r="VBA15" s="11"/>
      <c r="VBB15" s="11"/>
      <c r="VBC15" s="11"/>
      <c r="VBD15" s="11"/>
      <c r="VBE15" s="11"/>
      <c r="VBF15" s="11"/>
      <c r="VBG15" s="11"/>
      <c r="VBH15" s="11"/>
      <c r="VBI15" s="11"/>
      <c r="VBJ15" s="11"/>
      <c r="VBK15" s="11"/>
      <c r="VBL15" s="11"/>
      <c r="VBM15" s="11"/>
      <c r="VBN15" s="11"/>
      <c r="VBO15" s="11"/>
      <c r="VBP15" s="11"/>
      <c r="VBQ15" s="11"/>
      <c r="VBR15" s="11"/>
      <c r="VBS15" s="11"/>
      <c r="VBT15" s="11"/>
      <c r="VBU15" s="11"/>
      <c r="VBV15" s="11"/>
      <c r="VBW15" s="11"/>
      <c r="VBX15" s="11"/>
      <c r="VBY15" s="11"/>
      <c r="VBZ15" s="11"/>
      <c r="VCA15" s="11"/>
      <c r="VCB15" s="11"/>
      <c r="VCC15" s="11"/>
      <c r="VCD15" s="11"/>
      <c r="VCE15" s="11"/>
      <c r="VCF15" s="11"/>
      <c r="VCG15" s="11"/>
      <c r="VCH15" s="11"/>
      <c r="VCI15" s="11"/>
      <c r="VCJ15" s="11"/>
      <c r="VCK15" s="11"/>
      <c r="VCL15" s="11"/>
      <c r="VCM15" s="11"/>
      <c r="VCN15" s="11"/>
      <c r="VCO15" s="11"/>
      <c r="VCP15" s="11"/>
      <c r="VCQ15" s="11"/>
      <c r="VCR15" s="11"/>
      <c r="VCS15" s="11"/>
      <c r="VCT15" s="11"/>
      <c r="VCU15" s="11"/>
      <c r="VCV15" s="11"/>
      <c r="VCW15" s="11"/>
      <c r="VCX15" s="11"/>
      <c r="VCY15" s="11"/>
      <c r="VCZ15" s="11"/>
      <c r="VDA15" s="11"/>
      <c r="VDB15" s="11"/>
      <c r="VDC15" s="11"/>
      <c r="VDD15" s="11"/>
      <c r="VDE15" s="11"/>
      <c r="VDF15" s="11"/>
      <c r="VDG15" s="11"/>
      <c r="VDH15" s="11"/>
      <c r="VDI15" s="11"/>
      <c r="VDJ15" s="11"/>
      <c r="VDK15" s="11"/>
      <c r="VDL15" s="11"/>
      <c r="VDM15" s="11"/>
      <c r="VDN15" s="11"/>
      <c r="VDO15" s="11"/>
      <c r="VDP15" s="11"/>
      <c r="VDQ15" s="11"/>
      <c r="VDR15" s="11"/>
      <c r="VDS15" s="11"/>
      <c r="VDT15" s="11"/>
      <c r="VDU15" s="11"/>
      <c r="VDV15" s="11"/>
      <c r="VDW15" s="11"/>
      <c r="VDX15" s="11"/>
      <c r="VDY15" s="11"/>
      <c r="VDZ15" s="11"/>
      <c r="VEA15" s="11"/>
      <c r="VEB15" s="11"/>
      <c r="VEC15" s="11"/>
      <c r="VED15" s="11"/>
      <c r="VEE15" s="11"/>
      <c r="VEF15" s="11"/>
      <c r="VEG15" s="11"/>
      <c r="VEH15" s="11"/>
      <c r="VEI15" s="11"/>
      <c r="VEJ15" s="11"/>
      <c r="VEK15" s="11"/>
      <c r="VEL15" s="11"/>
      <c r="VEM15" s="11"/>
      <c r="VEN15" s="11"/>
      <c r="VEO15" s="11"/>
      <c r="VEP15" s="11"/>
      <c r="VEQ15" s="11"/>
      <c r="VER15" s="11"/>
      <c r="VES15" s="11"/>
      <c r="VET15" s="11"/>
      <c r="VEU15" s="11"/>
      <c r="VEV15" s="11"/>
      <c r="VEW15" s="11"/>
      <c r="VEX15" s="11"/>
      <c r="VEY15" s="11"/>
      <c r="VEZ15" s="11"/>
      <c r="VFA15" s="11"/>
      <c r="VFB15" s="11"/>
      <c r="VFC15" s="11"/>
      <c r="VFD15" s="11"/>
      <c r="VFE15" s="11"/>
      <c r="VFF15" s="11"/>
      <c r="VFG15" s="11"/>
      <c r="VFH15" s="11"/>
      <c r="VFI15" s="11"/>
      <c r="VFJ15" s="11"/>
      <c r="VFK15" s="11"/>
      <c r="VFL15" s="11"/>
      <c r="VFM15" s="11"/>
      <c r="VFN15" s="11"/>
      <c r="VFO15" s="11"/>
      <c r="VFP15" s="11"/>
      <c r="VFQ15" s="11"/>
      <c r="VFR15" s="11"/>
      <c r="VFS15" s="11"/>
      <c r="VFT15" s="11"/>
      <c r="VFU15" s="11"/>
      <c r="VFV15" s="11"/>
      <c r="VFW15" s="11"/>
      <c r="VFX15" s="11"/>
      <c r="VFY15" s="11"/>
      <c r="VFZ15" s="11"/>
      <c r="VGA15" s="11"/>
      <c r="VGB15" s="11"/>
      <c r="VGC15" s="11"/>
      <c r="VGD15" s="11"/>
      <c r="VGE15" s="11"/>
      <c r="VGF15" s="11"/>
      <c r="VGG15" s="11"/>
      <c r="VGH15" s="11"/>
      <c r="VGI15" s="11"/>
      <c r="VGJ15" s="11"/>
      <c r="VGK15" s="11"/>
      <c r="VGL15" s="11"/>
      <c r="VGM15" s="11"/>
      <c r="VGN15" s="11"/>
      <c r="VGO15" s="11"/>
      <c r="VGP15" s="11"/>
      <c r="VGQ15" s="11"/>
      <c r="VGR15" s="11"/>
      <c r="VGS15" s="11"/>
      <c r="VGT15" s="11"/>
      <c r="VGU15" s="11"/>
      <c r="VGV15" s="11"/>
      <c r="VGW15" s="11"/>
      <c r="VGX15" s="11"/>
      <c r="VGY15" s="11"/>
      <c r="VGZ15" s="11"/>
      <c r="VHA15" s="11"/>
      <c r="VHB15" s="11"/>
      <c r="VHC15" s="11"/>
      <c r="VHD15" s="11"/>
      <c r="VHE15" s="11"/>
      <c r="VHF15" s="11"/>
      <c r="VHG15" s="11"/>
      <c r="VHH15" s="11"/>
      <c r="VHI15" s="11"/>
      <c r="VHJ15" s="11"/>
      <c r="VHK15" s="11"/>
      <c r="VHL15" s="11"/>
      <c r="VHM15" s="11"/>
      <c r="VHN15" s="11"/>
      <c r="VHO15" s="11"/>
      <c r="VHP15" s="11"/>
      <c r="VHQ15" s="11"/>
      <c r="VHR15" s="11"/>
      <c r="VHS15" s="11"/>
      <c r="VHT15" s="11"/>
      <c r="VHU15" s="11"/>
      <c r="VHV15" s="11"/>
      <c r="VHW15" s="11"/>
      <c r="VHX15" s="11"/>
      <c r="VHY15" s="11"/>
      <c r="VHZ15" s="11"/>
      <c r="VIA15" s="11"/>
      <c r="VIB15" s="11"/>
      <c r="VIC15" s="11"/>
      <c r="VID15" s="11"/>
      <c r="VIE15" s="11"/>
      <c r="VIF15" s="11"/>
      <c r="VIG15" s="11"/>
      <c r="VIH15" s="11"/>
      <c r="VII15" s="11"/>
      <c r="VIJ15" s="11"/>
      <c r="VIK15" s="11"/>
      <c r="VIL15" s="11"/>
      <c r="VIM15" s="11"/>
      <c r="VIN15" s="11"/>
      <c r="VIO15" s="11"/>
      <c r="VIP15" s="11"/>
      <c r="VIQ15" s="11"/>
      <c r="VIR15" s="11"/>
      <c r="VIS15" s="11"/>
      <c r="VIT15" s="11"/>
      <c r="VIU15" s="11"/>
      <c r="VIV15" s="11"/>
      <c r="VIW15" s="11"/>
      <c r="VIX15" s="11"/>
      <c r="VIY15" s="11"/>
      <c r="VIZ15" s="11"/>
      <c r="VJA15" s="11"/>
      <c r="VJB15" s="11"/>
      <c r="VJC15" s="11"/>
      <c r="VJD15" s="11"/>
      <c r="VJE15" s="11"/>
      <c r="VJF15" s="11"/>
      <c r="VJG15" s="11"/>
      <c r="VJH15" s="11"/>
      <c r="VJI15" s="11"/>
      <c r="VJJ15" s="11"/>
      <c r="VJK15" s="11"/>
      <c r="VJL15" s="11"/>
      <c r="VJM15" s="11"/>
      <c r="VJN15" s="11"/>
      <c r="VJO15" s="11"/>
      <c r="VJP15" s="11"/>
      <c r="VJQ15" s="11"/>
      <c r="VJR15" s="11"/>
      <c r="VJS15" s="11"/>
      <c r="VJT15" s="11"/>
      <c r="VJU15" s="11"/>
      <c r="VJV15" s="11"/>
      <c r="VJW15" s="11"/>
      <c r="VJX15" s="11"/>
      <c r="VJY15" s="11"/>
      <c r="VJZ15" s="11"/>
      <c r="VKA15" s="11"/>
      <c r="VKB15" s="11"/>
      <c r="VKC15" s="11"/>
      <c r="VKD15" s="11"/>
      <c r="VKE15" s="11"/>
      <c r="VKF15" s="11"/>
      <c r="VKG15" s="11"/>
      <c r="VKH15" s="11"/>
      <c r="VKI15" s="11"/>
      <c r="VKJ15" s="11"/>
      <c r="VKK15" s="11"/>
      <c r="VKL15" s="11"/>
      <c r="VKM15" s="11"/>
      <c r="VKN15" s="11"/>
      <c r="VKO15" s="11"/>
      <c r="VKP15" s="11"/>
      <c r="VKQ15" s="11"/>
      <c r="VKR15" s="11"/>
      <c r="VKS15" s="11"/>
      <c r="VKT15" s="11"/>
      <c r="VKU15" s="11"/>
      <c r="VKV15" s="11"/>
      <c r="VKW15" s="11"/>
      <c r="VKX15" s="11"/>
      <c r="VKY15" s="11"/>
      <c r="VKZ15" s="11"/>
      <c r="VLA15" s="11"/>
      <c r="VLB15" s="11"/>
      <c r="VLC15" s="11"/>
      <c r="VLD15" s="11"/>
      <c r="VLE15" s="11"/>
      <c r="VLF15" s="11"/>
      <c r="VLG15" s="11"/>
      <c r="VLH15" s="11"/>
      <c r="VLI15" s="11"/>
      <c r="VLJ15" s="11"/>
      <c r="VLK15" s="11"/>
      <c r="VLL15" s="11"/>
      <c r="VLM15" s="11"/>
      <c r="VLN15" s="11"/>
      <c r="VLO15" s="11"/>
      <c r="VLP15" s="11"/>
      <c r="VLQ15" s="11"/>
      <c r="VLR15" s="11"/>
      <c r="VLS15" s="11"/>
      <c r="VLT15" s="11"/>
      <c r="VLU15" s="11"/>
      <c r="VLV15" s="11"/>
      <c r="VLW15" s="11"/>
      <c r="VLX15" s="11"/>
      <c r="VLY15" s="11"/>
      <c r="VLZ15" s="11"/>
      <c r="VMA15" s="11"/>
      <c r="VMB15" s="11"/>
      <c r="VMC15" s="11"/>
      <c r="VMD15" s="11"/>
      <c r="VME15" s="11"/>
      <c r="VMF15" s="11"/>
      <c r="VMG15" s="11"/>
      <c r="VMH15" s="11"/>
      <c r="VMI15" s="11"/>
      <c r="VMJ15" s="11"/>
      <c r="VMK15" s="11"/>
      <c r="VML15" s="11"/>
      <c r="VMM15" s="11"/>
      <c r="VMN15" s="11"/>
      <c r="VMO15" s="11"/>
      <c r="VMP15" s="11"/>
      <c r="VMQ15" s="11"/>
      <c r="VMR15" s="11"/>
      <c r="VMS15" s="11"/>
      <c r="VMT15" s="11"/>
      <c r="VMU15" s="11"/>
      <c r="VMV15" s="11"/>
      <c r="VMW15" s="11"/>
      <c r="VMX15" s="11"/>
      <c r="VMY15" s="11"/>
      <c r="VMZ15" s="11"/>
      <c r="VNA15" s="11"/>
      <c r="VNB15" s="11"/>
      <c r="VNC15" s="11"/>
      <c r="VND15" s="11"/>
      <c r="VNE15" s="11"/>
      <c r="VNF15" s="11"/>
      <c r="VNG15" s="11"/>
      <c r="VNH15" s="11"/>
      <c r="VNI15" s="11"/>
      <c r="VNJ15" s="11"/>
      <c r="VNK15" s="11"/>
      <c r="VNL15" s="11"/>
      <c r="VNM15" s="11"/>
      <c r="VNN15" s="11"/>
      <c r="VNO15" s="11"/>
      <c r="VNP15" s="11"/>
      <c r="VNQ15" s="11"/>
      <c r="VNR15" s="11"/>
      <c r="VNS15" s="11"/>
      <c r="VNT15" s="11"/>
      <c r="VNU15" s="11"/>
      <c r="VNV15" s="11"/>
      <c r="VNW15" s="11"/>
      <c r="VNX15" s="11"/>
      <c r="VNY15" s="11"/>
      <c r="VNZ15" s="11"/>
      <c r="VOA15" s="11"/>
      <c r="VOB15" s="11"/>
      <c r="VOC15" s="11"/>
      <c r="VOD15" s="11"/>
      <c r="VOE15" s="11"/>
      <c r="VOF15" s="11"/>
      <c r="VOG15" s="11"/>
      <c r="VOH15" s="11"/>
      <c r="VOI15" s="11"/>
      <c r="VOJ15" s="11"/>
      <c r="VOK15" s="11"/>
      <c r="VOL15" s="11"/>
      <c r="VOM15" s="11"/>
      <c r="VON15" s="11"/>
      <c r="VOO15" s="11"/>
      <c r="VOP15" s="11"/>
      <c r="VOQ15" s="11"/>
      <c r="VOR15" s="11"/>
      <c r="VOS15" s="11"/>
      <c r="VOT15" s="11"/>
      <c r="VOU15" s="11"/>
      <c r="VOV15" s="11"/>
      <c r="VOW15" s="11"/>
      <c r="VOX15" s="11"/>
      <c r="VOY15" s="11"/>
      <c r="VOZ15" s="11"/>
      <c r="VPA15" s="11"/>
      <c r="VPB15" s="11"/>
      <c r="VPC15" s="11"/>
      <c r="VPD15" s="11"/>
      <c r="VPE15" s="11"/>
      <c r="VPF15" s="11"/>
      <c r="VPG15" s="11"/>
      <c r="VPH15" s="11"/>
      <c r="VPI15" s="11"/>
      <c r="VPJ15" s="11"/>
      <c r="VPK15" s="11"/>
      <c r="VPL15" s="11"/>
      <c r="VPM15" s="11"/>
      <c r="VPN15" s="11"/>
      <c r="VPO15" s="11"/>
      <c r="VPP15" s="11"/>
      <c r="VPQ15" s="11"/>
      <c r="VPR15" s="11"/>
      <c r="VPS15" s="11"/>
      <c r="VPT15" s="11"/>
      <c r="VPU15" s="11"/>
      <c r="VPV15" s="11"/>
      <c r="VPW15" s="11"/>
      <c r="VPX15" s="11"/>
      <c r="VPY15" s="11"/>
      <c r="VPZ15" s="11"/>
      <c r="VQA15" s="11"/>
      <c r="VQB15" s="11"/>
      <c r="VQC15" s="11"/>
      <c r="VQD15" s="11"/>
      <c r="VQE15" s="11"/>
      <c r="VQF15" s="11"/>
      <c r="VQG15" s="11"/>
      <c r="VQH15" s="11"/>
      <c r="VQI15" s="11"/>
      <c r="VQJ15" s="11"/>
      <c r="VQK15" s="11"/>
      <c r="VQL15" s="11"/>
      <c r="VQM15" s="11"/>
      <c r="VQN15" s="11"/>
      <c r="VQO15" s="11"/>
      <c r="VQP15" s="11"/>
      <c r="VQQ15" s="11"/>
      <c r="VQR15" s="11"/>
      <c r="VQS15" s="11"/>
      <c r="VQT15" s="11"/>
      <c r="VQU15" s="11"/>
      <c r="VQV15" s="11"/>
      <c r="VQW15" s="11"/>
      <c r="VQX15" s="11"/>
      <c r="VQY15" s="11"/>
      <c r="VQZ15" s="11"/>
      <c r="VRA15" s="11"/>
      <c r="VRB15" s="11"/>
      <c r="VRC15" s="11"/>
      <c r="VRD15" s="11"/>
      <c r="VRE15" s="11"/>
      <c r="VRF15" s="11"/>
      <c r="VRG15" s="11"/>
      <c r="VRH15" s="11"/>
      <c r="VRI15" s="11"/>
      <c r="VRJ15" s="11"/>
      <c r="VRK15" s="11"/>
      <c r="VRL15" s="11"/>
      <c r="VRM15" s="11"/>
      <c r="VRN15" s="11"/>
      <c r="VRO15" s="11"/>
      <c r="VRP15" s="11"/>
      <c r="VRQ15" s="11"/>
      <c r="VRR15" s="11"/>
      <c r="VRS15" s="11"/>
      <c r="VRT15" s="11"/>
      <c r="VRU15" s="11"/>
      <c r="VRV15" s="11"/>
      <c r="VRW15" s="11"/>
      <c r="VRX15" s="11"/>
      <c r="VRY15" s="11"/>
      <c r="VRZ15" s="11"/>
      <c r="VSA15" s="11"/>
      <c r="VSB15" s="11"/>
      <c r="VSC15" s="11"/>
      <c r="VSD15" s="11"/>
      <c r="VSE15" s="11"/>
      <c r="VSF15" s="11"/>
      <c r="VSG15" s="11"/>
      <c r="VSH15" s="11"/>
      <c r="VSI15" s="11"/>
      <c r="VSJ15" s="11"/>
      <c r="VSK15" s="11"/>
      <c r="VSL15" s="11"/>
      <c r="VSM15" s="11"/>
      <c r="VSN15" s="11"/>
      <c r="VSO15" s="11"/>
      <c r="VSP15" s="11"/>
      <c r="VSQ15" s="11"/>
      <c r="VSR15" s="11"/>
      <c r="VSS15" s="11"/>
      <c r="VST15" s="11"/>
      <c r="VSU15" s="11"/>
      <c r="VSV15" s="11"/>
      <c r="VSW15" s="11"/>
      <c r="VSX15" s="11"/>
      <c r="VSY15" s="11"/>
      <c r="VSZ15" s="11"/>
      <c r="VTA15" s="11"/>
      <c r="VTB15" s="11"/>
      <c r="VTC15" s="11"/>
      <c r="VTD15" s="11"/>
      <c r="VTE15" s="11"/>
      <c r="VTF15" s="11"/>
      <c r="VTG15" s="11"/>
      <c r="VTH15" s="11"/>
      <c r="VTI15" s="11"/>
      <c r="VTJ15" s="11"/>
      <c r="VTK15" s="11"/>
      <c r="VTL15" s="11"/>
      <c r="VTM15" s="11"/>
      <c r="VTN15" s="11"/>
      <c r="VTO15" s="11"/>
      <c r="VTP15" s="11"/>
      <c r="VTQ15" s="11"/>
      <c r="VTR15" s="11"/>
      <c r="VTS15" s="11"/>
      <c r="VTT15" s="11"/>
      <c r="VTU15" s="11"/>
      <c r="VTV15" s="11"/>
      <c r="VTW15" s="11"/>
      <c r="VTX15" s="11"/>
      <c r="VTY15" s="11"/>
      <c r="VTZ15" s="11"/>
      <c r="VUA15" s="11"/>
      <c r="VUB15" s="11"/>
      <c r="VUC15" s="11"/>
      <c r="VUD15" s="11"/>
      <c r="VUE15" s="11"/>
      <c r="VUF15" s="11"/>
      <c r="VUG15" s="11"/>
      <c r="VUH15" s="11"/>
      <c r="VUI15" s="11"/>
      <c r="VUJ15" s="11"/>
      <c r="VUK15" s="11"/>
      <c r="VUL15" s="11"/>
      <c r="VUM15" s="11"/>
      <c r="VUN15" s="11"/>
      <c r="VUO15" s="11"/>
      <c r="VUP15" s="11"/>
      <c r="VUQ15" s="11"/>
      <c r="VUR15" s="11"/>
      <c r="VUS15" s="11"/>
      <c r="VUT15" s="11"/>
      <c r="VUU15" s="11"/>
      <c r="VUV15" s="11"/>
      <c r="VUW15" s="11"/>
      <c r="VUX15" s="11"/>
      <c r="VUY15" s="11"/>
      <c r="VUZ15" s="11"/>
      <c r="VVA15" s="11"/>
      <c r="VVB15" s="11"/>
      <c r="VVC15" s="11"/>
      <c r="VVD15" s="11"/>
      <c r="VVE15" s="11"/>
      <c r="VVF15" s="11"/>
      <c r="VVG15" s="11"/>
      <c r="VVH15" s="11"/>
      <c r="VVI15" s="11"/>
      <c r="VVJ15" s="11"/>
      <c r="VVK15" s="11"/>
      <c r="VVL15" s="11"/>
      <c r="VVM15" s="11"/>
      <c r="VVN15" s="11"/>
      <c r="VVO15" s="11"/>
      <c r="VVP15" s="11"/>
      <c r="VVQ15" s="11"/>
      <c r="VVR15" s="11"/>
      <c r="VVS15" s="11"/>
      <c r="VVT15" s="11"/>
      <c r="VVU15" s="11"/>
      <c r="VVV15" s="11"/>
      <c r="VVW15" s="11"/>
      <c r="VVX15" s="11"/>
      <c r="VVY15" s="11"/>
      <c r="VVZ15" s="11"/>
      <c r="VWA15" s="11"/>
      <c r="VWB15" s="11"/>
      <c r="VWC15" s="11"/>
      <c r="VWD15" s="11"/>
      <c r="VWE15" s="11"/>
      <c r="VWF15" s="11"/>
      <c r="VWG15" s="11"/>
      <c r="VWH15" s="11"/>
      <c r="VWI15" s="11"/>
      <c r="VWJ15" s="11"/>
      <c r="VWK15" s="11"/>
      <c r="VWL15" s="11"/>
      <c r="VWM15" s="11"/>
      <c r="VWN15" s="11"/>
      <c r="VWO15" s="11"/>
      <c r="VWP15" s="11"/>
      <c r="VWQ15" s="11"/>
      <c r="VWR15" s="11"/>
      <c r="VWS15" s="11"/>
      <c r="VWT15" s="11"/>
      <c r="VWU15" s="11"/>
      <c r="VWV15" s="11"/>
      <c r="VWW15" s="11"/>
      <c r="VWX15" s="11"/>
      <c r="VWY15" s="11"/>
      <c r="VWZ15" s="11"/>
      <c r="VXA15" s="11"/>
      <c r="VXB15" s="11"/>
      <c r="VXC15" s="11"/>
      <c r="VXD15" s="11"/>
      <c r="VXE15" s="11"/>
      <c r="VXF15" s="11"/>
      <c r="VXG15" s="11"/>
      <c r="VXH15" s="11"/>
      <c r="VXI15" s="11"/>
      <c r="VXJ15" s="11"/>
      <c r="VXK15" s="11"/>
      <c r="VXL15" s="11"/>
      <c r="VXM15" s="11"/>
      <c r="VXN15" s="11"/>
      <c r="VXO15" s="11"/>
      <c r="VXP15" s="11"/>
      <c r="VXQ15" s="11"/>
      <c r="VXR15" s="11"/>
      <c r="VXS15" s="11"/>
      <c r="VXT15" s="11"/>
      <c r="VXU15" s="11"/>
      <c r="VXV15" s="11"/>
      <c r="VXW15" s="11"/>
      <c r="VXX15" s="11"/>
      <c r="VXY15" s="11"/>
      <c r="VXZ15" s="11"/>
      <c r="VYA15" s="11"/>
      <c r="VYB15" s="11"/>
      <c r="VYC15" s="11"/>
      <c r="VYD15" s="11"/>
      <c r="VYE15" s="11"/>
      <c r="VYF15" s="11"/>
      <c r="VYG15" s="11"/>
      <c r="VYH15" s="11"/>
      <c r="VYI15" s="11"/>
      <c r="VYJ15" s="11"/>
      <c r="VYK15" s="11"/>
      <c r="VYL15" s="11"/>
      <c r="VYM15" s="11"/>
      <c r="VYN15" s="11"/>
      <c r="VYO15" s="11"/>
      <c r="VYP15" s="11"/>
      <c r="VYQ15" s="11"/>
      <c r="VYR15" s="11"/>
      <c r="VYS15" s="11"/>
      <c r="VYT15" s="11"/>
      <c r="VYU15" s="11"/>
      <c r="VYV15" s="11"/>
      <c r="VYW15" s="11"/>
      <c r="VYX15" s="11"/>
      <c r="VYY15" s="11"/>
      <c r="VYZ15" s="11"/>
      <c r="VZA15" s="11"/>
      <c r="VZB15" s="11"/>
      <c r="VZC15" s="11"/>
      <c r="VZD15" s="11"/>
      <c r="VZE15" s="11"/>
      <c r="VZF15" s="11"/>
      <c r="VZG15" s="11"/>
      <c r="VZH15" s="11"/>
      <c r="VZI15" s="11"/>
      <c r="VZJ15" s="11"/>
      <c r="VZK15" s="11"/>
      <c r="VZL15" s="11"/>
      <c r="VZM15" s="11"/>
      <c r="VZN15" s="11"/>
      <c r="VZO15" s="11"/>
      <c r="VZP15" s="11"/>
      <c r="VZQ15" s="11"/>
      <c r="VZR15" s="11"/>
      <c r="VZS15" s="11"/>
      <c r="VZT15" s="11"/>
      <c r="VZU15" s="11"/>
      <c r="VZV15" s="11"/>
      <c r="VZW15" s="11"/>
      <c r="VZX15" s="11"/>
      <c r="VZY15" s="11"/>
      <c r="VZZ15" s="11"/>
      <c r="WAA15" s="11"/>
      <c r="WAB15" s="11"/>
      <c r="WAC15" s="11"/>
      <c r="WAD15" s="11"/>
      <c r="WAE15" s="11"/>
      <c r="WAF15" s="11"/>
      <c r="WAG15" s="11"/>
      <c r="WAH15" s="11"/>
      <c r="WAI15" s="11"/>
      <c r="WAJ15" s="11"/>
      <c r="WAK15" s="11"/>
      <c r="WAL15" s="11"/>
      <c r="WAM15" s="11"/>
      <c r="WAN15" s="11"/>
      <c r="WAO15" s="11"/>
      <c r="WAP15" s="11"/>
      <c r="WAQ15" s="11"/>
      <c r="WAR15" s="11"/>
      <c r="WAS15" s="11"/>
      <c r="WAT15" s="11"/>
      <c r="WAU15" s="11"/>
      <c r="WAV15" s="11"/>
      <c r="WAW15" s="11"/>
      <c r="WAX15" s="11"/>
      <c r="WAY15" s="11"/>
      <c r="WAZ15" s="11"/>
      <c r="WBA15" s="11"/>
      <c r="WBB15" s="11"/>
      <c r="WBC15" s="11"/>
      <c r="WBD15" s="11"/>
      <c r="WBE15" s="11"/>
      <c r="WBF15" s="11"/>
      <c r="WBG15" s="11"/>
      <c r="WBH15" s="11"/>
      <c r="WBI15" s="11"/>
      <c r="WBJ15" s="11"/>
      <c r="WBK15" s="11"/>
      <c r="WBL15" s="11"/>
      <c r="WBM15" s="11"/>
      <c r="WBN15" s="11"/>
      <c r="WBO15" s="11"/>
      <c r="WBP15" s="11"/>
      <c r="WBQ15" s="11"/>
      <c r="WBR15" s="11"/>
      <c r="WBS15" s="11"/>
      <c r="WBT15" s="11"/>
      <c r="WBU15" s="11"/>
      <c r="WBV15" s="11"/>
      <c r="WBW15" s="11"/>
      <c r="WBX15" s="11"/>
      <c r="WBY15" s="11"/>
      <c r="WBZ15" s="11"/>
      <c r="WCA15" s="11"/>
      <c r="WCB15" s="11"/>
      <c r="WCC15" s="11"/>
      <c r="WCD15" s="11"/>
      <c r="WCE15" s="11"/>
      <c r="WCF15" s="11"/>
      <c r="WCG15" s="11"/>
      <c r="WCH15" s="11"/>
      <c r="WCI15" s="11"/>
      <c r="WCJ15" s="11"/>
      <c r="WCK15" s="11"/>
      <c r="WCL15" s="11"/>
      <c r="WCM15" s="11"/>
      <c r="WCN15" s="11"/>
      <c r="WCO15" s="11"/>
      <c r="WCP15" s="11"/>
      <c r="WCQ15" s="11"/>
      <c r="WCR15" s="11"/>
      <c r="WCS15" s="11"/>
      <c r="WCT15" s="11"/>
      <c r="WCU15" s="11"/>
      <c r="WCV15" s="11"/>
      <c r="WCW15" s="11"/>
      <c r="WCX15" s="11"/>
      <c r="WCY15" s="11"/>
      <c r="WCZ15" s="11"/>
      <c r="WDA15" s="11"/>
      <c r="WDB15" s="11"/>
      <c r="WDC15" s="11"/>
      <c r="WDD15" s="11"/>
      <c r="WDE15" s="11"/>
      <c r="WDF15" s="11"/>
      <c r="WDG15" s="11"/>
      <c r="WDH15" s="11"/>
      <c r="WDI15" s="11"/>
      <c r="WDJ15" s="11"/>
      <c r="WDK15" s="11"/>
      <c r="WDL15" s="11"/>
      <c r="WDM15" s="11"/>
      <c r="WDN15" s="11"/>
      <c r="WDO15" s="11"/>
      <c r="WDP15" s="11"/>
      <c r="WDQ15" s="11"/>
      <c r="WDR15" s="11"/>
      <c r="WDS15" s="11"/>
      <c r="WDT15" s="11"/>
      <c r="WDU15" s="11"/>
      <c r="WDV15" s="11"/>
      <c r="WDW15" s="11"/>
      <c r="WDX15" s="11"/>
      <c r="WDY15" s="11"/>
      <c r="WDZ15" s="11"/>
      <c r="WEA15" s="11"/>
      <c r="WEB15" s="11"/>
      <c r="WEC15" s="11"/>
      <c r="WED15" s="11"/>
      <c r="WEE15" s="11"/>
      <c r="WEF15" s="11"/>
      <c r="WEG15" s="11"/>
      <c r="WEH15" s="11"/>
      <c r="WEI15" s="11"/>
      <c r="WEJ15" s="11"/>
      <c r="WEK15" s="11"/>
      <c r="WEL15" s="11"/>
      <c r="WEM15" s="11"/>
      <c r="WEN15" s="11"/>
      <c r="WEO15" s="11"/>
      <c r="WEP15" s="11"/>
      <c r="WEQ15" s="11"/>
      <c r="WER15" s="11"/>
      <c r="WES15" s="11"/>
      <c r="WET15" s="11"/>
      <c r="WEU15" s="11"/>
      <c r="WEV15" s="11"/>
      <c r="WEW15" s="11"/>
      <c r="WEX15" s="11"/>
      <c r="WEY15" s="11"/>
      <c r="WEZ15" s="11"/>
      <c r="WFA15" s="11"/>
      <c r="WFB15" s="11"/>
      <c r="WFC15" s="11"/>
      <c r="WFD15" s="11"/>
      <c r="WFE15" s="11"/>
      <c r="WFF15" s="11"/>
      <c r="WFG15" s="11"/>
      <c r="WFH15" s="11"/>
      <c r="WFI15" s="11"/>
      <c r="WFJ15" s="11"/>
      <c r="WFK15" s="11"/>
      <c r="WFL15" s="11"/>
      <c r="WFM15" s="11"/>
      <c r="WFN15" s="11"/>
      <c r="WFO15" s="11"/>
      <c r="WFP15" s="11"/>
      <c r="WFQ15" s="11"/>
      <c r="WFR15" s="11"/>
      <c r="WFS15" s="11"/>
      <c r="WFT15" s="11"/>
      <c r="WFU15" s="11"/>
      <c r="WFV15" s="11"/>
      <c r="WFW15" s="11"/>
      <c r="WFX15" s="11"/>
      <c r="WFY15" s="11"/>
      <c r="WFZ15" s="11"/>
      <c r="WGA15" s="11"/>
      <c r="WGB15" s="11"/>
      <c r="WGC15" s="11"/>
      <c r="WGD15" s="11"/>
      <c r="WGE15" s="11"/>
      <c r="WGF15" s="11"/>
      <c r="WGG15" s="11"/>
      <c r="WGH15" s="11"/>
      <c r="WGI15" s="11"/>
      <c r="WGJ15" s="11"/>
      <c r="WGK15" s="11"/>
      <c r="WGL15" s="11"/>
      <c r="WGM15" s="11"/>
      <c r="WGN15" s="11"/>
      <c r="WGO15" s="11"/>
      <c r="WGP15" s="11"/>
      <c r="WGQ15" s="11"/>
      <c r="WGR15" s="11"/>
      <c r="WGS15" s="11"/>
      <c r="WGT15" s="11"/>
      <c r="WGU15" s="11"/>
      <c r="WGV15" s="11"/>
      <c r="WGW15" s="11"/>
      <c r="WGX15" s="11"/>
      <c r="WGY15" s="11"/>
      <c r="WGZ15" s="11"/>
      <c r="WHA15" s="11"/>
      <c r="WHB15" s="11"/>
      <c r="WHC15" s="11"/>
      <c r="WHD15" s="11"/>
      <c r="WHE15" s="11"/>
      <c r="WHF15" s="11"/>
      <c r="WHG15" s="11"/>
      <c r="WHH15" s="11"/>
      <c r="WHI15" s="11"/>
      <c r="WHJ15" s="11"/>
      <c r="WHK15" s="11"/>
      <c r="WHL15" s="11"/>
      <c r="WHM15" s="11"/>
      <c r="WHN15" s="11"/>
      <c r="WHO15" s="11"/>
      <c r="WHP15" s="11"/>
      <c r="WHQ15" s="11"/>
      <c r="WHR15" s="11"/>
      <c r="WHS15" s="11"/>
      <c r="WHT15" s="11"/>
      <c r="WHU15" s="11"/>
      <c r="WHV15" s="11"/>
      <c r="WHW15" s="11"/>
      <c r="WHX15" s="11"/>
      <c r="WHY15" s="11"/>
      <c r="WHZ15" s="11"/>
      <c r="WIA15" s="11"/>
      <c r="WIB15" s="11"/>
      <c r="WIC15" s="11"/>
      <c r="WID15" s="11"/>
      <c r="WIE15" s="11"/>
      <c r="WIF15" s="11"/>
      <c r="WIG15" s="11"/>
      <c r="WIH15" s="11"/>
      <c r="WII15" s="11"/>
      <c r="WIJ15" s="11"/>
      <c r="WIK15" s="11"/>
      <c r="WIL15" s="11"/>
      <c r="WIM15" s="11"/>
      <c r="WIN15" s="11"/>
      <c r="WIO15" s="11"/>
      <c r="WIP15" s="11"/>
      <c r="WIQ15" s="11"/>
      <c r="WIR15" s="11"/>
      <c r="WIS15" s="11"/>
      <c r="WIT15" s="11"/>
      <c r="WIU15" s="11"/>
      <c r="WIV15" s="11"/>
      <c r="WIW15" s="11"/>
      <c r="WIX15" s="11"/>
      <c r="WIY15" s="11"/>
      <c r="WIZ15" s="11"/>
      <c r="WJA15" s="11"/>
      <c r="WJB15" s="11"/>
      <c r="WJC15" s="11"/>
      <c r="WJD15" s="11"/>
      <c r="WJE15" s="11"/>
      <c r="WJF15" s="11"/>
      <c r="WJG15" s="11"/>
      <c r="WJH15" s="11"/>
      <c r="WJI15" s="11"/>
      <c r="WJJ15" s="11"/>
      <c r="WJK15" s="11"/>
      <c r="WJL15" s="11"/>
      <c r="WJM15" s="11"/>
      <c r="WJN15" s="11"/>
      <c r="WJO15" s="11"/>
      <c r="WJP15" s="11"/>
      <c r="WJQ15" s="11"/>
      <c r="WJR15" s="11"/>
      <c r="WJS15" s="11"/>
      <c r="WJT15" s="11"/>
      <c r="WJU15" s="11"/>
      <c r="WJV15" s="11"/>
      <c r="WJW15" s="11"/>
      <c r="WJX15" s="11"/>
      <c r="WJY15" s="11"/>
      <c r="WJZ15" s="11"/>
      <c r="WKA15" s="11"/>
      <c r="WKB15" s="11"/>
      <c r="WKC15" s="11"/>
      <c r="WKD15" s="11"/>
      <c r="WKE15" s="11"/>
      <c r="WKF15" s="11"/>
      <c r="WKG15" s="11"/>
      <c r="WKH15" s="11"/>
      <c r="WKI15" s="11"/>
      <c r="WKJ15" s="11"/>
      <c r="WKK15" s="11"/>
      <c r="WKL15" s="11"/>
      <c r="WKM15" s="11"/>
      <c r="WKN15" s="11"/>
      <c r="WKO15" s="11"/>
      <c r="WKP15" s="11"/>
      <c r="WKQ15" s="11"/>
      <c r="WKR15" s="11"/>
      <c r="WKS15" s="11"/>
      <c r="WKT15" s="11"/>
      <c r="WKU15" s="11"/>
      <c r="WKV15" s="11"/>
      <c r="WKW15" s="11"/>
      <c r="WKX15" s="11"/>
      <c r="WKY15" s="11"/>
      <c r="WKZ15" s="11"/>
      <c r="WLA15" s="11"/>
      <c r="WLB15" s="11"/>
      <c r="WLC15" s="11"/>
      <c r="WLD15" s="11"/>
      <c r="WLE15" s="11"/>
      <c r="WLF15" s="11"/>
      <c r="WLG15" s="11"/>
      <c r="WLH15" s="11"/>
      <c r="WLI15" s="11"/>
      <c r="WLJ15" s="11"/>
      <c r="WLK15" s="11"/>
      <c r="WLL15" s="11"/>
      <c r="WLM15" s="11"/>
      <c r="WLN15" s="11"/>
      <c r="WLO15" s="11"/>
      <c r="WLP15" s="11"/>
      <c r="WLQ15" s="11"/>
      <c r="WLR15" s="11"/>
      <c r="WLS15" s="11"/>
      <c r="WLT15" s="11"/>
      <c r="WLU15" s="11"/>
      <c r="WLV15" s="11"/>
      <c r="WLW15" s="11"/>
      <c r="WLX15" s="11"/>
      <c r="WLY15" s="11"/>
      <c r="WLZ15" s="11"/>
      <c r="WMA15" s="11"/>
      <c r="WMB15" s="11"/>
      <c r="WMC15" s="11"/>
      <c r="WMD15" s="11"/>
      <c r="WME15" s="11"/>
      <c r="WMF15" s="11"/>
      <c r="WMG15" s="11"/>
      <c r="WMH15" s="11"/>
      <c r="WMI15" s="11"/>
      <c r="WMJ15" s="11"/>
      <c r="WMK15" s="11"/>
      <c r="WML15" s="11"/>
      <c r="WMM15" s="11"/>
      <c r="WMN15" s="11"/>
      <c r="WMO15" s="11"/>
      <c r="WMP15" s="11"/>
      <c r="WMQ15" s="11"/>
      <c r="WMR15" s="11"/>
      <c r="WMS15" s="11"/>
      <c r="WMT15" s="11"/>
      <c r="WMU15" s="11"/>
      <c r="WMV15" s="11"/>
      <c r="WMW15" s="11"/>
      <c r="WMX15" s="11"/>
      <c r="WMY15" s="11"/>
      <c r="WMZ15" s="11"/>
      <c r="WNA15" s="11"/>
      <c r="WNB15" s="11"/>
      <c r="WNC15" s="11"/>
      <c r="WND15" s="11"/>
      <c r="WNE15" s="11"/>
      <c r="WNF15" s="11"/>
      <c r="WNG15" s="11"/>
      <c r="WNH15" s="11"/>
      <c r="WNI15" s="11"/>
      <c r="WNJ15" s="11"/>
      <c r="WNK15" s="11"/>
      <c r="WNL15" s="11"/>
      <c r="WNM15" s="11"/>
      <c r="WNN15" s="11"/>
      <c r="WNO15" s="11"/>
      <c r="WNP15" s="11"/>
      <c r="WNQ15" s="11"/>
      <c r="WNR15" s="11"/>
      <c r="WNS15" s="11"/>
      <c r="WNT15" s="11"/>
      <c r="WNU15" s="11"/>
      <c r="WNV15" s="11"/>
      <c r="WNW15" s="11"/>
      <c r="WNX15" s="11"/>
      <c r="WNY15" s="11"/>
      <c r="WNZ15" s="11"/>
      <c r="WOA15" s="11"/>
      <c r="WOB15" s="11"/>
      <c r="WOC15" s="11"/>
      <c r="WOD15" s="11"/>
      <c r="WOE15" s="11"/>
      <c r="WOF15" s="11"/>
      <c r="WOG15" s="11"/>
      <c r="WOH15" s="11"/>
      <c r="WOI15" s="11"/>
      <c r="WOJ15" s="11"/>
      <c r="WOK15" s="11"/>
      <c r="WOL15" s="11"/>
      <c r="WOM15" s="11"/>
      <c r="WON15" s="11"/>
      <c r="WOO15" s="11"/>
      <c r="WOP15" s="11"/>
      <c r="WOQ15" s="11"/>
      <c r="WOR15" s="11"/>
      <c r="WOS15" s="11"/>
      <c r="WOT15" s="11"/>
      <c r="WOU15" s="11"/>
      <c r="WOV15" s="11"/>
      <c r="WOW15" s="11"/>
      <c r="WOX15" s="11"/>
      <c r="WOY15" s="11"/>
      <c r="WOZ15" s="11"/>
      <c r="WPA15" s="11"/>
      <c r="WPB15" s="11"/>
      <c r="WPC15" s="11"/>
      <c r="WPD15" s="11"/>
      <c r="WPE15" s="11"/>
      <c r="WPF15" s="11"/>
      <c r="WPG15" s="11"/>
      <c r="WPH15" s="11"/>
      <c r="WPI15" s="11"/>
      <c r="WPJ15" s="11"/>
      <c r="WPK15" s="11"/>
      <c r="WPL15" s="11"/>
      <c r="WPM15" s="11"/>
      <c r="WPN15" s="11"/>
      <c r="WPO15" s="11"/>
      <c r="WPP15" s="11"/>
      <c r="WPQ15" s="11"/>
      <c r="WPR15" s="11"/>
      <c r="WPS15" s="11"/>
      <c r="WPT15" s="11"/>
      <c r="WPU15" s="11"/>
      <c r="WPV15" s="11"/>
      <c r="WPW15" s="11"/>
      <c r="WPX15" s="11"/>
      <c r="WPY15" s="11"/>
      <c r="WPZ15" s="11"/>
      <c r="WQA15" s="11"/>
      <c r="WQB15" s="11"/>
      <c r="WQC15" s="11"/>
      <c r="WQD15" s="11"/>
      <c r="WQE15" s="11"/>
      <c r="WQF15" s="11"/>
      <c r="WQG15" s="11"/>
      <c r="WQH15" s="11"/>
      <c r="WQI15" s="11"/>
      <c r="WQJ15" s="11"/>
      <c r="WQK15" s="11"/>
      <c r="WQL15" s="11"/>
      <c r="WQM15" s="11"/>
      <c r="WQN15" s="11"/>
      <c r="WQO15" s="11"/>
      <c r="WQP15" s="11"/>
      <c r="WQQ15" s="11"/>
      <c r="WQR15" s="11"/>
      <c r="WQS15" s="11"/>
      <c r="WQT15" s="11"/>
      <c r="WQU15" s="11"/>
      <c r="WQV15" s="11"/>
      <c r="WQW15" s="11"/>
      <c r="WQX15" s="11"/>
      <c r="WQY15" s="11"/>
      <c r="WQZ15" s="11"/>
      <c r="WRA15" s="11"/>
      <c r="WRB15" s="11"/>
      <c r="WRC15" s="11"/>
      <c r="WRD15" s="11"/>
      <c r="WRE15" s="11"/>
      <c r="WRF15" s="11"/>
      <c r="WRG15" s="11"/>
      <c r="WRH15" s="11"/>
      <c r="WRI15" s="11"/>
      <c r="WRJ15" s="11"/>
      <c r="WRK15" s="11"/>
      <c r="WRL15" s="11"/>
      <c r="WRM15" s="11"/>
      <c r="WRN15" s="11"/>
      <c r="WRO15" s="11"/>
      <c r="WRP15" s="11"/>
      <c r="WRQ15" s="11"/>
      <c r="WRR15" s="11"/>
      <c r="WRS15" s="11"/>
      <c r="WRT15" s="11"/>
      <c r="WRU15" s="11"/>
      <c r="WRV15" s="11"/>
      <c r="WRW15" s="11"/>
      <c r="WRX15" s="11"/>
      <c r="WRY15" s="11"/>
      <c r="WRZ15" s="11"/>
      <c r="WSA15" s="11"/>
      <c r="WSB15" s="11"/>
      <c r="WSC15" s="11"/>
      <c r="WSD15" s="11"/>
      <c r="WSE15" s="11"/>
      <c r="WSF15" s="11"/>
      <c r="WSG15" s="11"/>
      <c r="WSH15" s="11"/>
      <c r="WSI15" s="11"/>
      <c r="WSJ15" s="11"/>
      <c r="WSK15" s="11"/>
      <c r="WSL15" s="11"/>
      <c r="WSM15" s="11"/>
      <c r="WSN15" s="11"/>
      <c r="WSO15" s="11"/>
      <c r="WSP15" s="11"/>
      <c r="WSQ15" s="11"/>
      <c r="WSR15" s="11"/>
      <c r="WSS15" s="11"/>
      <c r="WST15" s="11"/>
      <c r="WSU15" s="11"/>
      <c r="WSV15" s="11"/>
      <c r="WSW15" s="11"/>
      <c r="WSX15" s="11"/>
      <c r="WSY15" s="11"/>
      <c r="WSZ15" s="11"/>
      <c r="WTA15" s="11"/>
      <c r="WTB15" s="11"/>
      <c r="WTC15" s="11"/>
      <c r="WTD15" s="11"/>
      <c r="WTE15" s="11"/>
      <c r="WTF15" s="11"/>
      <c r="WTG15" s="11"/>
      <c r="WTH15" s="11"/>
      <c r="WTI15" s="11"/>
      <c r="WTJ15" s="11"/>
      <c r="WTK15" s="11"/>
      <c r="WTL15" s="11"/>
      <c r="WTM15" s="11"/>
      <c r="WTN15" s="11"/>
      <c r="WTO15" s="11"/>
      <c r="WTP15" s="11"/>
      <c r="WTQ15" s="11"/>
      <c r="WTR15" s="11"/>
      <c r="WTS15" s="11"/>
      <c r="WTT15" s="11"/>
      <c r="WTU15" s="11"/>
      <c r="WTV15" s="11"/>
      <c r="WTW15" s="11"/>
      <c r="WTX15" s="11"/>
      <c r="WTY15" s="11"/>
      <c r="WTZ15" s="11"/>
      <c r="WUA15" s="11"/>
      <c r="WUB15" s="11"/>
      <c r="WUC15" s="11"/>
      <c r="WUD15" s="11"/>
      <c r="WUE15" s="11"/>
      <c r="WUF15" s="11"/>
      <c r="WUG15" s="11"/>
      <c r="WUH15" s="11"/>
      <c r="WUI15" s="11"/>
      <c r="WUJ15" s="11"/>
      <c r="WUK15" s="11"/>
      <c r="WUL15" s="11"/>
      <c r="WUM15" s="11"/>
      <c r="WUN15" s="11"/>
      <c r="WUO15" s="11"/>
      <c r="WUP15" s="11"/>
      <c r="WUQ15" s="11"/>
      <c r="WUR15" s="11"/>
      <c r="WUS15" s="11"/>
      <c r="WUT15" s="11"/>
      <c r="WUU15" s="11"/>
      <c r="WUV15" s="11"/>
      <c r="WUW15" s="11"/>
      <c r="WUX15" s="11"/>
      <c r="WUY15" s="11"/>
      <c r="WUZ15" s="11"/>
      <c r="WVA15" s="11"/>
      <c r="WVB15" s="11"/>
      <c r="WVC15" s="11"/>
      <c r="WVD15" s="11"/>
      <c r="WVE15" s="11"/>
      <c r="WVF15" s="11"/>
      <c r="WVG15" s="11"/>
      <c r="WVH15" s="11"/>
      <c r="WVI15" s="11"/>
      <c r="WVJ15" s="11"/>
      <c r="WVK15" s="11"/>
      <c r="WVL15" s="11"/>
      <c r="WVM15" s="11"/>
      <c r="WVN15" s="11"/>
      <c r="WVO15" s="11"/>
      <c r="WVP15" s="11"/>
      <c r="WVQ15" s="11"/>
      <c r="WVR15" s="11"/>
      <c r="WVS15" s="11"/>
      <c r="WVT15" s="11"/>
      <c r="WVU15" s="11"/>
      <c r="WVV15" s="11"/>
      <c r="WVW15" s="11"/>
      <c r="WVX15" s="11"/>
      <c r="WVY15" s="11"/>
      <c r="WVZ15" s="11"/>
      <c r="WWA15" s="11"/>
      <c r="WWB15" s="11"/>
      <c r="WWC15" s="11"/>
      <c r="WWD15" s="11"/>
      <c r="WWE15" s="11"/>
      <c r="WWF15" s="11"/>
      <c r="WWG15" s="11"/>
      <c r="WWH15" s="11"/>
      <c r="WWI15" s="11"/>
      <c r="WWJ15" s="11"/>
      <c r="WWK15" s="11"/>
      <c r="WWL15" s="11"/>
      <c r="WWM15" s="11"/>
      <c r="WWN15" s="11"/>
      <c r="WWO15" s="11"/>
      <c r="WWP15" s="11"/>
      <c r="WWQ15" s="11"/>
      <c r="WWR15" s="11"/>
      <c r="WWS15" s="11"/>
      <c r="WWT15" s="11"/>
      <c r="WWU15" s="11"/>
      <c r="WWV15" s="11"/>
      <c r="WWW15" s="11"/>
      <c r="WWX15" s="11"/>
      <c r="WWY15" s="11"/>
      <c r="WWZ15" s="11"/>
      <c r="WXA15" s="11"/>
      <c r="WXB15" s="11"/>
      <c r="WXC15" s="11"/>
      <c r="WXD15" s="11"/>
      <c r="WXE15" s="11"/>
      <c r="WXF15" s="11"/>
      <c r="WXG15" s="11"/>
      <c r="WXH15" s="11"/>
      <c r="WXI15" s="11"/>
      <c r="WXJ15" s="11"/>
      <c r="WXK15" s="11"/>
      <c r="WXL15" s="11"/>
      <c r="WXM15" s="11"/>
      <c r="WXN15" s="11"/>
      <c r="WXO15" s="11"/>
      <c r="WXP15" s="11"/>
      <c r="WXQ15" s="11"/>
      <c r="WXR15" s="11"/>
      <c r="WXS15" s="11"/>
      <c r="WXT15" s="11"/>
      <c r="WXU15" s="11"/>
      <c r="WXV15" s="11"/>
      <c r="WXW15" s="11"/>
      <c r="WXX15" s="11"/>
      <c r="WXY15" s="11"/>
      <c r="WXZ15" s="11"/>
      <c r="WYA15" s="11"/>
      <c r="WYB15" s="11"/>
      <c r="WYC15" s="11"/>
      <c r="WYD15" s="11"/>
      <c r="WYE15" s="11"/>
      <c r="WYF15" s="11"/>
      <c r="WYG15" s="11"/>
      <c r="WYH15" s="11"/>
      <c r="WYI15" s="11"/>
      <c r="WYJ15" s="11"/>
      <c r="WYK15" s="11"/>
      <c r="WYL15" s="11"/>
      <c r="WYM15" s="11"/>
      <c r="WYN15" s="11"/>
      <c r="WYO15" s="11"/>
      <c r="WYP15" s="11"/>
      <c r="WYQ15" s="11"/>
      <c r="WYR15" s="11"/>
      <c r="WYS15" s="11"/>
      <c r="WYT15" s="11"/>
      <c r="WYU15" s="11"/>
      <c r="WYV15" s="11"/>
      <c r="WYW15" s="11"/>
      <c r="WYX15" s="11"/>
      <c r="WYY15" s="11"/>
      <c r="WYZ15" s="11"/>
      <c r="WZA15" s="11"/>
      <c r="WZB15" s="11"/>
      <c r="WZC15" s="11"/>
      <c r="WZD15" s="11"/>
      <c r="WZE15" s="11"/>
      <c r="WZF15" s="11"/>
      <c r="WZG15" s="11"/>
      <c r="WZH15" s="11"/>
      <c r="WZI15" s="11"/>
      <c r="WZJ15" s="11"/>
      <c r="WZK15" s="11"/>
      <c r="WZL15" s="11"/>
      <c r="WZM15" s="11"/>
      <c r="WZN15" s="11"/>
      <c r="WZO15" s="11"/>
      <c r="WZP15" s="11"/>
      <c r="WZQ15" s="11"/>
      <c r="WZR15" s="11"/>
      <c r="WZS15" s="11"/>
      <c r="WZT15" s="11"/>
      <c r="WZU15" s="11"/>
      <c r="WZV15" s="11"/>
      <c r="WZW15" s="11"/>
      <c r="WZX15" s="11"/>
      <c r="WZY15" s="11"/>
      <c r="WZZ15" s="11"/>
      <c r="XAA15" s="11"/>
      <c r="XAB15" s="11"/>
      <c r="XAC15" s="11"/>
      <c r="XAD15" s="11"/>
      <c r="XAE15" s="11"/>
      <c r="XAF15" s="11"/>
      <c r="XAG15" s="11"/>
      <c r="XAH15" s="11"/>
      <c r="XAI15" s="11"/>
      <c r="XAJ15" s="11"/>
      <c r="XAK15" s="11"/>
      <c r="XAL15" s="11"/>
      <c r="XAM15" s="11"/>
      <c r="XAN15" s="11"/>
      <c r="XAO15" s="11"/>
      <c r="XAP15" s="11"/>
      <c r="XAQ15" s="11"/>
      <c r="XAR15" s="11"/>
      <c r="XAS15" s="11"/>
      <c r="XAT15" s="11"/>
      <c r="XAU15" s="11"/>
      <c r="XAV15" s="11"/>
      <c r="XAW15" s="11"/>
      <c r="XAX15" s="11"/>
      <c r="XAY15" s="11"/>
      <c r="XAZ15" s="11"/>
      <c r="XBA15" s="11"/>
      <c r="XBB15" s="11"/>
      <c r="XBC15" s="11"/>
      <c r="XBD15" s="11"/>
      <c r="XBE15" s="11"/>
      <c r="XBF15" s="11"/>
      <c r="XBG15" s="11"/>
      <c r="XBH15" s="11"/>
      <c r="XBI15" s="11"/>
      <c r="XBJ15" s="11"/>
      <c r="XBK15" s="11"/>
      <c r="XBL15" s="11"/>
      <c r="XBM15" s="11"/>
      <c r="XBN15" s="11"/>
      <c r="XBO15" s="11"/>
      <c r="XBP15" s="11"/>
      <c r="XBQ15" s="11"/>
      <c r="XBR15" s="11"/>
      <c r="XBS15" s="11"/>
      <c r="XBT15" s="11"/>
      <c r="XBU15" s="11"/>
      <c r="XBV15" s="11"/>
      <c r="XBW15" s="11"/>
      <c r="XBX15" s="11"/>
      <c r="XBY15" s="11"/>
      <c r="XBZ15" s="11"/>
      <c r="XCA15" s="11"/>
      <c r="XCB15" s="11"/>
      <c r="XCC15" s="11"/>
      <c r="XCD15" s="11"/>
      <c r="XCE15" s="11"/>
      <c r="XCF15" s="11"/>
      <c r="XCG15" s="11"/>
      <c r="XCH15" s="11"/>
      <c r="XCI15" s="11"/>
      <c r="XCJ15" s="11"/>
      <c r="XCK15" s="11"/>
      <c r="XCL15" s="11"/>
      <c r="XCM15" s="11"/>
      <c r="XCN15" s="11"/>
      <c r="XCO15" s="11"/>
      <c r="XCP15" s="11"/>
      <c r="XCQ15" s="11"/>
      <c r="XCR15" s="11"/>
      <c r="XCS15" s="11"/>
      <c r="XCT15" s="11"/>
      <c r="XCU15" s="11"/>
      <c r="XCV15" s="11"/>
      <c r="XCW15" s="11"/>
      <c r="XCX15" s="11"/>
      <c r="XCY15" s="11"/>
      <c r="XCZ15" s="11"/>
      <c r="XDA15" s="11"/>
      <c r="XDB15" s="11"/>
      <c r="XDC15" s="11"/>
      <c r="XDD15" s="11"/>
      <c r="XDE15" s="11"/>
      <c r="XDF15" s="11"/>
      <c r="XDG15" s="11"/>
      <c r="XDH15" s="11"/>
      <c r="XDI15" s="11"/>
      <c r="XDJ15" s="11"/>
      <c r="XDK15" s="11"/>
      <c r="XDL15" s="11"/>
      <c r="XDM15" s="11"/>
      <c r="XDN15" s="11"/>
      <c r="XDO15" s="11"/>
      <c r="XDP15" s="11"/>
      <c r="XDQ15" s="11"/>
      <c r="XDR15" s="11"/>
      <c r="XDS15" s="11"/>
      <c r="XDT15" s="11"/>
      <c r="XDU15" s="11"/>
      <c r="XDV15" s="11"/>
      <c r="XDW15" s="11"/>
      <c r="XDX15" s="11"/>
      <c r="XDY15" s="11"/>
      <c r="XDZ15" s="11"/>
      <c r="XEA15" s="11"/>
      <c r="XEB15" s="11"/>
      <c r="XEC15" s="11"/>
      <c r="XED15" s="11"/>
      <c r="XEE15" s="11"/>
      <c r="XEF15" s="11"/>
      <c r="XEG15" s="11"/>
      <c r="XEH15" s="11"/>
      <c r="XEI15" s="11"/>
      <c r="XEJ15" s="11"/>
      <c r="XEK15" s="11"/>
      <c r="XEL15" s="11"/>
      <c r="XEM15" s="11"/>
      <c r="XEN15" s="11"/>
      <c r="XEO15" s="11"/>
      <c r="XEP15" s="11"/>
      <c r="XEQ15" s="11"/>
      <c r="XER15" s="11"/>
      <c r="XES15" s="11"/>
      <c r="XET15" s="11"/>
      <c r="XEU15" s="11"/>
      <c r="XEV15" s="11"/>
      <c r="XEW15" s="11"/>
      <c r="XEX15" s="11"/>
      <c r="XEY15" s="11"/>
      <c r="XEZ15" s="11"/>
      <c r="XFA15" s="11"/>
      <c r="XFB15" s="11"/>
      <c r="XFC15" s="11"/>
    </row>
    <row r="16" spans="1:16383" s="2" customFormat="1">
      <c r="A16" s="5" t="s">
        <v>2600</v>
      </c>
      <c r="B16" s="5" t="s">
        <v>2601</v>
      </c>
      <c r="C16" s="5" t="s">
        <v>2602</v>
      </c>
      <c r="D16" s="5" t="s">
        <v>2541</v>
      </c>
      <c r="E16" s="6">
        <v>7065.14</v>
      </c>
      <c r="F16" s="6">
        <v>7065.14</v>
      </c>
      <c r="G16" s="5" t="s">
        <v>2583</v>
      </c>
      <c r="H16" s="5" t="s">
        <v>2544</v>
      </c>
      <c r="I16" s="5" t="s">
        <v>2541</v>
      </c>
      <c r="J16" s="9">
        <v>45056.0004976852</v>
      </c>
      <c r="K16" s="5" t="s">
        <v>2545</v>
      </c>
      <c r="L16" s="5" t="s">
        <v>2603</v>
      </c>
      <c r="M16" s="6">
        <v>100.7</v>
      </c>
      <c r="N16" s="6">
        <v>142.53</v>
      </c>
      <c r="O16" s="6">
        <v>9.5</v>
      </c>
      <c r="P16" s="6">
        <v>143</v>
      </c>
      <c r="Q16" s="6">
        <v>0</v>
      </c>
      <c r="R16" s="5" t="s">
        <v>2547</v>
      </c>
      <c r="S16" s="11"/>
      <c r="T16" s="11"/>
      <c r="U16" s="11"/>
      <c r="V16" s="11"/>
      <c r="W16" s="11"/>
      <c r="X16" s="11"/>
      <c r="Y16" s="11"/>
      <c r="Z16" s="11"/>
      <c r="AA16" s="11"/>
      <c r="AB16" s="11"/>
      <c r="AC16" s="11"/>
      <c r="AD16" s="11"/>
      <c r="AE16" s="11"/>
      <c r="AF16" s="11"/>
      <c r="AG16" s="11"/>
      <c r="AH16" s="11"/>
      <c r="AI16" s="11"/>
      <c r="AJ16" s="11"/>
      <c r="AK16" s="11"/>
      <c r="AL16" s="11"/>
      <c r="AM16" s="11"/>
      <c r="AN16" s="11"/>
      <c r="AO16" s="11"/>
      <c r="AP16" s="11"/>
      <c r="AQ16" s="11"/>
      <c r="AR16" s="11"/>
      <c r="AS16" s="11"/>
      <c r="AT16" s="11"/>
      <c r="AU16" s="11"/>
      <c r="AV16" s="11"/>
      <c r="AW16" s="11"/>
      <c r="AX16" s="11"/>
      <c r="AY16" s="11"/>
      <c r="AZ16" s="11"/>
      <c r="BA16" s="11"/>
      <c r="BB16" s="11"/>
      <c r="BC16" s="11"/>
      <c r="BD16" s="11"/>
      <c r="BE16" s="11"/>
      <c r="BF16" s="11"/>
      <c r="BG16" s="11"/>
      <c r="BH16" s="11"/>
      <c r="BI16" s="11"/>
      <c r="BJ16" s="11"/>
      <c r="BK16" s="11"/>
      <c r="BL16" s="11"/>
      <c r="BM16" s="11"/>
      <c r="BN16" s="11"/>
      <c r="BO16" s="11"/>
      <c r="BP16" s="11"/>
      <c r="BQ16" s="11"/>
      <c r="BR16" s="11"/>
      <c r="BS16" s="11"/>
      <c r="BT16" s="11"/>
      <c r="BU16" s="11"/>
      <c r="BV16" s="11"/>
      <c r="BW16" s="11"/>
      <c r="BX16" s="11"/>
      <c r="BY16" s="11"/>
      <c r="BZ16" s="11"/>
      <c r="CA16" s="11"/>
      <c r="CB16" s="11"/>
      <c r="CC16" s="11"/>
      <c r="CD16" s="11"/>
      <c r="CE16" s="11"/>
      <c r="CF16" s="11"/>
      <c r="CG16" s="11"/>
      <c r="CH16" s="11"/>
      <c r="CI16" s="11"/>
      <c r="CJ16" s="11"/>
      <c r="CK16" s="11"/>
      <c r="CL16" s="11"/>
      <c r="CM16" s="11"/>
      <c r="CN16" s="11"/>
      <c r="CO16" s="11"/>
      <c r="CP16" s="11"/>
      <c r="CQ16" s="11"/>
      <c r="CR16" s="11"/>
      <c r="CS16" s="11"/>
      <c r="CT16" s="11"/>
      <c r="CU16" s="11"/>
      <c r="CV16" s="11"/>
      <c r="CW16" s="11"/>
      <c r="CX16" s="11"/>
      <c r="CY16" s="11"/>
      <c r="CZ16" s="11"/>
      <c r="DA16" s="11"/>
      <c r="DB16" s="11"/>
      <c r="DC16" s="11"/>
      <c r="DD16" s="11"/>
      <c r="DE16" s="11"/>
      <c r="DF16" s="11"/>
      <c r="DG16" s="11"/>
      <c r="DH16" s="11"/>
      <c r="DI16" s="11"/>
      <c r="DJ16" s="11"/>
      <c r="DK16" s="11"/>
      <c r="DL16" s="11"/>
      <c r="DM16" s="11"/>
      <c r="DN16" s="11"/>
      <c r="DO16" s="11"/>
      <c r="DP16" s="11"/>
      <c r="DQ16" s="11"/>
      <c r="DR16" s="11"/>
      <c r="DS16" s="11"/>
      <c r="DT16" s="11"/>
      <c r="DU16" s="11"/>
      <c r="DV16" s="11"/>
      <c r="DW16" s="11"/>
      <c r="DX16" s="11"/>
      <c r="DY16" s="11"/>
      <c r="DZ16" s="11"/>
      <c r="EA16" s="11"/>
      <c r="EB16" s="11"/>
      <c r="EC16" s="11"/>
      <c r="ED16" s="11"/>
      <c r="EE16" s="11"/>
      <c r="EF16" s="11"/>
      <c r="EG16" s="11"/>
      <c r="EH16" s="11"/>
      <c r="EI16" s="11"/>
      <c r="EJ16" s="11"/>
      <c r="EK16" s="11"/>
      <c r="EL16" s="11"/>
      <c r="EM16" s="11"/>
      <c r="EN16" s="11"/>
      <c r="EO16" s="11"/>
      <c r="EP16" s="11"/>
      <c r="EQ16" s="11"/>
      <c r="ER16" s="11"/>
      <c r="ES16" s="11"/>
      <c r="ET16" s="11"/>
      <c r="EU16" s="11"/>
      <c r="EV16" s="11"/>
      <c r="EW16" s="11"/>
      <c r="EX16" s="11"/>
      <c r="EY16" s="11"/>
      <c r="EZ16" s="11"/>
      <c r="FA16" s="11"/>
      <c r="FB16" s="11"/>
      <c r="FC16" s="11"/>
      <c r="FD16" s="11"/>
      <c r="FE16" s="11"/>
      <c r="FF16" s="11"/>
      <c r="FG16" s="11"/>
      <c r="FH16" s="11"/>
      <c r="FI16" s="11"/>
      <c r="FJ16" s="11"/>
      <c r="FK16" s="11"/>
      <c r="FL16" s="11"/>
      <c r="FM16" s="11"/>
      <c r="FN16" s="11"/>
      <c r="FO16" s="11"/>
      <c r="FP16" s="11"/>
      <c r="FQ16" s="11"/>
      <c r="FR16" s="11"/>
      <c r="FS16" s="11"/>
      <c r="FT16" s="11"/>
      <c r="FU16" s="11"/>
      <c r="FV16" s="11"/>
      <c r="FW16" s="11"/>
      <c r="FX16" s="11"/>
      <c r="FY16" s="11"/>
      <c r="FZ16" s="11"/>
      <c r="GA16" s="11"/>
      <c r="GB16" s="11"/>
      <c r="GC16" s="11"/>
      <c r="GD16" s="11"/>
      <c r="GE16" s="11"/>
      <c r="GF16" s="11"/>
      <c r="GG16" s="11"/>
      <c r="GH16" s="11"/>
      <c r="GI16" s="11"/>
      <c r="GJ16" s="11"/>
      <c r="GK16" s="11"/>
      <c r="GL16" s="11"/>
      <c r="GM16" s="11"/>
      <c r="GN16" s="11"/>
      <c r="GO16" s="11"/>
      <c r="GP16" s="11"/>
      <c r="GQ16" s="11"/>
      <c r="GR16" s="11"/>
      <c r="GS16" s="11"/>
      <c r="GT16" s="11"/>
      <c r="GU16" s="11"/>
      <c r="GV16" s="11"/>
      <c r="GW16" s="11"/>
      <c r="GX16" s="11"/>
      <c r="GY16" s="11"/>
      <c r="GZ16" s="11"/>
      <c r="HA16" s="11"/>
      <c r="HB16" s="11"/>
      <c r="HC16" s="11"/>
      <c r="HD16" s="11"/>
      <c r="HE16" s="11"/>
      <c r="HF16" s="11"/>
      <c r="HG16" s="11"/>
      <c r="HH16" s="11"/>
      <c r="HI16" s="11"/>
      <c r="HJ16" s="11"/>
      <c r="HK16" s="11"/>
      <c r="HL16" s="11"/>
      <c r="HM16" s="11"/>
      <c r="HN16" s="11"/>
      <c r="HO16" s="11"/>
      <c r="HP16" s="11"/>
      <c r="HQ16" s="11"/>
      <c r="HR16" s="11"/>
      <c r="HS16" s="11"/>
      <c r="HT16" s="11"/>
      <c r="HU16" s="11"/>
      <c r="HV16" s="11"/>
      <c r="HW16" s="11"/>
      <c r="HX16" s="11"/>
      <c r="HY16" s="11"/>
      <c r="HZ16" s="11"/>
      <c r="IA16" s="11"/>
      <c r="IB16" s="11"/>
      <c r="IC16" s="11"/>
      <c r="ID16" s="11"/>
      <c r="IE16" s="11"/>
      <c r="IF16" s="11"/>
      <c r="IG16" s="11"/>
      <c r="IH16" s="11"/>
      <c r="II16" s="11"/>
      <c r="IJ16" s="11"/>
      <c r="IK16" s="11"/>
      <c r="IL16" s="11"/>
      <c r="IM16" s="11"/>
      <c r="IN16" s="11"/>
      <c r="IO16" s="11"/>
      <c r="IP16" s="11"/>
      <c r="IQ16" s="11"/>
      <c r="IR16" s="11"/>
      <c r="IS16" s="11"/>
      <c r="IT16" s="11"/>
      <c r="IU16" s="11"/>
      <c r="IV16" s="11"/>
      <c r="IW16" s="11"/>
      <c r="IX16" s="11"/>
      <c r="IY16" s="11"/>
      <c r="IZ16" s="11"/>
      <c r="JA16" s="11"/>
      <c r="JB16" s="11"/>
      <c r="JC16" s="11"/>
      <c r="JD16" s="11"/>
      <c r="JE16" s="11"/>
      <c r="JF16" s="11"/>
      <c r="JG16" s="11"/>
      <c r="JH16" s="11"/>
      <c r="JI16" s="11"/>
      <c r="JJ16" s="11"/>
      <c r="JK16" s="11"/>
      <c r="JL16" s="11"/>
      <c r="JM16" s="11"/>
      <c r="JN16" s="11"/>
      <c r="JO16" s="11"/>
      <c r="JP16" s="11"/>
      <c r="JQ16" s="11"/>
      <c r="JR16" s="11"/>
      <c r="JS16" s="11"/>
      <c r="JT16" s="11"/>
      <c r="JU16" s="11"/>
      <c r="JV16" s="11"/>
      <c r="JW16" s="11"/>
      <c r="JX16" s="11"/>
      <c r="JY16" s="11"/>
      <c r="JZ16" s="11"/>
      <c r="KA16" s="11"/>
      <c r="KB16" s="11"/>
      <c r="KC16" s="11"/>
      <c r="KD16" s="11"/>
      <c r="KE16" s="11"/>
      <c r="KF16" s="11"/>
      <c r="KG16" s="11"/>
      <c r="KH16" s="11"/>
      <c r="KI16" s="11"/>
      <c r="KJ16" s="11"/>
      <c r="KK16" s="11"/>
      <c r="KL16" s="11"/>
      <c r="KM16" s="11"/>
      <c r="KN16" s="11"/>
      <c r="KO16" s="11"/>
      <c r="KP16" s="11"/>
      <c r="KQ16" s="11"/>
      <c r="KR16" s="11"/>
      <c r="KS16" s="11"/>
      <c r="KT16" s="11"/>
      <c r="KU16" s="11"/>
      <c r="KV16" s="11"/>
      <c r="KW16" s="11"/>
      <c r="KX16" s="11"/>
      <c r="KY16" s="11"/>
      <c r="KZ16" s="11"/>
      <c r="LA16" s="11"/>
      <c r="LB16" s="11"/>
      <c r="LC16" s="11"/>
      <c r="LD16" s="11"/>
      <c r="LE16" s="11"/>
      <c r="LF16" s="11"/>
      <c r="LG16" s="11"/>
      <c r="LH16" s="11"/>
      <c r="LI16" s="11"/>
      <c r="LJ16" s="11"/>
      <c r="LK16" s="11"/>
      <c r="LL16" s="11"/>
      <c r="LM16" s="11"/>
      <c r="LN16" s="11"/>
      <c r="LO16" s="11"/>
      <c r="LP16" s="11"/>
      <c r="LQ16" s="11"/>
      <c r="LR16" s="11"/>
      <c r="LS16" s="11"/>
      <c r="LT16" s="11"/>
      <c r="LU16" s="11"/>
      <c r="LV16" s="11"/>
      <c r="LW16" s="11"/>
      <c r="LX16" s="11"/>
      <c r="LY16" s="11"/>
      <c r="LZ16" s="11"/>
      <c r="MA16" s="11"/>
      <c r="MB16" s="11"/>
      <c r="MC16" s="11"/>
      <c r="MD16" s="11"/>
      <c r="ME16" s="11"/>
      <c r="MF16" s="11"/>
      <c r="MG16" s="11"/>
      <c r="MH16" s="11"/>
      <c r="MI16" s="11"/>
      <c r="MJ16" s="11"/>
      <c r="MK16" s="11"/>
      <c r="ML16" s="11"/>
      <c r="MM16" s="11"/>
      <c r="MN16" s="11"/>
      <c r="MO16" s="11"/>
      <c r="MP16" s="11"/>
      <c r="MQ16" s="11"/>
      <c r="MR16" s="11"/>
      <c r="MS16" s="11"/>
      <c r="MT16" s="11"/>
      <c r="MU16" s="11"/>
      <c r="MV16" s="11"/>
      <c r="MW16" s="11"/>
      <c r="MX16" s="11"/>
      <c r="MY16" s="11"/>
      <c r="MZ16" s="11"/>
      <c r="NA16" s="11"/>
      <c r="NB16" s="11"/>
      <c r="NC16" s="11"/>
      <c r="ND16" s="11"/>
      <c r="NE16" s="11"/>
      <c r="NF16" s="11"/>
      <c r="NG16" s="11"/>
      <c r="NH16" s="11"/>
      <c r="NI16" s="11"/>
      <c r="NJ16" s="11"/>
      <c r="NK16" s="11"/>
      <c r="NL16" s="11"/>
      <c r="NM16" s="11"/>
      <c r="NN16" s="11"/>
      <c r="NO16" s="11"/>
      <c r="NP16" s="11"/>
      <c r="NQ16" s="11"/>
      <c r="NR16" s="11"/>
      <c r="NS16" s="11"/>
      <c r="NT16" s="11"/>
      <c r="NU16" s="11"/>
      <c r="NV16" s="11"/>
      <c r="NW16" s="11"/>
      <c r="NX16" s="11"/>
      <c r="NY16" s="11"/>
      <c r="NZ16" s="11"/>
      <c r="OA16" s="11"/>
      <c r="OB16" s="11"/>
      <c r="OC16" s="11"/>
      <c r="OD16" s="11"/>
      <c r="OE16" s="11"/>
      <c r="OF16" s="11"/>
      <c r="OG16" s="11"/>
      <c r="OH16" s="11"/>
      <c r="OI16" s="11"/>
      <c r="OJ16" s="11"/>
      <c r="OK16" s="11"/>
      <c r="OL16" s="11"/>
      <c r="OM16" s="11"/>
      <c r="ON16" s="11"/>
      <c r="OO16" s="11"/>
      <c r="OP16" s="11"/>
      <c r="OQ16" s="11"/>
      <c r="OR16" s="11"/>
      <c r="OS16" s="11"/>
      <c r="OT16" s="11"/>
      <c r="OU16" s="11"/>
      <c r="OV16" s="11"/>
      <c r="OW16" s="11"/>
      <c r="OX16" s="11"/>
      <c r="OY16" s="11"/>
      <c r="OZ16" s="11"/>
      <c r="PA16" s="11"/>
      <c r="PB16" s="11"/>
      <c r="PC16" s="11"/>
      <c r="PD16" s="11"/>
      <c r="PE16" s="11"/>
      <c r="PF16" s="11"/>
      <c r="PG16" s="11"/>
      <c r="PH16" s="11"/>
      <c r="PI16" s="11"/>
      <c r="PJ16" s="11"/>
      <c r="PK16" s="11"/>
      <c r="PL16" s="11"/>
      <c r="PM16" s="11"/>
      <c r="PN16" s="11"/>
      <c r="PO16" s="11"/>
      <c r="PP16" s="11"/>
      <c r="PQ16" s="11"/>
      <c r="PR16" s="11"/>
      <c r="PS16" s="11"/>
      <c r="PT16" s="11"/>
      <c r="PU16" s="11"/>
      <c r="PV16" s="11"/>
      <c r="PW16" s="11"/>
      <c r="PX16" s="11"/>
      <c r="PY16" s="11"/>
      <c r="PZ16" s="11"/>
      <c r="QA16" s="11"/>
      <c r="QB16" s="11"/>
      <c r="QC16" s="11"/>
      <c r="QD16" s="11"/>
      <c r="QE16" s="11"/>
      <c r="QF16" s="11"/>
      <c r="QG16" s="11"/>
      <c r="QH16" s="11"/>
      <c r="QI16" s="11"/>
      <c r="QJ16" s="11"/>
      <c r="QK16" s="11"/>
      <c r="QL16" s="11"/>
      <c r="QM16" s="11"/>
      <c r="QN16" s="11"/>
      <c r="QO16" s="11"/>
      <c r="QP16" s="11"/>
      <c r="QQ16" s="11"/>
      <c r="QR16" s="11"/>
      <c r="QS16" s="11"/>
      <c r="QT16" s="11"/>
      <c r="QU16" s="11"/>
      <c r="QV16" s="11"/>
      <c r="QW16" s="11"/>
      <c r="QX16" s="11"/>
      <c r="QY16" s="11"/>
      <c r="QZ16" s="11"/>
      <c r="RA16" s="11"/>
      <c r="RB16" s="11"/>
      <c r="RC16" s="11"/>
      <c r="RD16" s="11"/>
      <c r="RE16" s="11"/>
      <c r="RF16" s="11"/>
      <c r="RG16" s="11"/>
      <c r="RH16" s="11"/>
      <c r="RI16" s="11"/>
      <c r="RJ16" s="11"/>
      <c r="RK16" s="11"/>
      <c r="RL16" s="11"/>
      <c r="RM16" s="11"/>
      <c r="RN16" s="11"/>
      <c r="RO16" s="11"/>
      <c r="RP16" s="11"/>
      <c r="RQ16" s="11"/>
      <c r="RR16" s="11"/>
      <c r="RS16" s="11"/>
      <c r="RT16" s="11"/>
      <c r="RU16" s="11"/>
      <c r="RV16" s="11"/>
      <c r="RW16" s="11"/>
      <c r="RX16" s="11"/>
      <c r="RY16" s="11"/>
      <c r="RZ16" s="11"/>
      <c r="SA16" s="11"/>
      <c r="SB16" s="11"/>
      <c r="SC16" s="11"/>
      <c r="SD16" s="11"/>
      <c r="SE16" s="11"/>
      <c r="SF16" s="11"/>
      <c r="SG16" s="11"/>
      <c r="SH16" s="11"/>
      <c r="SI16" s="11"/>
      <c r="SJ16" s="11"/>
      <c r="SK16" s="11"/>
      <c r="SL16" s="11"/>
      <c r="SM16" s="11"/>
      <c r="SN16" s="11"/>
      <c r="SO16" s="11"/>
      <c r="SP16" s="11"/>
      <c r="SQ16" s="11"/>
      <c r="SR16" s="11"/>
      <c r="SS16" s="11"/>
      <c r="ST16" s="11"/>
      <c r="SU16" s="11"/>
      <c r="SV16" s="11"/>
      <c r="SW16" s="11"/>
      <c r="SX16" s="11"/>
      <c r="SY16" s="11"/>
      <c r="SZ16" s="11"/>
      <c r="TA16" s="11"/>
      <c r="TB16" s="11"/>
      <c r="TC16" s="11"/>
      <c r="TD16" s="11"/>
      <c r="TE16" s="11"/>
      <c r="TF16" s="11"/>
      <c r="TG16" s="11"/>
      <c r="TH16" s="11"/>
      <c r="TI16" s="11"/>
      <c r="TJ16" s="11"/>
      <c r="TK16" s="11"/>
      <c r="TL16" s="11"/>
      <c r="TM16" s="11"/>
      <c r="TN16" s="11"/>
      <c r="TO16" s="11"/>
      <c r="TP16" s="11"/>
      <c r="TQ16" s="11"/>
      <c r="TR16" s="11"/>
      <c r="TS16" s="11"/>
      <c r="TT16" s="11"/>
      <c r="TU16" s="11"/>
      <c r="TV16" s="11"/>
      <c r="TW16" s="11"/>
      <c r="TX16" s="11"/>
      <c r="TY16" s="11"/>
      <c r="TZ16" s="11"/>
      <c r="UA16" s="11"/>
      <c r="UB16" s="11"/>
      <c r="UC16" s="11"/>
      <c r="UD16" s="11"/>
      <c r="UE16" s="11"/>
      <c r="UF16" s="11"/>
      <c r="UG16" s="11"/>
      <c r="UH16" s="11"/>
      <c r="UI16" s="11"/>
      <c r="UJ16" s="11"/>
      <c r="UK16" s="11"/>
      <c r="UL16" s="11"/>
      <c r="UM16" s="11"/>
      <c r="UN16" s="11"/>
      <c r="UO16" s="11"/>
      <c r="UP16" s="11"/>
      <c r="UQ16" s="11"/>
      <c r="UR16" s="11"/>
      <c r="US16" s="11"/>
      <c r="UT16" s="11"/>
      <c r="UU16" s="11"/>
      <c r="UV16" s="11"/>
      <c r="UW16" s="11"/>
      <c r="UX16" s="11"/>
      <c r="UY16" s="11"/>
      <c r="UZ16" s="11"/>
      <c r="VA16" s="11"/>
      <c r="VB16" s="11"/>
      <c r="VC16" s="11"/>
      <c r="VD16" s="11"/>
      <c r="VE16" s="11"/>
      <c r="VF16" s="11"/>
      <c r="VG16" s="11"/>
      <c r="VH16" s="11"/>
      <c r="VI16" s="11"/>
      <c r="VJ16" s="11"/>
      <c r="VK16" s="11"/>
      <c r="VL16" s="11"/>
      <c r="VM16" s="11"/>
      <c r="VN16" s="11"/>
      <c r="VO16" s="11"/>
      <c r="VP16" s="11"/>
      <c r="VQ16" s="11"/>
      <c r="VR16" s="11"/>
      <c r="VS16" s="11"/>
      <c r="VT16" s="11"/>
      <c r="VU16" s="11"/>
      <c r="VV16" s="11"/>
      <c r="VW16" s="11"/>
      <c r="VX16" s="11"/>
      <c r="VY16" s="11"/>
      <c r="VZ16" s="11"/>
      <c r="WA16" s="11"/>
      <c r="WB16" s="11"/>
      <c r="WC16" s="11"/>
      <c r="WD16" s="11"/>
      <c r="WE16" s="11"/>
      <c r="WF16" s="11"/>
      <c r="WG16" s="11"/>
      <c r="WH16" s="11"/>
      <c r="WI16" s="11"/>
      <c r="WJ16" s="11"/>
      <c r="WK16" s="11"/>
      <c r="WL16" s="11"/>
      <c r="WM16" s="11"/>
      <c r="WN16" s="11"/>
      <c r="WO16" s="11"/>
      <c r="WP16" s="11"/>
      <c r="WQ16" s="11"/>
      <c r="WR16" s="11"/>
      <c r="WS16" s="11"/>
      <c r="WT16" s="11"/>
      <c r="WU16" s="11"/>
      <c r="WV16" s="11"/>
      <c r="WW16" s="11"/>
      <c r="WX16" s="11"/>
      <c r="WY16" s="11"/>
      <c r="WZ16" s="11"/>
      <c r="XA16" s="11"/>
      <c r="XB16" s="11"/>
      <c r="XC16" s="11"/>
      <c r="XD16" s="11"/>
      <c r="XE16" s="11"/>
      <c r="XF16" s="11"/>
      <c r="XG16" s="11"/>
      <c r="XH16" s="11"/>
      <c r="XI16" s="11"/>
      <c r="XJ16" s="11"/>
      <c r="XK16" s="11"/>
      <c r="XL16" s="11"/>
      <c r="XM16" s="11"/>
      <c r="XN16" s="11"/>
      <c r="XO16" s="11"/>
      <c r="XP16" s="11"/>
      <c r="XQ16" s="11"/>
      <c r="XR16" s="11"/>
      <c r="XS16" s="11"/>
      <c r="XT16" s="11"/>
      <c r="XU16" s="11"/>
      <c r="XV16" s="11"/>
      <c r="XW16" s="11"/>
      <c r="XX16" s="11"/>
      <c r="XY16" s="11"/>
      <c r="XZ16" s="11"/>
      <c r="YA16" s="11"/>
      <c r="YB16" s="11"/>
      <c r="YC16" s="11"/>
      <c r="YD16" s="11"/>
      <c r="YE16" s="11"/>
      <c r="YF16" s="11"/>
      <c r="YG16" s="11"/>
      <c r="YH16" s="11"/>
      <c r="YI16" s="11"/>
      <c r="YJ16" s="11"/>
      <c r="YK16" s="11"/>
      <c r="YL16" s="11"/>
      <c r="YM16" s="11"/>
      <c r="YN16" s="11"/>
      <c r="YO16" s="11"/>
      <c r="YP16" s="11"/>
      <c r="YQ16" s="11"/>
      <c r="YR16" s="11"/>
      <c r="YS16" s="11"/>
      <c r="YT16" s="11"/>
      <c r="YU16" s="11"/>
      <c r="YV16" s="11"/>
      <c r="YW16" s="11"/>
      <c r="YX16" s="11"/>
      <c r="YY16" s="11"/>
      <c r="YZ16" s="11"/>
      <c r="ZA16" s="11"/>
      <c r="ZB16" s="11"/>
      <c r="ZC16" s="11"/>
      <c r="ZD16" s="11"/>
      <c r="ZE16" s="11"/>
      <c r="ZF16" s="11"/>
      <c r="ZG16" s="11"/>
      <c r="ZH16" s="11"/>
      <c r="ZI16" s="11"/>
      <c r="ZJ16" s="11"/>
      <c r="ZK16" s="11"/>
      <c r="ZL16" s="11"/>
      <c r="ZM16" s="11"/>
      <c r="ZN16" s="11"/>
      <c r="ZO16" s="11"/>
      <c r="ZP16" s="11"/>
      <c r="ZQ16" s="11"/>
      <c r="ZR16" s="11"/>
      <c r="ZS16" s="11"/>
      <c r="ZT16" s="11"/>
      <c r="ZU16" s="11"/>
      <c r="ZV16" s="11"/>
      <c r="ZW16" s="11"/>
      <c r="ZX16" s="11"/>
      <c r="ZY16" s="11"/>
      <c r="ZZ16" s="11"/>
      <c r="AAA16" s="11"/>
      <c r="AAB16" s="11"/>
      <c r="AAC16" s="11"/>
      <c r="AAD16" s="11"/>
      <c r="AAE16" s="11"/>
      <c r="AAF16" s="11"/>
      <c r="AAG16" s="11"/>
      <c r="AAH16" s="11"/>
      <c r="AAI16" s="11"/>
      <c r="AAJ16" s="11"/>
      <c r="AAK16" s="11"/>
      <c r="AAL16" s="11"/>
      <c r="AAM16" s="11"/>
      <c r="AAN16" s="11"/>
      <c r="AAO16" s="11"/>
      <c r="AAP16" s="11"/>
      <c r="AAQ16" s="11"/>
      <c r="AAR16" s="11"/>
      <c r="AAS16" s="11"/>
      <c r="AAT16" s="11"/>
      <c r="AAU16" s="11"/>
      <c r="AAV16" s="11"/>
      <c r="AAW16" s="11"/>
      <c r="AAX16" s="11"/>
      <c r="AAY16" s="11"/>
      <c r="AAZ16" s="11"/>
      <c r="ABA16" s="11"/>
      <c r="ABB16" s="11"/>
      <c r="ABC16" s="11"/>
      <c r="ABD16" s="11"/>
      <c r="ABE16" s="11"/>
      <c r="ABF16" s="11"/>
      <c r="ABG16" s="11"/>
      <c r="ABH16" s="11"/>
      <c r="ABI16" s="11"/>
      <c r="ABJ16" s="11"/>
      <c r="ABK16" s="11"/>
      <c r="ABL16" s="11"/>
      <c r="ABM16" s="11"/>
      <c r="ABN16" s="11"/>
      <c r="ABO16" s="11"/>
      <c r="ABP16" s="11"/>
      <c r="ABQ16" s="11"/>
      <c r="ABR16" s="11"/>
      <c r="ABS16" s="11"/>
      <c r="ABT16" s="11"/>
      <c r="ABU16" s="11"/>
      <c r="ABV16" s="11"/>
      <c r="ABW16" s="11"/>
      <c r="ABX16" s="11"/>
      <c r="ABY16" s="11"/>
      <c r="ABZ16" s="11"/>
      <c r="ACA16" s="11"/>
      <c r="ACB16" s="11"/>
      <c r="ACC16" s="11"/>
      <c r="ACD16" s="11"/>
      <c r="ACE16" s="11"/>
      <c r="ACF16" s="11"/>
      <c r="ACG16" s="11"/>
      <c r="ACH16" s="11"/>
      <c r="ACI16" s="11"/>
      <c r="ACJ16" s="11"/>
      <c r="ACK16" s="11"/>
      <c r="ACL16" s="11"/>
      <c r="ACM16" s="11"/>
      <c r="ACN16" s="11"/>
      <c r="ACO16" s="11"/>
      <c r="ACP16" s="11"/>
      <c r="ACQ16" s="11"/>
      <c r="ACR16" s="11"/>
      <c r="ACS16" s="11"/>
      <c r="ACT16" s="11"/>
      <c r="ACU16" s="11"/>
      <c r="ACV16" s="11"/>
      <c r="ACW16" s="11"/>
      <c r="ACX16" s="11"/>
      <c r="ACY16" s="11"/>
      <c r="ACZ16" s="11"/>
      <c r="ADA16" s="11"/>
      <c r="ADB16" s="11"/>
      <c r="ADC16" s="11"/>
      <c r="ADD16" s="11"/>
      <c r="ADE16" s="11"/>
      <c r="ADF16" s="11"/>
      <c r="ADG16" s="11"/>
      <c r="ADH16" s="11"/>
      <c r="ADI16" s="11"/>
      <c r="ADJ16" s="11"/>
      <c r="ADK16" s="11"/>
      <c r="ADL16" s="11"/>
      <c r="ADM16" s="11"/>
      <c r="ADN16" s="11"/>
      <c r="ADO16" s="11"/>
      <c r="ADP16" s="11"/>
      <c r="ADQ16" s="11"/>
      <c r="ADR16" s="11"/>
      <c r="ADS16" s="11"/>
      <c r="ADT16" s="11"/>
      <c r="ADU16" s="11"/>
      <c r="ADV16" s="11"/>
      <c r="ADW16" s="11"/>
      <c r="ADX16" s="11"/>
      <c r="ADY16" s="11"/>
      <c r="ADZ16" s="11"/>
      <c r="AEA16" s="11"/>
      <c r="AEB16" s="11"/>
      <c r="AEC16" s="11"/>
      <c r="AED16" s="11"/>
      <c r="AEE16" s="11"/>
      <c r="AEF16" s="11"/>
      <c r="AEG16" s="11"/>
      <c r="AEH16" s="11"/>
      <c r="AEI16" s="11"/>
      <c r="AEJ16" s="11"/>
      <c r="AEK16" s="11"/>
      <c r="AEL16" s="11"/>
      <c r="AEM16" s="11"/>
      <c r="AEN16" s="11"/>
      <c r="AEO16" s="11"/>
      <c r="AEP16" s="11"/>
      <c r="AEQ16" s="11"/>
      <c r="AER16" s="11"/>
      <c r="AES16" s="11"/>
      <c r="AET16" s="11"/>
      <c r="AEU16" s="11"/>
      <c r="AEV16" s="11"/>
      <c r="AEW16" s="11"/>
      <c r="AEX16" s="11"/>
      <c r="AEY16" s="11"/>
      <c r="AEZ16" s="11"/>
      <c r="AFA16" s="11"/>
      <c r="AFB16" s="11"/>
      <c r="AFC16" s="11"/>
      <c r="AFD16" s="11"/>
      <c r="AFE16" s="11"/>
      <c r="AFF16" s="11"/>
      <c r="AFG16" s="11"/>
      <c r="AFH16" s="11"/>
      <c r="AFI16" s="11"/>
      <c r="AFJ16" s="11"/>
      <c r="AFK16" s="11"/>
      <c r="AFL16" s="11"/>
      <c r="AFM16" s="11"/>
      <c r="AFN16" s="11"/>
      <c r="AFO16" s="11"/>
      <c r="AFP16" s="11"/>
      <c r="AFQ16" s="11"/>
      <c r="AFR16" s="11"/>
      <c r="AFS16" s="11"/>
      <c r="AFT16" s="11"/>
      <c r="AFU16" s="11"/>
      <c r="AFV16" s="11"/>
      <c r="AFW16" s="11"/>
      <c r="AFX16" s="11"/>
      <c r="AFY16" s="11"/>
      <c r="AFZ16" s="11"/>
      <c r="AGA16" s="11"/>
      <c r="AGB16" s="11"/>
      <c r="AGC16" s="11"/>
      <c r="AGD16" s="11"/>
      <c r="AGE16" s="11"/>
      <c r="AGF16" s="11"/>
      <c r="AGG16" s="11"/>
      <c r="AGH16" s="11"/>
      <c r="AGI16" s="11"/>
      <c r="AGJ16" s="11"/>
      <c r="AGK16" s="11"/>
      <c r="AGL16" s="11"/>
      <c r="AGM16" s="11"/>
      <c r="AGN16" s="11"/>
      <c r="AGO16" s="11"/>
      <c r="AGP16" s="11"/>
      <c r="AGQ16" s="11"/>
      <c r="AGR16" s="11"/>
      <c r="AGS16" s="11"/>
      <c r="AGT16" s="11"/>
      <c r="AGU16" s="11"/>
      <c r="AGV16" s="11"/>
      <c r="AGW16" s="11"/>
      <c r="AGX16" s="11"/>
      <c r="AGY16" s="11"/>
      <c r="AGZ16" s="11"/>
      <c r="AHA16" s="11"/>
      <c r="AHB16" s="11"/>
      <c r="AHC16" s="11"/>
      <c r="AHD16" s="11"/>
      <c r="AHE16" s="11"/>
      <c r="AHF16" s="11"/>
      <c r="AHG16" s="11"/>
      <c r="AHH16" s="11"/>
      <c r="AHI16" s="11"/>
      <c r="AHJ16" s="11"/>
      <c r="AHK16" s="11"/>
      <c r="AHL16" s="11"/>
      <c r="AHM16" s="11"/>
      <c r="AHN16" s="11"/>
      <c r="AHO16" s="11"/>
      <c r="AHP16" s="11"/>
      <c r="AHQ16" s="11"/>
      <c r="AHR16" s="11"/>
      <c r="AHS16" s="11"/>
      <c r="AHT16" s="11"/>
      <c r="AHU16" s="11"/>
      <c r="AHV16" s="11"/>
      <c r="AHW16" s="11"/>
      <c r="AHX16" s="11"/>
      <c r="AHY16" s="11"/>
      <c r="AHZ16" s="11"/>
      <c r="AIA16" s="11"/>
      <c r="AIB16" s="11"/>
      <c r="AIC16" s="11"/>
      <c r="AID16" s="11"/>
      <c r="AIE16" s="11"/>
      <c r="AIF16" s="11"/>
      <c r="AIG16" s="11"/>
      <c r="AIH16" s="11"/>
      <c r="AII16" s="11"/>
      <c r="AIJ16" s="11"/>
      <c r="AIK16" s="11"/>
      <c r="AIL16" s="11"/>
      <c r="AIM16" s="11"/>
      <c r="AIN16" s="11"/>
      <c r="AIO16" s="11"/>
      <c r="AIP16" s="11"/>
      <c r="AIQ16" s="11"/>
      <c r="AIR16" s="11"/>
      <c r="AIS16" s="11"/>
      <c r="AIT16" s="11"/>
      <c r="AIU16" s="11"/>
      <c r="AIV16" s="11"/>
      <c r="AIW16" s="11"/>
      <c r="AIX16" s="11"/>
      <c r="AIY16" s="11"/>
      <c r="AIZ16" s="11"/>
      <c r="AJA16" s="11"/>
      <c r="AJB16" s="11"/>
      <c r="AJC16" s="11"/>
      <c r="AJD16" s="11"/>
      <c r="AJE16" s="11"/>
      <c r="AJF16" s="11"/>
      <c r="AJG16" s="11"/>
      <c r="AJH16" s="11"/>
      <c r="AJI16" s="11"/>
      <c r="AJJ16" s="11"/>
      <c r="AJK16" s="11"/>
      <c r="AJL16" s="11"/>
      <c r="AJM16" s="11"/>
      <c r="AJN16" s="11"/>
      <c r="AJO16" s="11"/>
      <c r="AJP16" s="11"/>
      <c r="AJQ16" s="11"/>
      <c r="AJR16" s="11"/>
      <c r="AJS16" s="11"/>
      <c r="AJT16" s="11"/>
      <c r="AJU16" s="11"/>
      <c r="AJV16" s="11"/>
      <c r="AJW16" s="11"/>
      <c r="AJX16" s="11"/>
      <c r="AJY16" s="11"/>
      <c r="AJZ16" s="11"/>
      <c r="AKA16" s="11"/>
      <c r="AKB16" s="11"/>
      <c r="AKC16" s="11"/>
      <c r="AKD16" s="11"/>
      <c r="AKE16" s="11"/>
      <c r="AKF16" s="11"/>
      <c r="AKG16" s="11"/>
      <c r="AKH16" s="11"/>
      <c r="AKI16" s="11"/>
      <c r="AKJ16" s="11"/>
      <c r="AKK16" s="11"/>
      <c r="AKL16" s="11"/>
      <c r="AKM16" s="11"/>
      <c r="AKN16" s="11"/>
      <c r="AKO16" s="11"/>
      <c r="AKP16" s="11"/>
      <c r="AKQ16" s="11"/>
      <c r="AKR16" s="11"/>
      <c r="AKS16" s="11"/>
      <c r="AKT16" s="11"/>
      <c r="AKU16" s="11"/>
      <c r="AKV16" s="11"/>
      <c r="AKW16" s="11"/>
      <c r="AKX16" s="11"/>
      <c r="AKY16" s="11"/>
      <c r="AKZ16" s="11"/>
      <c r="ALA16" s="11"/>
      <c r="ALB16" s="11"/>
      <c r="ALC16" s="11"/>
      <c r="ALD16" s="11"/>
      <c r="ALE16" s="11"/>
      <c r="ALF16" s="11"/>
      <c r="ALG16" s="11"/>
      <c r="ALH16" s="11"/>
      <c r="ALI16" s="11"/>
      <c r="ALJ16" s="11"/>
      <c r="ALK16" s="11"/>
      <c r="ALL16" s="11"/>
      <c r="ALM16" s="11"/>
      <c r="ALN16" s="11"/>
      <c r="ALO16" s="11"/>
      <c r="ALP16" s="11"/>
      <c r="ALQ16" s="11"/>
      <c r="ALR16" s="11"/>
      <c r="ALS16" s="11"/>
      <c r="ALT16" s="11"/>
      <c r="ALU16" s="11"/>
      <c r="ALV16" s="11"/>
      <c r="ALW16" s="11"/>
      <c r="ALX16" s="11"/>
      <c r="ALY16" s="11"/>
      <c r="ALZ16" s="11"/>
      <c r="AMA16" s="11"/>
      <c r="AMB16" s="11"/>
      <c r="AMC16" s="11"/>
      <c r="AMD16" s="11"/>
      <c r="AME16" s="11"/>
      <c r="AMF16" s="11"/>
      <c r="AMG16" s="11"/>
      <c r="AMH16" s="11"/>
      <c r="AMI16" s="11"/>
      <c r="AMJ16" s="11"/>
      <c r="AMK16" s="11"/>
      <c r="AML16" s="11"/>
      <c r="AMM16" s="11"/>
      <c r="AMN16" s="11"/>
      <c r="AMO16" s="11"/>
      <c r="AMP16" s="11"/>
      <c r="AMQ16" s="11"/>
      <c r="AMR16" s="11"/>
      <c r="AMS16" s="11"/>
      <c r="AMT16" s="11"/>
      <c r="AMU16" s="11"/>
      <c r="AMV16" s="11"/>
      <c r="AMW16" s="11"/>
      <c r="AMX16" s="11"/>
      <c r="AMY16" s="11"/>
      <c r="AMZ16" s="11"/>
      <c r="ANA16" s="11"/>
      <c r="ANB16" s="11"/>
      <c r="ANC16" s="11"/>
      <c r="AND16" s="11"/>
      <c r="ANE16" s="11"/>
      <c r="ANF16" s="11"/>
      <c r="ANG16" s="11"/>
      <c r="ANH16" s="11"/>
      <c r="ANI16" s="11"/>
      <c r="ANJ16" s="11"/>
      <c r="ANK16" s="11"/>
      <c r="ANL16" s="11"/>
      <c r="ANM16" s="11"/>
      <c r="ANN16" s="11"/>
      <c r="ANO16" s="11"/>
      <c r="ANP16" s="11"/>
      <c r="ANQ16" s="11"/>
      <c r="ANR16" s="11"/>
      <c r="ANS16" s="11"/>
      <c r="ANT16" s="11"/>
      <c r="ANU16" s="11"/>
      <c r="ANV16" s="11"/>
      <c r="ANW16" s="11"/>
      <c r="ANX16" s="11"/>
      <c r="ANY16" s="11"/>
      <c r="ANZ16" s="11"/>
      <c r="AOA16" s="11"/>
      <c r="AOB16" s="11"/>
      <c r="AOC16" s="11"/>
      <c r="AOD16" s="11"/>
      <c r="AOE16" s="11"/>
      <c r="AOF16" s="11"/>
      <c r="AOG16" s="11"/>
      <c r="AOH16" s="11"/>
      <c r="AOI16" s="11"/>
      <c r="AOJ16" s="11"/>
      <c r="AOK16" s="11"/>
      <c r="AOL16" s="11"/>
      <c r="AOM16" s="11"/>
      <c r="AON16" s="11"/>
      <c r="AOO16" s="11"/>
      <c r="AOP16" s="11"/>
      <c r="AOQ16" s="11"/>
      <c r="AOR16" s="11"/>
      <c r="AOS16" s="11"/>
      <c r="AOT16" s="11"/>
      <c r="AOU16" s="11"/>
      <c r="AOV16" s="11"/>
      <c r="AOW16" s="11"/>
      <c r="AOX16" s="11"/>
      <c r="AOY16" s="11"/>
      <c r="AOZ16" s="11"/>
      <c r="APA16" s="11"/>
      <c r="APB16" s="11"/>
      <c r="APC16" s="11"/>
      <c r="APD16" s="11"/>
      <c r="APE16" s="11"/>
      <c r="APF16" s="11"/>
      <c r="APG16" s="11"/>
      <c r="APH16" s="11"/>
      <c r="API16" s="11"/>
      <c r="APJ16" s="11"/>
      <c r="APK16" s="11"/>
      <c r="APL16" s="11"/>
      <c r="APM16" s="11"/>
      <c r="APN16" s="11"/>
      <c r="APO16" s="11"/>
      <c r="APP16" s="11"/>
      <c r="APQ16" s="11"/>
      <c r="APR16" s="11"/>
      <c r="APS16" s="11"/>
      <c r="APT16" s="11"/>
      <c r="APU16" s="11"/>
      <c r="APV16" s="11"/>
      <c r="APW16" s="11"/>
      <c r="APX16" s="11"/>
      <c r="APY16" s="11"/>
      <c r="APZ16" s="11"/>
      <c r="AQA16" s="11"/>
      <c r="AQB16" s="11"/>
      <c r="AQC16" s="11"/>
      <c r="AQD16" s="11"/>
      <c r="AQE16" s="11"/>
      <c r="AQF16" s="11"/>
      <c r="AQG16" s="11"/>
      <c r="AQH16" s="11"/>
      <c r="AQI16" s="11"/>
      <c r="AQJ16" s="11"/>
      <c r="AQK16" s="11"/>
      <c r="AQL16" s="11"/>
      <c r="AQM16" s="11"/>
      <c r="AQN16" s="11"/>
      <c r="AQO16" s="11"/>
      <c r="AQP16" s="11"/>
      <c r="AQQ16" s="11"/>
      <c r="AQR16" s="11"/>
      <c r="AQS16" s="11"/>
      <c r="AQT16" s="11"/>
      <c r="AQU16" s="11"/>
      <c r="AQV16" s="11"/>
      <c r="AQW16" s="11"/>
      <c r="AQX16" s="11"/>
      <c r="AQY16" s="11"/>
      <c r="AQZ16" s="11"/>
      <c r="ARA16" s="11"/>
      <c r="ARB16" s="11"/>
      <c r="ARC16" s="11"/>
      <c r="ARD16" s="11"/>
      <c r="ARE16" s="11"/>
      <c r="ARF16" s="11"/>
      <c r="ARG16" s="11"/>
      <c r="ARH16" s="11"/>
      <c r="ARI16" s="11"/>
      <c r="ARJ16" s="11"/>
      <c r="ARK16" s="11"/>
      <c r="ARL16" s="11"/>
      <c r="ARM16" s="11"/>
      <c r="ARN16" s="11"/>
      <c r="ARO16" s="11"/>
      <c r="ARP16" s="11"/>
      <c r="ARQ16" s="11"/>
      <c r="ARR16" s="11"/>
      <c r="ARS16" s="11"/>
      <c r="ART16" s="11"/>
      <c r="ARU16" s="11"/>
      <c r="ARV16" s="11"/>
      <c r="ARW16" s="11"/>
      <c r="ARX16" s="11"/>
      <c r="ARY16" s="11"/>
      <c r="ARZ16" s="11"/>
      <c r="ASA16" s="11"/>
      <c r="ASB16" s="11"/>
      <c r="ASC16" s="11"/>
      <c r="ASD16" s="11"/>
      <c r="ASE16" s="11"/>
      <c r="ASF16" s="11"/>
      <c r="ASG16" s="11"/>
      <c r="ASH16" s="11"/>
      <c r="ASI16" s="11"/>
      <c r="ASJ16" s="11"/>
      <c r="ASK16" s="11"/>
      <c r="ASL16" s="11"/>
      <c r="ASM16" s="11"/>
      <c r="ASN16" s="11"/>
      <c r="ASO16" s="11"/>
      <c r="ASP16" s="11"/>
      <c r="ASQ16" s="11"/>
      <c r="ASR16" s="11"/>
      <c r="ASS16" s="11"/>
      <c r="AST16" s="11"/>
      <c r="ASU16" s="11"/>
      <c r="ASV16" s="11"/>
      <c r="ASW16" s="11"/>
      <c r="ASX16" s="11"/>
      <c r="ASY16" s="11"/>
      <c r="ASZ16" s="11"/>
      <c r="ATA16" s="11"/>
      <c r="ATB16" s="11"/>
      <c r="ATC16" s="11"/>
      <c r="ATD16" s="11"/>
      <c r="ATE16" s="11"/>
      <c r="ATF16" s="11"/>
      <c r="ATG16" s="11"/>
      <c r="ATH16" s="11"/>
      <c r="ATI16" s="11"/>
      <c r="ATJ16" s="11"/>
      <c r="ATK16" s="11"/>
      <c r="ATL16" s="11"/>
      <c r="ATM16" s="11"/>
      <c r="ATN16" s="11"/>
      <c r="ATO16" s="11"/>
      <c r="ATP16" s="11"/>
      <c r="ATQ16" s="11"/>
      <c r="ATR16" s="11"/>
      <c r="ATS16" s="11"/>
      <c r="ATT16" s="11"/>
      <c r="ATU16" s="11"/>
      <c r="ATV16" s="11"/>
      <c r="ATW16" s="11"/>
      <c r="ATX16" s="11"/>
      <c r="ATY16" s="11"/>
      <c r="ATZ16" s="11"/>
      <c r="AUA16" s="11"/>
      <c r="AUB16" s="11"/>
      <c r="AUC16" s="11"/>
      <c r="AUD16" s="11"/>
      <c r="AUE16" s="11"/>
      <c r="AUF16" s="11"/>
      <c r="AUG16" s="11"/>
      <c r="AUH16" s="11"/>
      <c r="AUI16" s="11"/>
      <c r="AUJ16" s="11"/>
      <c r="AUK16" s="11"/>
      <c r="AUL16" s="11"/>
      <c r="AUM16" s="11"/>
      <c r="AUN16" s="11"/>
      <c r="AUO16" s="11"/>
      <c r="AUP16" s="11"/>
      <c r="AUQ16" s="11"/>
      <c r="AUR16" s="11"/>
      <c r="AUS16" s="11"/>
      <c r="AUT16" s="11"/>
      <c r="AUU16" s="11"/>
      <c r="AUV16" s="11"/>
      <c r="AUW16" s="11"/>
      <c r="AUX16" s="11"/>
      <c r="AUY16" s="11"/>
      <c r="AUZ16" s="11"/>
      <c r="AVA16" s="11"/>
      <c r="AVB16" s="11"/>
      <c r="AVC16" s="11"/>
      <c r="AVD16" s="11"/>
      <c r="AVE16" s="11"/>
      <c r="AVF16" s="11"/>
      <c r="AVG16" s="11"/>
      <c r="AVH16" s="11"/>
      <c r="AVI16" s="11"/>
      <c r="AVJ16" s="11"/>
      <c r="AVK16" s="11"/>
      <c r="AVL16" s="11"/>
      <c r="AVM16" s="11"/>
      <c r="AVN16" s="11"/>
      <c r="AVO16" s="11"/>
      <c r="AVP16" s="11"/>
      <c r="AVQ16" s="11"/>
      <c r="AVR16" s="11"/>
      <c r="AVS16" s="11"/>
      <c r="AVT16" s="11"/>
      <c r="AVU16" s="11"/>
      <c r="AVV16" s="11"/>
      <c r="AVW16" s="11"/>
      <c r="AVX16" s="11"/>
      <c r="AVY16" s="11"/>
      <c r="AVZ16" s="11"/>
      <c r="AWA16" s="11"/>
      <c r="AWB16" s="11"/>
      <c r="AWC16" s="11"/>
      <c r="AWD16" s="11"/>
      <c r="AWE16" s="11"/>
      <c r="AWF16" s="11"/>
      <c r="AWG16" s="11"/>
      <c r="AWH16" s="11"/>
      <c r="AWI16" s="11"/>
      <c r="AWJ16" s="11"/>
      <c r="AWK16" s="11"/>
      <c r="AWL16" s="11"/>
      <c r="AWM16" s="11"/>
      <c r="AWN16" s="11"/>
      <c r="AWO16" s="11"/>
      <c r="AWP16" s="11"/>
      <c r="AWQ16" s="11"/>
      <c r="AWR16" s="11"/>
      <c r="AWS16" s="11"/>
      <c r="AWT16" s="11"/>
      <c r="AWU16" s="11"/>
      <c r="AWV16" s="11"/>
      <c r="AWW16" s="11"/>
      <c r="AWX16" s="11"/>
      <c r="AWY16" s="11"/>
      <c r="AWZ16" s="11"/>
      <c r="AXA16" s="11"/>
      <c r="AXB16" s="11"/>
      <c r="AXC16" s="11"/>
      <c r="AXD16" s="11"/>
      <c r="AXE16" s="11"/>
      <c r="AXF16" s="11"/>
      <c r="AXG16" s="11"/>
      <c r="AXH16" s="11"/>
      <c r="AXI16" s="11"/>
      <c r="AXJ16" s="11"/>
      <c r="AXK16" s="11"/>
      <c r="AXL16" s="11"/>
      <c r="AXM16" s="11"/>
      <c r="AXN16" s="11"/>
      <c r="AXO16" s="11"/>
      <c r="AXP16" s="11"/>
      <c r="AXQ16" s="11"/>
      <c r="AXR16" s="11"/>
      <c r="AXS16" s="11"/>
      <c r="AXT16" s="11"/>
      <c r="AXU16" s="11"/>
      <c r="AXV16" s="11"/>
      <c r="AXW16" s="11"/>
      <c r="AXX16" s="11"/>
      <c r="AXY16" s="11"/>
      <c r="AXZ16" s="11"/>
      <c r="AYA16" s="11"/>
      <c r="AYB16" s="11"/>
      <c r="AYC16" s="11"/>
      <c r="AYD16" s="11"/>
      <c r="AYE16" s="11"/>
      <c r="AYF16" s="11"/>
      <c r="AYG16" s="11"/>
      <c r="AYH16" s="11"/>
      <c r="AYI16" s="11"/>
      <c r="AYJ16" s="11"/>
      <c r="AYK16" s="11"/>
      <c r="AYL16" s="11"/>
      <c r="AYM16" s="11"/>
      <c r="AYN16" s="11"/>
      <c r="AYO16" s="11"/>
      <c r="AYP16" s="11"/>
      <c r="AYQ16" s="11"/>
      <c r="AYR16" s="11"/>
      <c r="AYS16" s="11"/>
      <c r="AYT16" s="11"/>
      <c r="AYU16" s="11"/>
      <c r="AYV16" s="11"/>
      <c r="AYW16" s="11"/>
      <c r="AYX16" s="11"/>
      <c r="AYY16" s="11"/>
      <c r="AYZ16" s="11"/>
      <c r="AZA16" s="11"/>
      <c r="AZB16" s="11"/>
      <c r="AZC16" s="11"/>
      <c r="AZD16" s="11"/>
      <c r="AZE16" s="11"/>
      <c r="AZF16" s="11"/>
      <c r="AZG16" s="11"/>
      <c r="AZH16" s="11"/>
      <c r="AZI16" s="11"/>
      <c r="AZJ16" s="11"/>
      <c r="AZK16" s="11"/>
      <c r="AZL16" s="11"/>
      <c r="AZM16" s="11"/>
      <c r="AZN16" s="11"/>
      <c r="AZO16" s="11"/>
      <c r="AZP16" s="11"/>
      <c r="AZQ16" s="11"/>
      <c r="AZR16" s="11"/>
      <c r="AZS16" s="11"/>
      <c r="AZT16" s="11"/>
      <c r="AZU16" s="11"/>
      <c r="AZV16" s="11"/>
      <c r="AZW16" s="11"/>
      <c r="AZX16" s="11"/>
      <c r="AZY16" s="11"/>
      <c r="AZZ16" s="11"/>
      <c r="BAA16" s="11"/>
      <c r="BAB16" s="11"/>
      <c r="BAC16" s="11"/>
      <c r="BAD16" s="11"/>
      <c r="BAE16" s="11"/>
      <c r="BAF16" s="11"/>
      <c r="BAG16" s="11"/>
      <c r="BAH16" s="11"/>
      <c r="BAI16" s="11"/>
      <c r="BAJ16" s="11"/>
      <c r="BAK16" s="11"/>
      <c r="BAL16" s="11"/>
      <c r="BAM16" s="11"/>
      <c r="BAN16" s="11"/>
      <c r="BAO16" s="11"/>
      <c r="BAP16" s="11"/>
      <c r="BAQ16" s="11"/>
      <c r="BAR16" s="11"/>
      <c r="BAS16" s="11"/>
      <c r="BAT16" s="11"/>
      <c r="BAU16" s="11"/>
      <c r="BAV16" s="11"/>
      <c r="BAW16" s="11"/>
      <c r="BAX16" s="11"/>
      <c r="BAY16" s="11"/>
      <c r="BAZ16" s="11"/>
      <c r="BBA16" s="11"/>
      <c r="BBB16" s="11"/>
      <c r="BBC16" s="11"/>
      <c r="BBD16" s="11"/>
      <c r="BBE16" s="11"/>
      <c r="BBF16" s="11"/>
      <c r="BBG16" s="11"/>
      <c r="BBH16" s="11"/>
      <c r="BBI16" s="11"/>
      <c r="BBJ16" s="11"/>
      <c r="BBK16" s="11"/>
      <c r="BBL16" s="11"/>
      <c r="BBM16" s="11"/>
      <c r="BBN16" s="11"/>
      <c r="BBO16" s="11"/>
      <c r="BBP16" s="11"/>
      <c r="BBQ16" s="11"/>
      <c r="BBR16" s="11"/>
      <c r="BBS16" s="11"/>
      <c r="BBT16" s="11"/>
      <c r="BBU16" s="11"/>
      <c r="BBV16" s="11"/>
      <c r="BBW16" s="11"/>
      <c r="BBX16" s="11"/>
      <c r="BBY16" s="11"/>
      <c r="BBZ16" s="11"/>
      <c r="BCA16" s="11"/>
      <c r="BCB16" s="11"/>
      <c r="BCC16" s="11"/>
      <c r="BCD16" s="11"/>
      <c r="BCE16" s="11"/>
      <c r="BCF16" s="11"/>
      <c r="BCG16" s="11"/>
      <c r="BCH16" s="11"/>
      <c r="BCI16" s="11"/>
      <c r="BCJ16" s="11"/>
      <c r="BCK16" s="11"/>
      <c r="BCL16" s="11"/>
      <c r="BCM16" s="11"/>
      <c r="BCN16" s="11"/>
      <c r="BCO16" s="11"/>
      <c r="BCP16" s="11"/>
      <c r="BCQ16" s="11"/>
      <c r="BCR16" s="11"/>
      <c r="BCS16" s="11"/>
      <c r="BCT16" s="11"/>
      <c r="BCU16" s="11"/>
      <c r="BCV16" s="11"/>
      <c r="BCW16" s="11"/>
      <c r="BCX16" s="11"/>
      <c r="BCY16" s="11"/>
      <c r="BCZ16" s="11"/>
      <c r="BDA16" s="11"/>
      <c r="BDB16" s="11"/>
      <c r="BDC16" s="11"/>
      <c r="BDD16" s="11"/>
      <c r="BDE16" s="11"/>
      <c r="BDF16" s="11"/>
      <c r="BDG16" s="11"/>
      <c r="BDH16" s="11"/>
      <c r="BDI16" s="11"/>
      <c r="BDJ16" s="11"/>
      <c r="BDK16" s="11"/>
      <c r="BDL16" s="11"/>
      <c r="BDM16" s="11"/>
      <c r="BDN16" s="11"/>
      <c r="BDO16" s="11"/>
      <c r="BDP16" s="11"/>
      <c r="BDQ16" s="11"/>
      <c r="BDR16" s="11"/>
      <c r="BDS16" s="11"/>
      <c r="BDT16" s="11"/>
      <c r="BDU16" s="11"/>
      <c r="BDV16" s="11"/>
      <c r="BDW16" s="11"/>
      <c r="BDX16" s="11"/>
      <c r="BDY16" s="11"/>
      <c r="BDZ16" s="11"/>
      <c r="BEA16" s="11"/>
      <c r="BEB16" s="11"/>
      <c r="BEC16" s="11"/>
      <c r="BED16" s="11"/>
      <c r="BEE16" s="11"/>
      <c r="BEF16" s="11"/>
      <c r="BEG16" s="11"/>
      <c r="BEH16" s="11"/>
      <c r="BEI16" s="11"/>
      <c r="BEJ16" s="11"/>
      <c r="BEK16" s="11"/>
      <c r="BEL16" s="11"/>
      <c r="BEM16" s="11"/>
      <c r="BEN16" s="11"/>
      <c r="BEO16" s="11"/>
      <c r="BEP16" s="11"/>
      <c r="BEQ16" s="11"/>
      <c r="BER16" s="11"/>
      <c r="BES16" s="11"/>
      <c r="BET16" s="11"/>
      <c r="BEU16" s="11"/>
      <c r="BEV16" s="11"/>
      <c r="BEW16" s="11"/>
      <c r="BEX16" s="11"/>
      <c r="BEY16" s="11"/>
      <c r="BEZ16" s="11"/>
      <c r="BFA16" s="11"/>
      <c r="BFB16" s="11"/>
      <c r="BFC16" s="11"/>
      <c r="BFD16" s="11"/>
      <c r="BFE16" s="11"/>
      <c r="BFF16" s="11"/>
      <c r="BFG16" s="11"/>
      <c r="BFH16" s="11"/>
      <c r="BFI16" s="11"/>
      <c r="BFJ16" s="11"/>
      <c r="BFK16" s="11"/>
      <c r="BFL16" s="11"/>
      <c r="BFM16" s="11"/>
      <c r="BFN16" s="11"/>
      <c r="BFO16" s="11"/>
      <c r="BFP16" s="11"/>
      <c r="BFQ16" s="11"/>
      <c r="BFR16" s="11"/>
      <c r="BFS16" s="11"/>
      <c r="BFT16" s="11"/>
      <c r="BFU16" s="11"/>
      <c r="BFV16" s="11"/>
      <c r="BFW16" s="11"/>
      <c r="BFX16" s="11"/>
      <c r="BFY16" s="11"/>
      <c r="BFZ16" s="11"/>
      <c r="BGA16" s="11"/>
      <c r="BGB16" s="11"/>
      <c r="BGC16" s="11"/>
      <c r="BGD16" s="11"/>
      <c r="BGE16" s="11"/>
      <c r="BGF16" s="11"/>
      <c r="BGG16" s="11"/>
      <c r="BGH16" s="11"/>
      <c r="BGI16" s="11"/>
      <c r="BGJ16" s="11"/>
      <c r="BGK16" s="11"/>
      <c r="BGL16" s="11"/>
      <c r="BGM16" s="11"/>
      <c r="BGN16" s="11"/>
      <c r="BGO16" s="11"/>
      <c r="BGP16" s="11"/>
      <c r="BGQ16" s="11"/>
      <c r="BGR16" s="11"/>
      <c r="BGS16" s="11"/>
      <c r="BGT16" s="11"/>
      <c r="BGU16" s="11"/>
      <c r="BGV16" s="11"/>
      <c r="BGW16" s="11"/>
      <c r="BGX16" s="11"/>
      <c r="BGY16" s="11"/>
      <c r="BGZ16" s="11"/>
      <c r="BHA16" s="11"/>
      <c r="BHB16" s="11"/>
      <c r="BHC16" s="11"/>
      <c r="BHD16" s="11"/>
      <c r="BHE16" s="11"/>
      <c r="BHF16" s="11"/>
      <c r="BHG16" s="11"/>
      <c r="BHH16" s="11"/>
      <c r="BHI16" s="11"/>
      <c r="BHJ16" s="11"/>
      <c r="BHK16" s="11"/>
      <c r="BHL16" s="11"/>
      <c r="BHM16" s="11"/>
      <c r="BHN16" s="11"/>
      <c r="BHO16" s="11"/>
      <c r="BHP16" s="11"/>
      <c r="BHQ16" s="11"/>
      <c r="BHR16" s="11"/>
      <c r="BHS16" s="11"/>
      <c r="BHT16" s="11"/>
      <c r="BHU16" s="11"/>
      <c r="BHV16" s="11"/>
      <c r="BHW16" s="11"/>
      <c r="BHX16" s="11"/>
      <c r="BHY16" s="11"/>
      <c r="BHZ16" s="11"/>
      <c r="BIA16" s="11"/>
      <c r="BIB16" s="11"/>
      <c r="BIC16" s="11"/>
      <c r="BID16" s="11"/>
      <c r="BIE16" s="11"/>
      <c r="BIF16" s="11"/>
      <c r="BIG16" s="11"/>
      <c r="BIH16" s="11"/>
      <c r="BII16" s="11"/>
      <c r="BIJ16" s="11"/>
      <c r="BIK16" s="11"/>
      <c r="BIL16" s="11"/>
      <c r="BIM16" s="11"/>
      <c r="BIN16" s="11"/>
      <c r="BIO16" s="11"/>
      <c r="BIP16" s="11"/>
      <c r="BIQ16" s="11"/>
      <c r="BIR16" s="11"/>
      <c r="BIS16" s="11"/>
      <c r="BIT16" s="11"/>
      <c r="BIU16" s="11"/>
      <c r="BIV16" s="11"/>
      <c r="BIW16" s="11"/>
      <c r="BIX16" s="11"/>
      <c r="BIY16" s="11"/>
      <c r="BIZ16" s="11"/>
      <c r="BJA16" s="11"/>
      <c r="BJB16" s="11"/>
      <c r="BJC16" s="11"/>
      <c r="BJD16" s="11"/>
      <c r="BJE16" s="11"/>
      <c r="BJF16" s="11"/>
      <c r="BJG16" s="11"/>
      <c r="BJH16" s="11"/>
      <c r="BJI16" s="11"/>
      <c r="BJJ16" s="11"/>
      <c r="BJK16" s="11"/>
      <c r="BJL16" s="11"/>
      <c r="BJM16" s="11"/>
      <c r="BJN16" s="11"/>
      <c r="BJO16" s="11"/>
      <c r="BJP16" s="11"/>
      <c r="BJQ16" s="11"/>
      <c r="BJR16" s="11"/>
      <c r="BJS16" s="11"/>
      <c r="BJT16" s="11"/>
      <c r="BJU16" s="11"/>
      <c r="BJV16" s="11"/>
      <c r="BJW16" s="11"/>
      <c r="BJX16" s="11"/>
      <c r="BJY16" s="11"/>
      <c r="BJZ16" s="11"/>
      <c r="BKA16" s="11"/>
      <c r="BKB16" s="11"/>
      <c r="BKC16" s="11"/>
      <c r="BKD16" s="11"/>
      <c r="BKE16" s="11"/>
      <c r="BKF16" s="11"/>
      <c r="BKG16" s="11"/>
      <c r="BKH16" s="11"/>
      <c r="BKI16" s="11"/>
      <c r="BKJ16" s="11"/>
      <c r="BKK16" s="11"/>
      <c r="BKL16" s="11"/>
      <c r="BKM16" s="11"/>
      <c r="BKN16" s="11"/>
      <c r="BKO16" s="11"/>
      <c r="BKP16" s="11"/>
      <c r="BKQ16" s="11"/>
      <c r="BKR16" s="11"/>
      <c r="BKS16" s="11"/>
      <c r="BKT16" s="11"/>
      <c r="BKU16" s="11"/>
      <c r="BKV16" s="11"/>
      <c r="BKW16" s="11"/>
      <c r="BKX16" s="11"/>
      <c r="BKY16" s="11"/>
      <c r="BKZ16" s="11"/>
      <c r="BLA16" s="11"/>
      <c r="BLB16" s="11"/>
      <c r="BLC16" s="11"/>
      <c r="BLD16" s="11"/>
      <c r="BLE16" s="11"/>
      <c r="BLF16" s="11"/>
      <c r="BLG16" s="11"/>
      <c r="BLH16" s="11"/>
      <c r="BLI16" s="11"/>
      <c r="BLJ16" s="11"/>
      <c r="BLK16" s="11"/>
      <c r="BLL16" s="11"/>
      <c r="BLM16" s="11"/>
      <c r="BLN16" s="11"/>
      <c r="BLO16" s="11"/>
      <c r="BLP16" s="11"/>
      <c r="BLQ16" s="11"/>
      <c r="BLR16" s="11"/>
      <c r="BLS16" s="11"/>
      <c r="BLT16" s="11"/>
      <c r="BLU16" s="11"/>
      <c r="BLV16" s="11"/>
      <c r="BLW16" s="11"/>
      <c r="BLX16" s="11"/>
      <c r="BLY16" s="11"/>
      <c r="BLZ16" s="11"/>
      <c r="BMA16" s="11"/>
      <c r="BMB16" s="11"/>
      <c r="BMC16" s="11"/>
      <c r="BMD16" s="11"/>
      <c r="BME16" s="11"/>
      <c r="BMF16" s="11"/>
      <c r="BMG16" s="11"/>
      <c r="BMH16" s="11"/>
      <c r="BMI16" s="11"/>
      <c r="BMJ16" s="11"/>
      <c r="BMK16" s="11"/>
      <c r="BML16" s="11"/>
      <c r="BMM16" s="11"/>
      <c r="BMN16" s="11"/>
      <c r="BMO16" s="11"/>
      <c r="BMP16" s="11"/>
      <c r="BMQ16" s="11"/>
      <c r="BMR16" s="11"/>
      <c r="BMS16" s="11"/>
      <c r="BMT16" s="11"/>
      <c r="BMU16" s="11"/>
      <c r="BMV16" s="11"/>
      <c r="BMW16" s="11"/>
      <c r="BMX16" s="11"/>
      <c r="BMY16" s="11"/>
      <c r="BMZ16" s="11"/>
      <c r="BNA16" s="11"/>
      <c r="BNB16" s="11"/>
      <c r="BNC16" s="11"/>
      <c r="BND16" s="11"/>
      <c r="BNE16" s="11"/>
      <c r="BNF16" s="11"/>
      <c r="BNG16" s="11"/>
      <c r="BNH16" s="11"/>
      <c r="BNI16" s="11"/>
      <c r="BNJ16" s="11"/>
      <c r="BNK16" s="11"/>
      <c r="BNL16" s="11"/>
      <c r="BNM16" s="11"/>
      <c r="BNN16" s="11"/>
      <c r="BNO16" s="11"/>
      <c r="BNP16" s="11"/>
      <c r="BNQ16" s="11"/>
      <c r="BNR16" s="11"/>
      <c r="BNS16" s="11"/>
      <c r="BNT16" s="11"/>
      <c r="BNU16" s="11"/>
      <c r="BNV16" s="11"/>
      <c r="BNW16" s="11"/>
      <c r="BNX16" s="11"/>
      <c r="BNY16" s="11"/>
      <c r="BNZ16" s="11"/>
      <c r="BOA16" s="11"/>
      <c r="BOB16" s="11"/>
      <c r="BOC16" s="11"/>
      <c r="BOD16" s="11"/>
      <c r="BOE16" s="11"/>
      <c r="BOF16" s="11"/>
      <c r="BOG16" s="11"/>
      <c r="BOH16" s="11"/>
      <c r="BOI16" s="11"/>
      <c r="BOJ16" s="11"/>
      <c r="BOK16" s="11"/>
      <c r="BOL16" s="11"/>
      <c r="BOM16" s="11"/>
      <c r="BON16" s="11"/>
      <c r="BOO16" s="11"/>
      <c r="BOP16" s="11"/>
      <c r="BOQ16" s="11"/>
      <c r="BOR16" s="11"/>
      <c r="BOS16" s="11"/>
      <c r="BOT16" s="11"/>
      <c r="BOU16" s="11"/>
      <c r="BOV16" s="11"/>
      <c r="BOW16" s="11"/>
      <c r="BOX16" s="11"/>
      <c r="BOY16" s="11"/>
      <c r="BOZ16" s="11"/>
      <c r="BPA16" s="11"/>
      <c r="BPB16" s="11"/>
      <c r="BPC16" s="11"/>
      <c r="BPD16" s="11"/>
      <c r="BPE16" s="11"/>
      <c r="BPF16" s="11"/>
      <c r="BPG16" s="11"/>
      <c r="BPH16" s="11"/>
      <c r="BPI16" s="11"/>
      <c r="BPJ16" s="11"/>
      <c r="BPK16" s="11"/>
      <c r="BPL16" s="11"/>
      <c r="BPM16" s="11"/>
      <c r="BPN16" s="11"/>
      <c r="BPO16" s="11"/>
      <c r="BPP16" s="11"/>
      <c r="BPQ16" s="11"/>
      <c r="BPR16" s="11"/>
      <c r="BPS16" s="11"/>
      <c r="BPT16" s="11"/>
      <c r="BPU16" s="11"/>
      <c r="BPV16" s="11"/>
      <c r="BPW16" s="11"/>
      <c r="BPX16" s="11"/>
      <c r="BPY16" s="11"/>
      <c r="BPZ16" s="11"/>
      <c r="BQA16" s="11"/>
      <c r="BQB16" s="11"/>
      <c r="BQC16" s="11"/>
      <c r="BQD16" s="11"/>
      <c r="BQE16" s="11"/>
      <c r="BQF16" s="11"/>
      <c r="BQG16" s="11"/>
      <c r="BQH16" s="11"/>
      <c r="BQI16" s="11"/>
      <c r="BQJ16" s="11"/>
      <c r="BQK16" s="11"/>
      <c r="BQL16" s="11"/>
      <c r="BQM16" s="11"/>
      <c r="BQN16" s="11"/>
      <c r="BQO16" s="11"/>
      <c r="BQP16" s="11"/>
      <c r="BQQ16" s="11"/>
      <c r="BQR16" s="11"/>
      <c r="BQS16" s="11"/>
      <c r="BQT16" s="11"/>
      <c r="BQU16" s="11"/>
      <c r="BQV16" s="11"/>
      <c r="BQW16" s="11"/>
      <c r="BQX16" s="11"/>
      <c r="BQY16" s="11"/>
      <c r="BQZ16" s="11"/>
      <c r="BRA16" s="11"/>
      <c r="BRB16" s="11"/>
      <c r="BRC16" s="11"/>
      <c r="BRD16" s="11"/>
      <c r="BRE16" s="11"/>
      <c r="BRF16" s="11"/>
      <c r="BRG16" s="11"/>
      <c r="BRH16" s="11"/>
      <c r="BRI16" s="11"/>
      <c r="BRJ16" s="11"/>
      <c r="BRK16" s="11"/>
      <c r="BRL16" s="11"/>
      <c r="BRM16" s="11"/>
      <c r="BRN16" s="11"/>
      <c r="BRO16" s="11"/>
      <c r="BRP16" s="11"/>
      <c r="BRQ16" s="11"/>
      <c r="BRR16" s="11"/>
      <c r="BRS16" s="11"/>
      <c r="BRT16" s="11"/>
      <c r="BRU16" s="11"/>
      <c r="BRV16" s="11"/>
      <c r="BRW16" s="11"/>
      <c r="BRX16" s="11"/>
      <c r="BRY16" s="11"/>
      <c r="BRZ16" s="11"/>
      <c r="BSA16" s="11"/>
      <c r="BSB16" s="11"/>
      <c r="BSC16" s="11"/>
      <c r="BSD16" s="11"/>
      <c r="BSE16" s="11"/>
      <c r="BSF16" s="11"/>
      <c r="BSG16" s="11"/>
      <c r="BSH16" s="11"/>
      <c r="BSI16" s="11"/>
      <c r="BSJ16" s="11"/>
      <c r="BSK16" s="11"/>
      <c r="BSL16" s="11"/>
      <c r="BSM16" s="11"/>
      <c r="BSN16" s="11"/>
      <c r="BSO16" s="11"/>
      <c r="BSP16" s="11"/>
      <c r="BSQ16" s="11"/>
      <c r="BSR16" s="11"/>
      <c r="BSS16" s="11"/>
      <c r="BST16" s="11"/>
      <c r="BSU16" s="11"/>
      <c r="BSV16" s="11"/>
      <c r="BSW16" s="11"/>
      <c r="BSX16" s="11"/>
      <c r="BSY16" s="11"/>
      <c r="BSZ16" s="11"/>
      <c r="BTA16" s="11"/>
      <c r="BTB16" s="11"/>
      <c r="BTC16" s="11"/>
      <c r="BTD16" s="11"/>
      <c r="BTE16" s="11"/>
      <c r="BTF16" s="11"/>
      <c r="BTG16" s="11"/>
      <c r="BTH16" s="11"/>
      <c r="BTI16" s="11"/>
      <c r="BTJ16" s="11"/>
      <c r="BTK16" s="11"/>
      <c r="BTL16" s="11"/>
      <c r="BTM16" s="11"/>
      <c r="BTN16" s="11"/>
      <c r="BTO16" s="11"/>
      <c r="BTP16" s="11"/>
      <c r="BTQ16" s="11"/>
      <c r="BTR16" s="11"/>
      <c r="BTS16" s="11"/>
      <c r="BTT16" s="11"/>
      <c r="BTU16" s="11"/>
      <c r="BTV16" s="11"/>
      <c r="BTW16" s="11"/>
      <c r="BTX16" s="11"/>
      <c r="BTY16" s="11"/>
      <c r="BTZ16" s="11"/>
      <c r="BUA16" s="11"/>
      <c r="BUB16" s="11"/>
      <c r="BUC16" s="11"/>
      <c r="BUD16" s="11"/>
      <c r="BUE16" s="11"/>
      <c r="BUF16" s="11"/>
      <c r="BUG16" s="11"/>
      <c r="BUH16" s="11"/>
      <c r="BUI16" s="11"/>
      <c r="BUJ16" s="11"/>
      <c r="BUK16" s="11"/>
      <c r="BUL16" s="11"/>
      <c r="BUM16" s="11"/>
      <c r="BUN16" s="11"/>
      <c r="BUO16" s="11"/>
      <c r="BUP16" s="11"/>
      <c r="BUQ16" s="11"/>
      <c r="BUR16" s="11"/>
      <c r="BUS16" s="11"/>
      <c r="BUT16" s="11"/>
      <c r="BUU16" s="11"/>
      <c r="BUV16" s="11"/>
      <c r="BUW16" s="11"/>
      <c r="BUX16" s="11"/>
      <c r="BUY16" s="11"/>
      <c r="BUZ16" s="11"/>
      <c r="BVA16" s="11"/>
      <c r="BVB16" s="11"/>
      <c r="BVC16" s="11"/>
      <c r="BVD16" s="11"/>
      <c r="BVE16" s="11"/>
      <c r="BVF16" s="11"/>
      <c r="BVG16" s="11"/>
      <c r="BVH16" s="11"/>
      <c r="BVI16" s="11"/>
      <c r="BVJ16" s="11"/>
      <c r="BVK16" s="11"/>
      <c r="BVL16" s="11"/>
      <c r="BVM16" s="11"/>
      <c r="BVN16" s="11"/>
      <c r="BVO16" s="11"/>
      <c r="BVP16" s="11"/>
      <c r="BVQ16" s="11"/>
      <c r="BVR16" s="11"/>
      <c r="BVS16" s="11"/>
      <c r="BVT16" s="11"/>
      <c r="BVU16" s="11"/>
      <c r="BVV16" s="11"/>
      <c r="BVW16" s="11"/>
      <c r="BVX16" s="11"/>
      <c r="BVY16" s="11"/>
      <c r="BVZ16" s="11"/>
      <c r="BWA16" s="11"/>
      <c r="BWB16" s="11"/>
      <c r="BWC16" s="11"/>
      <c r="BWD16" s="11"/>
      <c r="BWE16" s="11"/>
      <c r="BWF16" s="11"/>
      <c r="BWG16" s="11"/>
      <c r="BWH16" s="11"/>
      <c r="BWI16" s="11"/>
      <c r="BWJ16" s="11"/>
      <c r="BWK16" s="11"/>
      <c r="BWL16" s="11"/>
      <c r="BWM16" s="11"/>
      <c r="BWN16" s="11"/>
      <c r="BWO16" s="11"/>
      <c r="BWP16" s="11"/>
      <c r="BWQ16" s="11"/>
      <c r="BWR16" s="11"/>
      <c r="BWS16" s="11"/>
      <c r="BWT16" s="11"/>
      <c r="BWU16" s="11"/>
      <c r="BWV16" s="11"/>
      <c r="BWW16" s="11"/>
      <c r="BWX16" s="11"/>
      <c r="BWY16" s="11"/>
      <c r="BWZ16" s="11"/>
      <c r="BXA16" s="11"/>
      <c r="BXB16" s="11"/>
      <c r="BXC16" s="11"/>
      <c r="BXD16" s="11"/>
      <c r="BXE16" s="11"/>
      <c r="BXF16" s="11"/>
      <c r="BXG16" s="11"/>
      <c r="BXH16" s="11"/>
      <c r="BXI16" s="11"/>
      <c r="BXJ16" s="11"/>
      <c r="BXK16" s="11"/>
      <c r="BXL16" s="11"/>
      <c r="BXM16" s="11"/>
      <c r="BXN16" s="11"/>
      <c r="BXO16" s="11"/>
      <c r="BXP16" s="11"/>
      <c r="BXQ16" s="11"/>
      <c r="BXR16" s="11"/>
      <c r="BXS16" s="11"/>
      <c r="BXT16" s="11"/>
      <c r="BXU16" s="11"/>
      <c r="BXV16" s="11"/>
      <c r="BXW16" s="11"/>
      <c r="BXX16" s="11"/>
      <c r="BXY16" s="11"/>
      <c r="BXZ16" s="11"/>
      <c r="BYA16" s="11"/>
      <c r="BYB16" s="11"/>
      <c r="BYC16" s="11"/>
      <c r="BYD16" s="11"/>
      <c r="BYE16" s="11"/>
      <c r="BYF16" s="11"/>
      <c r="BYG16" s="11"/>
      <c r="BYH16" s="11"/>
      <c r="BYI16" s="11"/>
      <c r="BYJ16" s="11"/>
      <c r="BYK16" s="11"/>
      <c r="BYL16" s="11"/>
      <c r="BYM16" s="11"/>
      <c r="BYN16" s="11"/>
      <c r="BYO16" s="11"/>
      <c r="BYP16" s="11"/>
      <c r="BYQ16" s="11"/>
      <c r="BYR16" s="11"/>
      <c r="BYS16" s="11"/>
      <c r="BYT16" s="11"/>
      <c r="BYU16" s="11"/>
      <c r="BYV16" s="11"/>
      <c r="BYW16" s="11"/>
      <c r="BYX16" s="11"/>
      <c r="BYY16" s="11"/>
      <c r="BYZ16" s="11"/>
      <c r="BZA16" s="11"/>
      <c r="BZB16" s="11"/>
      <c r="BZC16" s="11"/>
      <c r="BZD16" s="11"/>
      <c r="BZE16" s="11"/>
      <c r="BZF16" s="11"/>
      <c r="BZG16" s="11"/>
      <c r="BZH16" s="11"/>
      <c r="BZI16" s="11"/>
      <c r="BZJ16" s="11"/>
      <c r="BZK16" s="11"/>
      <c r="BZL16" s="11"/>
      <c r="BZM16" s="11"/>
      <c r="BZN16" s="11"/>
      <c r="BZO16" s="11"/>
      <c r="BZP16" s="11"/>
      <c r="BZQ16" s="11"/>
      <c r="BZR16" s="11"/>
      <c r="BZS16" s="11"/>
      <c r="BZT16" s="11"/>
      <c r="BZU16" s="11"/>
      <c r="BZV16" s="11"/>
      <c r="BZW16" s="11"/>
      <c r="BZX16" s="11"/>
      <c r="BZY16" s="11"/>
      <c r="BZZ16" s="11"/>
      <c r="CAA16" s="11"/>
      <c r="CAB16" s="11"/>
      <c r="CAC16" s="11"/>
      <c r="CAD16" s="11"/>
      <c r="CAE16" s="11"/>
      <c r="CAF16" s="11"/>
      <c r="CAG16" s="11"/>
      <c r="CAH16" s="11"/>
      <c r="CAI16" s="11"/>
      <c r="CAJ16" s="11"/>
      <c r="CAK16" s="11"/>
      <c r="CAL16" s="11"/>
      <c r="CAM16" s="11"/>
      <c r="CAN16" s="11"/>
      <c r="CAO16" s="11"/>
      <c r="CAP16" s="11"/>
      <c r="CAQ16" s="11"/>
      <c r="CAR16" s="11"/>
      <c r="CAS16" s="11"/>
      <c r="CAT16" s="11"/>
      <c r="CAU16" s="11"/>
      <c r="CAV16" s="11"/>
      <c r="CAW16" s="11"/>
      <c r="CAX16" s="11"/>
      <c r="CAY16" s="11"/>
      <c r="CAZ16" s="11"/>
      <c r="CBA16" s="11"/>
      <c r="CBB16" s="11"/>
      <c r="CBC16" s="11"/>
      <c r="CBD16" s="11"/>
      <c r="CBE16" s="11"/>
      <c r="CBF16" s="11"/>
      <c r="CBG16" s="11"/>
      <c r="CBH16" s="11"/>
      <c r="CBI16" s="11"/>
      <c r="CBJ16" s="11"/>
      <c r="CBK16" s="11"/>
      <c r="CBL16" s="11"/>
      <c r="CBM16" s="11"/>
      <c r="CBN16" s="11"/>
      <c r="CBO16" s="11"/>
      <c r="CBP16" s="11"/>
      <c r="CBQ16" s="11"/>
      <c r="CBR16" s="11"/>
      <c r="CBS16" s="11"/>
      <c r="CBT16" s="11"/>
      <c r="CBU16" s="11"/>
      <c r="CBV16" s="11"/>
      <c r="CBW16" s="11"/>
      <c r="CBX16" s="11"/>
      <c r="CBY16" s="11"/>
      <c r="CBZ16" s="11"/>
      <c r="CCA16" s="11"/>
      <c r="CCB16" s="11"/>
      <c r="CCC16" s="11"/>
      <c r="CCD16" s="11"/>
      <c r="CCE16" s="11"/>
      <c r="CCF16" s="11"/>
      <c r="CCG16" s="11"/>
      <c r="CCH16" s="11"/>
      <c r="CCI16" s="11"/>
      <c r="CCJ16" s="11"/>
      <c r="CCK16" s="11"/>
      <c r="CCL16" s="11"/>
      <c r="CCM16" s="11"/>
      <c r="CCN16" s="11"/>
      <c r="CCO16" s="11"/>
      <c r="CCP16" s="11"/>
      <c r="CCQ16" s="11"/>
      <c r="CCR16" s="11"/>
      <c r="CCS16" s="11"/>
      <c r="CCT16" s="11"/>
      <c r="CCU16" s="11"/>
      <c r="CCV16" s="11"/>
      <c r="CCW16" s="11"/>
      <c r="CCX16" s="11"/>
      <c r="CCY16" s="11"/>
      <c r="CCZ16" s="11"/>
      <c r="CDA16" s="11"/>
      <c r="CDB16" s="11"/>
      <c r="CDC16" s="11"/>
      <c r="CDD16" s="11"/>
      <c r="CDE16" s="11"/>
      <c r="CDF16" s="11"/>
      <c r="CDG16" s="11"/>
      <c r="CDH16" s="11"/>
      <c r="CDI16" s="11"/>
      <c r="CDJ16" s="11"/>
      <c r="CDK16" s="11"/>
      <c r="CDL16" s="11"/>
      <c r="CDM16" s="11"/>
      <c r="CDN16" s="11"/>
      <c r="CDO16" s="11"/>
      <c r="CDP16" s="11"/>
      <c r="CDQ16" s="11"/>
      <c r="CDR16" s="11"/>
      <c r="CDS16" s="11"/>
      <c r="CDT16" s="11"/>
      <c r="CDU16" s="11"/>
      <c r="CDV16" s="11"/>
      <c r="CDW16" s="11"/>
      <c r="CDX16" s="11"/>
      <c r="CDY16" s="11"/>
      <c r="CDZ16" s="11"/>
      <c r="CEA16" s="11"/>
      <c r="CEB16" s="11"/>
      <c r="CEC16" s="11"/>
      <c r="CED16" s="11"/>
      <c r="CEE16" s="11"/>
      <c r="CEF16" s="11"/>
      <c r="CEG16" s="11"/>
      <c r="CEH16" s="11"/>
      <c r="CEI16" s="11"/>
      <c r="CEJ16" s="11"/>
      <c r="CEK16" s="11"/>
      <c r="CEL16" s="11"/>
      <c r="CEM16" s="11"/>
      <c r="CEN16" s="11"/>
      <c r="CEO16" s="11"/>
      <c r="CEP16" s="11"/>
      <c r="CEQ16" s="11"/>
      <c r="CER16" s="11"/>
      <c r="CES16" s="11"/>
      <c r="CET16" s="11"/>
      <c r="CEU16" s="11"/>
      <c r="CEV16" s="11"/>
      <c r="CEW16" s="11"/>
      <c r="CEX16" s="11"/>
      <c r="CEY16" s="11"/>
      <c r="CEZ16" s="11"/>
      <c r="CFA16" s="11"/>
      <c r="CFB16" s="11"/>
      <c r="CFC16" s="11"/>
      <c r="CFD16" s="11"/>
      <c r="CFE16" s="11"/>
      <c r="CFF16" s="11"/>
      <c r="CFG16" s="11"/>
      <c r="CFH16" s="11"/>
      <c r="CFI16" s="11"/>
      <c r="CFJ16" s="11"/>
      <c r="CFK16" s="11"/>
      <c r="CFL16" s="11"/>
      <c r="CFM16" s="11"/>
      <c r="CFN16" s="11"/>
      <c r="CFO16" s="11"/>
      <c r="CFP16" s="11"/>
      <c r="CFQ16" s="11"/>
      <c r="CFR16" s="11"/>
      <c r="CFS16" s="11"/>
      <c r="CFT16" s="11"/>
      <c r="CFU16" s="11"/>
      <c r="CFV16" s="11"/>
      <c r="CFW16" s="11"/>
      <c r="CFX16" s="11"/>
      <c r="CFY16" s="11"/>
      <c r="CFZ16" s="11"/>
      <c r="CGA16" s="11"/>
      <c r="CGB16" s="11"/>
      <c r="CGC16" s="11"/>
      <c r="CGD16" s="11"/>
      <c r="CGE16" s="11"/>
      <c r="CGF16" s="11"/>
      <c r="CGG16" s="11"/>
      <c r="CGH16" s="11"/>
      <c r="CGI16" s="11"/>
      <c r="CGJ16" s="11"/>
      <c r="CGK16" s="11"/>
      <c r="CGL16" s="11"/>
      <c r="CGM16" s="11"/>
      <c r="CGN16" s="11"/>
      <c r="CGO16" s="11"/>
      <c r="CGP16" s="11"/>
      <c r="CGQ16" s="11"/>
      <c r="CGR16" s="11"/>
      <c r="CGS16" s="11"/>
      <c r="CGT16" s="11"/>
      <c r="CGU16" s="11"/>
      <c r="CGV16" s="11"/>
      <c r="CGW16" s="11"/>
      <c r="CGX16" s="11"/>
      <c r="CGY16" s="11"/>
      <c r="CGZ16" s="11"/>
      <c r="CHA16" s="11"/>
      <c r="CHB16" s="11"/>
      <c r="CHC16" s="11"/>
      <c r="CHD16" s="11"/>
      <c r="CHE16" s="11"/>
      <c r="CHF16" s="11"/>
      <c r="CHG16" s="11"/>
      <c r="CHH16" s="11"/>
      <c r="CHI16" s="11"/>
      <c r="CHJ16" s="11"/>
      <c r="CHK16" s="11"/>
      <c r="CHL16" s="11"/>
      <c r="CHM16" s="11"/>
      <c r="CHN16" s="11"/>
      <c r="CHO16" s="11"/>
      <c r="CHP16" s="11"/>
      <c r="CHQ16" s="11"/>
      <c r="CHR16" s="11"/>
      <c r="CHS16" s="11"/>
      <c r="CHT16" s="11"/>
      <c r="CHU16" s="11"/>
      <c r="CHV16" s="11"/>
      <c r="CHW16" s="11"/>
      <c r="CHX16" s="11"/>
      <c r="CHY16" s="11"/>
      <c r="CHZ16" s="11"/>
      <c r="CIA16" s="11"/>
      <c r="CIB16" s="11"/>
      <c r="CIC16" s="11"/>
      <c r="CID16" s="11"/>
      <c r="CIE16" s="11"/>
      <c r="CIF16" s="11"/>
      <c r="CIG16" s="11"/>
      <c r="CIH16" s="11"/>
      <c r="CII16" s="11"/>
      <c r="CIJ16" s="11"/>
      <c r="CIK16" s="11"/>
      <c r="CIL16" s="11"/>
      <c r="CIM16" s="11"/>
      <c r="CIN16" s="11"/>
      <c r="CIO16" s="11"/>
      <c r="CIP16" s="11"/>
      <c r="CIQ16" s="11"/>
      <c r="CIR16" s="11"/>
      <c r="CIS16" s="11"/>
      <c r="CIT16" s="11"/>
      <c r="CIU16" s="11"/>
      <c r="CIV16" s="11"/>
      <c r="CIW16" s="11"/>
      <c r="CIX16" s="11"/>
      <c r="CIY16" s="11"/>
      <c r="CIZ16" s="11"/>
      <c r="CJA16" s="11"/>
      <c r="CJB16" s="11"/>
      <c r="CJC16" s="11"/>
      <c r="CJD16" s="11"/>
      <c r="CJE16" s="11"/>
      <c r="CJF16" s="11"/>
      <c r="CJG16" s="11"/>
      <c r="CJH16" s="11"/>
      <c r="CJI16" s="11"/>
      <c r="CJJ16" s="11"/>
      <c r="CJK16" s="11"/>
      <c r="CJL16" s="11"/>
      <c r="CJM16" s="11"/>
      <c r="CJN16" s="11"/>
      <c r="CJO16" s="11"/>
      <c r="CJP16" s="11"/>
      <c r="CJQ16" s="11"/>
      <c r="CJR16" s="11"/>
      <c r="CJS16" s="11"/>
      <c r="CJT16" s="11"/>
      <c r="CJU16" s="11"/>
      <c r="CJV16" s="11"/>
      <c r="CJW16" s="11"/>
      <c r="CJX16" s="11"/>
      <c r="CJY16" s="11"/>
      <c r="CJZ16" s="11"/>
      <c r="CKA16" s="11"/>
      <c r="CKB16" s="11"/>
      <c r="CKC16" s="11"/>
      <c r="CKD16" s="11"/>
      <c r="CKE16" s="11"/>
      <c r="CKF16" s="11"/>
      <c r="CKG16" s="11"/>
      <c r="CKH16" s="11"/>
      <c r="CKI16" s="11"/>
      <c r="CKJ16" s="11"/>
      <c r="CKK16" s="11"/>
      <c r="CKL16" s="11"/>
      <c r="CKM16" s="11"/>
      <c r="CKN16" s="11"/>
      <c r="CKO16" s="11"/>
      <c r="CKP16" s="11"/>
      <c r="CKQ16" s="11"/>
      <c r="CKR16" s="11"/>
      <c r="CKS16" s="11"/>
      <c r="CKT16" s="11"/>
      <c r="CKU16" s="11"/>
      <c r="CKV16" s="11"/>
      <c r="CKW16" s="11"/>
      <c r="CKX16" s="11"/>
      <c r="CKY16" s="11"/>
      <c r="CKZ16" s="11"/>
      <c r="CLA16" s="11"/>
      <c r="CLB16" s="11"/>
      <c r="CLC16" s="11"/>
      <c r="CLD16" s="11"/>
      <c r="CLE16" s="11"/>
      <c r="CLF16" s="11"/>
      <c r="CLG16" s="11"/>
      <c r="CLH16" s="11"/>
      <c r="CLI16" s="11"/>
      <c r="CLJ16" s="11"/>
      <c r="CLK16" s="11"/>
      <c r="CLL16" s="11"/>
      <c r="CLM16" s="11"/>
      <c r="CLN16" s="11"/>
      <c r="CLO16" s="11"/>
      <c r="CLP16" s="11"/>
      <c r="CLQ16" s="11"/>
      <c r="CLR16" s="11"/>
      <c r="CLS16" s="11"/>
      <c r="CLT16" s="11"/>
      <c r="CLU16" s="11"/>
      <c r="CLV16" s="11"/>
      <c r="CLW16" s="11"/>
      <c r="CLX16" s="11"/>
      <c r="CLY16" s="11"/>
      <c r="CLZ16" s="11"/>
      <c r="CMA16" s="11"/>
      <c r="CMB16" s="11"/>
      <c r="CMC16" s="11"/>
      <c r="CMD16" s="11"/>
      <c r="CME16" s="11"/>
      <c r="CMF16" s="11"/>
      <c r="CMG16" s="11"/>
      <c r="CMH16" s="11"/>
      <c r="CMI16" s="11"/>
      <c r="CMJ16" s="11"/>
      <c r="CMK16" s="11"/>
      <c r="CML16" s="11"/>
      <c r="CMM16" s="11"/>
      <c r="CMN16" s="11"/>
      <c r="CMO16" s="11"/>
      <c r="CMP16" s="11"/>
      <c r="CMQ16" s="11"/>
      <c r="CMR16" s="11"/>
      <c r="CMS16" s="11"/>
      <c r="CMT16" s="11"/>
      <c r="CMU16" s="11"/>
      <c r="CMV16" s="11"/>
      <c r="CMW16" s="11"/>
      <c r="CMX16" s="11"/>
      <c r="CMY16" s="11"/>
      <c r="CMZ16" s="11"/>
      <c r="CNA16" s="11"/>
      <c r="CNB16" s="11"/>
      <c r="CNC16" s="11"/>
      <c r="CND16" s="11"/>
      <c r="CNE16" s="11"/>
      <c r="CNF16" s="11"/>
      <c r="CNG16" s="11"/>
      <c r="CNH16" s="11"/>
      <c r="CNI16" s="11"/>
      <c r="CNJ16" s="11"/>
      <c r="CNK16" s="11"/>
      <c r="CNL16" s="11"/>
      <c r="CNM16" s="11"/>
      <c r="CNN16" s="11"/>
      <c r="CNO16" s="11"/>
      <c r="CNP16" s="11"/>
      <c r="CNQ16" s="11"/>
      <c r="CNR16" s="11"/>
      <c r="CNS16" s="11"/>
      <c r="CNT16" s="11"/>
      <c r="CNU16" s="11"/>
      <c r="CNV16" s="11"/>
      <c r="CNW16" s="11"/>
      <c r="CNX16" s="11"/>
      <c r="CNY16" s="11"/>
      <c r="CNZ16" s="11"/>
      <c r="COA16" s="11"/>
      <c r="COB16" s="11"/>
      <c r="COC16" s="11"/>
      <c r="COD16" s="11"/>
      <c r="COE16" s="11"/>
      <c r="COF16" s="11"/>
      <c r="COG16" s="11"/>
      <c r="COH16" s="11"/>
      <c r="COI16" s="11"/>
      <c r="COJ16" s="11"/>
      <c r="COK16" s="11"/>
      <c r="COL16" s="11"/>
      <c r="COM16" s="11"/>
      <c r="CON16" s="11"/>
      <c r="COO16" s="11"/>
      <c r="COP16" s="11"/>
      <c r="COQ16" s="11"/>
      <c r="COR16" s="11"/>
      <c r="COS16" s="11"/>
      <c r="COT16" s="11"/>
      <c r="COU16" s="11"/>
      <c r="COV16" s="11"/>
      <c r="COW16" s="11"/>
      <c r="COX16" s="11"/>
      <c r="COY16" s="11"/>
      <c r="COZ16" s="11"/>
      <c r="CPA16" s="11"/>
      <c r="CPB16" s="11"/>
      <c r="CPC16" s="11"/>
      <c r="CPD16" s="11"/>
      <c r="CPE16" s="11"/>
      <c r="CPF16" s="11"/>
      <c r="CPG16" s="11"/>
      <c r="CPH16" s="11"/>
      <c r="CPI16" s="11"/>
      <c r="CPJ16" s="11"/>
      <c r="CPK16" s="11"/>
      <c r="CPL16" s="11"/>
      <c r="CPM16" s="11"/>
      <c r="CPN16" s="11"/>
      <c r="CPO16" s="11"/>
      <c r="CPP16" s="11"/>
      <c r="CPQ16" s="11"/>
      <c r="CPR16" s="11"/>
      <c r="CPS16" s="11"/>
      <c r="CPT16" s="11"/>
      <c r="CPU16" s="11"/>
      <c r="CPV16" s="11"/>
      <c r="CPW16" s="11"/>
      <c r="CPX16" s="11"/>
      <c r="CPY16" s="11"/>
      <c r="CPZ16" s="11"/>
      <c r="CQA16" s="11"/>
      <c r="CQB16" s="11"/>
      <c r="CQC16" s="11"/>
      <c r="CQD16" s="11"/>
      <c r="CQE16" s="11"/>
      <c r="CQF16" s="11"/>
      <c r="CQG16" s="11"/>
      <c r="CQH16" s="11"/>
      <c r="CQI16" s="11"/>
      <c r="CQJ16" s="11"/>
      <c r="CQK16" s="11"/>
      <c r="CQL16" s="11"/>
      <c r="CQM16" s="11"/>
      <c r="CQN16" s="11"/>
      <c r="CQO16" s="11"/>
      <c r="CQP16" s="11"/>
      <c r="CQQ16" s="11"/>
      <c r="CQR16" s="11"/>
      <c r="CQS16" s="11"/>
      <c r="CQT16" s="11"/>
      <c r="CQU16" s="11"/>
      <c r="CQV16" s="11"/>
      <c r="CQW16" s="11"/>
      <c r="CQX16" s="11"/>
      <c r="CQY16" s="11"/>
      <c r="CQZ16" s="11"/>
      <c r="CRA16" s="11"/>
      <c r="CRB16" s="11"/>
      <c r="CRC16" s="11"/>
      <c r="CRD16" s="11"/>
      <c r="CRE16" s="11"/>
      <c r="CRF16" s="11"/>
      <c r="CRG16" s="11"/>
      <c r="CRH16" s="11"/>
      <c r="CRI16" s="11"/>
      <c r="CRJ16" s="11"/>
      <c r="CRK16" s="11"/>
      <c r="CRL16" s="11"/>
      <c r="CRM16" s="11"/>
      <c r="CRN16" s="11"/>
      <c r="CRO16" s="11"/>
      <c r="CRP16" s="11"/>
      <c r="CRQ16" s="11"/>
      <c r="CRR16" s="11"/>
      <c r="CRS16" s="11"/>
      <c r="CRT16" s="11"/>
      <c r="CRU16" s="11"/>
      <c r="CRV16" s="11"/>
      <c r="CRW16" s="11"/>
      <c r="CRX16" s="11"/>
      <c r="CRY16" s="11"/>
      <c r="CRZ16" s="11"/>
      <c r="CSA16" s="11"/>
      <c r="CSB16" s="11"/>
      <c r="CSC16" s="11"/>
      <c r="CSD16" s="11"/>
      <c r="CSE16" s="11"/>
      <c r="CSF16" s="11"/>
      <c r="CSG16" s="11"/>
      <c r="CSH16" s="11"/>
      <c r="CSI16" s="11"/>
      <c r="CSJ16" s="11"/>
      <c r="CSK16" s="11"/>
      <c r="CSL16" s="11"/>
      <c r="CSM16" s="11"/>
      <c r="CSN16" s="11"/>
      <c r="CSO16" s="11"/>
      <c r="CSP16" s="11"/>
      <c r="CSQ16" s="11"/>
      <c r="CSR16" s="11"/>
      <c r="CSS16" s="11"/>
      <c r="CST16" s="11"/>
      <c r="CSU16" s="11"/>
      <c r="CSV16" s="11"/>
      <c r="CSW16" s="11"/>
      <c r="CSX16" s="11"/>
      <c r="CSY16" s="11"/>
      <c r="CSZ16" s="11"/>
      <c r="CTA16" s="11"/>
      <c r="CTB16" s="11"/>
      <c r="CTC16" s="11"/>
      <c r="CTD16" s="11"/>
      <c r="CTE16" s="11"/>
      <c r="CTF16" s="11"/>
      <c r="CTG16" s="11"/>
      <c r="CTH16" s="11"/>
      <c r="CTI16" s="11"/>
      <c r="CTJ16" s="11"/>
      <c r="CTK16" s="11"/>
      <c r="CTL16" s="11"/>
      <c r="CTM16" s="11"/>
      <c r="CTN16" s="11"/>
      <c r="CTO16" s="11"/>
      <c r="CTP16" s="11"/>
      <c r="CTQ16" s="11"/>
      <c r="CTR16" s="11"/>
      <c r="CTS16" s="11"/>
      <c r="CTT16" s="11"/>
      <c r="CTU16" s="11"/>
      <c r="CTV16" s="11"/>
      <c r="CTW16" s="11"/>
      <c r="CTX16" s="11"/>
      <c r="CTY16" s="11"/>
      <c r="CTZ16" s="11"/>
      <c r="CUA16" s="11"/>
      <c r="CUB16" s="11"/>
      <c r="CUC16" s="11"/>
      <c r="CUD16" s="11"/>
      <c r="CUE16" s="11"/>
      <c r="CUF16" s="11"/>
      <c r="CUG16" s="11"/>
      <c r="CUH16" s="11"/>
      <c r="CUI16" s="11"/>
      <c r="CUJ16" s="11"/>
      <c r="CUK16" s="11"/>
      <c r="CUL16" s="11"/>
      <c r="CUM16" s="11"/>
      <c r="CUN16" s="11"/>
      <c r="CUO16" s="11"/>
      <c r="CUP16" s="11"/>
      <c r="CUQ16" s="11"/>
      <c r="CUR16" s="11"/>
      <c r="CUS16" s="11"/>
      <c r="CUT16" s="11"/>
      <c r="CUU16" s="11"/>
      <c r="CUV16" s="11"/>
      <c r="CUW16" s="11"/>
      <c r="CUX16" s="11"/>
      <c r="CUY16" s="11"/>
      <c r="CUZ16" s="11"/>
      <c r="CVA16" s="11"/>
      <c r="CVB16" s="11"/>
      <c r="CVC16" s="11"/>
      <c r="CVD16" s="11"/>
      <c r="CVE16" s="11"/>
      <c r="CVF16" s="11"/>
      <c r="CVG16" s="11"/>
      <c r="CVH16" s="11"/>
      <c r="CVI16" s="11"/>
      <c r="CVJ16" s="11"/>
      <c r="CVK16" s="11"/>
      <c r="CVL16" s="11"/>
      <c r="CVM16" s="11"/>
      <c r="CVN16" s="11"/>
      <c r="CVO16" s="11"/>
      <c r="CVP16" s="11"/>
      <c r="CVQ16" s="11"/>
      <c r="CVR16" s="11"/>
      <c r="CVS16" s="11"/>
      <c r="CVT16" s="11"/>
      <c r="CVU16" s="11"/>
      <c r="CVV16" s="11"/>
      <c r="CVW16" s="11"/>
      <c r="CVX16" s="11"/>
      <c r="CVY16" s="11"/>
      <c r="CVZ16" s="11"/>
      <c r="CWA16" s="11"/>
      <c r="CWB16" s="11"/>
      <c r="CWC16" s="11"/>
      <c r="CWD16" s="11"/>
      <c r="CWE16" s="11"/>
      <c r="CWF16" s="11"/>
      <c r="CWG16" s="11"/>
      <c r="CWH16" s="11"/>
      <c r="CWI16" s="11"/>
      <c r="CWJ16" s="11"/>
      <c r="CWK16" s="11"/>
      <c r="CWL16" s="11"/>
      <c r="CWM16" s="11"/>
      <c r="CWN16" s="11"/>
      <c r="CWO16" s="11"/>
      <c r="CWP16" s="11"/>
      <c r="CWQ16" s="11"/>
      <c r="CWR16" s="11"/>
      <c r="CWS16" s="11"/>
      <c r="CWT16" s="11"/>
      <c r="CWU16" s="11"/>
      <c r="CWV16" s="11"/>
      <c r="CWW16" s="11"/>
      <c r="CWX16" s="11"/>
      <c r="CWY16" s="11"/>
      <c r="CWZ16" s="11"/>
      <c r="CXA16" s="11"/>
      <c r="CXB16" s="11"/>
      <c r="CXC16" s="11"/>
      <c r="CXD16" s="11"/>
      <c r="CXE16" s="11"/>
      <c r="CXF16" s="11"/>
      <c r="CXG16" s="11"/>
      <c r="CXH16" s="11"/>
      <c r="CXI16" s="11"/>
      <c r="CXJ16" s="11"/>
      <c r="CXK16" s="11"/>
      <c r="CXL16" s="11"/>
      <c r="CXM16" s="11"/>
      <c r="CXN16" s="11"/>
      <c r="CXO16" s="11"/>
      <c r="CXP16" s="11"/>
      <c r="CXQ16" s="11"/>
      <c r="CXR16" s="11"/>
      <c r="CXS16" s="11"/>
      <c r="CXT16" s="11"/>
      <c r="CXU16" s="11"/>
      <c r="CXV16" s="11"/>
      <c r="CXW16" s="11"/>
      <c r="CXX16" s="11"/>
      <c r="CXY16" s="11"/>
      <c r="CXZ16" s="11"/>
      <c r="CYA16" s="11"/>
      <c r="CYB16" s="11"/>
      <c r="CYC16" s="11"/>
      <c r="CYD16" s="11"/>
      <c r="CYE16" s="11"/>
      <c r="CYF16" s="11"/>
      <c r="CYG16" s="11"/>
      <c r="CYH16" s="11"/>
      <c r="CYI16" s="11"/>
      <c r="CYJ16" s="11"/>
      <c r="CYK16" s="11"/>
      <c r="CYL16" s="11"/>
      <c r="CYM16" s="11"/>
      <c r="CYN16" s="11"/>
      <c r="CYO16" s="11"/>
      <c r="CYP16" s="11"/>
      <c r="CYQ16" s="11"/>
      <c r="CYR16" s="11"/>
      <c r="CYS16" s="11"/>
      <c r="CYT16" s="11"/>
      <c r="CYU16" s="11"/>
      <c r="CYV16" s="11"/>
      <c r="CYW16" s="11"/>
      <c r="CYX16" s="11"/>
      <c r="CYY16" s="11"/>
      <c r="CYZ16" s="11"/>
      <c r="CZA16" s="11"/>
      <c r="CZB16" s="11"/>
      <c r="CZC16" s="11"/>
      <c r="CZD16" s="11"/>
      <c r="CZE16" s="11"/>
      <c r="CZF16" s="11"/>
      <c r="CZG16" s="11"/>
      <c r="CZH16" s="11"/>
      <c r="CZI16" s="11"/>
      <c r="CZJ16" s="11"/>
      <c r="CZK16" s="11"/>
      <c r="CZL16" s="11"/>
      <c r="CZM16" s="11"/>
      <c r="CZN16" s="11"/>
      <c r="CZO16" s="11"/>
      <c r="CZP16" s="11"/>
      <c r="CZQ16" s="11"/>
      <c r="CZR16" s="11"/>
      <c r="CZS16" s="11"/>
      <c r="CZT16" s="11"/>
      <c r="CZU16" s="11"/>
      <c r="CZV16" s="11"/>
      <c r="CZW16" s="11"/>
      <c r="CZX16" s="11"/>
      <c r="CZY16" s="11"/>
      <c r="CZZ16" s="11"/>
      <c r="DAA16" s="11"/>
      <c r="DAB16" s="11"/>
      <c r="DAC16" s="11"/>
      <c r="DAD16" s="11"/>
      <c r="DAE16" s="11"/>
      <c r="DAF16" s="11"/>
      <c r="DAG16" s="11"/>
      <c r="DAH16" s="11"/>
      <c r="DAI16" s="11"/>
      <c r="DAJ16" s="11"/>
      <c r="DAK16" s="11"/>
      <c r="DAL16" s="11"/>
      <c r="DAM16" s="11"/>
      <c r="DAN16" s="11"/>
      <c r="DAO16" s="11"/>
      <c r="DAP16" s="11"/>
      <c r="DAQ16" s="11"/>
      <c r="DAR16" s="11"/>
      <c r="DAS16" s="11"/>
      <c r="DAT16" s="11"/>
      <c r="DAU16" s="11"/>
      <c r="DAV16" s="11"/>
      <c r="DAW16" s="11"/>
      <c r="DAX16" s="11"/>
      <c r="DAY16" s="11"/>
      <c r="DAZ16" s="11"/>
      <c r="DBA16" s="11"/>
      <c r="DBB16" s="11"/>
      <c r="DBC16" s="11"/>
      <c r="DBD16" s="11"/>
      <c r="DBE16" s="11"/>
      <c r="DBF16" s="11"/>
      <c r="DBG16" s="11"/>
      <c r="DBH16" s="11"/>
      <c r="DBI16" s="11"/>
      <c r="DBJ16" s="11"/>
      <c r="DBK16" s="11"/>
      <c r="DBL16" s="11"/>
      <c r="DBM16" s="11"/>
      <c r="DBN16" s="11"/>
      <c r="DBO16" s="11"/>
      <c r="DBP16" s="11"/>
      <c r="DBQ16" s="11"/>
      <c r="DBR16" s="11"/>
      <c r="DBS16" s="11"/>
      <c r="DBT16" s="11"/>
      <c r="DBU16" s="11"/>
      <c r="DBV16" s="11"/>
      <c r="DBW16" s="11"/>
      <c r="DBX16" s="11"/>
      <c r="DBY16" s="11"/>
      <c r="DBZ16" s="11"/>
      <c r="DCA16" s="11"/>
      <c r="DCB16" s="11"/>
      <c r="DCC16" s="11"/>
      <c r="DCD16" s="11"/>
      <c r="DCE16" s="11"/>
      <c r="DCF16" s="11"/>
      <c r="DCG16" s="11"/>
      <c r="DCH16" s="11"/>
      <c r="DCI16" s="11"/>
      <c r="DCJ16" s="11"/>
      <c r="DCK16" s="11"/>
      <c r="DCL16" s="11"/>
      <c r="DCM16" s="11"/>
      <c r="DCN16" s="11"/>
      <c r="DCO16" s="11"/>
      <c r="DCP16" s="11"/>
      <c r="DCQ16" s="11"/>
      <c r="DCR16" s="11"/>
      <c r="DCS16" s="11"/>
      <c r="DCT16" s="11"/>
      <c r="DCU16" s="11"/>
      <c r="DCV16" s="11"/>
      <c r="DCW16" s="11"/>
      <c r="DCX16" s="11"/>
      <c r="DCY16" s="11"/>
      <c r="DCZ16" s="11"/>
      <c r="DDA16" s="11"/>
      <c r="DDB16" s="11"/>
      <c r="DDC16" s="11"/>
      <c r="DDD16" s="11"/>
      <c r="DDE16" s="11"/>
      <c r="DDF16" s="11"/>
      <c r="DDG16" s="11"/>
      <c r="DDH16" s="11"/>
      <c r="DDI16" s="11"/>
      <c r="DDJ16" s="11"/>
      <c r="DDK16" s="11"/>
      <c r="DDL16" s="11"/>
      <c r="DDM16" s="11"/>
      <c r="DDN16" s="11"/>
      <c r="DDO16" s="11"/>
      <c r="DDP16" s="11"/>
      <c r="DDQ16" s="11"/>
      <c r="DDR16" s="11"/>
      <c r="DDS16" s="11"/>
      <c r="DDT16" s="11"/>
      <c r="DDU16" s="11"/>
      <c r="DDV16" s="11"/>
      <c r="DDW16" s="11"/>
      <c r="DDX16" s="11"/>
      <c r="DDY16" s="11"/>
      <c r="DDZ16" s="11"/>
      <c r="DEA16" s="11"/>
      <c r="DEB16" s="11"/>
      <c r="DEC16" s="11"/>
      <c r="DED16" s="11"/>
      <c r="DEE16" s="11"/>
      <c r="DEF16" s="11"/>
      <c r="DEG16" s="11"/>
      <c r="DEH16" s="11"/>
      <c r="DEI16" s="11"/>
      <c r="DEJ16" s="11"/>
      <c r="DEK16" s="11"/>
      <c r="DEL16" s="11"/>
      <c r="DEM16" s="11"/>
      <c r="DEN16" s="11"/>
      <c r="DEO16" s="11"/>
      <c r="DEP16" s="11"/>
      <c r="DEQ16" s="11"/>
      <c r="DER16" s="11"/>
      <c r="DES16" s="11"/>
      <c r="DET16" s="11"/>
      <c r="DEU16" s="11"/>
      <c r="DEV16" s="11"/>
      <c r="DEW16" s="11"/>
      <c r="DEX16" s="11"/>
      <c r="DEY16" s="11"/>
      <c r="DEZ16" s="11"/>
      <c r="DFA16" s="11"/>
      <c r="DFB16" s="11"/>
      <c r="DFC16" s="11"/>
      <c r="DFD16" s="11"/>
      <c r="DFE16" s="11"/>
      <c r="DFF16" s="11"/>
      <c r="DFG16" s="11"/>
      <c r="DFH16" s="11"/>
      <c r="DFI16" s="11"/>
      <c r="DFJ16" s="11"/>
      <c r="DFK16" s="11"/>
      <c r="DFL16" s="11"/>
      <c r="DFM16" s="11"/>
      <c r="DFN16" s="11"/>
      <c r="DFO16" s="11"/>
      <c r="DFP16" s="11"/>
      <c r="DFQ16" s="11"/>
      <c r="DFR16" s="11"/>
      <c r="DFS16" s="11"/>
      <c r="DFT16" s="11"/>
      <c r="DFU16" s="11"/>
      <c r="DFV16" s="11"/>
      <c r="DFW16" s="11"/>
      <c r="DFX16" s="11"/>
      <c r="DFY16" s="11"/>
      <c r="DFZ16" s="11"/>
      <c r="DGA16" s="11"/>
      <c r="DGB16" s="11"/>
      <c r="DGC16" s="11"/>
      <c r="DGD16" s="11"/>
      <c r="DGE16" s="11"/>
      <c r="DGF16" s="11"/>
      <c r="DGG16" s="11"/>
      <c r="DGH16" s="11"/>
      <c r="DGI16" s="11"/>
      <c r="DGJ16" s="11"/>
      <c r="DGK16" s="11"/>
      <c r="DGL16" s="11"/>
      <c r="DGM16" s="11"/>
      <c r="DGN16" s="11"/>
      <c r="DGO16" s="11"/>
      <c r="DGP16" s="11"/>
      <c r="DGQ16" s="11"/>
      <c r="DGR16" s="11"/>
      <c r="DGS16" s="11"/>
      <c r="DGT16" s="11"/>
      <c r="DGU16" s="11"/>
      <c r="DGV16" s="11"/>
      <c r="DGW16" s="11"/>
      <c r="DGX16" s="11"/>
      <c r="DGY16" s="11"/>
      <c r="DGZ16" s="11"/>
      <c r="DHA16" s="11"/>
      <c r="DHB16" s="11"/>
      <c r="DHC16" s="11"/>
      <c r="DHD16" s="11"/>
      <c r="DHE16" s="11"/>
      <c r="DHF16" s="11"/>
      <c r="DHG16" s="11"/>
      <c r="DHH16" s="11"/>
      <c r="DHI16" s="11"/>
      <c r="DHJ16" s="11"/>
      <c r="DHK16" s="11"/>
      <c r="DHL16" s="11"/>
      <c r="DHM16" s="11"/>
      <c r="DHN16" s="11"/>
      <c r="DHO16" s="11"/>
      <c r="DHP16" s="11"/>
      <c r="DHQ16" s="11"/>
      <c r="DHR16" s="11"/>
      <c r="DHS16" s="11"/>
      <c r="DHT16" s="11"/>
      <c r="DHU16" s="11"/>
      <c r="DHV16" s="11"/>
      <c r="DHW16" s="11"/>
      <c r="DHX16" s="11"/>
      <c r="DHY16" s="11"/>
      <c r="DHZ16" s="11"/>
      <c r="DIA16" s="11"/>
      <c r="DIB16" s="11"/>
      <c r="DIC16" s="11"/>
      <c r="DID16" s="11"/>
      <c r="DIE16" s="11"/>
      <c r="DIF16" s="11"/>
      <c r="DIG16" s="11"/>
      <c r="DIH16" s="11"/>
      <c r="DII16" s="11"/>
      <c r="DIJ16" s="11"/>
      <c r="DIK16" s="11"/>
      <c r="DIL16" s="11"/>
      <c r="DIM16" s="11"/>
      <c r="DIN16" s="11"/>
      <c r="DIO16" s="11"/>
      <c r="DIP16" s="11"/>
      <c r="DIQ16" s="11"/>
      <c r="DIR16" s="11"/>
      <c r="DIS16" s="11"/>
      <c r="DIT16" s="11"/>
      <c r="DIU16" s="11"/>
      <c r="DIV16" s="11"/>
      <c r="DIW16" s="11"/>
      <c r="DIX16" s="11"/>
      <c r="DIY16" s="11"/>
      <c r="DIZ16" s="11"/>
      <c r="DJA16" s="11"/>
      <c r="DJB16" s="11"/>
      <c r="DJC16" s="11"/>
      <c r="DJD16" s="11"/>
      <c r="DJE16" s="11"/>
      <c r="DJF16" s="11"/>
      <c r="DJG16" s="11"/>
      <c r="DJH16" s="11"/>
      <c r="DJI16" s="11"/>
      <c r="DJJ16" s="11"/>
      <c r="DJK16" s="11"/>
      <c r="DJL16" s="11"/>
      <c r="DJM16" s="11"/>
      <c r="DJN16" s="11"/>
      <c r="DJO16" s="11"/>
      <c r="DJP16" s="11"/>
      <c r="DJQ16" s="11"/>
      <c r="DJR16" s="11"/>
      <c r="DJS16" s="11"/>
      <c r="DJT16" s="11"/>
      <c r="DJU16" s="11"/>
      <c r="DJV16" s="11"/>
      <c r="DJW16" s="11"/>
      <c r="DJX16" s="11"/>
      <c r="DJY16" s="11"/>
      <c r="DJZ16" s="11"/>
      <c r="DKA16" s="11"/>
      <c r="DKB16" s="11"/>
      <c r="DKC16" s="11"/>
      <c r="DKD16" s="11"/>
      <c r="DKE16" s="11"/>
      <c r="DKF16" s="11"/>
      <c r="DKG16" s="11"/>
      <c r="DKH16" s="11"/>
      <c r="DKI16" s="11"/>
      <c r="DKJ16" s="11"/>
      <c r="DKK16" s="11"/>
      <c r="DKL16" s="11"/>
      <c r="DKM16" s="11"/>
      <c r="DKN16" s="11"/>
      <c r="DKO16" s="11"/>
      <c r="DKP16" s="11"/>
      <c r="DKQ16" s="11"/>
      <c r="DKR16" s="11"/>
      <c r="DKS16" s="11"/>
      <c r="DKT16" s="11"/>
      <c r="DKU16" s="11"/>
      <c r="DKV16" s="11"/>
      <c r="DKW16" s="11"/>
      <c r="DKX16" s="11"/>
      <c r="DKY16" s="11"/>
      <c r="DKZ16" s="11"/>
      <c r="DLA16" s="11"/>
      <c r="DLB16" s="11"/>
      <c r="DLC16" s="11"/>
      <c r="DLD16" s="11"/>
      <c r="DLE16" s="11"/>
      <c r="DLF16" s="11"/>
      <c r="DLG16" s="11"/>
      <c r="DLH16" s="11"/>
      <c r="DLI16" s="11"/>
      <c r="DLJ16" s="11"/>
      <c r="DLK16" s="11"/>
      <c r="DLL16" s="11"/>
      <c r="DLM16" s="11"/>
      <c r="DLN16" s="11"/>
      <c r="DLO16" s="11"/>
      <c r="DLP16" s="11"/>
      <c r="DLQ16" s="11"/>
      <c r="DLR16" s="11"/>
      <c r="DLS16" s="11"/>
      <c r="DLT16" s="11"/>
      <c r="DLU16" s="11"/>
      <c r="DLV16" s="11"/>
      <c r="DLW16" s="11"/>
      <c r="DLX16" s="11"/>
      <c r="DLY16" s="11"/>
      <c r="DLZ16" s="11"/>
      <c r="DMA16" s="11"/>
      <c r="DMB16" s="11"/>
      <c r="DMC16" s="11"/>
      <c r="DMD16" s="11"/>
      <c r="DME16" s="11"/>
      <c r="DMF16" s="11"/>
      <c r="DMG16" s="11"/>
      <c r="DMH16" s="11"/>
      <c r="DMI16" s="11"/>
      <c r="DMJ16" s="11"/>
      <c r="DMK16" s="11"/>
      <c r="DML16" s="11"/>
      <c r="DMM16" s="11"/>
      <c r="DMN16" s="11"/>
      <c r="DMO16" s="11"/>
      <c r="DMP16" s="11"/>
      <c r="DMQ16" s="11"/>
      <c r="DMR16" s="11"/>
      <c r="DMS16" s="11"/>
      <c r="DMT16" s="11"/>
      <c r="DMU16" s="11"/>
      <c r="DMV16" s="11"/>
      <c r="DMW16" s="11"/>
      <c r="DMX16" s="11"/>
      <c r="DMY16" s="11"/>
      <c r="DMZ16" s="11"/>
      <c r="DNA16" s="11"/>
      <c r="DNB16" s="11"/>
      <c r="DNC16" s="11"/>
      <c r="DND16" s="11"/>
      <c r="DNE16" s="11"/>
      <c r="DNF16" s="11"/>
      <c r="DNG16" s="11"/>
      <c r="DNH16" s="11"/>
      <c r="DNI16" s="11"/>
      <c r="DNJ16" s="11"/>
      <c r="DNK16" s="11"/>
      <c r="DNL16" s="11"/>
      <c r="DNM16" s="11"/>
      <c r="DNN16" s="11"/>
      <c r="DNO16" s="11"/>
      <c r="DNP16" s="11"/>
      <c r="DNQ16" s="11"/>
      <c r="DNR16" s="11"/>
      <c r="DNS16" s="11"/>
      <c r="DNT16" s="11"/>
      <c r="DNU16" s="11"/>
      <c r="DNV16" s="11"/>
      <c r="DNW16" s="11"/>
      <c r="DNX16" s="11"/>
      <c r="DNY16" s="11"/>
      <c r="DNZ16" s="11"/>
      <c r="DOA16" s="11"/>
      <c r="DOB16" s="11"/>
      <c r="DOC16" s="11"/>
      <c r="DOD16" s="11"/>
      <c r="DOE16" s="11"/>
      <c r="DOF16" s="11"/>
      <c r="DOG16" s="11"/>
      <c r="DOH16" s="11"/>
      <c r="DOI16" s="11"/>
      <c r="DOJ16" s="11"/>
      <c r="DOK16" s="11"/>
      <c r="DOL16" s="11"/>
      <c r="DOM16" s="11"/>
      <c r="DON16" s="11"/>
      <c r="DOO16" s="11"/>
      <c r="DOP16" s="11"/>
      <c r="DOQ16" s="11"/>
      <c r="DOR16" s="11"/>
      <c r="DOS16" s="11"/>
      <c r="DOT16" s="11"/>
      <c r="DOU16" s="11"/>
      <c r="DOV16" s="11"/>
      <c r="DOW16" s="11"/>
      <c r="DOX16" s="11"/>
      <c r="DOY16" s="11"/>
      <c r="DOZ16" s="11"/>
      <c r="DPA16" s="11"/>
      <c r="DPB16" s="11"/>
      <c r="DPC16" s="11"/>
      <c r="DPD16" s="11"/>
      <c r="DPE16" s="11"/>
      <c r="DPF16" s="11"/>
      <c r="DPG16" s="11"/>
      <c r="DPH16" s="11"/>
      <c r="DPI16" s="11"/>
      <c r="DPJ16" s="11"/>
      <c r="DPK16" s="11"/>
      <c r="DPL16" s="11"/>
      <c r="DPM16" s="11"/>
      <c r="DPN16" s="11"/>
      <c r="DPO16" s="11"/>
      <c r="DPP16" s="11"/>
      <c r="DPQ16" s="11"/>
      <c r="DPR16" s="11"/>
      <c r="DPS16" s="11"/>
      <c r="DPT16" s="11"/>
      <c r="DPU16" s="11"/>
      <c r="DPV16" s="11"/>
      <c r="DPW16" s="11"/>
      <c r="DPX16" s="11"/>
      <c r="DPY16" s="11"/>
      <c r="DPZ16" s="11"/>
      <c r="DQA16" s="11"/>
      <c r="DQB16" s="11"/>
      <c r="DQC16" s="11"/>
      <c r="DQD16" s="11"/>
      <c r="DQE16" s="11"/>
      <c r="DQF16" s="11"/>
      <c r="DQG16" s="11"/>
      <c r="DQH16" s="11"/>
      <c r="DQI16" s="11"/>
      <c r="DQJ16" s="11"/>
      <c r="DQK16" s="11"/>
      <c r="DQL16" s="11"/>
      <c r="DQM16" s="11"/>
      <c r="DQN16" s="11"/>
      <c r="DQO16" s="11"/>
      <c r="DQP16" s="11"/>
      <c r="DQQ16" s="11"/>
      <c r="DQR16" s="11"/>
      <c r="DQS16" s="11"/>
      <c r="DQT16" s="11"/>
      <c r="DQU16" s="11"/>
      <c r="DQV16" s="11"/>
      <c r="DQW16" s="11"/>
      <c r="DQX16" s="11"/>
      <c r="DQY16" s="11"/>
      <c r="DQZ16" s="11"/>
      <c r="DRA16" s="11"/>
      <c r="DRB16" s="11"/>
      <c r="DRC16" s="11"/>
      <c r="DRD16" s="11"/>
      <c r="DRE16" s="11"/>
      <c r="DRF16" s="11"/>
      <c r="DRG16" s="11"/>
      <c r="DRH16" s="11"/>
      <c r="DRI16" s="11"/>
      <c r="DRJ16" s="11"/>
      <c r="DRK16" s="11"/>
      <c r="DRL16" s="11"/>
      <c r="DRM16" s="11"/>
      <c r="DRN16" s="11"/>
      <c r="DRO16" s="11"/>
      <c r="DRP16" s="11"/>
      <c r="DRQ16" s="11"/>
      <c r="DRR16" s="11"/>
      <c r="DRS16" s="11"/>
      <c r="DRT16" s="11"/>
      <c r="DRU16" s="11"/>
      <c r="DRV16" s="11"/>
      <c r="DRW16" s="11"/>
      <c r="DRX16" s="11"/>
      <c r="DRY16" s="11"/>
      <c r="DRZ16" s="11"/>
      <c r="DSA16" s="11"/>
      <c r="DSB16" s="11"/>
      <c r="DSC16" s="11"/>
      <c r="DSD16" s="11"/>
      <c r="DSE16" s="11"/>
      <c r="DSF16" s="11"/>
      <c r="DSG16" s="11"/>
      <c r="DSH16" s="11"/>
      <c r="DSI16" s="11"/>
      <c r="DSJ16" s="11"/>
      <c r="DSK16" s="11"/>
      <c r="DSL16" s="11"/>
      <c r="DSM16" s="11"/>
      <c r="DSN16" s="11"/>
      <c r="DSO16" s="11"/>
      <c r="DSP16" s="11"/>
      <c r="DSQ16" s="11"/>
      <c r="DSR16" s="11"/>
      <c r="DSS16" s="11"/>
      <c r="DST16" s="11"/>
      <c r="DSU16" s="11"/>
      <c r="DSV16" s="11"/>
      <c r="DSW16" s="11"/>
      <c r="DSX16" s="11"/>
      <c r="DSY16" s="11"/>
      <c r="DSZ16" s="11"/>
      <c r="DTA16" s="11"/>
      <c r="DTB16" s="11"/>
      <c r="DTC16" s="11"/>
      <c r="DTD16" s="11"/>
      <c r="DTE16" s="11"/>
      <c r="DTF16" s="11"/>
      <c r="DTG16" s="11"/>
      <c r="DTH16" s="11"/>
      <c r="DTI16" s="11"/>
      <c r="DTJ16" s="11"/>
      <c r="DTK16" s="11"/>
      <c r="DTL16" s="11"/>
      <c r="DTM16" s="11"/>
      <c r="DTN16" s="11"/>
      <c r="DTO16" s="11"/>
      <c r="DTP16" s="11"/>
      <c r="DTQ16" s="11"/>
      <c r="DTR16" s="11"/>
      <c r="DTS16" s="11"/>
      <c r="DTT16" s="11"/>
      <c r="DTU16" s="11"/>
      <c r="DTV16" s="11"/>
      <c r="DTW16" s="11"/>
      <c r="DTX16" s="11"/>
      <c r="DTY16" s="11"/>
      <c r="DTZ16" s="11"/>
      <c r="DUA16" s="11"/>
      <c r="DUB16" s="11"/>
      <c r="DUC16" s="11"/>
      <c r="DUD16" s="11"/>
      <c r="DUE16" s="11"/>
      <c r="DUF16" s="11"/>
      <c r="DUG16" s="11"/>
      <c r="DUH16" s="11"/>
      <c r="DUI16" s="11"/>
      <c r="DUJ16" s="11"/>
      <c r="DUK16" s="11"/>
      <c r="DUL16" s="11"/>
      <c r="DUM16" s="11"/>
      <c r="DUN16" s="11"/>
      <c r="DUO16" s="11"/>
      <c r="DUP16" s="11"/>
      <c r="DUQ16" s="11"/>
      <c r="DUR16" s="11"/>
      <c r="DUS16" s="11"/>
      <c r="DUT16" s="11"/>
      <c r="DUU16" s="11"/>
      <c r="DUV16" s="11"/>
      <c r="DUW16" s="11"/>
      <c r="DUX16" s="11"/>
      <c r="DUY16" s="11"/>
      <c r="DUZ16" s="11"/>
      <c r="DVA16" s="11"/>
      <c r="DVB16" s="11"/>
      <c r="DVC16" s="11"/>
      <c r="DVD16" s="11"/>
      <c r="DVE16" s="11"/>
      <c r="DVF16" s="11"/>
      <c r="DVG16" s="11"/>
      <c r="DVH16" s="11"/>
      <c r="DVI16" s="11"/>
      <c r="DVJ16" s="11"/>
      <c r="DVK16" s="11"/>
      <c r="DVL16" s="11"/>
      <c r="DVM16" s="11"/>
      <c r="DVN16" s="11"/>
      <c r="DVO16" s="11"/>
      <c r="DVP16" s="11"/>
      <c r="DVQ16" s="11"/>
      <c r="DVR16" s="11"/>
      <c r="DVS16" s="11"/>
      <c r="DVT16" s="11"/>
      <c r="DVU16" s="11"/>
      <c r="DVV16" s="11"/>
      <c r="DVW16" s="11"/>
      <c r="DVX16" s="11"/>
      <c r="DVY16" s="11"/>
      <c r="DVZ16" s="11"/>
      <c r="DWA16" s="11"/>
      <c r="DWB16" s="11"/>
      <c r="DWC16" s="11"/>
      <c r="DWD16" s="11"/>
      <c r="DWE16" s="11"/>
      <c r="DWF16" s="11"/>
      <c r="DWG16" s="11"/>
      <c r="DWH16" s="11"/>
      <c r="DWI16" s="11"/>
      <c r="DWJ16" s="11"/>
      <c r="DWK16" s="11"/>
      <c r="DWL16" s="11"/>
      <c r="DWM16" s="11"/>
      <c r="DWN16" s="11"/>
      <c r="DWO16" s="11"/>
      <c r="DWP16" s="11"/>
      <c r="DWQ16" s="11"/>
      <c r="DWR16" s="11"/>
      <c r="DWS16" s="11"/>
      <c r="DWT16" s="11"/>
      <c r="DWU16" s="11"/>
      <c r="DWV16" s="11"/>
      <c r="DWW16" s="11"/>
      <c r="DWX16" s="11"/>
      <c r="DWY16" s="11"/>
      <c r="DWZ16" s="11"/>
      <c r="DXA16" s="11"/>
      <c r="DXB16" s="11"/>
      <c r="DXC16" s="11"/>
      <c r="DXD16" s="11"/>
      <c r="DXE16" s="11"/>
      <c r="DXF16" s="11"/>
      <c r="DXG16" s="11"/>
      <c r="DXH16" s="11"/>
      <c r="DXI16" s="11"/>
      <c r="DXJ16" s="11"/>
      <c r="DXK16" s="11"/>
      <c r="DXL16" s="11"/>
      <c r="DXM16" s="11"/>
      <c r="DXN16" s="11"/>
      <c r="DXO16" s="11"/>
      <c r="DXP16" s="11"/>
      <c r="DXQ16" s="11"/>
      <c r="DXR16" s="11"/>
      <c r="DXS16" s="11"/>
      <c r="DXT16" s="11"/>
      <c r="DXU16" s="11"/>
      <c r="DXV16" s="11"/>
      <c r="DXW16" s="11"/>
      <c r="DXX16" s="11"/>
      <c r="DXY16" s="11"/>
      <c r="DXZ16" s="11"/>
      <c r="DYA16" s="11"/>
      <c r="DYB16" s="11"/>
      <c r="DYC16" s="11"/>
      <c r="DYD16" s="11"/>
      <c r="DYE16" s="11"/>
      <c r="DYF16" s="11"/>
      <c r="DYG16" s="11"/>
      <c r="DYH16" s="11"/>
      <c r="DYI16" s="11"/>
      <c r="DYJ16" s="11"/>
      <c r="DYK16" s="11"/>
      <c r="DYL16" s="11"/>
      <c r="DYM16" s="11"/>
      <c r="DYN16" s="11"/>
      <c r="DYO16" s="11"/>
      <c r="DYP16" s="11"/>
      <c r="DYQ16" s="11"/>
      <c r="DYR16" s="11"/>
      <c r="DYS16" s="11"/>
      <c r="DYT16" s="11"/>
      <c r="DYU16" s="11"/>
      <c r="DYV16" s="11"/>
      <c r="DYW16" s="11"/>
      <c r="DYX16" s="11"/>
      <c r="DYY16" s="11"/>
      <c r="DYZ16" s="11"/>
      <c r="DZA16" s="11"/>
      <c r="DZB16" s="11"/>
      <c r="DZC16" s="11"/>
      <c r="DZD16" s="11"/>
      <c r="DZE16" s="11"/>
      <c r="DZF16" s="11"/>
      <c r="DZG16" s="11"/>
      <c r="DZH16" s="11"/>
      <c r="DZI16" s="11"/>
      <c r="DZJ16" s="11"/>
      <c r="DZK16" s="11"/>
      <c r="DZL16" s="11"/>
      <c r="DZM16" s="11"/>
      <c r="DZN16" s="11"/>
      <c r="DZO16" s="11"/>
      <c r="DZP16" s="11"/>
      <c r="DZQ16" s="11"/>
      <c r="DZR16" s="11"/>
      <c r="DZS16" s="11"/>
      <c r="DZT16" s="11"/>
      <c r="DZU16" s="11"/>
      <c r="DZV16" s="11"/>
      <c r="DZW16" s="11"/>
      <c r="DZX16" s="11"/>
      <c r="DZY16" s="11"/>
      <c r="DZZ16" s="11"/>
      <c r="EAA16" s="11"/>
      <c r="EAB16" s="11"/>
      <c r="EAC16" s="11"/>
      <c r="EAD16" s="11"/>
      <c r="EAE16" s="11"/>
      <c r="EAF16" s="11"/>
      <c r="EAG16" s="11"/>
      <c r="EAH16" s="11"/>
      <c r="EAI16" s="11"/>
      <c r="EAJ16" s="11"/>
      <c r="EAK16" s="11"/>
      <c r="EAL16" s="11"/>
      <c r="EAM16" s="11"/>
      <c r="EAN16" s="11"/>
      <c r="EAO16" s="11"/>
      <c r="EAP16" s="11"/>
      <c r="EAQ16" s="11"/>
      <c r="EAR16" s="11"/>
      <c r="EAS16" s="11"/>
      <c r="EAT16" s="11"/>
      <c r="EAU16" s="11"/>
      <c r="EAV16" s="11"/>
      <c r="EAW16" s="11"/>
      <c r="EAX16" s="11"/>
      <c r="EAY16" s="11"/>
      <c r="EAZ16" s="11"/>
      <c r="EBA16" s="11"/>
      <c r="EBB16" s="11"/>
      <c r="EBC16" s="11"/>
      <c r="EBD16" s="11"/>
      <c r="EBE16" s="11"/>
      <c r="EBF16" s="11"/>
      <c r="EBG16" s="11"/>
      <c r="EBH16" s="11"/>
      <c r="EBI16" s="11"/>
      <c r="EBJ16" s="11"/>
      <c r="EBK16" s="11"/>
      <c r="EBL16" s="11"/>
      <c r="EBM16" s="11"/>
      <c r="EBN16" s="11"/>
      <c r="EBO16" s="11"/>
      <c r="EBP16" s="11"/>
      <c r="EBQ16" s="11"/>
      <c r="EBR16" s="11"/>
      <c r="EBS16" s="11"/>
      <c r="EBT16" s="11"/>
      <c r="EBU16" s="11"/>
      <c r="EBV16" s="11"/>
      <c r="EBW16" s="11"/>
      <c r="EBX16" s="11"/>
      <c r="EBY16" s="11"/>
      <c r="EBZ16" s="11"/>
      <c r="ECA16" s="11"/>
      <c r="ECB16" s="11"/>
      <c r="ECC16" s="11"/>
      <c r="ECD16" s="11"/>
      <c r="ECE16" s="11"/>
      <c r="ECF16" s="11"/>
      <c r="ECG16" s="11"/>
      <c r="ECH16" s="11"/>
      <c r="ECI16" s="11"/>
      <c r="ECJ16" s="11"/>
      <c r="ECK16" s="11"/>
      <c r="ECL16" s="11"/>
      <c r="ECM16" s="11"/>
      <c r="ECN16" s="11"/>
      <c r="ECO16" s="11"/>
      <c r="ECP16" s="11"/>
      <c r="ECQ16" s="11"/>
      <c r="ECR16" s="11"/>
      <c r="ECS16" s="11"/>
      <c r="ECT16" s="11"/>
      <c r="ECU16" s="11"/>
      <c r="ECV16" s="11"/>
      <c r="ECW16" s="11"/>
      <c r="ECX16" s="11"/>
      <c r="ECY16" s="11"/>
      <c r="ECZ16" s="11"/>
      <c r="EDA16" s="11"/>
      <c r="EDB16" s="11"/>
      <c r="EDC16" s="11"/>
      <c r="EDD16" s="11"/>
      <c r="EDE16" s="11"/>
      <c r="EDF16" s="11"/>
      <c r="EDG16" s="11"/>
      <c r="EDH16" s="11"/>
      <c r="EDI16" s="11"/>
      <c r="EDJ16" s="11"/>
      <c r="EDK16" s="11"/>
      <c r="EDL16" s="11"/>
      <c r="EDM16" s="11"/>
      <c r="EDN16" s="11"/>
      <c r="EDO16" s="11"/>
      <c r="EDP16" s="11"/>
      <c r="EDQ16" s="11"/>
      <c r="EDR16" s="11"/>
      <c r="EDS16" s="11"/>
      <c r="EDT16" s="11"/>
      <c r="EDU16" s="11"/>
      <c r="EDV16" s="11"/>
      <c r="EDW16" s="11"/>
      <c r="EDX16" s="11"/>
      <c r="EDY16" s="11"/>
      <c r="EDZ16" s="11"/>
      <c r="EEA16" s="11"/>
      <c r="EEB16" s="11"/>
      <c r="EEC16" s="11"/>
      <c r="EED16" s="11"/>
      <c r="EEE16" s="11"/>
      <c r="EEF16" s="11"/>
      <c r="EEG16" s="11"/>
      <c r="EEH16" s="11"/>
      <c r="EEI16" s="11"/>
      <c r="EEJ16" s="11"/>
      <c r="EEK16" s="11"/>
      <c r="EEL16" s="11"/>
      <c r="EEM16" s="11"/>
      <c r="EEN16" s="11"/>
      <c r="EEO16" s="11"/>
      <c r="EEP16" s="11"/>
      <c r="EEQ16" s="11"/>
      <c r="EER16" s="11"/>
      <c r="EES16" s="11"/>
      <c r="EET16" s="11"/>
      <c r="EEU16" s="11"/>
      <c r="EEV16" s="11"/>
      <c r="EEW16" s="11"/>
      <c r="EEX16" s="11"/>
      <c r="EEY16" s="11"/>
      <c r="EEZ16" s="11"/>
      <c r="EFA16" s="11"/>
      <c r="EFB16" s="11"/>
      <c r="EFC16" s="11"/>
      <c r="EFD16" s="11"/>
      <c r="EFE16" s="11"/>
      <c r="EFF16" s="11"/>
      <c r="EFG16" s="11"/>
      <c r="EFH16" s="11"/>
      <c r="EFI16" s="11"/>
      <c r="EFJ16" s="11"/>
      <c r="EFK16" s="11"/>
      <c r="EFL16" s="11"/>
      <c r="EFM16" s="11"/>
      <c r="EFN16" s="11"/>
      <c r="EFO16" s="11"/>
      <c r="EFP16" s="11"/>
      <c r="EFQ16" s="11"/>
      <c r="EFR16" s="11"/>
      <c r="EFS16" s="11"/>
      <c r="EFT16" s="11"/>
      <c r="EFU16" s="11"/>
      <c r="EFV16" s="11"/>
      <c r="EFW16" s="11"/>
      <c r="EFX16" s="11"/>
      <c r="EFY16" s="11"/>
      <c r="EFZ16" s="11"/>
      <c r="EGA16" s="11"/>
      <c r="EGB16" s="11"/>
      <c r="EGC16" s="11"/>
      <c r="EGD16" s="11"/>
      <c r="EGE16" s="11"/>
      <c r="EGF16" s="11"/>
      <c r="EGG16" s="11"/>
      <c r="EGH16" s="11"/>
      <c r="EGI16" s="11"/>
      <c r="EGJ16" s="11"/>
      <c r="EGK16" s="11"/>
      <c r="EGL16" s="11"/>
      <c r="EGM16" s="11"/>
      <c r="EGN16" s="11"/>
      <c r="EGO16" s="11"/>
      <c r="EGP16" s="11"/>
      <c r="EGQ16" s="11"/>
      <c r="EGR16" s="11"/>
      <c r="EGS16" s="11"/>
      <c r="EGT16" s="11"/>
      <c r="EGU16" s="11"/>
      <c r="EGV16" s="11"/>
      <c r="EGW16" s="11"/>
      <c r="EGX16" s="11"/>
      <c r="EGY16" s="11"/>
      <c r="EGZ16" s="11"/>
      <c r="EHA16" s="11"/>
      <c r="EHB16" s="11"/>
      <c r="EHC16" s="11"/>
      <c r="EHD16" s="11"/>
      <c r="EHE16" s="11"/>
      <c r="EHF16" s="11"/>
      <c r="EHG16" s="11"/>
      <c r="EHH16" s="11"/>
      <c r="EHI16" s="11"/>
      <c r="EHJ16" s="11"/>
      <c r="EHK16" s="11"/>
      <c r="EHL16" s="11"/>
      <c r="EHM16" s="11"/>
      <c r="EHN16" s="11"/>
      <c r="EHO16" s="11"/>
      <c r="EHP16" s="11"/>
      <c r="EHQ16" s="11"/>
      <c r="EHR16" s="11"/>
      <c r="EHS16" s="11"/>
      <c r="EHT16" s="11"/>
      <c r="EHU16" s="11"/>
      <c r="EHV16" s="11"/>
      <c r="EHW16" s="11"/>
      <c r="EHX16" s="11"/>
      <c r="EHY16" s="11"/>
      <c r="EHZ16" s="11"/>
      <c r="EIA16" s="11"/>
      <c r="EIB16" s="11"/>
      <c r="EIC16" s="11"/>
      <c r="EID16" s="11"/>
      <c r="EIE16" s="11"/>
      <c r="EIF16" s="11"/>
      <c r="EIG16" s="11"/>
      <c r="EIH16" s="11"/>
      <c r="EII16" s="11"/>
      <c r="EIJ16" s="11"/>
      <c r="EIK16" s="11"/>
      <c r="EIL16" s="11"/>
      <c r="EIM16" s="11"/>
      <c r="EIN16" s="11"/>
      <c r="EIO16" s="11"/>
      <c r="EIP16" s="11"/>
      <c r="EIQ16" s="11"/>
      <c r="EIR16" s="11"/>
      <c r="EIS16" s="11"/>
      <c r="EIT16" s="11"/>
      <c r="EIU16" s="11"/>
      <c r="EIV16" s="11"/>
      <c r="EIW16" s="11"/>
      <c r="EIX16" s="11"/>
      <c r="EIY16" s="11"/>
      <c r="EIZ16" s="11"/>
      <c r="EJA16" s="11"/>
      <c r="EJB16" s="11"/>
      <c r="EJC16" s="11"/>
      <c r="EJD16" s="11"/>
      <c r="EJE16" s="11"/>
      <c r="EJF16" s="11"/>
      <c r="EJG16" s="11"/>
      <c r="EJH16" s="11"/>
      <c r="EJI16" s="11"/>
      <c r="EJJ16" s="11"/>
      <c r="EJK16" s="11"/>
      <c r="EJL16" s="11"/>
      <c r="EJM16" s="11"/>
      <c r="EJN16" s="11"/>
      <c r="EJO16" s="11"/>
      <c r="EJP16" s="11"/>
      <c r="EJQ16" s="11"/>
      <c r="EJR16" s="11"/>
      <c r="EJS16" s="11"/>
      <c r="EJT16" s="11"/>
      <c r="EJU16" s="11"/>
      <c r="EJV16" s="11"/>
      <c r="EJW16" s="11"/>
      <c r="EJX16" s="11"/>
      <c r="EJY16" s="11"/>
      <c r="EJZ16" s="11"/>
      <c r="EKA16" s="11"/>
      <c r="EKB16" s="11"/>
      <c r="EKC16" s="11"/>
      <c r="EKD16" s="11"/>
      <c r="EKE16" s="11"/>
      <c r="EKF16" s="11"/>
      <c r="EKG16" s="11"/>
      <c r="EKH16" s="11"/>
      <c r="EKI16" s="11"/>
      <c r="EKJ16" s="11"/>
      <c r="EKK16" s="11"/>
      <c r="EKL16" s="11"/>
      <c r="EKM16" s="11"/>
      <c r="EKN16" s="11"/>
      <c r="EKO16" s="11"/>
      <c r="EKP16" s="11"/>
      <c r="EKQ16" s="11"/>
      <c r="EKR16" s="11"/>
      <c r="EKS16" s="11"/>
      <c r="EKT16" s="11"/>
      <c r="EKU16" s="11"/>
      <c r="EKV16" s="11"/>
      <c r="EKW16" s="11"/>
      <c r="EKX16" s="11"/>
      <c r="EKY16" s="11"/>
      <c r="EKZ16" s="11"/>
      <c r="ELA16" s="11"/>
      <c r="ELB16" s="11"/>
      <c r="ELC16" s="11"/>
      <c r="ELD16" s="11"/>
      <c r="ELE16" s="11"/>
      <c r="ELF16" s="11"/>
      <c r="ELG16" s="11"/>
      <c r="ELH16" s="11"/>
      <c r="ELI16" s="11"/>
      <c r="ELJ16" s="11"/>
      <c r="ELK16" s="11"/>
      <c r="ELL16" s="11"/>
      <c r="ELM16" s="11"/>
      <c r="ELN16" s="11"/>
      <c r="ELO16" s="11"/>
      <c r="ELP16" s="11"/>
      <c r="ELQ16" s="11"/>
      <c r="ELR16" s="11"/>
      <c r="ELS16" s="11"/>
      <c r="ELT16" s="11"/>
      <c r="ELU16" s="11"/>
      <c r="ELV16" s="11"/>
      <c r="ELW16" s="11"/>
      <c r="ELX16" s="11"/>
      <c r="ELY16" s="11"/>
      <c r="ELZ16" s="11"/>
      <c r="EMA16" s="11"/>
      <c r="EMB16" s="11"/>
      <c r="EMC16" s="11"/>
      <c r="EMD16" s="11"/>
      <c r="EME16" s="11"/>
      <c r="EMF16" s="11"/>
      <c r="EMG16" s="11"/>
      <c r="EMH16" s="11"/>
      <c r="EMI16" s="11"/>
      <c r="EMJ16" s="11"/>
      <c r="EMK16" s="11"/>
      <c r="EML16" s="11"/>
      <c r="EMM16" s="11"/>
      <c r="EMN16" s="11"/>
      <c r="EMO16" s="11"/>
      <c r="EMP16" s="11"/>
      <c r="EMQ16" s="11"/>
      <c r="EMR16" s="11"/>
      <c r="EMS16" s="11"/>
      <c r="EMT16" s="11"/>
      <c r="EMU16" s="11"/>
      <c r="EMV16" s="11"/>
      <c r="EMW16" s="11"/>
      <c r="EMX16" s="11"/>
      <c r="EMY16" s="11"/>
      <c r="EMZ16" s="11"/>
      <c r="ENA16" s="11"/>
      <c r="ENB16" s="11"/>
      <c r="ENC16" s="11"/>
      <c r="END16" s="11"/>
      <c r="ENE16" s="11"/>
      <c r="ENF16" s="11"/>
      <c r="ENG16" s="11"/>
      <c r="ENH16" s="11"/>
      <c r="ENI16" s="11"/>
      <c r="ENJ16" s="11"/>
      <c r="ENK16" s="11"/>
      <c r="ENL16" s="11"/>
      <c r="ENM16" s="11"/>
      <c r="ENN16" s="11"/>
      <c r="ENO16" s="11"/>
      <c r="ENP16" s="11"/>
      <c r="ENQ16" s="11"/>
      <c r="ENR16" s="11"/>
      <c r="ENS16" s="11"/>
      <c r="ENT16" s="11"/>
      <c r="ENU16" s="11"/>
      <c r="ENV16" s="11"/>
      <c r="ENW16" s="11"/>
      <c r="ENX16" s="11"/>
      <c r="ENY16" s="11"/>
      <c r="ENZ16" s="11"/>
      <c r="EOA16" s="11"/>
      <c r="EOB16" s="11"/>
      <c r="EOC16" s="11"/>
      <c r="EOD16" s="11"/>
      <c r="EOE16" s="11"/>
      <c r="EOF16" s="11"/>
      <c r="EOG16" s="11"/>
      <c r="EOH16" s="11"/>
      <c r="EOI16" s="11"/>
      <c r="EOJ16" s="11"/>
      <c r="EOK16" s="11"/>
      <c r="EOL16" s="11"/>
      <c r="EOM16" s="11"/>
      <c r="EON16" s="11"/>
      <c r="EOO16" s="11"/>
      <c r="EOP16" s="11"/>
      <c r="EOQ16" s="11"/>
      <c r="EOR16" s="11"/>
      <c r="EOS16" s="11"/>
      <c r="EOT16" s="11"/>
      <c r="EOU16" s="11"/>
      <c r="EOV16" s="11"/>
      <c r="EOW16" s="11"/>
      <c r="EOX16" s="11"/>
      <c r="EOY16" s="11"/>
      <c r="EOZ16" s="11"/>
      <c r="EPA16" s="11"/>
      <c r="EPB16" s="11"/>
      <c r="EPC16" s="11"/>
      <c r="EPD16" s="11"/>
      <c r="EPE16" s="11"/>
      <c r="EPF16" s="11"/>
      <c r="EPG16" s="11"/>
      <c r="EPH16" s="11"/>
      <c r="EPI16" s="11"/>
      <c r="EPJ16" s="11"/>
      <c r="EPK16" s="11"/>
      <c r="EPL16" s="11"/>
      <c r="EPM16" s="11"/>
      <c r="EPN16" s="11"/>
      <c r="EPO16" s="11"/>
      <c r="EPP16" s="11"/>
      <c r="EPQ16" s="11"/>
      <c r="EPR16" s="11"/>
      <c r="EPS16" s="11"/>
      <c r="EPT16" s="11"/>
      <c r="EPU16" s="11"/>
      <c r="EPV16" s="11"/>
      <c r="EPW16" s="11"/>
      <c r="EPX16" s="11"/>
      <c r="EPY16" s="11"/>
      <c r="EPZ16" s="11"/>
      <c r="EQA16" s="11"/>
      <c r="EQB16" s="11"/>
      <c r="EQC16" s="11"/>
      <c r="EQD16" s="11"/>
      <c r="EQE16" s="11"/>
      <c r="EQF16" s="11"/>
      <c r="EQG16" s="11"/>
      <c r="EQH16" s="11"/>
      <c r="EQI16" s="11"/>
      <c r="EQJ16" s="11"/>
      <c r="EQK16" s="11"/>
      <c r="EQL16" s="11"/>
      <c r="EQM16" s="11"/>
      <c r="EQN16" s="11"/>
      <c r="EQO16" s="11"/>
      <c r="EQP16" s="11"/>
      <c r="EQQ16" s="11"/>
      <c r="EQR16" s="11"/>
      <c r="EQS16" s="11"/>
      <c r="EQT16" s="11"/>
      <c r="EQU16" s="11"/>
      <c r="EQV16" s="11"/>
      <c r="EQW16" s="11"/>
      <c r="EQX16" s="11"/>
      <c r="EQY16" s="11"/>
      <c r="EQZ16" s="11"/>
      <c r="ERA16" s="11"/>
      <c r="ERB16" s="11"/>
      <c r="ERC16" s="11"/>
      <c r="ERD16" s="11"/>
      <c r="ERE16" s="11"/>
      <c r="ERF16" s="11"/>
      <c r="ERG16" s="11"/>
      <c r="ERH16" s="11"/>
      <c r="ERI16" s="11"/>
      <c r="ERJ16" s="11"/>
      <c r="ERK16" s="11"/>
      <c r="ERL16" s="11"/>
      <c r="ERM16" s="11"/>
      <c r="ERN16" s="11"/>
      <c r="ERO16" s="11"/>
      <c r="ERP16" s="11"/>
      <c r="ERQ16" s="11"/>
      <c r="ERR16" s="11"/>
      <c r="ERS16" s="11"/>
      <c r="ERT16" s="11"/>
      <c r="ERU16" s="11"/>
      <c r="ERV16" s="11"/>
      <c r="ERW16" s="11"/>
      <c r="ERX16" s="11"/>
      <c r="ERY16" s="11"/>
      <c r="ERZ16" s="11"/>
      <c r="ESA16" s="11"/>
      <c r="ESB16" s="11"/>
      <c r="ESC16" s="11"/>
      <c r="ESD16" s="11"/>
      <c r="ESE16" s="11"/>
      <c r="ESF16" s="11"/>
      <c r="ESG16" s="11"/>
      <c r="ESH16" s="11"/>
      <c r="ESI16" s="11"/>
      <c r="ESJ16" s="11"/>
      <c r="ESK16" s="11"/>
      <c r="ESL16" s="11"/>
      <c r="ESM16" s="11"/>
      <c r="ESN16" s="11"/>
      <c r="ESO16" s="11"/>
      <c r="ESP16" s="11"/>
      <c r="ESQ16" s="11"/>
      <c r="ESR16" s="11"/>
      <c r="ESS16" s="11"/>
      <c r="EST16" s="11"/>
      <c r="ESU16" s="11"/>
      <c r="ESV16" s="11"/>
      <c r="ESW16" s="11"/>
      <c r="ESX16" s="11"/>
      <c r="ESY16" s="11"/>
      <c r="ESZ16" s="11"/>
      <c r="ETA16" s="11"/>
      <c r="ETB16" s="11"/>
      <c r="ETC16" s="11"/>
      <c r="ETD16" s="11"/>
      <c r="ETE16" s="11"/>
      <c r="ETF16" s="11"/>
      <c r="ETG16" s="11"/>
      <c r="ETH16" s="11"/>
      <c r="ETI16" s="11"/>
      <c r="ETJ16" s="11"/>
      <c r="ETK16" s="11"/>
      <c r="ETL16" s="11"/>
      <c r="ETM16" s="11"/>
      <c r="ETN16" s="11"/>
      <c r="ETO16" s="11"/>
      <c r="ETP16" s="11"/>
      <c r="ETQ16" s="11"/>
      <c r="ETR16" s="11"/>
      <c r="ETS16" s="11"/>
      <c r="ETT16" s="11"/>
      <c r="ETU16" s="11"/>
      <c r="ETV16" s="11"/>
      <c r="ETW16" s="11"/>
      <c r="ETX16" s="11"/>
      <c r="ETY16" s="11"/>
      <c r="ETZ16" s="11"/>
      <c r="EUA16" s="11"/>
      <c r="EUB16" s="11"/>
      <c r="EUC16" s="11"/>
      <c r="EUD16" s="11"/>
      <c r="EUE16" s="11"/>
      <c r="EUF16" s="11"/>
      <c r="EUG16" s="11"/>
      <c r="EUH16" s="11"/>
      <c r="EUI16" s="11"/>
      <c r="EUJ16" s="11"/>
      <c r="EUK16" s="11"/>
      <c r="EUL16" s="11"/>
      <c r="EUM16" s="11"/>
      <c r="EUN16" s="11"/>
      <c r="EUO16" s="11"/>
      <c r="EUP16" s="11"/>
      <c r="EUQ16" s="11"/>
      <c r="EUR16" s="11"/>
      <c r="EUS16" s="11"/>
      <c r="EUT16" s="11"/>
      <c r="EUU16" s="11"/>
      <c r="EUV16" s="11"/>
      <c r="EUW16" s="11"/>
      <c r="EUX16" s="11"/>
      <c r="EUY16" s="11"/>
      <c r="EUZ16" s="11"/>
      <c r="EVA16" s="11"/>
      <c r="EVB16" s="11"/>
      <c r="EVC16" s="11"/>
      <c r="EVD16" s="11"/>
      <c r="EVE16" s="11"/>
      <c r="EVF16" s="11"/>
      <c r="EVG16" s="11"/>
      <c r="EVH16" s="11"/>
      <c r="EVI16" s="11"/>
      <c r="EVJ16" s="11"/>
      <c r="EVK16" s="11"/>
      <c r="EVL16" s="11"/>
      <c r="EVM16" s="11"/>
      <c r="EVN16" s="11"/>
      <c r="EVO16" s="11"/>
      <c r="EVP16" s="11"/>
      <c r="EVQ16" s="11"/>
      <c r="EVR16" s="11"/>
      <c r="EVS16" s="11"/>
      <c r="EVT16" s="11"/>
      <c r="EVU16" s="11"/>
      <c r="EVV16" s="11"/>
      <c r="EVW16" s="11"/>
      <c r="EVX16" s="11"/>
      <c r="EVY16" s="11"/>
      <c r="EVZ16" s="11"/>
      <c r="EWA16" s="11"/>
      <c r="EWB16" s="11"/>
      <c r="EWC16" s="11"/>
      <c r="EWD16" s="11"/>
      <c r="EWE16" s="11"/>
      <c r="EWF16" s="11"/>
      <c r="EWG16" s="11"/>
      <c r="EWH16" s="11"/>
      <c r="EWI16" s="11"/>
      <c r="EWJ16" s="11"/>
      <c r="EWK16" s="11"/>
      <c r="EWL16" s="11"/>
      <c r="EWM16" s="11"/>
      <c r="EWN16" s="11"/>
      <c r="EWO16" s="11"/>
      <c r="EWP16" s="11"/>
      <c r="EWQ16" s="11"/>
      <c r="EWR16" s="11"/>
      <c r="EWS16" s="11"/>
      <c r="EWT16" s="11"/>
      <c r="EWU16" s="11"/>
      <c r="EWV16" s="11"/>
      <c r="EWW16" s="11"/>
      <c r="EWX16" s="11"/>
      <c r="EWY16" s="11"/>
      <c r="EWZ16" s="11"/>
      <c r="EXA16" s="11"/>
      <c r="EXB16" s="11"/>
      <c r="EXC16" s="11"/>
      <c r="EXD16" s="11"/>
      <c r="EXE16" s="11"/>
      <c r="EXF16" s="11"/>
      <c r="EXG16" s="11"/>
      <c r="EXH16" s="11"/>
      <c r="EXI16" s="11"/>
      <c r="EXJ16" s="11"/>
      <c r="EXK16" s="11"/>
      <c r="EXL16" s="11"/>
      <c r="EXM16" s="11"/>
      <c r="EXN16" s="11"/>
      <c r="EXO16" s="11"/>
      <c r="EXP16" s="11"/>
      <c r="EXQ16" s="11"/>
      <c r="EXR16" s="11"/>
      <c r="EXS16" s="11"/>
      <c r="EXT16" s="11"/>
      <c r="EXU16" s="11"/>
      <c r="EXV16" s="11"/>
      <c r="EXW16" s="11"/>
      <c r="EXX16" s="11"/>
      <c r="EXY16" s="11"/>
      <c r="EXZ16" s="11"/>
      <c r="EYA16" s="11"/>
      <c r="EYB16" s="11"/>
      <c r="EYC16" s="11"/>
      <c r="EYD16" s="11"/>
      <c r="EYE16" s="11"/>
      <c r="EYF16" s="11"/>
      <c r="EYG16" s="11"/>
      <c r="EYH16" s="11"/>
      <c r="EYI16" s="11"/>
      <c r="EYJ16" s="11"/>
      <c r="EYK16" s="11"/>
      <c r="EYL16" s="11"/>
      <c r="EYM16" s="11"/>
      <c r="EYN16" s="11"/>
      <c r="EYO16" s="11"/>
      <c r="EYP16" s="11"/>
      <c r="EYQ16" s="11"/>
      <c r="EYR16" s="11"/>
      <c r="EYS16" s="11"/>
      <c r="EYT16" s="11"/>
      <c r="EYU16" s="11"/>
      <c r="EYV16" s="11"/>
      <c r="EYW16" s="11"/>
      <c r="EYX16" s="11"/>
      <c r="EYY16" s="11"/>
      <c r="EYZ16" s="11"/>
      <c r="EZA16" s="11"/>
      <c r="EZB16" s="11"/>
      <c r="EZC16" s="11"/>
      <c r="EZD16" s="11"/>
      <c r="EZE16" s="11"/>
      <c r="EZF16" s="11"/>
      <c r="EZG16" s="11"/>
      <c r="EZH16" s="11"/>
      <c r="EZI16" s="11"/>
      <c r="EZJ16" s="11"/>
      <c r="EZK16" s="11"/>
      <c r="EZL16" s="11"/>
      <c r="EZM16" s="11"/>
      <c r="EZN16" s="11"/>
      <c r="EZO16" s="11"/>
      <c r="EZP16" s="11"/>
      <c r="EZQ16" s="11"/>
      <c r="EZR16" s="11"/>
      <c r="EZS16" s="11"/>
      <c r="EZT16" s="11"/>
      <c r="EZU16" s="11"/>
      <c r="EZV16" s="11"/>
      <c r="EZW16" s="11"/>
      <c r="EZX16" s="11"/>
      <c r="EZY16" s="11"/>
      <c r="EZZ16" s="11"/>
      <c r="FAA16" s="11"/>
      <c r="FAB16" s="11"/>
      <c r="FAC16" s="11"/>
      <c r="FAD16" s="11"/>
      <c r="FAE16" s="11"/>
      <c r="FAF16" s="11"/>
      <c r="FAG16" s="11"/>
      <c r="FAH16" s="11"/>
      <c r="FAI16" s="11"/>
      <c r="FAJ16" s="11"/>
      <c r="FAK16" s="11"/>
      <c r="FAL16" s="11"/>
      <c r="FAM16" s="11"/>
      <c r="FAN16" s="11"/>
      <c r="FAO16" s="11"/>
      <c r="FAP16" s="11"/>
      <c r="FAQ16" s="11"/>
      <c r="FAR16" s="11"/>
      <c r="FAS16" s="11"/>
      <c r="FAT16" s="11"/>
      <c r="FAU16" s="11"/>
      <c r="FAV16" s="11"/>
      <c r="FAW16" s="11"/>
      <c r="FAX16" s="11"/>
      <c r="FAY16" s="11"/>
      <c r="FAZ16" s="11"/>
      <c r="FBA16" s="11"/>
      <c r="FBB16" s="11"/>
      <c r="FBC16" s="11"/>
      <c r="FBD16" s="11"/>
      <c r="FBE16" s="11"/>
      <c r="FBF16" s="11"/>
      <c r="FBG16" s="11"/>
      <c r="FBH16" s="11"/>
      <c r="FBI16" s="11"/>
      <c r="FBJ16" s="11"/>
      <c r="FBK16" s="11"/>
      <c r="FBL16" s="11"/>
      <c r="FBM16" s="11"/>
      <c r="FBN16" s="11"/>
      <c r="FBO16" s="11"/>
      <c r="FBP16" s="11"/>
      <c r="FBQ16" s="11"/>
      <c r="FBR16" s="11"/>
      <c r="FBS16" s="11"/>
      <c r="FBT16" s="11"/>
      <c r="FBU16" s="11"/>
      <c r="FBV16" s="11"/>
      <c r="FBW16" s="11"/>
      <c r="FBX16" s="11"/>
      <c r="FBY16" s="11"/>
      <c r="FBZ16" s="11"/>
      <c r="FCA16" s="11"/>
      <c r="FCB16" s="11"/>
      <c r="FCC16" s="11"/>
      <c r="FCD16" s="11"/>
      <c r="FCE16" s="11"/>
      <c r="FCF16" s="11"/>
      <c r="FCG16" s="11"/>
      <c r="FCH16" s="11"/>
      <c r="FCI16" s="11"/>
      <c r="FCJ16" s="11"/>
      <c r="FCK16" s="11"/>
      <c r="FCL16" s="11"/>
      <c r="FCM16" s="11"/>
      <c r="FCN16" s="11"/>
      <c r="FCO16" s="11"/>
      <c r="FCP16" s="11"/>
      <c r="FCQ16" s="11"/>
      <c r="FCR16" s="11"/>
      <c r="FCS16" s="11"/>
      <c r="FCT16" s="11"/>
      <c r="FCU16" s="11"/>
      <c r="FCV16" s="11"/>
      <c r="FCW16" s="11"/>
      <c r="FCX16" s="11"/>
      <c r="FCY16" s="11"/>
      <c r="FCZ16" s="11"/>
      <c r="FDA16" s="11"/>
      <c r="FDB16" s="11"/>
      <c r="FDC16" s="11"/>
      <c r="FDD16" s="11"/>
      <c r="FDE16" s="11"/>
      <c r="FDF16" s="11"/>
      <c r="FDG16" s="11"/>
      <c r="FDH16" s="11"/>
      <c r="FDI16" s="11"/>
      <c r="FDJ16" s="11"/>
      <c r="FDK16" s="11"/>
      <c r="FDL16" s="11"/>
      <c r="FDM16" s="11"/>
      <c r="FDN16" s="11"/>
      <c r="FDO16" s="11"/>
      <c r="FDP16" s="11"/>
      <c r="FDQ16" s="11"/>
      <c r="FDR16" s="11"/>
      <c r="FDS16" s="11"/>
      <c r="FDT16" s="11"/>
      <c r="FDU16" s="11"/>
      <c r="FDV16" s="11"/>
      <c r="FDW16" s="11"/>
      <c r="FDX16" s="11"/>
      <c r="FDY16" s="11"/>
      <c r="FDZ16" s="11"/>
      <c r="FEA16" s="11"/>
      <c r="FEB16" s="11"/>
      <c r="FEC16" s="11"/>
      <c r="FED16" s="11"/>
      <c r="FEE16" s="11"/>
      <c r="FEF16" s="11"/>
      <c r="FEG16" s="11"/>
      <c r="FEH16" s="11"/>
      <c r="FEI16" s="11"/>
      <c r="FEJ16" s="11"/>
      <c r="FEK16" s="11"/>
      <c r="FEL16" s="11"/>
      <c r="FEM16" s="11"/>
      <c r="FEN16" s="11"/>
      <c r="FEO16" s="11"/>
      <c r="FEP16" s="11"/>
      <c r="FEQ16" s="11"/>
      <c r="FER16" s="11"/>
      <c r="FES16" s="11"/>
      <c r="FET16" s="11"/>
      <c r="FEU16" s="11"/>
      <c r="FEV16" s="11"/>
      <c r="FEW16" s="11"/>
      <c r="FEX16" s="11"/>
      <c r="FEY16" s="11"/>
      <c r="FEZ16" s="11"/>
      <c r="FFA16" s="11"/>
      <c r="FFB16" s="11"/>
      <c r="FFC16" s="11"/>
      <c r="FFD16" s="11"/>
      <c r="FFE16" s="11"/>
      <c r="FFF16" s="11"/>
      <c r="FFG16" s="11"/>
      <c r="FFH16" s="11"/>
      <c r="FFI16" s="11"/>
      <c r="FFJ16" s="11"/>
      <c r="FFK16" s="11"/>
      <c r="FFL16" s="11"/>
      <c r="FFM16" s="11"/>
      <c r="FFN16" s="11"/>
      <c r="FFO16" s="11"/>
      <c r="FFP16" s="11"/>
      <c r="FFQ16" s="11"/>
      <c r="FFR16" s="11"/>
      <c r="FFS16" s="11"/>
      <c r="FFT16" s="11"/>
      <c r="FFU16" s="11"/>
      <c r="FFV16" s="11"/>
      <c r="FFW16" s="11"/>
      <c r="FFX16" s="11"/>
      <c r="FFY16" s="11"/>
      <c r="FFZ16" s="11"/>
      <c r="FGA16" s="11"/>
      <c r="FGB16" s="11"/>
      <c r="FGC16" s="11"/>
      <c r="FGD16" s="11"/>
      <c r="FGE16" s="11"/>
      <c r="FGF16" s="11"/>
      <c r="FGG16" s="11"/>
      <c r="FGH16" s="11"/>
      <c r="FGI16" s="11"/>
      <c r="FGJ16" s="11"/>
      <c r="FGK16" s="11"/>
      <c r="FGL16" s="11"/>
      <c r="FGM16" s="11"/>
      <c r="FGN16" s="11"/>
      <c r="FGO16" s="11"/>
      <c r="FGP16" s="11"/>
      <c r="FGQ16" s="11"/>
      <c r="FGR16" s="11"/>
      <c r="FGS16" s="11"/>
      <c r="FGT16" s="11"/>
      <c r="FGU16" s="11"/>
      <c r="FGV16" s="11"/>
      <c r="FGW16" s="11"/>
      <c r="FGX16" s="11"/>
      <c r="FGY16" s="11"/>
      <c r="FGZ16" s="11"/>
      <c r="FHA16" s="11"/>
      <c r="FHB16" s="11"/>
      <c r="FHC16" s="11"/>
      <c r="FHD16" s="11"/>
      <c r="FHE16" s="11"/>
      <c r="FHF16" s="11"/>
      <c r="FHG16" s="11"/>
      <c r="FHH16" s="11"/>
      <c r="FHI16" s="11"/>
      <c r="FHJ16" s="11"/>
      <c r="FHK16" s="11"/>
      <c r="FHL16" s="11"/>
      <c r="FHM16" s="11"/>
      <c r="FHN16" s="11"/>
      <c r="FHO16" s="11"/>
      <c r="FHP16" s="11"/>
      <c r="FHQ16" s="11"/>
      <c r="FHR16" s="11"/>
      <c r="FHS16" s="11"/>
      <c r="FHT16" s="11"/>
      <c r="FHU16" s="11"/>
      <c r="FHV16" s="11"/>
      <c r="FHW16" s="11"/>
      <c r="FHX16" s="11"/>
      <c r="FHY16" s="11"/>
      <c r="FHZ16" s="11"/>
      <c r="FIA16" s="11"/>
      <c r="FIB16" s="11"/>
      <c r="FIC16" s="11"/>
      <c r="FID16" s="11"/>
      <c r="FIE16" s="11"/>
      <c r="FIF16" s="11"/>
      <c r="FIG16" s="11"/>
      <c r="FIH16" s="11"/>
      <c r="FII16" s="11"/>
      <c r="FIJ16" s="11"/>
      <c r="FIK16" s="11"/>
      <c r="FIL16" s="11"/>
      <c r="FIM16" s="11"/>
      <c r="FIN16" s="11"/>
      <c r="FIO16" s="11"/>
      <c r="FIP16" s="11"/>
      <c r="FIQ16" s="11"/>
      <c r="FIR16" s="11"/>
      <c r="FIS16" s="11"/>
      <c r="FIT16" s="11"/>
      <c r="FIU16" s="11"/>
      <c r="FIV16" s="11"/>
      <c r="FIW16" s="11"/>
      <c r="FIX16" s="11"/>
      <c r="FIY16" s="11"/>
      <c r="FIZ16" s="11"/>
      <c r="FJA16" s="11"/>
      <c r="FJB16" s="11"/>
      <c r="FJC16" s="11"/>
      <c r="FJD16" s="11"/>
      <c r="FJE16" s="11"/>
      <c r="FJF16" s="11"/>
      <c r="FJG16" s="11"/>
      <c r="FJH16" s="11"/>
      <c r="FJI16" s="11"/>
      <c r="FJJ16" s="11"/>
      <c r="FJK16" s="11"/>
      <c r="FJL16" s="11"/>
      <c r="FJM16" s="11"/>
      <c r="FJN16" s="11"/>
      <c r="FJO16" s="11"/>
      <c r="FJP16" s="11"/>
      <c r="FJQ16" s="11"/>
      <c r="FJR16" s="11"/>
      <c r="FJS16" s="11"/>
      <c r="FJT16" s="11"/>
      <c r="FJU16" s="11"/>
      <c r="FJV16" s="11"/>
      <c r="FJW16" s="11"/>
      <c r="FJX16" s="11"/>
      <c r="FJY16" s="11"/>
      <c r="FJZ16" s="11"/>
      <c r="FKA16" s="11"/>
      <c r="FKB16" s="11"/>
      <c r="FKC16" s="11"/>
      <c r="FKD16" s="11"/>
      <c r="FKE16" s="11"/>
      <c r="FKF16" s="11"/>
      <c r="FKG16" s="11"/>
      <c r="FKH16" s="11"/>
      <c r="FKI16" s="11"/>
      <c r="FKJ16" s="11"/>
      <c r="FKK16" s="11"/>
      <c r="FKL16" s="11"/>
      <c r="FKM16" s="11"/>
      <c r="FKN16" s="11"/>
      <c r="FKO16" s="11"/>
      <c r="FKP16" s="11"/>
      <c r="FKQ16" s="11"/>
      <c r="FKR16" s="11"/>
      <c r="FKS16" s="11"/>
      <c r="FKT16" s="11"/>
      <c r="FKU16" s="11"/>
      <c r="FKV16" s="11"/>
      <c r="FKW16" s="11"/>
      <c r="FKX16" s="11"/>
      <c r="FKY16" s="11"/>
      <c r="FKZ16" s="11"/>
      <c r="FLA16" s="11"/>
      <c r="FLB16" s="11"/>
      <c r="FLC16" s="11"/>
      <c r="FLD16" s="11"/>
      <c r="FLE16" s="11"/>
      <c r="FLF16" s="11"/>
      <c r="FLG16" s="11"/>
      <c r="FLH16" s="11"/>
      <c r="FLI16" s="11"/>
      <c r="FLJ16" s="11"/>
      <c r="FLK16" s="11"/>
      <c r="FLL16" s="11"/>
      <c r="FLM16" s="11"/>
      <c r="FLN16" s="11"/>
      <c r="FLO16" s="11"/>
      <c r="FLP16" s="11"/>
      <c r="FLQ16" s="11"/>
      <c r="FLR16" s="11"/>
      <c r="FLS16" s="11"/>
      <c r="FLT16" s="11"/>
      <c r="FLU16" s="11"/>
      <c r="FLV16" s="11"/>
      <c r="FLW16" s="11"/>
      <c r="FLX16" s="11"/>
      <c r="FLY16" s="11"/>
      <c r="FLZ16" s="11"/>
      <c r="FMA16" s="11"/>
      <c r="FMB16" s="11"/>
      <c r="FMC16" s="11"/>
      <c r="FMD16" s="11"/>
      <c r="FME16" s="11"/>
      <c r="FMF16" s="11"/>
      <c r="FMG16" s="11"/>
      <c r="FMH16" s="11"/>
      <c r="FMI16" s="11"/>
      <c r="FMJ16" s="11"/>
      <c r="FMK16" s="11"/>
      <c r="FML16" s="11"/>
      <c r="FMM16" s="11"/>
      <c r="FMN16" s="11"/>
      <c r="FMO16" s="11"/>
      <c r="FMP16" s="11"/>
      <c r="FMQ16" s="11"/>
      <c r="FMR16" s="11"/>
      <c r="FMS16" s="11"/>
      <c r="FMT16" s="11"/>
      <c r="FMU16" s="11"/>
      <c r="FMV16" s="11"/>
      <c r="FMW16" s="11"/>
      <c r="FMX16" s="11"/>
      <c r="FMY16" s="11"/>
      <c r="FMZ16" s="11"/>
      <c r="FNA16" s="11"/>
      <c r="FNB16" s="11"/>
      <c r="FNC16" s="11"/>
      <c r="FND16" s="11"/>
      <c r="FNE16" s="11"/>
      <c r="FNF16" s="11"/>
      <c r="FNG16" s="11"/>
      <c r="FNH16" s="11"/>
      <c r="FNI16" s="11"/>
      <c r="FNJ16" s="11"/>
      <c r="FNK16" s="11"/>
      <c r="FNL16" s="11"/>
      <c r="FNM16" s="11"/>
      <c r="FNN16" s="11"/>
      <c r="FNO16" s="11"/>
      <c r="FNP16" s="11"/>
      <c r="FNQ16" s="11"/>
      <c r="FNR16" s="11"/>
      <c r="FNS16" s="11"/>
      <c r="FNT16" s="11"/>
      <c r="FNU16" s="11"/>
      <c r="FNV16" s="11"/>
      <c r="FNW16" s="11"/>
      <c r="FNX16" s="11"/>
      <c r="FNY16" s="11"/>
      <c r="FNZ16" s="11"/>
      <c r="FOA16" s="11"/>
      <c r="FOB16" s="11"/>
      <c r="FOC16" s="11"/>
      <c r="FOD16" s="11"/>
      <c r="FOE16" s="11"/>
      <c r="FOF16" s="11"/>
      <c r="FOG16" s="11"/>
      <c r="FOH16" s="11"/>
      <c r="FOI16" s="11"/>
      <c r="FOJ16" s="11"/>
      <c r="FOK16" s="11"/>
      <c r="FOL16" s="11"/>
      <c r="FOM16" s="11"/>
      <c r="FON16" s="11"/>
      <c r="FOO16" s="11"/>
      <c r="FOP16" s="11"/>
      <c r="FOQ16" s="11"/>
      <c r="FOR16" s="11"/>
      <c r="FOS16" s="11"/>
      <c r="FOT16" s="11"/>
      <c r="FOU16" s="11"/>
      <c r="FOV16" s="11"/>
      <c r="FOW16" s="11"/>
      <c r="FOX16" s="11"/>
      <c r="FOY16" s="11"/>
      <c r="FOZ16" s="11"/>
      <c r="FPA16" s="11"/>
      <c r="FPB16" s="11"/>
      <c r="FPC16" s="11"/>
      <c r="FPD16" s="11"/>
      <c r="FPE16" s="11"/>
      <c r="FPF16" s="11"/>
      <c r="FPG16" s="11"/>
      <c r="FPH16" s="11"/>
      <c r="FPI16" s="11"/>
      <c r="FPJ16" s="11"/>
      <c r="FPK16" s="11"/>
      <c r="FPL16" s="11"/>
      <c r="FPM16" s="11"/>
      <c r="FPN16" s="11"/>
      <c r="FPO16" s="11"/>
      <c r="FPP16" s="11"/>
      <c r="FPQ16" s="11"/>
      <c r="FPR16" s="11"/>
      <c r="FPS16" s="11"/>
      <c r="FPT16" s="11"/>
      <c r="FPU16" s="11"/>
      <c r="FPV16" s="11"/>
      <c r="FPW16" s="11"/>
      <c r="FPX16" s="11"/>
      <c r="FPY16" s="11"/>
      <c r="FPZ16" s="11"/>
      <c r="FQA16" s="11"/>
      <c r="FQB16" s="11"/>
      <c r="FQC16" s="11"/>
      <c r="FQD16" s="11"/>
      <c r="FQE16" s="11"/>
      <c r="FQF16" s="11"/>
      <c r="FQG16" s="11"/>
      <c r="FQH16" s="11"/>
      <c r="FQI16" s="11"/>
      <c r="FQJ16" s="11"/>
      <c r="FQK16" s="11"/>
      <c r="FQL16" s="11"/>
      <c r="FQM16" s="11"/>
      <c r="FQN16" s="11"/>
      <c r="FQO16" s="11"/>
      <c r="FQP16" s="11"/>
      <c r="FQQ16" s="11"/>
      <c r="FQR16" s="11"/>
      <c r="FQS16" s="11"/>
      <c r="FQT16" s="11"/>
      <c r="FQU16" s="11"/>
      <c r="FQV16" s="11"/>
      <c r="FQW16" s="11"/>
      <c r="FQX16" s="11"/>
      <c r="FQY16" s="11"/>
      <c r="FQZ16" s="11"/>
      <c r="FRA16" s="11"/>
      <c r="FRB16" s="11"/>
      <c r="FRC16" s="11"/>
      <c r="FRD16" s="11"/>
      <c r="FRE16" s="11"/>
      <c r="FRF16" s="11"/>
      <c r="FRG16" s="11"/>
      <c r="FRH16" s="11"/>
      <c r="FRI16" s="11"/>
      <c r="FRJ16" s="11"/>
      <c r="FRK16" s="11"/>
      <c r="FRL16" s="11"/>
      <c r="FRM16" s="11"/>
      <c r="FRN16" s="11"/>
      <c r="FRO16" s="11"/>
      <c r="FRP16" s="11"/>
      <c r="FRQ16" s="11"/>
      <c r="FRR16" s="11"/>
      <c r="FRS16" s="11"/>
      <c r="FRT16" s="11"/>
      <c r="FRU16" s="11"/>
      <c r="FRV16" s="11"/>
      <c r="FRW16" s="11"/>
      <c r="FRX16" s="11"/>
      <c r="FRY16" s="11"/>
      <c r="FRZ16" s="11"/>
      <c r="FSA16" s="11"/>
      <c r="FSB16" s="11"/>
      <c r="FSC16" s="11"/>
      <c r="FSD16" s="11"/>
      <c r="FSE16" s="11"/>
      <c r="FSF16" s="11"/>
      <c r="FSG16" s="11"/>
      <c r="FSH16" s="11"/>
      <c r="FSI16" s="11"/>
      <c r="FSJ16" s="11"/>
      <c r="FSK16" s="11"/>
      <c r="FSL16" s="11"/>
      <c r="FSM16" s="11"/>
      <c r="FSN16" s="11"/>
      <c r="FSO16" s="11"/>
      <c r="FSP16" s="11"/>
      <c r="FSQ16" s="11"/>
      <c r="FSR16" s="11"/>
      <c r="FSS16" s="11"/>
      <c r="FST16" s="11"/>
      <c r="FSU16" s="11"/>
      <c r="FSV16" s="11"/>
      <c r="FSW16" s="11"/>
      <c r="FSX16" s="11"/>
      <c r="FSY16" s="11"/>
      <c r="FSZ16" s="11"/>
      <c r="FTA16" s="11"/>
      <c r="FTB16" s="11"/>
      <c r="FTC16" s="11"/>
      <c r="FTD16" s="11"/>
      <c r="FTE16" s="11"/>
      <c r="FTF16" s="11"/>
      <c r="FTG16" s="11"/>
      <c r="FTH16" s="11"/>
      <c r="FTI16" s="11"/>
      <c r="FTJ16" s="11"/>
      <c r="FTK16" s="11"/>
      <c r="FTL16" s="11"/>
      <c r="FTM16" s="11"/>
      <c r="FTN16" s="11"/>
      <c r="FTO16" s="11"/>
      <c r="FTP16" s="11"/>
      <c r="FTQ16" s="11"/>
      <c r="FTR16" s="11"/>
      <c r="FTS16" s="11"/>
      <c r="FTT16" s="11"/>
      <c r="FTU16" s="11"/>
      <c r="FTV16" s="11"/>
      <c r="FTW16" s="11"/>
      <c r="FTX16" s="11"/>
      <c r="FTY16" s="11"/>
      <c r="FTZ16" s="11"/>
      <c r="FUA16" s="11"/>
      <c r="FUB16" s="11"/>
      <c r="FUC16" s="11"/>
      <c r="FUD16" s="11"/>
      <c r="FUE16" s="11"/>
      <c r="FUF16" s="11"/>
      <c r="FUG16" s="11"/>
      <c r="FUH16" s="11"/>
      <c r="FUI16" s="11"/>
      <c r="FUJ16" s="11"/>
      <c r="FUK16" s="11"/>
      <c r="FUL16" s="11"/>
      <c r="FUM16" s="11"/>
      <c r="FUN16" s="11"/>
      <c r="FUO16" s="11"/>
      <c r="FUP16" s="11"/>
      <c r="FUQ16" s="11"/>
      <c r="FUR16" s="11"/>
      <c r="FUS16" s="11"/>
      <c r="FUT16" s="11"/>
      <c r="FUU16" s="11"/>
      <c r="FUV16" s="11"/>
      <c r="FUW16" s="11"/>
      <c r="FUX16" s="11"/>
      <c r="FUY16" s="11"/>
      <c r="FUZ16" s="11"/>
      <c r="FVA16" s="11"/>
      <c r="FVB16" s="11"/>
      <c r="FVC16" s="11"/>
      <c r="FVD16" s="11"/>
      <c r="FVE16" s="11"/>
      <c r="FVF16" s="11"/>
      <c r="FVG16" s="11"/>
      <c r="FVH16" s="11"/>
      <c r="FVI16" s="11"/>
      <c r="FVJ16" s="11"/>
      <c r="FVK16" s="11"/>
      <c r="FVL16" s="11"/>
      <c r="FVM16" s="11"/>
      <c r="FVN16" s="11"/>
      <c r="FVO16" s="11"/>
      <c r="FVP16" s="11"/>
      <c r="FVQ16" s="11"/>
      <c r="FVR16" s="11"/>
      <c r="FVS16" s="11"/>
      <c r="FVT16" s="11"/>
      <c r="FVU16" s="11"/>
      <c r="FVV16" s="11"/>
      <c r="FVW16" s="11"/>
      <c r="FVX16" s="11"/>
      <c r="FVY16" s="11"/>
      <c r="FVZ16" s="11"/>
      <c r="FWA16" s="11"/>
      <c r="FWB16" s="11"/>
      <c r="FWC16" s="11"/>
      <c r="FWD16" s="11"/>
      <c r="FWE16" s="11"/>
      <c r="FWF16" s="11"/>
      <c r="FWG16" s="11"/>
      <c r="FWH16" s="11"/>
      <c r="FWI16" s="11"/>
      <c r="FWJ16" s="11"/>
      <c r="FWK16" s="11"/>
      <c r="FWL16" s="11"/>
      <c r="FWM16" s="11"/>
      <c r="FWN16" s="11"/>
      <c r="FWO16" s="11"/>
      <c r="FWP16" s="11"/>
      <c r="FWQ16" s="11"/>
      <c r="FWR16" s="11"/>
      <c r="FWS16" s="11"/>
      <c r="FWT16" s="11"/>
      <c r="FWU16" s="11"/>
      <c r="FWV16" s="11"/>
      <c r="FWW16" s="11"/>
      <c r="FWX16" s="11"/>
      <c r="FWY16" s="11"/>
      <c r="FWZ16" s="11"/>
      <c r="FXA16" s="11"/>
      <c r="FXB16" s="11"/>
      <c r="FXC16" s="11"/>
      <c r="FXD16" s="11"/>
      <c r="FXE16" s="11"/>
      <c r="FXF16" s="11"/>
      <c r="FXG16" s="11"/>
      <c r="FXH16" s="11"/>
      <c r="FXI16" s="11"/>
      <c r="FXJ16" s="11"/>
      <c r="FXK16" s="11"/>
      <c r="FXL16" s="11"/>
      <c r="FXM16" s="11"/>
      <c r="FXN16" s="11"/>
      <c r="FXO16" s="11"/>
      <c r="FXP16" s="11"/>
      <c r="FXQ16" s="11"/>
      <c r="FXR16" s="11"/>
      <c r="FXS16" s="11"/>
      <c r="FXT16" s="11"/>
      <c r="FXU16" s="11"/>
      <c r="FXV16" s="11"/>
      <c r="FXW16" s="11"/>
      <c r="FXX16" s="11"/>
      <c r="FXY16" s="11"/>
      <c r="FXZ16" s="11"/>
      <c r="FYA16" s="11"/>
      <c r="FYB16" s="11"/>
      <c r="FYC16" s="11"/>
      <c r="FYD16" s="11"/>
      <c r="FYE16" s="11"/>
      <c r="FYF16" s="11"/>
      <c r="FYG16" s="11"/>
      <c r="FYH16" s="11"/>
      <c r="FYI16" s="11"/>
      <c r="FYJ16" s="11"/>
      <c r="FYK16" s="11"/>
      <c r="FYL16" s="11"/>
      <c r="FYM16" s="11"/>
      <c r="FYN16" s="11"/>
      <c r="FYO16" s="11"/>
      <c r="FYP16" s="11"/>
      <c r="FYQ16" s="11"/>
      <c r="FYR16" s="11"/>
      <c r="FYS16" s="11"/>
      <c r="FYT16" s="11"/>
      <c r="FYU16" s="11"/>
      <c r="FYV16" s="11"/>
      <c r="FYW16" s="11"/>
      <c r="FYX16" s="11"/>
      <c r="FYY16" s="11"/>
      <c r="FYZ16" s="11"/>
      <c r="FZA16" s="11"/>
      <c r="FZB16" s="11"/>
      <c r="FZC16" s="11"/>
      <c r="FZD16" s="11"/>
      <c r="FZE16" s="11"/>
      <c r="FZF16" s="11"/>
      <c r="FZG16" s="11"/>
      <c r="FZH16" s="11"/>
      <c r="FZI16" s="11"/>
      <c r="FZJ16" s="11"/>
      <c r="FZK16" s="11"/>
      <c r="FZL16" s="11"/>
      <c r="FZM16" s="11"/>
      <c r="FZN16" s="11"/>
      <c r="FZO16" s="11"/>
      <c r="FZP16" s="11"/>
      <c r="FZQ16" s="11"/>
      <c r="FZR16" s="11"/>
      <c r="FZS16" s="11"/>
      <c r="FZT16" s="11"/>
      <c r="FZU16" s="11"/>
      <c r="FZV16" s="11"/>
      <c r="FZW16" s="11"/>
      <c r="FZX16" s="11"/>
      <c r="FZY16" s="11"/>
      <c r="FZZ16" s="11"/>
      <c r="GAA16" s="11"/>
      <c r="GAB16" s="11"/>
      <c r="GAC16" s="11"/>
      <c r="GAD16" s="11"/>
      <c r="GAE16" s="11"/>
      <c r="GAF16" s="11"/>
      <c r="GAG16" s="11"/>
      <c r="GAH16" s="11"/>
      <c r="GAI16" s="11"/>
      <c r="GAJ16" s="11"/>
      <c r="GAK16" s="11"/>
      <c r="GAL16" s="11"/>
      <c r="GAM16" s="11"/>
      <c r="GAN16" s="11"/>
      <c r="GAO16" s="11"/>
      <c r="GAP16" s="11"/>
      <c r="GAQ16" s="11"/>
      <c r="GAR16" s="11"/>
      <c r="GAS16" s="11"/>
      <c r="GAT16" s="11"/>
      <c r="GAU16" s="11"/>
      <c r="GAV16" s="11"/>
      <c r="GAW16" s="11"/>
      <c r="GAX16" s="11"/>
      <c r="GAY16" s="11"/>
      <c r="GAZ16" s="11"/>
      <c r="GBA16" s="11"/>
      <c r="GBB16" s="11"/>
      <c r="GBC16" s="11"/>
      <c r="GBD16" s="11"/>
      <c r="GBE16" s="11"/>
      <c r="GBF16" s="11"/>
      <c r="GBG16" s="11"/>
      <c r="GBH16" s="11"/>
      <c r="GBI16" s="11"/>
      <c r="GBJ16" s="11"/>
      <c r="GBK16" s="11"/>
      <c r="GBL16" s="11"/>
      <c r="GBM16" s="11"/>
      <c r="GBN16" s="11"/>
      <c r="GBO16" s="11"/>
      <c r="GBP16" s="11"/>
      <c r="GBQ16" s="11"/>
      <c r="GBR16" s="11"/>
      <c r="GBS16" s="11"/>
      <c r="GBT16" s="11"/>
      <c r="GBU16" s="11"/>
      <c r="GBV16" s="11"/>
      <c r="GBW16" s="11"/>
      <c r="GBX16" s="11"/>
      <c r="GBY16" s="11"/>
      <c r="GBZ16" s="11"/>
      <c r="GCA16" s="11"/>
      <c r="GCB16" s="11"/>
      <c r="GCC16" s="11"/>
      <c r="GCD16" s="11"/>
      <c r="GCE16" s="11"/>
      <c r="GCF16" s="11"/>
      <c r="GCG16" s="11"/>
      <c r="GCH16" s="11"/>
      <c r="GCI16" s="11"/>
      <c r="GCJ16" s="11"/>
      <c r="GCK16" s="11"/>
      <c r="GCL16" s="11"/>
      <c r="GCM16" s="11"/>
      <c r="GCN16" s="11"/>
      <c r="GCO16" s="11"/>
      <c r="GCP16" s="11"/>
      <c r="GCQ16" s="11"/>
      <c r="GCR16" s="11"/>
      <c r="GCS16" s="11"/>
      <c r="GCT16" s="11"/>
      <c r="GCU16" s="11"/>
      <c r="GCV16" s="11"/>
      <c r="GCW16" s="11"/>
      <c r="GCX16" s="11"/>
      <c r="GCY16" s="11"/>
      <c r="GCZ16" s="11"/>
      <c r="GDA16" s="11"/>
      <c r="GDB16" s="11"/>
      <c r="GDC16" s="11"/>
      <c r="GDD16" s="11"/>
      <c r="GDE16" s="11"/>
      <c r="GDF16" s="11"/>
      <c r="GDG16" s="11"/>
      <c r="GDH16" s="11"/>
      <c r="GDI16" s="11"/>
      <c r="GDJ16" s="11"/>
      <c r="GDK16" s="11"/>
      <c r="GDL16" s="11"/>
      <c r="GDM16" s="11"/>
      <c r="GDN16" s="11"/>
      <c r="GDO16" s="11"/>
      <c r="GDP16" s="11"/>
      <c r="GDQ16" s="11"/>
      <c r="GDR16" s="11"/>
      <c r="GDS16" s="11"/>
      <c r="GDT16" s="11"/>
      <c r="GDU16" s="11"/>
      <c r="GDV16" s="11"/>
      <c r="GDW16" s="11"/>
      <c r="GDX16" s="11"/>
      <c r="GDY16" s="11"/>
      <c r="GDZ16" s="11"/>
      <c r="GEA16" s="11"/>
      <c r="GEB16" s="11"/>
      <c r="GEC16" s="11"/>
      <c r="GED16" s="11"/>
      <c r="GEE16" s="11"/>
      <c r="GEF16" s="11"/>
      <c r="GEG16" s="11"/>
      <c r="GEH16" s="11"/>
      <c r="GEI16" s="11"/>
      <c r="GEJ16" s="11"/>
      <c r="GEK16" s="11"/>
      <c r="GEL16" s="11"/>
      <c r="GEM16" s="11"/>
      <c r="GEN16" s="11"/>
      <c r="GEO16" s="11"/>
      <c r="GEP16" s="11"/>
      <c r="GEQ16" s="11"/>
      <c r="GER16" s="11"/>
      <c r="GES16" s="11"/>
      <c r="GET16" s="11"/>
      <c r="GEU16" s="11"/>
      <c r="GEV16" s="11"/>
      <c r="GEW16" s="11"/>
      <c r="GEX16" s="11"/>
      <c r="GEY16" s="11"/>
      <c r="GEZ16" s="11"/>
      <c r="GFA16" s="11"/>
      <c r="GFB16" s="11"/>
      <c r="GFC16" s="11"/>
      <c r="GFD16" s="11"/>
      <c r="GFE16" s="11"/>
      <c r="GFF16" s="11"/>
      <c r="GFG16" s="11"/>
      <c r="GFH16" s="11"/>
      <c r="GFI16" s="11"/>
      <c r="GFJ16" s="11"/>
      <c r="GFK16" s="11"/>
      <c r="GFL16" s="11"/>
      <c r="GFM16" s="11"/>
      <c r="GFN16" s="11"/>
      <c r="GFO16" s="11"/>
      <c r="GFP16" s="11"/>
      <c r="GFQ16" s="11"/>
      <c r="GFR16" s="11"/>
      <c r="GFS16" s="11"/>
      <c r="GFT16" s="11"/>
      <c r="GFU16" s="11"/>
      <c r="GFV16" s="11"/>
      <c r="GFW16" s="11"/>
      <c r="GFX16" s="11"/>
      <c r="GFY16" s="11"/>
      <c r="GFZ16" s="11"/>
      <c r="GGA16" s="11"/>
      <c r="GGB16" s="11"/>
      <c r="GGC16" s="11"/>
      <c r="GGD16" s="11"/>
      <c r="GGE16" s="11"/>
      <c r="GGF16" s="11"/>
      <c r="GGG16" s="11"/>
      <c r="GGH16" s="11"/>
      <c r="GGI16" s="11"/>
      <c r="GGJ16" s="11"/>
      <c r="GGK16" s="11"/>
      <c r="GGL16" s="11"/>
      <c r="GGM16" s="11"/>
      <c r="GGN16" s="11"/>
      <c r="GGO16" s="11"/>
      <c r="GGP16" s="11"/>
      <c r="GGQ16" s="11"/>
      <c r="GGR16" s="11"/>
      <c r="GGS16" s="11"/>
      <c r="GGT16" s="11"/>
      <c r="GGU16" s="11"/>
      <c r="GGV16" s="11"/>
      <c r="GGW16" s="11"/>
      <c r="GGX16" s="11"/>
      <c r="GGY16" s="11"/>
      <c r="GGZ16" s="11"/>
      <c r="GHA16" s="11"/>
      <c r="GHB16" s="11"/>
      <c r="GHC16" s="11"/>
      <c r="GHD16" s="11"/>
      <c r="GHE16" s="11"/>
      <c r="GHF16" s="11"/>
      <c r="GHG16" s="11"/>
      <c r="GHH16" s="11"/>
      <c r="GHI16" s="11"/>
      <c r="GHJ16" s="11"/>
      <c r="GHK16" s="11"/>
      <c r="GHL16" s="11"/>
      <c r="GHM16" s="11"/>
      <c r="GHN16" s="11"/>
      <c r="GHO16" s="11"/>
      <c r="GHP16" s="11"/>
      <c r="GHQ16" s="11"/>
      <c r="GHR16" s="11"/>
      <c r="GHS16" s="11"/>
      <c r="GHT16" s="11"/>
      <c r="GHU16" s="11"/>
      <c r="GHV16" s="11"/>
      <c r="GHW16" s="11"/>
      <c r="GHX16" s="11"/>
      <c r="GHY16" s="11"/>
      <c r="GHZ16" s="11"/>
      <c r="GIA16" s="11"/>
      <c r="GIB16" s="11"/>
      <c r="GIC16" s="11"/>
      <c r="GID16" s="11"/>
      <c r="GIE16" s="11"/>
      <c r="GIF16" s="11"/>
      <c r="GIG16" s="11"/>
      <c r="GIH16" s="11"/>
      <c r="GII16" s="11"/>
      <c r="GIJ16" s="11"/>
      <c r="GIK16" s="11"/>
      <c r="GIL16" s="11"/>
      <c r="GIM16" s="11"/>
      <c r="GIN16" s="11"/>
      <c r="GIO16" s="11"/>
      <c r="GIP16" s="11"/>
      <c r="GIQ16" s="11"/>
      <c r="GIR16" s="11"/>
      <c r="GIS16" s="11"/>
      <c r="GIT16" s="11"/>
      <c r="GIU16" s="11"/>
      <c r="GIV16" s="11"/>
      <c r="GIW16" s="11"/>
      <c r="GIX16" s="11"/>
      <c r="GIY16" s="11"/>
      <c r="GIZ16" s="11"/>
      <c r="GJA16" s="11"/>
      <c r="GJB16" s="11"/>
      <c r="GJC16" s="11"/>
      <c r="GJD16" s="11"/>
      <c r="GJE16" s="11"/>
      <c r="GJF16" s="11"/>
      <c r="GJG16" s="11"/>
      <c r="GJH16" s="11"/>
      <c r="GJI16" s="11"/>
      <c r="GJJ16" s="11"/>
      <c r="GJK16" s="11"/>
      <c r="GJL16" s="11"/>
      <c r="GJM16" s="11"/>
      <c r="GJN16" s="11"/>
      <c r="GJO16" s="11"/>
      <c r="GJP16" s="11"/>
      <c r="GJQ16" s="11"/>
      <c r="GJR16" s="11"/>
      <c r="GJS16" s="11"/>
      <c r="GJT16" s="11"/>
      <c r="GJU16" s="11"/>
      <c r="GJV16" s="11"/>
      <c r="GJW16" s="11"/>
      <c r="GJX16" s="11"/>
      <c r="GJY16" s="11"/>
      <c r="GJZ16" s="11"/>
      <c r="GKA16" s="11"/>
      <c r="GKB16" s="11"/>
      <c r="GKC16" s="11"/>
      <c r="GKD16" s="11"/>
      <c r="GKE16" s="11"/>
      <c r="GKF16" s="11"/>
      <c r="GKG16" s="11"/>
      <c r="GKH16" s="11"/>
      <c r="GKI16" s="11"/>
      <c r="GKJ16" s="11"/>
      <c r="GKK16" s="11"/>
      <c r="GKL16" s="11"/>
      <c r="GKM16" s="11"/>
      <c r="GKN16" s="11"/>
      <c r="GKO16" s="11"/>
      <c r="GKP16" s="11"/>
      <c r="GKQ16" s="11"/>
      <c r="GKR16" s="11"/>
      <c r="GKS16" s="11"/>
      <c r="GKT16" s="11"/>
      <c r="GKU16" s="11"/>
      <c r="GKV16" s="11"/>
      <c r="GKW16" s="11"/>
      <c r="GKX16" s="11"/>
      <c r="GKY16" s="11"/>
      <c r="GKZ16" s="11"/>
      <c r="GLA16" s="11"/>
      <c r="GLB16" s="11"/>
      <c r="GLC16" s="11"/>
      <c r="GLD16" s="11"/>
      <c r="GLE16" s="11"/>
      <c r="GLF16" s="11"/>
      <c r="GLG16" s="11"/>
      <c r="GLH16" s="11"/>
      <c r="GLI16" s="11"/>
      <c r="GLJ16" s="11"/>
      <c r="GLK16" s="11"/>
      <c r="GLL16" s="11"/>
      <c r="GLM16" s="11"/>
      <c r="GLN16" s="11"/>
      <c r="GLO16" s="11"/>
      <c r="GLP16" s="11"/>
      <c r="GLQ16" s="11"/>
      <c r="GLR16" s="11"/>
      <c r="GLS16" s="11"/>
      <c r="GLT16" s="11"/>
      <c r="GLU16" s="11"/>
      <c r="GLV16" s="11"/>
      <c r="GLW16" s="11"/>
      <c r="GLX16" s="11"/>
      <c r="GLY16" s="11"/>
      <c r="GLZ16" s="11"/>
      <c r="GMA16" s="11"/>
      <c r="GMB16" s="11"/>
      <c r="GMC16" s="11"/>
      <c r="GMD16" s="11"/>
      <c r="GME16" s="11"/>
      <c r="GMF16" s="11"/>
      <c r="GMG16" s="11"/>
      <c r="GMH16" s="11"/>
      <c r="GMI16" s="11"/>
      <c r="GMJ16" s="11"/>
      <c r="GMK16" s="11"/>
      <c r="GML16" s="11"/>
      <c r="GMM16" s="11"/>
      <c r="GMN16" s="11"/>
      <c r="GMO16" s="11"/>
      <c r="GMP16" s="11"/>
      <c r="GMQ16" s="11"/>
      <c r="GMR16" s="11"/>
      <c r="GMS16" s="11"/>
      <c r="GMT16" s="11"/>
      <c r="GMU16" s="11"/>
      <c r="GMV16" s="11"/>
      <c r="GMW16" s="11"/>
      <c r="GMX16" s="11"/>
      <c r="GMY16" s="11"/>
      <c r="GMZ16" s="11"/>
      <c r="GNA16" s="11"/>
      <c r="GNB16" s="11"/>
      <c r="GNC16" s="11"/>
      <c r="GND16" s="11"/>
      <c r="GNE16" s="11"/>
      <c r="GNF16" s="11"/>
      <c r="GNG16" s="11"/>
      <c r="GNH16" s="11"/>
      <c r="GNI16" s="11"/>
      <c r="GNJ16" s="11"/>
      <c r="GNK16" s="11"/>
      <c r="GNL16" s="11"/>
      <c r="GNM16" s="11"/>
      <c r="GNN16" s="11"/>
      <c r="GNO16" s="11"/>
      <c r="GNP16" s="11"/>
      <c r="GNQ16" s="11"/>
      <c r="GNR16" s="11"/>
      <c r="GNS16" s="11"/>
      <c r="GNT16" s="11"/>
      <c r="GNU16" s="11"/>
      <c r="GNV16" s="11"/>
      <c r="GNW16" s="11"/>
      <c r="GNX16" s="11"/>
      <c r="GNY16" s="11"/>
      <c r="GNZ16" s="11"/>
      <c r="GOA16" s="11"/>
      <c r="GOB16" s="11"/>
      <c r="GOC16" s="11"/>
      <c r="GOD16" s="11"/>
      <c r="GOE16" s="11"/>
      <c r="GOF16" s="11"/>
      <c r="GOG16" s="11"/>
      <c r="GOH16" s="11"/>
      <c r="GOI16" s="11"/>
      <c r="GOJ16" s="11"/>
      <c r="GOK16" s="11"/>
      <c r="GOL16" s="11"/>
      <c r="GOM16" s="11"/>
      <c r="GON16" s="11"/>
      <c r="GOO16" s="11"/>
      <c r="GOP16" s="11"/>
      <c r="GOQ16" s="11"/>
      <c r="GOR16" s="11"/>
      <c r="GOS16" s="11"/>
      <c r="GOT16" s="11"/>
      <c r="GOU16" s="11"/>
      <c r="GOV16" s="11"/>
      <c r="GOW16" s="11"/>
      <c r="GOX16" s="11"/>
      <c r="GOY16" s="11"/>
      <c r="GOZ16" s="11"/>
      <c r="GPA16" s="11"/>
      <c r="GPB16" s="11"/>
      <c r="GPC16" s="11"/>
      <c r="GPD16" s="11"/>
      <c r="GPE16" s="11"/>
      <c r="GPF16" s="11"/>
      <c r="GPG16" s="11"/>
      <c r="GPH16" s="11"/>
      <c r="GPI16" s="11"/>
      <c r="GPJ16" s="11"/>
      <c r="GPK16" s="11"/>
      <c r="GPL16" s="11"/>
      <c r="GPM16" s="11"/>
      <c r="GPN16" s="11"/>
      <c r="GPO16" s="11"/>
      <c r="GPP16" s="11"/>
      <c r="GPQ16" s="11"/>
      <c r="GPR16" s="11"/>
      <c r="GPS16" s="11"/>
      <c r="GPT16" s="11"/>
      <c r="GPU16" s="11"/>
      <c r="GPV16" s="11"/>
      <c r="GPW16" s="11"/>
      <c r="GPX16" s="11"/>
      <c r="GPY16" s="11"/>
      <c r="GPZ16" s="11"/>
      <c r="GQA16" s="11"/>
      <c r="GQB16" s="11"/>
      <c r="GQC16" s="11"/>
      <c r="GQD16" s="11"/>
      <c r="GQE16" s="11"/>
      <c r="GQF16" s="11"/>
      <c r="GQG16" s="11"/>
      <c r="GQH16" s="11"/>
      <c r="GQI16" s="11"/>
      <c r="GQJ16" s="11"/>
      <c r="GQK16" s="11"/>
      <c r="GQL16" s="11"/>
      <c r="GQM16" s="11"/>
      <c r="GQN16" s="11"/>
      <c r="GQO16" s="11"/>
      <c r="GQP16" s="11"/>
      <c r="GQQ16" s="11"/>
      <c r="GQR16" s="11"/>
      <c r="GQS16" s="11"/>
      <c r="GQT16" s="11"/>
      <c r="GQU16" s="11"/>
      <c r="GQV16" s="11"/>
      <c r="GQW16" s="11"/>
      <c r="GQX16" s="11"/>
      <c r="GQY16" s="11"/>
      <c r="GQZ16" s="11"/>
      <c r="GRA16" s="11"/>
      <c r="GRB16" s="11"/>
      <c r="GRC16" s="11"/>
      <c r="GRD16" s="11"/>
      <c r="GRE16" s="11"/>
      <c r="GRF16" s="11"/>
      <c r="GRG16" s="11"/>
      <c r="GRH16" s="11"/>
      <c r="GRI16" s="11"/>
      <c r="GRJ16" s="11"/>
      <c r="GRK16" s="11"/>
      <c r="GRL16" s="11"/>
      <c r="GRM16" s="11"/>
      <c r="GRN16" s="11"/>
      <c r="GRO16" s="11"/>
      <c r="GRP16" s="11"/>
      <c r="GRQ16" s="11"/>
      <c r="GRR16" s="11"/>
      <c r="GRS16" s="11"/>
      <c r="GRT16" s="11"/>
      <c r="GRU16" s="11"/>
      <c r="GRV16" s="11"/>
      <c r="GRW16" s="11"/>
      <c r="GRX16" s="11"/>
      <c r="GRY16" s="11"/>
      <c r="GRZ16" s="11"/>
      <c r="GSA16" s="11"/>
      <c r="GSB16" s="11"/>
      <c r="GSC16" s="11"/>
      <c r="GSD16" s="11"/>
      <c r="GSE16" s="11"/>
      <c r="GSF16" s="11"/>
      <c r="GSG16" s="11"/>
      <c r="GSH16" s="11"/>
      <c r="GSI16" s="11"/>
      <c r="GSJ16" s="11"/>
      <c r="GSK16" s="11"/>
      <c r="GSL16" s="11"/>
      <c r="GSM16" s="11"/>
      <c r="GSN16" s="11"/>
      <c r="GSO16" s="11"/>
      <c r="GSP16" s="11"/>
      <c r="GSQ16" s="11"/>
      <c r="GSR16" s="11"/>
      <c r="GSS16" s="11"/>
      <c r="GST16" s="11"/>
      <c r="GSU16" s="11"/>
      <c r="GSV16" s="11"/>
      <c r="GSW16" s="11"/>
      <c r="GSX16" s="11"/>
      <c r="GSY16" s="11"/>
      <c r="GSZ16" s="11"/>
      <c r="GTA16" s="11"/>
      <c r="GTB16" s="11"/>
      <c r="GTC16" s="11"/>
      <c r="GTD16" s="11"/>
      <c r="GTE16" s="11"/>
      <c r="GTF16" s="11"/>
      <c r="GTG16" s="11"/>
      <c r="GTH16" s="11"/>
      <c r="GTI16" s="11"/>
      <c r="GTJ16" s="11"/>
      <c r="GTK16" s="11"/>
      <c r="GTL16" s="11"/>
      <c r="GTM16" s="11"/>
      <c r="GTN16" s="11"/>
      <c r="GTO16" s="11"/>
      <c r="GTP16" s="11"/>
      <c r="GTQ16" s="11"/>
      <c r="GTR16" s="11"/>
      <c r="GTS16" s="11"/>
      <c r="GTT16" s="11"/>
      <c r="GTU16" s="11"/>
      <c r="GTV16" s="11"/>
      <c r="GTW16" s="11"/>
      <c r="GTX16" s="11"/>
      <c r="GTY16" s="11"/>
      <c r="GTZ16" s="11"/>
      <c r="GUA16" s="11"/>
      <c r="GUB16" s="11"/>
      <c r="GUC16" s="11"/>
      <c r="GUD16" s="11"/>
      <c r="GUE16" s="11"/>
      <c r="GUF16" s="11"/>
      <c r="GUG16" s="11"/>
      <c r="GUH16" s="11"/>
      <c r="GUI16" s="11"/>
      <c r="GUJ16" s="11"/>
      <c r="GUK16" s="11"/>
      <c r="GUL16" s="11"/>
      <c r="GUM16" s="11"/>
      <c r="GUN16" s="11"/>
      <c r="GUO16" s="11"/>
      <c r="GUP16" s="11"/>
      <c r="GUQ16" s="11"/>
      <c r="GUR16" s="11"/>
      <c r="GUS16" s="11"/>
      <c r="GUT16" s="11"/>
      <c r="GUU16" s="11"/>
      <c r="GUV16" s="11"/>
      <c r="GUW16" s="11"/>
      <c r="GUX16" s="11"/>
      <c r="GUY16" s="11"/>
      <c r="GUZ16" s="11"/>
      <c r="GVA16" s="11"/>
      <c r="GVB16" s="11"/>
      <c r="GVC16" s="11"/>
      <c r="GVD16" s="11"/>
      <c r="GVE16" s="11"/>
      <c r="GVF16" s="11"/>
      <c r="GVG16" s="11"/>
      <c r="GVH16" s="11"/>
      <c r="GVI16" s="11"/>
      <c r="GVJ16" s="11"/>
      <c r="GVK16" s="11"/>
      <c r="GVL16" s="11"/>
      <c r="GVM16" s="11"/>
      <c r="GVN16" s="11"/>
      <c r="GVO16" s="11"/>
      <c r="GVP16" s="11"/>
      <c r="GVQ16" s="11"/>
      <c r="GVR16" s="11"/>
      <c r="GVS16" s="11"/>
      <c r="GVT16" s="11"/>
      <c r="GVU16" s="11"/>
      <c r="GVV16" s="11"/>
      <c r="GVW16" s="11"/>
      <c r="GVX16" s="11"/>
      <c r="GVY16" s="11"/>
      <c r="GVZ16" s="11"/>
      <c r="GWA16" s="11"/>
      <c r="GWB16" s="11"/>
      <c r="GWC16" s="11"/>
      <c r="GWD16" s="11"/>
      <c r="GWE16" s="11"/>
      <c r="GWF16" s="11"/>
      <c r="GWG16" s="11"/>
      <c r="GWH16" s="11"/>
      <c r="GWI16" s="11"/>
      <c r="GWJ16" s="11"/>
      <c r="GWK16" s="11"/>
      <c r="GWL16" s="11"/>
      <c r="GWM16" s="11"/>
      <c r="GWN16" s="11"/>
      <c r="GWO16" s="11"/>
      <c r="GWP16" s="11"/>
      <c r="GWQ16" s="11"/>
      <c r="GWR16" s="11"/>
      <c r="GWS16" s="11"/>
      <c r="GWT16" s="11"/>
      <c r="GWU16" s="11"/>
      <c r="GWV16" s="11"/>
      <c r="GWW16" s="11"/>
      <c r="GWX16" s="11"/>
      <c r="GWY16" s="11"/>
      <c r="GWZ16" s="11"/>
      <c r="GXA16" s="11"/>
      <c r="GXB16" s="11"/>
      <c r="GXC16" s="11"/>
      <c r="GXD16" s="11"/>
      <c r="GXE16" s="11"/>
      <c r="GXF16" s="11"/>
      <c r="GXG16" s="11"/>
      <c r="GXH16" s="11"/>
      <c r="GXI16" s="11"/>
      <c r="GXJ16" s="11"/>
      <c r="GXK16" s="11"/>
      <c r="GXL16" s="11"/>
      <c r="GXM16" s="11"/>
      <c r="GXN16" s="11"/>
      <c r="GXO16" s="11"/>
      <c r="GXP16" s="11"/>
      <c r="GXQ16" s="11"/>
      <c r="GXR16" s="11"/>
      <c r="GXS16" s="11"/>
      <c r="GXT16" s="11"/>
      <c r="GXU16" s="11"/>
      <c r="GXV16" s="11"/>
      <c r="GXW16" s="11"/>
      <c r="GXX16" s="11"/>
      <c r="GXY16" s="11"/>
      <c r="GXZ16" s="11"/>
      <c r="GYA16" s="11"/>
      <c r="GYB16" s="11"/>
      <c r="GYC16" s="11"/>
      <c r="GYD16" s="11"/>
      <c r="GYE16" s="11"/>
      <c r="GYF16" s="11"/>
      <c r="GYG16" s="11"/>
      <c r="GYH16" s="11"/>
      <c r="GYI16" s="11"/>
      <c r="GYJ16" s="11"/>
      <c r="GYK16" s="11"/>
      <c r="GYL16" s="11"/>
      <c r="GYM16" s="11"/>
      <c r="GYN16" s="11"/>
      <c r="GYO16" s="11"/>
      <c r="GYP16" s="11"/>
      <c r="GYQ16" s="11"/>
      <c r="GYR16" s="11"/>
      <c r="GYS16" s="11"/>
      <c r="GYT16" s="11"/>
      <c r="GYU16" s="11"/>
      <c r="GYV16" s="11"/>
      <c r="GYW16" s="11"/>
      <c r="GYX16" s="11"/>
      <c r="GYY16" s="11"/>
      <c r="GYZ16" s="11"/>
      <c r="GZA16" s="11"/>
      <c r="GZB16" s="11"/>
      <c r="GZC16" s="11"/>
      <c r="GZD16" s="11"/>
      <c r="GZE16" s="11"/>
      <c r="GZF16" s="11"/>
      <c r="GZG16" s="11"/>
      <c r="GZH16" s="11"/>
      <c r="GZI16" s="11"/>
      <c r="GZJ16" s="11"/>
      <c r="GZK16" s="11"/>
      <c r="GZL16" s="11"/>
      <c r="GZM16" s="11"/>
      <c r="GZN16" s="11"/>
      <c r="GZO16" s="11"/>
      <c r="GZP16" s="11"/>
      <c r="GZQ16" s="11"/>
      <c r="GZR16" s="11"/>
      <c r="GZS16" s="11"/>
      <c r="GZT16" s="11"/>
      <c r="GZU16" s="11"/>
      <c r="GZV16" s="11"/>
      <c r="GZW16" s="11"/>
      <c r="GZX16" s="11"/>
      <c r="GZY16" s="11"/>
      <c r="GZZ16" s="11"/>
      <c r="HAA16" s="11"/>
      <c r="HAB16" s="11"/>
      <c r="HAC16" s="11"/>
      <c r="HAD16" s="11"/>
      <c r="HAE16" s="11"/>
      <c r="HAF16" s="11"/>
      <c r="HAG16" s="11"/>
      <c r="HAH16" s="11"/>
      <c r="HAI16" s="11"/>
      <c r="HAJ16" s="11"/>
      <c r="HAK16" s="11"/>
      <c r="HAL16" s="11"/>
      <c r="HAM16" s="11"/>
      <c r="HAN16" s="11"/>
      <c r="HAO16" s="11"/>
      <c r="HAP16" s="11"/>
      <c r="HAQ16" s="11"/>
      <c r="HAR16" s="11"/>
      <c r="HAS16" s="11"/>
      <c r="HAT16" s="11"/>
      <c r="HAU16" s="11"/>
      <c r="HAV16" s="11"/>
      <c r="HAW16" s="11"/>
      <c r="HAX16" s="11"/>
      <c r="HAY16" s="11"/>
      <c r="HAZ16" s="11"/>
      <c r="HBA16" s="11"/>
      <c r="HBB16" s="11"/>
      <c r="HBC16" s="11"/>
      <c r="HBD16" s="11"/>
      <c r="HBE16" s="11"/>
      <c r="HBF16" s="11"/>
      <c r="HBG16" s="11"/>
      <c r="HBH16" s="11"/>
      <c r="HBI16" s="11"/>
      <c r="HBJ16" s="11"/>
      <c r="HBK16" s="11"/>
      <c r="HBL16" s="11"/>
      <c r="HBM16" s="11"/>
      <c r="HBN16" s="11"/>
      <c r="HBO16" s="11"/>
      <c r="HBP16" s="11"/>
      <c r="HBQ16" s="11"/>
      <c r="HBR16" s="11"/>
      <c r="HBS16" s="11"/>
      <c r="HBT16" s="11"/>
      <c r="HBU16" s="11"/>
      <c r="HBV16" s="11"/>
      <c r="HBW16" s="11"/>
      <c r="HBX16" s="11"/>
      <c r="HBY16" s="11"/>
      <c r="HBZ16" s="11"/>
      <c r="HCA16" s="11"/>
      <c r="HCB16" s="11"/>
      <c r="HCC16" s="11"/>
      <c r="HCD16" s="11"/>
      <c r="HCE16" s="11"/>
      <c r="HCF16" s="11"/>
      <c r="HCG16" s="11"/>
      <c r="HCH16" s="11"/>
      <c r="HCI16" s="11"/>
      <c r="HCJ16" s="11"/>
      <c r="HCK16" s="11"/>
      <c r="HCL16" s="11"/>
      <c r="HCM16" s="11"/>
      <c r="HCN16" s="11"/>
      <c r="HCO16" s="11"/>
      <c r="HCP16" s="11"/>
      <c r="HCQ16" s="11"/>
      <c r="HCR16" s="11"/>
      <c r="HCS16" s="11"/>
      <c r="HCT16" s="11"/>
      <c r="HCU16" s="11"/>
      <c r="HCV16" s="11"/>
      <c r="HCW16" s="11"/>
      <c r="HCX16" s="11"/>
      <c r="HCY16" s="11"/>
      <c r="HCZ16" s="11"/>
      <c r="HDA16" s="11"/>
      <c r="HDB16" s="11"/>
      <c r="HDC16" s="11"/>
      <c r="HDD16" s="11"/>
      <c r="HDE16" s="11"/>
      <c r="HDF16" s="11"/>
      <c r="HDG16" s="11"/>
      <c r="HDH16" s="11"/>
      <c r="HDI16" s="11"/>
      <c r="HDJ16" s="11"/>
      <c r="HDK16" s="11"/>
      <c r="HDL16" s="11"/>
      <c r="HDM16" s="11"/>
      <c r="HDN16" s="11"/>
      <c r="HDO16" s="11"/>
      <c r="HDP16" s="11"/>
      <c r="HDQ16" s="11"/>
      <c r="HDR16" s="11"/>
      <c r="HDS16" s="11"/>
      <c r="HDT16" s="11"/>
      <c r="HDU16" s="11"/>
      <c r="HDV16" s="11"/>
      <c r="HDW16" s="11"/>
      <c r="HDX16" s="11"/>
      <c r="HDY16" s="11"/>
      <c r="HDZ16" s="11"/>
      <c r="HEA16" s="11"/>
      <c r="HEB16" s="11"/>
      <c r="HEC16" s="11"/>
      <c r="HED16" s="11"/>
      <c r="HEE16" s="11"/>
      <c r="HEF16" s="11"/>
      <c r="HEG16" s="11"/>
      <c r="HEH16" s="11"/>
      <c r="HEI16" s="11"/>
      <c r="HEJ16" s="11"/>
      <c r="HEK16" s="11"/>
      <c r="HEL16" s="11"/>
      <c r="HEM16" s="11"/>
      <c r="HEN16" s="11"/>
      <c r="HEO16" s="11"/>
      <c r="HEP16" s="11"/>
      <c r="HEQ16" s="11"/>
      <c r="HER16" s="11"/>
      <c r="HES16" s="11"/>
      <c r="HET16" s="11"/>
      <c r="HEU16" s="11"/>
      <c r="HEV16" s="11"/>
      <c r="HEW16" s="11"/>
      <c r="HEX16" s="11"/>
      <c r="HEY16" s="11"/>
      <c r="HEZ16" s="11"/>
      <c r="HFA16" s="11"/>
      <c r="HFB16" s="11"/>
      <c r="HFC16" s="11"/>
      <c r="HFD16" s="11"/>
      <c r="HFE16" s="11"/>
      <c r="HFF16" s="11"/>
      <c r="HFG16" s="11"/>
      <c r="HFH16" s="11"/>
      <c r="HFI16" s="11"/>
      <c r="HFJ16" s="11"/>
      <c r="HFK16" s="11"/>
      <c r="HFL16" s="11"/>
      <c r="HFM16" s="11"/>
      <c r="HFN16" s="11"/>
      <c r="HFO16" s="11"/>
      <c r="HFP16" s="11"/>
      <c r="HFQ16" s="11"/>
      <c r="HFR16" s="11"/>
      <c r="HFS16" s="11"/>
      <c r="HFT16" s="11"/>
      <c r="HFU16" s="11"/>
      <c r="HFV16" s="11"/>
      <c r="HFW16" s="11"/>
      <c r="HFX16" s="11"/>
      <c r="HFY16" s="11"/>
      <c r="HFZ16" s="11"/>
      <c r="HGA16" s="11"/>
      <c r="HGB16" s="11"/>
      <c r="HGC16" s="11"/>
      <c r="HGD16" s="11"/>
      <c r="HGE16" s="11"/>
      <c r="HGF16" s="11"/>
      <c r="HGG16" s="11"/>
      <c r="HGH16" s="11"/>
      <c r="HGI16" s="11"/>
      <c r="HGJ16" s="11"/>
      <c r="HGK16" s="11"/>
      <c r="HGL16" s="11"/>
      <c r="HGM16" s="11"/>
      <c r="HGN16" s="11"/>
      <c r="HGO16" s="11"/>
      <c r="HGP16" s="11"/>
      <c r="HGQ16" s="11"/>
      <c r="HGR16" s="11"/>
      <c r="HGS16" s="11"/>
      <c r="HGT16" s="11"/>
      <c r="HGU16" s="11"/>
      <c r="HGV16" s="11"/>
      <c r="HGW16" s="11"/>
      <c r="HGX16" s="11"/>
      <c r="HGY16" s="11"/>
      <c r="HGZ16" s="11"/>
      <c r="HHA16" s="11"/>
      <c r="HHB16" s="11"/>
      <c r="HHC16" s="11"/>
      <c r="HHD16" s="11"/>
      <c r="HHE16" s="11"/>
      <c r="HHF16" s="11"/>
      <c r="HHG16" s="11"/>
      <c r="HHH16" s="11"/>
      <c r="HHI16" s="11"/>
      <c r="HHJ16" s="11"/>
      <c r="HHK16" s="11"/>
      <c r="HHL16" s="11"/>
      <c r="HHM16" s="11"/>
      <c r="HHN16" s="11"/>
      <c r="HHO16" s="11"/>
      <c r="HHP16" s="11"/>
      <c r="HHQ16" s="11"/>
      <c r="HHR16" s="11"/>
      <c r="HHS16" s="11"/>
      <c r="HHT16" s="11"/>
      <c r="HHU16" s="11"/>
      <c r="HHV16" s="11"/>
      <c r="HHW16" s="11"/>
      <c r="HHX16" s="11"/>
      <c r="HHY16" s="11"/>
      <c r="HHZ16" s="11"/>
      <c r="HIA16" s="11"/>
      <c r="HIB16" s="11"/>
      <c r="HIC16" s="11"/>
      <c r="HID16" s="11"/>
      <c r="HIE16" s="11"/>
      <c r="HIF16" s="11"/>
      <c r="HIG16" s="11"/>
      <c r="HIH16" s="11"/>
      <c r="HII16" s="11"/>
      <c r="HIJ16" s="11"/>
      <c r="HIK16" s="11"/>
      <c r="HIL16" s="11"/>
      <c r="HIM16" s="11"/>
      <c r="HIN16" s="11"/>
      <c r="HIO16" s="11"/>
      <c r="HIP16" s="11"/>
      <c r="HIQ16" s="11"/>
      <c r="HIR16" s="11"/>
      <c r="HIS16" s="11"/>
      <c r="HIT16" s="11"/>
      <c r="HIU16" s="11"/>
      <c r="HIV16" s="11"/>
      <c r="HIW16" s="11"/>
      <c r="HIX16" s="11"/>
      <c r="HIY16" s="11"/>
      <c r="HIZ16" s="11"/>
      <c r="HJA16" s="11"/>
      <c r="HJB16" s="11"/>
      <c r="HJC16" s="11"/>
      <c r="HJD16" s="11"/>
      <c r="HJE16" s="11"/>
      <c r="HJF16" s="11"/>
      <c r="HJG16" s="11"/>
      <c r="HJH16" s="11"/>
      <c r="HJI16" s="11"/>
      <c r="HJJ16" s="11"/>
      <c r="HJK16" s="11"/>
      <c r="HJL16" s="11"/>
      <c r="HJM16" s="11"/>
      <c r="HJN16" s="11"/>
      <c r="HJO16" s="11"/>
      <c r="HJP16" s="11"/>
      <c r="HJQ16" s="11"/>
      <c r="HJR16" s="11"/>
      <c r="HJS16" s="11"/>
      <c r="HJT16" s="11"/>
      <c r="HJU16" s="11"/>
      <c r="HJV16" s="11"/>
      <c r="HJW16" s="11"/>
      <c r="HJX16" s="11"/>
      <c r="HJY16" s="11"/>
      <c r="HJZ16" s="11"/>
      <c r="HKA16" s="11"/>
      <c r="HKB16" s="11"/>
      <c r="HKC16" s="11"/>
      <c r="HKD16" s="11"/>
      <c r="HKE16" s="11"/>
      <c r="HKF16" s="11"/>
      <c r="HKG16" s="11"/>
      <c r="HKH16" s="11"/>
      <c r="HKI16" s="11"/>
      <c r="HKJ16" s="11"/>
      <c r="HKK16" s="11"/>
      <c r="HKL16" s="11"/>
      <c r="HKM16" s="11"/>
      <c r="HKN16" s="11"/>
      <c r="HKO16" s="11"/>
      <c r="HKP16" s="11"/>
      <c r="HKQ16" s="11"/>
      <c r="HKR16" s="11"/>
      <c r="HKS16" s="11"/>
      <c r="HKT16" s="11"/>
      <c r="HKU16" s="11"/>
      <c r="HKV16" s="11"/>
      <c r="HKW16" s="11"/>
      <c r="HKX16" s="11"/>
      <c r="HKY16" s="11"/>
      <c r="HKZ16" s="11"/>
      <c r="HLA16" s="11"/>
      <c r="HLB16" s="11"/>
      <c r="HLC16" s="11"/>
      <c r="HLD16" s="11"/>
      <c r="HLE16" s="11"/>
      <c r="HLF16" s="11"/>
      <c r="HLG16" s="11"/>
      <c r="HLH16" s="11"/>
      <c r="HLI16" s="11"/>
      <c r="HLJ16" s="11"/>
      <c r="HLK16" s="11"/>
      <c r="HLL16" s="11"/>
      <c r="HLM16" s="11"/>
      <c r="HLN16" s="11"/>
      <c r="HLO16" s="11"/>
      <c r="HLP16" s="11"/>
      <c r="HLQ16" s="11"/>
      <c r="HLR16" s="11"/>
      <c r="HLS16" s="11"/>
      <c r="HLT16" s="11"/>
      <c r="HLU16" s="11"/>
      <c r="HLV16" s="11"/>
      <c r="HLW16" s="11"/>
      <c r="HLX16" s="11"/>
      <c r="HLY16" s="11"/>
      <c r="HLZ16" s="11"/>
      <c r="HMA16" s="11"/>
      <c r="HMB16" s="11"/>
      <c r="HMC16" s="11"/>
      <c r="HMD16" s="11"/>
      <c r="HME16" s="11"/>
      <c r="HMF16" s="11"/>
      <c r="HMG16" s="11"/>
      <c r="HMH16" s="11"/>
      <c r="HMI16" s="11"/>
      <c r="HMJ16" s="11"/>
      <c r="HMK16" s="11"/>
      <c r="HML16" s="11"/>
      <c r="HMM16" s="11"/>
      <c r="HMN16" s="11"/>
      <c r="HMO16" s="11"/>
      <c r="HMP16" s="11"/>
      <c r="HMQ16" s="11"/>
      <c r="HMR16" s="11"/>
      <c r="HMS16" s="11"/>
      <c r="HMT16" s="11"/>
      <c r="HMU16" s="11"/>
      <c r="HMV16" s="11"/>
      <c r="HMW16" s="11"/>
      <c r="HMX16" s="11"/>
      <c r="HMY16" s="11"/>
      <c r="HMZ16" s="11"/>
      <c r="HNA16" s="11"/>
      <c r="HNB16" s="11"/>
      <c r="HNC16" s="11"/>
      <c r="HND16" s="11"/>
      <c r="HNE16" s="11"/>
      <c r="HNF16" s="11"/>
      <c r="HNG16" s="11"/>
      <c r="HNH16" s="11"/>
      <c r="HNI16" s="11"/>
      <c r="HNJ16" s="11"/>
      <c r="HNK16" s="11"/>
      <c r="HNL16" s="11"/>
      <c r="HNM16" s="11"/>
      <c r="HNN16" s="11"/>
      <c r="HNO16" s="11"/>
      <c r="HNP16" s="11"/>
      <c r="HNQ16" s="11"/>
      <c r="HNR16" s="11"/>
      <c r="HNS16" s="11"/>
      <c r="HNT16" s="11"/>
      <c r="HNU16" s="11"/>
      <c r="HNV16" s="11"/>
      <c r="HNW16" s="11"/>
      <c r="HNX16" s="11"/>
      <c r="HNY16" s="11"/>
      <c r="HNZ16" s="11"/>
      <c r="HOA16" s="11"/>
      <c r="HOB16" s="11"/>
      <c r="HOC16" s="11"/>
      <c r="HOD16" s="11"/>
      <c r="HOE16" s="11"/>
      <c r="HOF16" s="11"/>
      <c r="HOG16" s="11"/>
      <c r="HOH16" s="11"/>
      <c r="HOI16" s="11"/>
      <c r="HOJ16" s="11"/>
      <c r="HOK16" s="11"/>
      <c r="HOL16" s="11"/>
      <c r="HOM16" s="11"/>
      <c r="HON16" s="11"/>
      <c r="HOO16" s="11"/>
      <c r="HOP16" s="11"/>
      <c r="HOQ16" s="11"/>
      <c r="HOR16" s="11"/>
      <c r="HOS16" s="11"/>
      <c r="HOT16" s="11"/>
      <c r="HOU16" s="11"/>
      <c r="HOV16" s="11"/>
      <c r="HOW16" s="11"/>
      <c r="HOX16" s="11"/>
      <c r="HOY16" s="11"/>
      <c r="HOZ16" s="11"/>
      <c r="HPA16" s="11"/>
      <c r="HPB16" s="11"/>
      <c r="HPC16" s="11"/>
      <c r="HPD16" s="11"/>
      <c r="HPE16" s="11"/>
      <c r="HPF16" s="11"/>
      <c r="HPG16" s="11"/>
      <c r="HPH16" s="11"/>
      <c r="HPI16" s="11"/>
      <c r="HPJ16" s="11"/>
      <c r="HPK16" s="11"/>
      <c r="HPL16" s="11"/>
      <c r="HPM16" s="11"/>
      <c r="HPN16" s="11"/>
      <c r="HPO16" s="11"/>
      <c r="HPP16" s="11"/>
      <c r="HPQ16" s="11"/>
      <c r="HPR16" s="11"/>
      <c r="HPS16" s="11"/>
      <c r="HPT16" s="11"/>
      <c r="HPU16" s="11"/>
      <c r="HPV16" s="11"/>
      <c r="HPW16" s="11"/>
      <c r="HPX16" s="11"/>
      <c r="HPY16" s="11"/>
      <c r="HPZ16" s="11"/>
      <c r="HQA16" s="11"/>
      <c r="HQB16" s="11"/>
      <c r="HQC16" s="11"/>
      <c r="HQD16" s="11"/>
      <c r="HQE16" s="11"/>
      <c r="HQF16" s="11"/>
      <c r="HQG16" s="11"/>
      <c r="HQH16" s="11"/>
      <c r="HQI16" s="11"/>
      <c r="HQJ16" s="11"/>
      <c r="HQK16" s="11"/>
      <c r="HQL16" s="11"/>
      <c r="HQM16" s="11"/>
      <c r="HQN16" s="11"/>
      <c r="HQO16" s="11"/>
      <c r="HQP16" s="11"/>
      <c r="HQQ16" s="11"/>
      <c r="HQR16" s="11"/>
      <c r="HQS16" s="11"/>
      <c r="HQT16" s="11"/>
      <c r="HQU16" s="11"/>
      <c r="HQV16" s="11"/>
      <c r="HQW16" s="11"/>
      <c r="HQX16" s="11"/>
      <c r="HQY16" s="11"/>
      <c r="HQZ16" s="11"/>
      <c r="HRA16" s="11"/>
      <c r="HRB16" s="11"/>
      <c r="HRC16" s="11"/>
      <c r="HRD16" s="11"/>
      <c r="HRE16" s="11"/>
      <c r="HRF16" s="11"/>
      <c r="HRG16" s="11"/>
      <c r="HRH16" s="11"/>
      <c r="HRI16" s="11"/>
      <c r="HRJ16" s="11"/>
      <c r="HRK16" s="11"/>
      <c r="HRL16" s="11"/>
      <c r="HRM16" s="11"/>
      <c r="HRN16" s="11"/>
      <c r="HRO16" s="11"/>
      <c r="HRP16" s="11"/>
      <c r="HRQ16" s="11"/>
      <c r="HRR16" s="11"/>
      <c r="HRS16" s="11"/>
      <c r="HRT16" s="11"/>
      <c r="HRU16" s="11"/>
      <c r="HRV16" s="11"/>
      <c r="HRW16" s="11"/>
      <c r="HRX16" s="11"/>
      <c r="HRY16" s="11"/>
      <c r="HRZ16" s="11"/>
      <c r="HSA16" s="11"/>
      <c r="HSB16" s="11"/>
      <c r="HSC16" s="11"/>
      <c r="HSD16" s="11"/>
      <c r="HSE16" s="11"/>
      <c r="HSF16" s="11"/>
      <c r="HSG16" s="11"/>
      <c r="HSH16" s="11"/>
      <c r="HSI16" s="11"/>
      <c r="HSJ16" s="11"/>
      <c r="HSK16" s="11"/>
      <c r="HSL16" s="11"/>
      <c r="HSM16" s="11"/>
      <c r="HSN16" s="11"/>
      <c r="HSO16" s="11"/>
      <c r="HSP16" s="11"/>
      <c r="HSQ16" s="11"/>
      <c r="HSR16" s="11"/>
      <c r="HSS16" s="11"/>
      <c r="HST16" s="11"/>
      <c r="HSU16" s="11"/>
      <c r="HSV16" s="11"/>
      <c r="HSW16" s="11"/>
      <c r="HSX16" s="11"/>
      <c r="HSY16" s="11"/>
      <c r="HSZ16" s="11"/>
      <c r="HTA16" s="11"/>
      <c r="HTB16" s="11"/>
      <c r="HTC16" s="11"/>
      <c r="HTD16" s="11"/>
      <c r="HTE16" s="11"/>
      <c r="HTF16" s="11"/>
      <c r="HTG16" s="11"/>
      <c r="HTH16" s="11"/>
      <c r="HTI16" s="11"/>
      <c r="HTJ16" s="11"/>
      <c r="HTK16" s="11"/>
      <c r="HTL16" s="11"/>
      <c r="HTM16" s="11"/>
      <c r="HTN16" s="11"/>
      <c r="HTO16" s="11"/>
      <c r="HTP16" s="11"/>
      <c r="HTQ16" s="11"/>
      <c r="HTR16" s="11"/>
      <c r="HTS16" s="11"/>
      <c r="HTT16" s="11"/>
      <c r="HTU16" s="11"/>
      <c r="HTV16" s="11"/>
      <c r="HTW16" s="11"/>
      <c r="HTX16" s="11"/>
      <c r="HTY16" s="11"/>
      <c r="HTZ16" s="11"/>
      <c r="HUA16" s="11"/>
      <c r="HUB16" s="11"/>
      <c r="HUC16" s="11"/>
      <c r="HUD16" s="11"/>
      <c r="HUE16" s="11"/>
      <c r="HUF16" s="11"/>
      <c r="HUG16" s="11"/>
      <c r="HUH16" s="11"/>
      <c r="HUI16" s="11"/>
      <c r="HUJ16" s="11"/>
      <c r="HUK16" s="11"/>
      <c r="HUL16" s="11"/>
      <c r="HUM16" s="11"/>
      <c r="HUN16" s="11"/>
      <c r="HUO16" s="11"/>
      <c r="HUP16" s="11"/>
      <c r="HUQ16" s="11"/>
      <c r="HUR16" s="11"/>
      <c r="HUS16" s="11"/>
      <c r="HUT16" s="11"/>
      <c r="HUU16" s="11"/>
      <c r="HUV16" s="11"/>
      <c r="HUW16" s="11"/>
      <c r="HUX16" s="11"/>
      <c r="HUY16" s="11"/>
      <c r="HUZ16" s="11"/>
      <c r="HVA16" s="11"/>
      <c r="HVB16" s="11"/>
      <c r="HVC16" s="11"/>
      <c r="HVD16" s="11"/>
      <c r="HVE16" s="11"/>
      <c r="HVF16" s="11"/>
      <c r="HVG16" s="11"/>
      <c r="HVH16" s="11"/>
      <c r="HVI16" s="11"/>
      <c r="HVJ16" s="11"/>
      <c r="HVK16" s="11"/>
      <c r="HVL16" s="11"/>
      <c r="HVM16" s="11"/>
      <c r="HVN16" s="11"/>
      <c r="HVO16" s="11"/>
      <c r="HVP16" s="11"/>
      <c r="HVQ16" s="11"/>
      <c r="HVR16" s="11"/>
      <c r="HVS16" s="11"/>
      <c r="HVT16" s="11"/>
      <c r="HVU16" s="11"/>
      <c r="HVV16" s="11"/>
      <c r="HVW16" s="11"/>
      <c r="HVX16" s="11"/>
      <c r="HVY16" s="11"/>
      <c r="HVZ16" s="11"/>
      <c r="HWA16" s="11"/>
      <c r="HWB16" s="11"/>
      <c r="HWC16" s="11"/>
      <c r="HWD16" s="11"/>
      <c r="HWE16" s="11"/>
      <c r="HWF16" s="11"/>
      <c r="HWG16" s="11"/>
      <c r="HWH16" s="11"/>
      <c r="HWI16" s="11"/>
      <c r="HWJ16" s="11"/>
      <c r="HWK16" s="11"/>
      <c r="HWL16" s="11"/>
      <c r="HWM16" s="11"/>
      <c r="HWN16" s="11"/>
      <c r="HWO16" s="11"/>
      <c r="HWP16" s="11"/>
      <c r="HWQ16" s="11"/>
      <c r="HWR16" s="11"/>
      <c r="HWS16" s="11"/>
      <c r="HWT16" s="11"/>
      <c r="HWU16" s="11"/>
      <c r="HWV16" s="11"/>
      <c r="HWW16" s="11"/>
      <c r="HWX16" s="11"/>
      <c r="HWY16" s="11"/>
      <c r="HWZ16" s="11"/>
      <c r="HXA16" s="11"/>
      <c r="HXB16" s="11"/>
      <c r="HXC16" s="11"/>
      <c r="HXD16" s="11"/>
      <c r="HXE16" s="11"/>
      <c r="HXF16" s="11"/>
      <c r="HXG16" s="11"/>
      <c r="HXH16" s="11"/>
      <c r="HXI16" s="11"/>
      <c r="HXJ16" s="11"/>
      <c r="HXK16" s="11"/>
      <c r="HXL16" s="11"/>
      <c r="HXM16" s="11"/>
      <c r="HXN16" s="11"/>
      <c r="HXO16" s="11"/>
      <c r="HXP16" s="11"/>
      <c r="HXQ16" s="11"/>
      <c r="HXR16" s="11"/>
      <c r="HXS16" s="11"/>
      <c r="HXT16" s="11"/>
      <c r="HXU16" s="11"/>
      <c r="HXV16" s="11"/>
      <c r="HXW16" s="11"/>
      <c r="HXX16" s="11"/>
      <c r="HXY16" s="11"/>
      <c r="HXZ16" s="11"/>
      <c r="HYA16" s="11"/>
      <c r="HYB16" s="11"/>
      <c r="HYC16" s="11"/>
      <c r="HYD16" s="11"/>
      <c r="HYE16" s="11"/>
      <c r="HYF16" s="11"/>
      <c r="HYG16" s="11"/>
      <c r="HYH16" s="11"/>
      <c r="HYI16" s="11"/>
      <c r="HYJ16" s="11"/>
      <c r="HYK16" s="11"/>
      <c r="HYL16" s="11"/>
      <c r="HYM16" s="11"/>
      <c r="HYN16" s="11"/>
      <c r="HYO16" s="11"/>
      <c r="HYP16" s="11"/>
      <c r="HYQ16" s="11"/>
      <c r="HYR16" s="11"/>
      <c r="HYS16" s="11"/>
      <c r="HYT16" s="11"/>
      <c r="HYU16" s="11"/>
      <c r="HYV16" s="11"/>
      <c r="HYW16" s="11"/>
      <c r="HYX16" s="11"/>
      <c r="HYY16" s="11"/>
      <c r="HYZ16" s="11"/>
      <c r="HZA16" s="11"/>
      <c r="HZB16" s="11"/>
      <c r="HZC16" s="11"/>
      <c r="HZD16" s="11"/>
      <c r="HZE16" s="11"/>
      <c r="HZF16" s="11"/>
      <c r="HZG16" s="11"/>
      <c r="HZH16" s="11"/>
      <c r="HZI16" s="11"/>
      <c r="HZJ16" s="11"/>
      <c r="HZK16" s="11"/>
      <c r="HZL16" s="11"/>
      <c r="HZM16" s="11"/>
      <c r="HZN16" s="11"/>
      <c r="HZO16" s="11"/>
      <c r="HZP16" s="11"/>
      <c r="HZQ16" s="11"/>
      <c r="HZR16" s="11"/>
      <c r="HZS16" s="11"/>
      <c r="HZT16" s="11"/>
      <c r="HZU16" s="11"/>
      <c r="HZV16" s="11"/>
      <c r="HZW16" s="11"/>
      <c r="HZX16" s="11"/>
      <c r="HZY16" s="11"/>
      <c r="HZZ16" s="11"/>
      <c r="IAA16" s="11"/>
      <c r="IAB16" s="11"/>
      <c r="IAC16" s="11"/>
      <c r="IAD16" s="11"/>
      <c r="IAE16" s="11"/>
      <c r="IAF16" s="11"/>
      <c r="IAG16" s="11"/>
      <c r="IAH16" s="11"/>
      <c r="IAI16" s="11"/>
      <c r="IAJ16" s="11"/>
      <c r="IAK16" s="11"/>
      <c r="IAL16" s="11"/>
      <c r="IAM16" s="11"/>
      <c r="IAN16" s="11"/>
      <c r="IAO16" s="11"/>
      <c r="IAP16" s="11"/>
      <c r="IAQ16" s="11"/>
      <c r="IAR16" s="11"/>
      <c r="IAS16" s="11"/>
      <c r="IAT16" s="11"/>
      <c r="IAU16" s="11"/>
      <c r="IAV16" s="11"/>
      <c r="IAW16" s="11"/>
      <c r="IAX16" s="11"/>
      <c r="IAY16" s="11"/>
      <c r="IAZ16" s="11"/>
      <c r="IBA16" s="11"/>
      <c r="IBB16" s="11"/>
      <c r="IBC16" s="11"/>
      <c r="IBD16" s="11"/>
      <c r="IBE16" s="11"/>
      <c r="IBF16" s="11"/>
      <c r="IBG16" s="11"/>
      <c r="IBH16" s="11"/>
      <c r="IBI16" s="11"/>
      <c r="IBJ16" s="11"/>
      <c r="IBK16" s="11"/>
      <c r="IBL16" s="11"/>
      <c r="IBM16" s="11"/>
      <c r="IBN16" s="11"/>
      <c r="IBO16" s="11"/>
      <c r="IBP16" s="11"/>
      <c r="IBQ16" s="11"/>
      <c r="IBR16" s="11"/>
      <c r="IBS16" s="11"/>
      <c r="IBT16" s="11"/>
      <c r="IBU16" s="11"/>
      <c r="IBV16" s="11"/>
      <c r="IBW16" s="11"/>
      <c r="IBX16" s="11"/>
      <c r="IBY16" s="11"/>
      <c r="IBZ16" s="11"/>
      <c r="ICA16" s="11"/>
      <c r="ICB16" s="11"/>
      <c r="ICC16" s="11"/>
      <c r="ICD16" s="11"/>
      <c r="ICE16" s="11"/>
      <c r="ICF16" s="11"/>
      <c r="ICG16" s="11"/>
      <c r="ICH16" s="11"/>
      <c r="ICI16" s="11"/>
      <c r="ICJ16" s="11"/>
      <c r="ICK16" s="11"/>
      <c r="ICL16" s="11"/>
      <c r="ICM16" s="11"/>
      <c r="ICN16" s="11"/>
      <c r="ICO16" s="11"/>
      <c r="ICP16" s="11"/>
      <c r="ICQ16" s="11"/>
      <c r="ICR16" s="11"/>
      <c r="ICS16" s="11"/>
      <c r="ICT16" s="11"/>
      <c r="ICU16" s="11"/>
      <c r="ICV16" s="11"/>
      <c r="ICW16" s="11"/>
      <c r="ICX16" s="11"/>
      <c r="ICY16" s="11"/>
      <c r="ICZ16" s="11"/>
      <c r="IDA16" s="11"/>
      <c r="IDB16" s="11"/>
      <c r="IDC16" s="11"/>
      <c r="IDD16" s="11"/>
      <c r="IDE16" s="11"/>
      <c r="IDF16" s="11"/>
      <c r="IDG16" s="11"/>
      <c r="IDH16" s="11"/>
      <c r="IDI16" s="11"/>
      <c r="IDJ16" s="11"/>
      <c r="IDK16" s="11"/>
      <c r="IDL16" s="11"/>
      <c r="IDM16" s="11"/>
      <c r="IDN16" s="11"/>
      <c r="IDO16" s="11"/>
      <c r="IDP16" s="11"/>
      <c r="IDQ16" s="11"/>
      <c r="IDR16" s="11"/>
      <c r="IDS16" s="11"/>
      <c r="IDT16" s="11"/>
      <c r="IDU16" s="11"/>
      <c r="IDV16" s="11"/>
      <c r="IDW16" s="11"/>
      <c r="IDX16" s="11"/>
      <c r="IDY16" s="11"/>
      <c r="IDZ16" s="11"/>
      <c r="IEA16" s="11"/>
      <c r="IEB16" s="11"/>
      <c r="IEC16" s="11"/>
      <c r="IED16" s="11"/>
      <c r="IEE16" s="11"/>
      <c r="IEF16" s="11"/>
      <c r="IEG16" s="11"/>
      <c r="IEH16" s="11"/>
      <c r="IEI16" s="11"/>
      <c r="IEJ16" s="11"/>
      <c r="IEK16" s="11"/>
      <c r="IEL16" s="11"/>
      <c r="IEM16" s="11"/>
      <c r="IEN16" s="11"/>
      <c r="IEO16" s="11"/>
      <c r="IEP16" s="11"/>
      <c r="IEQ16" s="11"/>
      <c r="IER16" s="11"/>
      <c r="IES16" s="11"/>
      <c r="IET16" s="11"/>
      <c r="IEU16" s="11"/>
      <c r="IEV16" s="11"/>
      <c r="IEW16" s="11"/>
      <c r="IEX16" s="11"/>
      <c r="IEY16" s="11"/>
      <c r="IEZ16" s="11"/>
      <c r="IFA16" s="11"/>
      <c r="IFB16" s="11"/>
      <c r="IFC16" s="11"/>
      <c r="IFD16" s="11"/>
      <c r="IFE16" s="11"/>
      <c r="IFF16" s="11"/>
      <c r="IFG16" s="11"/>
      <c r="IFH16" s="11"/>
      <c r="IFI16" s="11"/>
      <c r="IFJ16" s="11"/>
      <c r="IFK16" s="11"/>
      <c r="IFL16" s="11"/>
      <c r="IFM16" s="11"/>
      <c r="IFN16" s="11"/>
      <c r="IFO16" s="11"/>
      <c r="IFP16" s="11"/>
      <c r="IFQ16" s="11"/>
      <c r="IFR16" s="11"/>
      <c r="IFS16" s="11"/>
      <c r="IFT16" s="11"/>
      <c r="IFU16" s="11"/>
      <c r="IFV16" s="11"/>
      <c r="IFW16" s="11"/>
      <c r="IFX16" s="11"/>
      <c r="IFY16" s="11"/>
      <c r="IFZ16" s="11"/>
      <c r="IGA16" s="11"/>
      <c r="IGB16" s="11"/>
      <c r="IGC16" s="11"/>
      <c r="IGD16" s="11"/>
      <c r="IGE16" s="11"/>
      <c r="IGF16" s="11"/>
      <c r="IGG16" s="11"/>
      <c r="IGH16" s="11"/>
      <c r="IGI16" s="11"/>
      <c r="IGJ16" s="11"/>
      <c r="IGK16" s="11"/>
      <c r="IGL16" s="11"/>
      <c r="IGM16" s="11"/>
      <c r="IGN16" s="11"/>
      <c r="IGO16" s="11"/>
      <c r="IGP16" s="11"/>
      <c r="IGQ16" s="11"/>
      <c r="IGR16" s="11"/>
      <c r="IGS16" s="11"/>
      <c r="IGT16" s="11"/>
      <c r="IGU16" s="11"/>
      <c r="IGV16" s="11"/>
      <c r="IGW16" s="11"/>
      <c r="IGX16" s="11"/>
      <c r="IGY16" s="11"/>
      <c r="IGZ16" s="11"/>
      <c r="IHA16" s="11"/>
      <c r="IHB16" s="11"/>
      <c r="IHC16" s="11"/>
      <c r="IHD16" s="11"/>
      <c r="IHE16" s="11"/>
      <c r="IHF16" s="11"/>
      <c r="IHG16" s="11"/>
      <c r="IHH16" s="11"/>
      <c r="IHI16" s="11"/>
      <c r="IHJ16" s="11"/>
      <c r="IHK16" s="11"/>
      <c r="IHL16" s="11"/>
      <c r="IHM16" s="11"/>
      <c r="IHN16" s="11"/>
      <c r="IHO16" s="11"/>
      <c r="IHP16" s="11"/>
      <c r="IHQ16" s="11"/>
      <c r="IHR16" s="11"/>
      <c r="IHS16" s="11"/>
      <c r="IHT16" s="11"/>
      <c r="IHU16" s="11"/>
      <c r="IHV16" s="11"/>
      <c r="IHW16" s="11"/>
      <c r="IHX16" s="11"/>
      <c r="IHY16" s="11"/>
      <c r="IHZ16" s="11"/>
      <c r="IIA16" s="11"/>
      <c r="IIB16" s="11"/>
      <c r="IIC16" s="11"/>
      <c r="IID16" s="11"/>
      <c r="IIE16" s="11"/>
      <c r="IIF16" s="11"/>
      <c r="IIG16" s="11"/>
      <c r="IIH16" s="11"/>
      <c r="III16" s="11"/>
      <c r="IIJ16" s="11"/>
      <c r="IIK16" s="11"/>
      <c r="IIL16" s="11"/>
      <c r="IIM16" s="11"/>
      <c r="IIN16" s="11"/>
      <c r="IIO16" s="11"/>
      <c r="IIP16" s="11"/>
      <c r="IIQ16" s="11"/>
      <c r="IIR16" s="11"/>
      <c r="IIS16" s="11"/>
      <c r="IIT16" s="11"/>
      <c r="IIU16" s="11"/>
      <c r="IIV16" s="11"/>
      <c r="IIW16" s="11"/>
      <c r="IIX16" s="11"/>
      <c r="IIY16" s="11"/>
      <c r="IIZ16" s="11"/>
      <c r="IJA16" s="11"/>
      <c r="IJB16" s="11"/>
      <c r="IJC16" s="11"/>
      <c r="IJD16" s="11"/>
      <c r="IJE16" s="11"/>
      <c r="IJF16" s="11"/>
      <c r="IJG16" s="11"/>
      <c r="IJH16" s="11"/>
      <c r="IJI16" s="11"/>
      <c r="IJJ16" s="11"/>
      <c r="IJK16" s="11"/>
      <c r="IJL16" s="11"/>
      <c r="IJM16" s="11"/>
      <c r="IJN16" s="11"/>
      <c r="IJO16" s="11"/>
      <c r="IJP16" s="11"/>
      <c r="IJQ16" s="11"/>
      <c r="IJR16" s="11"/>
      <c r="IJS16" s="11"/>
      <c r="IJT16" s="11"/>
      <c r="IJU16" s="11"/>
      <c r="IJV16" s="11"/>
      <c r="IJW16" s="11"/>
      <c r="IJX16" s="11"/>
      <c r="IJY16" s="11"/>
      <c r="IJZ16" s="11"/>
      <c r="IKA16" s="11"/>
      <c r="IKB16" s="11"/>
      <c r="IKC16" s="11"/>
      <c r="IKD16" s="11"/>
      <c r="IKE16" s="11"/>
      <c r="IKF16" s="11"/>
      <c r="IKG16" s="11"/>
      <c r="IKH16" s="11"/>
      <c r="IKI16" s="11"/>
      <c r="IKJ16" s="11"/>
      <c r="IKK16" s="11"/>
      <c r="IKL16" s="11"/>
      <c r="IKM16" s="11"/>
      <c r="IKN16" s="11"/>
      <c r="IKO16" s="11"/>
      <c r="IKP16" s="11"/>
      <c r="IKQ16" s="11"/>
      <c r="IKR16" s="11"/>
      <c r="IKS16" s="11"/>
      <c r="IKT16" s="11"/>
      <c r="IKU16" s="11"/>
      <c r="IKV16" s="11"/>
      <c r="IKW16" s="11"/>
      <c r="IKX16" s="11"/>
      <c r="IKY16" s="11"/>
      <c r="IKZ16" s="11"/>
      <c r="ILA16" s="11"/>
      <c r="ILB16" s="11"/>
      <c r="ILC16" s="11"/>
      <c r="ILD16" s="11"/>
      <c r="ILE16" s="11"/>
      <c r="ILF16" s="11"/>
      <c r="ILG16" s="11"/>
      <c r="ILH16" s="11"/>
      <c r="ILI16" s="11"/>
      <c r="ILJ16" s="11"/>
      <c r="ILK16" s="11"/>
      <c r="ILL16" s="11"/>
      <c r="ILM16" s="11"/>
      <c r="ILN16" s="11"/>
      <c r="ILO16" s="11"/>
      <c r="ILP16" s="11"/>
      <c r="ILQ16" s="11"/>
      <c r="ILR16" s="11"/>
      <c r="ILS16" s="11"/>
      <c r="ILT16" s="11"/>
      <c r="ILU16" s="11"/>
      <c r="ILV16" s="11"/>
      <c r="ILW16" s="11"/>
      <c r="ILX16" s="11"/>
      <c r="ILY16" s="11"/>
      <c r="ILZ16" s="11"/>
      <c r="IMA16" s="11"/>
      <c r="IMB16" s="11"/>
      <c r="IMC16" s="11"/>
      <c r="IMD16" s="11"/>
      <c r="IME16" s="11"/>
      <c r="IMF16" s="11"/>
      <c r="IMG16" s="11"/>
      <c r="IMH16" s="11"/>
      <c r="IMI16" s="11"/>
      <c r="IMJ16" s="11"/>
      <c r="IMK16" s="11"/>
      <c r="IML16" s="11"/>
      <c r="IMM16" s="11"/>
      <c r="IMN16" s="11"/>
      <c r="IMO16" s="11"/>
      <c r="IMP16" s="11"/>
      <c r="IMQ16" s="11"/>
      <c r="IMR16" s="11"/>
      <c r="IMS16" s="11"/>
      <c r="IMT16" s="11"/>
      <c r="IMU16" s="11"/>
      <c r="IMV16" s="11"/>
      <c r="IMW16" s="11"/>
      <c r="IMX16" s="11"/>
      <c r="IMY16" s="11"/>
      <c r="IMZ16" s="11"/>
      <c r="INA16" s="11"/>
      <c r="INB16" s="11"/>
      <c r="INC16" s="11"/>
      <c r="IND16" s="11"/>
      <c r="INE16" s="11"/>
      <c r="INF16" s="11"/>
      <c r="ING16" s="11"/>
      <c r="INH16" s="11"/>
      <c r="INI16" s="11"/>
      <c r="INJ16" s="11"/>
      <c r="INK16" s="11"/>
      <c r="INL16" s="11"/>
      <c r="INM16" s="11"/>
      <c r="INN16" s="11"/>
      <c r="INO16" s="11"/>
      <c r="INP16" s="11"/>
      <c r="INQ16" s="11"/>
      <c r="INR16" s="11"/>
      <c r="INS16" s="11"/>
      <c r="INT16" s="11"/>
      <c r="INU16" s="11"/>
      <c r="INV16" s="11"/>
      <c r="INW16" s="11"/>
      <c r="INX16" s="11"/>
      <c r="INY16" s="11"/>
      <c r="INZ16" s="11"/>
      <c r="IOA16" s="11"/>
      <c r="IOB16" s="11"/>
      <c r="IOC16" s="11"/>
      <c r="IOD16" s="11"/>
      <c r="IOE16" s="11"/>
      <c r="IOF16" s="11"/>
      <c r="IOG16" s="11"/>
      <c r="IOH16" s="11"/>
      <c r="IOI16" s="11"/>
      <c r="IOJ16" s="11"/>
      <c r="IOK16" s="11"/>
      <c r="IOL16" s="11"/>
      <c r="IOM16" s="11"/>
      <c r="ION16" s="11"/>
      <c r="IOO16" s="11"/>
      <c r="IOP16" s="11"/>
      <c r="IOQ16" s="11"/>
      <c r="IOR16" s="11"/>
      <c r="IOS16" s="11"/>
      <c r="IOT16" s="11"/>
      <c r="IOU16" s="11"/>
      <c r="IOV16" s="11"/>
      <c r="IOW16" s="11"/>
      <c r="IOX16" s="11"/>
      <c r="IOY16" s="11"/>
      <c r="IOZ16" s="11"/>
      <c r="IPA16" s="11"/>
      <c r="IPB16" s="11"/>
      <c r="IPC16" s="11"/>
      <c r="IPD16" s="11"/>
      <c r="IPE16" s="11"/>
      <c r="IPF16" s="11"/>
      <c r="IPG16" s="11"/>
      <c r="IPH16" s="11"/>
      <c r="IPI16" s="11"/>
      <c r="IPJ16" s="11"/>
      <c r="IPK16" s="11"/>
      <c r="IPL16" s="11"/>
      <c r="IPM16" s="11"/>
      <c r="IPN16" s="11"/>
      <c r="IPO16" s="11"/>
      <c r="IPP16" s="11"/>
      <c r="IPQ16" s="11"/>
      <c r="IPR16" s="11"/>
      <c r="IPS16" s="11"/>
      <c r="IPT16" s="11"/>
      <c r="IPU16" s="11"/>
      <c r="IPV16" s="11"/>
      <c r="IPW16" s="11"/>
      <c r="IPX16" s="11"/>
      <c r="IPY16" s="11"/>
      <c r="IPZ16" s="11"/>
      <c r="IQA16" s="11"/>
      <c r="IQB16" s="11"/>
      <c r="IQC16" s="11"/>
      <c r="IQD16" s="11"/>
      <c r="IQE16" s="11"/>
      <c r="IQF16" s="11"/>
      <c r="IQG16" s="11"/>
      <c r="IQH16" s="11"/>
      <c r="IQI16" s="11"/>
      <c r="IQJ16" s="11"/>
      <c r="IQK16" s="11"/>
      <c r="IQL16" s="11"/>
      <c r="IQM16" s="11"/>
      <c r="IQN16" s="11"/>
      <c r="IQO16" s="11"/>
      <c r="IQP16" s="11"/>
      <c r="IQQ16" s="11"/>
      <c r="IQR16" s="11"/>
      <c r="IQS16" s="11"/>
      <c r="IQT16" s="11"/>
      <c r="IQU16" s="11"/>
      <c r="IQV16" s="11"/>
      <c r="IQW16" s="11"/>
      <c r="IQX16" s="11"/>
      <c r="IQY16" s="11"/>
      <c r="IQZ16" s="11"/>
      <c r="IRA16" s="11"/>
      <c r="IRB16" s="11"/>
      <c r="IRC16" s="11"/>
      <c r="IRD16" s="11"/>
      <c r="IRE16" s="11"/>
      <c r="IRF16" s="11"/>
      <c r="IRG16" s="11"/>
      <c r="IRH16" s="11"/>
      <c r="IRI16" s="11"/>
      <c r="IRJ16" s="11"/>
      <c r="IRK16" s="11"/>
      <c r="IRL16" s="11"/>
      <c r="IRM16" s="11"/>
      <c r="IRN16" s="11"/>
      <c r="IRO16" s="11"/>
      <c r="IRP16" s="11"/>
      <c r="IRQ16" s="11"/>
      <c r="IRR16" s="11"/>
      <c r="IRS16" s="11"/>
      <c r="IRT16" s="11"/>
      <c r="IRU16" s="11"/>
      <c r="IRV16" s="11"/>
      <c r="IRW16" s="11"/>
      <c r="IRX16" s="11"/>
      <c r="IRY16" s="11"/>
      <c r="IRZ16" s="11"/>
      <c r="ISA16" s="11"/>
      <c r="ISB16" s="11"/>
      <c r="ISC16" s="11"/>
      <c r="ISD16" s="11"/>
      <c r="ISE16" s="11"/>
      <c r="ISF16" s="11"/>
      <c r="ISG16" s="11"/>
      <c r="ISH16" s="11"/>
      <c r="ISI16" s="11"/>
      <c r="ISJ16" s="11"/>
      <c r="ISK16" s="11"/>
      <c r="ISL16" s="11"/>
      <c r="ISM16" s="11"/>
      <c r="ISN16" s="11"/>
      <c r="ISO16" s="11"/>
      <c r="ISP16" s="11"/>
      <c r="ISQ16" s="11"/>
      <c r="ISR16" s="11"/>
      <c r="ISS16" s="11"/>
      <c r="IST16" s="11"/>
      <c r="ISU16" s="11"/>
      <c r="ISV16" s="11"/>
      <c r="ISW16" s="11"/>
      <c r="ISX16" s="11"/>
      <c r="ISY16" s="11"/>
      <c r="ISZ16" s="11"/>
      <c r="ITA16" s="11"/>
      <c r="ITB16" s="11"/>
      <c r="ITC16" s="11"/>
      <c r="ITD16" s="11"/>
      <c r="ITE16" s="11"/>
      <c r="ITF16" s="11"/>
      <c r="ITG16" s="11"/>
      <c r="ITH16" s="11"/>
      <c r="ITI16" s="11"/>
      <c r="ITJ16" s="11"/>
      <c r="ITK16" s="11"/>
      <c r="ITL16" s="11"/>
      <c r="ITM16" s="11"/>
      <c r="ITN16" s="11"/>
      <c r="ITO16" s="11"/>
      <c r="ITP16" s="11"/>
      <c r="ITQ16" s="11"/>
      <c r="ITR16" s="11"/>
      <c r="ITS16" s="11"/>
      <c r="ITT16" s="11"/>
      <c r="ITU16" s="11"/>
      <c r="ITV16" s="11"/>
      <c r="ITW16" s="11"/>
      <c r="ITX16" s="11"/>
      <c r="ITY16" s="11"/>
      <c r="ITZ16" s="11"/>
      <c r="IUA16" s="11"/>
      <c r="IUB16" s="11"/>
      <c r="IUC16" s="11"/>
      <c r="IUD16" s="11"/>
      <c r="IUE16" s="11"/>
      <c r="IUF16" s="11"/>
      <c r="IUG16" s="11"/>
      <c r="IUH16" s="11"/>
      <c r="IUI16" s="11"/>
      <c r="IUJ16" s="11"/>
      <c r="IUK16" s="11"/>
      <c r="IUL16" s="11"/>
      <c r="IUM16" s="11"/>
      <c r="IUN16" s="11"/>
      <c r="IUO16" s="11"/>
      <c r="IUP16" s="11"/>
      <c r="IUQ16" s="11"/>
      <c r="IUR16" s="11"/>
      <c r="IUS16" s="11"/>
      <c r="IUT16" s="11"/>
      <c r="IUU16" s="11"/>
      <c r="IUV16" s="11"/>
      <c r="IUW16" s="11"/>
      <c r="IUX16" s="11"/>
      <c r="IUY16" s="11"/>
      <c r="IUZ16" s="11"/>
      <c r="IVA16" s="11"/>
      <c r="IVB16" s="11"/>
      <c r="IVC16" s="11"/>
      <c r="IVD16" s="11"/>
      <c r="IVE16" s="11"/>
      <c r="IVF16" s="11"/>
      <c r="IVG16" s="11"/>
      <c r="IVH16" s="11"/>
      <c r="IVI16" s="11"/>
      <c r="IVJ16" s="11"/>
      <c r="IVK16" s="11"/>
      <c r="IVL16" s="11"/>
      <c r="IVM16" s="11"/>
      <c r="IVN16" s="11"/>
      <c r="IVO16" s="11"/>
      <c r="IVP16" s="11"/>
      <c r="IVQ16" s="11"/>
      <c r="IVR16" s="11"/>
      <c r="IVS16" s="11"/>
      <c r="IVT16" s="11"/>
      <c r="IVU16" s="11"/>
      <c r="IVV16" s="11"/>
      <c r="IVW16" s="11"/>
      <c r="IVX16" s="11"/>
      <c r="IVY16" s="11"/>
      <c r="IVZ16" s="11"/>
      <c r="IWA16" s="11"/>
      <c r="IWB16" s="11"/>
      <c r="IWC16" s="11"/>
      <c r="IWD16" s="11"/>
      <c r="IWE16" s="11"/>
      <c r="IWF16" s="11"/>
      <c r="IWG16" s="11"/>
      <c r="IWH16" s="11"/>
      <c r="IWI16" s="11"/>
      <c r="IWJ16" s="11"/>
      <c r="IWK16" s="11"/>
      <c r="IWL16" s="11"/>
      <c r="IWM16" s="11"/>
      <c r="IWN16" s="11"/>
      <c r="IWO16" s="11"/>
      <c r="IWP16" s="11"/>
      <c r="IWQ16" s="11"/>
      <c r="IWR16" s="11"/>
      <c r="IWS16" s="11"/>
      <c r="IWT16" s="11"/>
      <c r="IWU16" s="11"/>
      <c r="IWV16" s="11"/>
      <c r="IWW16" s="11"/>
      <c r="IWX16" s="11"/>
      <c r="IWY16" s="11"/>
      <c r="IWZ16" s="11"/>
      <c r="IXA16" s="11"/>
      <c r="IXB16" s="11"/>
      <c r="IXC16" s="11"/>
      <c r="IXD16" s="11"/>
      <c r="IXE16" s="11"/>
      <c r="IXF16" s="11"/>
      <c r="IXG16" s="11"/>
      <c r="IXH16" s="11"/>
      <c r="IXI16" s="11"/>
      <c r="IXJ16" s="11"/>
      <c r="IXK16" s="11"/>
      <c r="IXL16" s="11"/>
      <c r="IXM16" s="11"/>
      <c r="IXN16" s="11"/>
      <c r="IXO16" s="11"/>
      <c r="IXP16" s="11"/>
      <c r="IXQ16" s="11"/>
      <c r="IXR16" s="11"/>
      <c r="IXS16" s="11"/>
      <c r="IXT16" s="11"/>
      <c r="IXU16" s="11"/>
      <c r="IXV16" s="11"/>
      <c r="IXW16" s="11"/>
      <c r="IXX16" s="11"/>
      <c r="IXY16" s="11"/>
      <c r="IXZ16" s="11"/>
      <c r="IYA16" s="11"/>
      <c r="IYB16" s="11"/>
      <c r="IYC16" s="11"/>
      <c r="IYD16" s="11"/>
      <c r="IYE16" s="11"/>
      <c r="IYF16" s="11"/>
      <c r="IYG16" s="11"/>
      <c r="IYH16" s="11"/>
      <c r="IYI16" s="11"/>
      <c r="IYJ16" s="11"/>
      <c r="IYK16" s="11"/>
      <c r="IYL16" s="11"/>
      <c r="IYM16" s="11"/>
      <c r="IYN16" s="11"/>
      <c r="IYO16" s="11"/>
      <c r="IYP16" s="11"/>
      <c r="IYQ16" s="11"/>
      <c r="IYR16" s="11"/>
      <c r="IYS16" s="11"/>
      <c r="IYT16" s="11"/>
      <c r="IYU16" s="11"/>
      <c r="IYV16" s="11"/>
      <c r="IYW16" s="11"/>
      <c r="IYX16" s="11"/>
      <c r="IYY16" s="11"/>
      <c r="IYZ16" s="11"/>
      <c r="IZA16" s="11"/>
      <c r="IZB16" s="11"/>
      <c r="IZC16" s="11"/>
      <c r="IZD16" s="11"/>
      <c r="IZE16" s="11"/>
      <c r="IZF16" s="11"/>
      <c r="IZG16" s="11"/>
      <c r="IZH16" s="11"/>
      <c r="IZI16" s="11"/>
      <c r="IZJ16" s="11"/>
      <c r="IZK16" s="11"/>
      <c r="IZL16" s="11"/>
      <c r="IZM16" s="11"/>
      <c r="IZN16" s="11"/>
      <c r="IZO16" s="11"/>
      <c r="IZP16" s="11"/>
      <c r="IZQ16" s="11"/>
      <c r="IZR16" s="11"/>
      <c r="IZS16" s="11"/>
      <c r="IZT16" s="11"/>
      <c r="IZU16" s="11"/>
      <c r="IZV16" s="11"/>
      <c r="IZW16" s="11"/>
      <c r="IZX16" s="11"/>
      <c r="IZY16" s="11"/>
      <c r="IZZ16" s="11"/>
      <c r="JAA16" s="11"/>
      <c r="JAB16" s="11"/>
      <c r="JAC16" s="11"/>
      <c r="JAD16" s="11"/>
      <c r="JAE16" s="11"/>
      <c r="JAF16" s="11"/>
      <c r="JAG16" s="11"/>
      <c r="JAH16" s="11"/>
      <c r="JAI16" s="11"/>
      <c r="JAJ16" s="11"/>
      <c r="JAK16" s="11"/>
      <c r="JAL16" s="11"/>
      <c r="JAM16" s="11"/>
      <c r="JAN16" s="11"/>
      <c r="JAO16" s="11"/>
      <c r="JAP16" s="11"/>
      <c r="JAQ16" s="11"/>
      <c r="JAR16" s="11"/>
      <c r="JAS16" s="11"/>
      <c r="JAT16" s="11"/>
      <c r="JAU16" s="11"/>
      <c r="JAV16" s="11"/>
      <c r="JAW16" s="11"/>
      <c r="JAX16" s="11"/>
      <c r="JAY16" s="11"/>
      <c r="JAZ16" s="11"/>
      <c r="JBA16" s="11"/>
      <c r="JBB16" s="11"/>
      <c r="JBC16" s="11"/>
      <c r="JBD16" s="11"/>
      <c r="JBE16" s="11"/>
      <c r="JBF16" s="11"/>
      <c r="JBG16" s="11"/>
      <c r="JBH16" s="11"/>
      <c r="JBI16" s="11"/>
      <c r="JBJ16" s="11"/>
      <c r="JBK16" s="11"/>
      <c r="JBL16" s="11"/>
      <c r="JBM16" s="11"/>
      <c r="JBN16" s="11"/>
      <c r="JBO16" s="11"/>
      <c r="JBP16" s="11"/>
      <c r="JBQ16" s="11"/>
      <c r="JBR16" s="11"/>
      <c r="JBS16" s="11"/>
      <c r="JBT16" s="11"/>
      <c r="JBU16" s="11"/>
      <c r="JBV16" s="11"/>
      <c r="JBW16" s="11"/>
      <c r="JBX16" s="11"/>
      <c r="JBY16" s="11"/>
      <c r="JBZ16" s="11"/>
      <c r="JCA16" s="11"/>
      <c r="JCB16" s="11"/>
      <c r="JCC16" s="11"/>
      <c r="JCD16" s="11"/>
      <c r="JCE16" s="11"/>
      <c r="JCF16" s="11"/>
      <c r="JCG16" s="11"/>
      <c r="JCH16" s="11"/>
      <c r="JCI16" s="11"/>
      <c r="JCJ16" s="11"/>
      <c r="JCK16" s="11"/>
      <c r="JCL16" s="11"/>
      <c r="JCM16" s="11"/>
      <c r="JCN16" s="11"/>
      <c r="JCO16" s="11"/>
      <c r="JCP16" s="11"/>
      <c r="JCQ16" s="11"/>
      <c r="JCR16" s="11"/>
      <c r="JCS16" s="11"/>
      <c r="JCT16" s="11"/>
      <c r="JCU16" s="11"/>
      <c r="JCV16" s="11"/>
      <c r="JCW16" s="11"/>
      <c r="JCX16" s="11"/>
      <c r="JCY16" s="11"/>
      <c r="JCZ16" s="11"/>
      <c r="JDA16" s="11"/>
      <c r="JDB16" s="11"/>
      <c r="JDC16" s="11"/>
      <c r="JDD16" s="11"/>
      <c r="JDE16" s="11"/>
      <c r="JDF16" s="11"/>
      <c r="JDG16" s="11"/>
      <c r="JDH16" s="11"/>
      <c r="JDI16" s="11"/>
      <c r="JDJ16" s="11"/>
      <c r="JDK16" s="11"/>
      <c r="JDL16" s="11"/>
      <c r="JDM16" s="11"/>
      <c r="JDN16" s="11"/>
      <c r="JDO16" s="11"/>
      <c r="JDP16" s="11"/>
      <c r="JDQ16" s="11"/>
      <c r="JDR16" s="11"/>
      <c r="JDS16" s="11"/>
      <c r="JDT16" s="11"/>
      <c r="JDU16" s="11"/>
      <c r="JDV16" s="11"/>
      <c r="JDW16" s="11"/>
      <c r="JDX16" s="11"/>
      <c r="JDY16" s="11"/>
      <c r="JDZ16" s="11"/>
      <c r="JEA16" s="11"/>
      <c r="JEB16" s="11"/>
      <c r="JEC16" s="11"/>
      <c r="JED16" s="11"/>
      <c r="JEE16" s="11"/>
      <c r="JEF16" s="11"/>
      <c r="JEG16" s="11"/>
      <c r="JEH16" s="11"/>
      <c r="JEI16" s="11"/>
      <c r="JEJ16" s="11"/>
      <c r="JEK16" s="11"/>
      <c r="JEL16" s="11"/>
      <c r="JEM16" s="11"/>
      <c r="JEN16" s="11"/>
      <c r="JEO16" s="11"/>
      <c r="JEP16" s="11"/>
      <c r="JEQ16" s="11"/>
      <c r="JER16" s="11"/>
      <c r="JES16" s="11"/>
      <c r="JET16" s="11"/>
      <c r="JEU16" s="11"/>
      <c r="JEV16" s="11"/>
      <c r="JEW16" s="11"/>
      <c r="JEX16" s="11"/>
      <c r="JEY16" s="11"/>
      <c r="JEZ16" s="11"/>
      <c r="JFA16" s="11"/>
      <c r="JFB16" s="11"/>
      <c r="JFC16" s="11"/>
      <c r="JFD16" s="11"/>
      <c r="JFE16" s="11"/>
      <c r="JFF16" s="11"/>
      <c r="JFG16" s="11"/>
      <c r="JFH16" s="11"/>
      <c r="JFI16" s="11"/>
      <c r="JFJ16" s="11"/>
      <c r="JFK16" s="11"/>
      <c r="JFL16" s="11"/>
      <c r="JFM16" s="11"/>
      <c r="JFN16" s="11"/>
      <c r="JFO16" s="11"/>
      <c r="JFP16" s="11"/>
      <c r="JFQ16" s="11"/>
      <c r="JFR16" s="11"/>
      <c r="JFS16" s="11"/>
      <c r="JFT16" s="11"/>
      <c r="JFU16" s="11"/>
      <c r="JFV16" s="11"/>
      <c r="JFW16" s="11"/>
      <c r="JFX16" s="11"/>
      <c r="JFY16" s="11"/>
      <c r="JFZ16" s="11"/>
      <c r="JGA16" s="11"/>
      <c r="JGB16" s="11"/>
      <c r="JGC16" s="11"/>
      <c r="JGD16" s="11"/>
      <c r="JGE16" s="11"/>
      <c r="JGF16" s="11"/>
      <c r="JGG16" s="11"/>
      <c r="JGH16" s="11"/>
      <c r="JGI16" s="11"/>
      <c r="JGJ16" s="11"/>
      <c r="JGK16" s="11"/>
      <c r="JGL16" s="11"/>
      <c r="JGM16" s="11"/>
      <c r="JGN16" s="11"/>
      <c r="JGO16" s="11"/>
      <c r="JGP16" s="11"/>
      <c r="JGQ16" s="11"/>
      <c r="JGR16" s="11"/>
      <c r="JGS16" s="11"/>
      <c r="JGT16" s="11"/>
      <c r="JGU16" s="11"/>
      <c r="JGV16" s="11"/>
      <c r="JGW16" s="11"/>
      <c r="JGX16" s="11"/>
      <c r="JGY16" s="11"/>
      <c r="JGZ16" s="11"/>
      <c r="JHA16" s="11"/>
      <c r="JHB16" s="11"/>
      <c r="JHC16" s="11"/>
      <c r="JHD16" s="11"/>
      <c r="JHE16" s="11"/>
      <c r="JHF16" s="11"/>
      <c r="JHG16" s="11"/>
      <c r="JHH16" s="11"/>
      <c r="JHI16" s="11"/>
      <c r="JHJ16" s="11"/>
      <c r="JHK16" s="11"/>
      <c r="JHL16" s="11"/>
      <c r="JHM16" s="11"/>
      <c r="JHN16" s="11"/>
      <c r="JHO16" s="11"/>
      <c r="JHP16" s="11"/>
      <c r="JHQ16" s="11"/>
      <c r="JHR16" s="11"/>
      <c r="JHS16" s="11"/>
      <c r="JHT16" s="11"/>
      <c r="JHU16" s="11"/>
      <c r="JHV16" s="11"/>
      <c r="JHW16" s="11"/>
      <c r="JHX16" s="11"/>
      <c r="JHY16" s="11"/>
      <c r="JHZ16" s="11"/>
      <c r="JIA16" s="11"/>
      <c r="JIB16" s="11"/>
      <c r="JIC16" s="11"/>
      <c r="JID16" s="11"/>
      <c r="JIE16" s="11"/>
      <c r="JIF16" s="11"/>
      <c r="JIG16" s="11"/>
      <c r="JIH16" s="11"/>
      <c r="JII16" s="11"/>
      <c r="JIJ16" s="11"/>
      <c r="JIK16" s="11"/>
      <c r="JIL16" s="11"/>
      <c r="JIM16" s="11"/>
      <c r="JIN16" s="11"/>
      <c r="JIO16" s="11"/>
      <c r="JIP16" s="11"/>
      <c r="JIQ16" s="11"/>
      <c r="JIR16" s="11"/>
      <c r="JIS16" s="11"/>
      <c r="JIT16" s="11"/>
      <c r="JIU16" s="11"/>
      <c r="JIV16" s="11"/>
      <c r="JIW16" s="11"/>
      <c r="JIX16" s="11"/>
      <c r="JIY16" s="11"/>
      <c r="JIZ16" s="11"/>
      <c r="JJA16" s="11"/>
      <c r="JJB16" s="11"/>
      <c r="JJC16" s="11"/>
      <c r="JJD16" s="11"/>
      <c r="JJE16" s="11"/>
      <c r="JJF16" s="11"/>
      <c r="JJG16" s="11"/>
      <c r="JJH16" s="11"/>
      <c r="JJI16" s="11"/>
      <c r="JJJ16" s="11"/>
      <c r="JJK16" s="11"/>
      <c r="JJL16" s="11"/>
      <c r="JJM16" s="11"/>
      <c r="JJN16" s="11"/>
      <c r="JJO16" s="11"/>
      <c r="JJP16" s="11"/>
      <c r="JJQ16" s="11"/>
      <c r="JJR16" s="11"/>
      <c r="JJS16" s="11"/>
      <c r="JJT16" s="11"/>
      <c r="JJU16" s="11"/>
      <c r="JJV16" s="11"/>
      <c r="JJW16" s="11"/>
      <c r="JJX16" s="11"/>
      <c r="JJY16" s="11"/>
      <c r="JJZ16" s="11"/>
      <c r="JKA16" s="11"/>
      <c r="JKB16" s="11"/>
      <c r="JKC16" s="11"/>
      <c r="JKD16" s="11"/>
      <c r="JKE16" s="11"/>
      <c r="JKF16" s="11"/>
      <c r="JKG16" s="11"/>
      <c r="JKH16" s="11"/>
      <c r="JKI16" s="11"/>
      <c r="JKJ16" s="11"/>
      <c r="JKK16" s="11"/>
      <c r="JKL16" s="11"/>
      <c r="JKM16" s="11"/>
      <c r="JKN16" s="11"/>
      <c r="JKO16" s="11"/>
      <c r="JKP16" s="11"/>
      <c r="JKQ16" s="11"/>
      <c r="JKR16" s="11"/>
      <c r="JKS16" s="11"/>
      <c r="JKT16" s="11"/>
      <c r="JKU16" s="11"/>
      <c r="JKV16" s="11"/>
      <c r="JKW16" s="11"/>
      <c r="JKX16" s="11"/>
      <c r="JKY16" s="11"/>
      <c r="JKZ16" s="11"/>
      <c r="JLA16" s="11"/>
      <c r="JLB16" s="11"/>
      <c r="JLC16" s="11"/>
      <c r="JLD16" s="11"/>
      <c r="JLE16" s="11"/>
      <c r="JLF16" s="11"/>
      <c r="JLG16" s="11"/>
      <c r="JLH16" s="11"/>
      <c r="JLI16" s="11"/>
      <c r="JLJ16" s="11"/>
      <c r="JLK16" s="11"/>
      <c r="JLL16" s="11"/>
      <c r="JLM16" s="11"/>
      <c r="JLN16" s="11"/>
      <c r="JLO16" s="11"/>
      <c r="JLP16" s="11"/>
      <c r="JLQ16" s="11"/>
      <c r="JLR16" s="11"/>
      <c r="JLS16" s="11"/>
      <c r="JLT16" s="11"/>
      <c r="JLU16" s="11"/>
      <c r="JLV16" s="11"/>
      <c r="JLW16" s="11"/>
      <c r="JLX16" s="11"/>
      <c r="JLY16" s="11"/>
      <c r="JLZ16" s="11"/>
      <c r="JMA16" s="11"/>
      <c r="JMB16" s="11"/>
      <c r="JMC16" s="11"/>
      <c r="JMD16" s="11"/>
      <c r="JME16" s="11"/>
      <c r="JMF16" s="11"/>
      <c r="JMG16" s="11"/>
      <c r="JMH16" s="11"/>
      <c r="JMI16" s="11"/>
      <c r="JMJ16" s="11"/>
      <c r="JMK16" s="11"/>
      <c r="JML16" s="11"/>
      <c r="JMM16" s="11"/>
      <c r="JMN16" s="11"/>
      <c r="JMO16" s="11"/>
      <c r="JMP16" s="11"/>
      <c r="JMQ16" s="11"/>
      <c r="JMR16" s="11"/>
      <c r="JMS16" s="11"/>
      <c r="JMT16" s="11"/>
      <c r="JMU16" s="11"/>
      <c r="JMV16" s="11"/>
      <c r="JMW16" s="11"/>
      <c r="JMX16" s="11"/>
      <c r="JMY16" s="11"/>
      <c r="JMZ16" s="11"/>
      <c r="JNA16" s="11"/>
      <c r="JNB16" s="11"/>
      <c r="JNC16" s="11"/>
      <c r="JND16" s="11"/>
      <c r="JNE16" s="11"/>
      <c r="JNF16" s="11"/>
      <c r="JNG16" s="11"/>
      <c r="JNH16" s="11"/>
      <c r="JNI16" s="11"/>
      <c r="JNJ16" s="11"/>
      <c r="JNK16" s="11"/>
      <c r="JNL16" s="11"/>
      <c r="JNM16" s="11"/>
      <c r="JNN16" s="11"/>
      <c r="JNO16" s="11"/>
      <c r="JNP16" s="11"/>
      <c r="JNQ16" s="11"/>
      <c r="JNR16" s="11"/>
      <c r="JNS16" s="11"/>
      <c r="JNT16" s="11"/>
      <c r="JNU16" s="11"/>
      <c r="JNV16" s="11"/>
      <c r="JNW16" s="11"/>
      <c r="JNX16" s="11"/>
      <c r="JNY16" s="11"/>
      <c r="JNZ16" s="11"/>
      <c r="JOA16" s="11"/>
      <c r="JOB16" s="11"/>
      <c r="JOC16" s="11"/>
      <c r="JOD16" s="11"/>
      <c r="JOE16" s="11"/>
      <c r="JOF16" s="11"/>
      <c r="JOG16" s="11"/>
      <c r="JOH16" s="11"/>
      <c r="JOI16" s="11"/>
      <c r="JOJ16" s="11"/>
      <c r="JOK16" s="11"/>
      <c r="JOL16" s="11"/>
      <c r="JOM16" s="11"/>
      <c r="JON16" s="11"/>
      <c r="JOO16" s="11"/>
      <c r="JOP16" s="11"/>
      <c r="JOQ16" s="11"/>
      <c r="JOR16" s="11"/>
      <c r="JOS16" s="11"/>
      <c r="JOT16" s="11"/>
      <c r="JOU16" s="11"/>
      <c r="JOV16" s="11"/>
      <c r="JOW16" s="11"/>
      <c r="JOX16" s="11"/>
      <c r="JOY16" s="11"/>
      <c r="JOZ16" s="11"/>
      <c r="JPA16" s="11"/>
      <c r="JPB16" s="11"/>
      <c r="JPC16" s="11"/>
      <c r="JPD16" s="11"/>
      <c r="JPE16" s="11"/>
      <c r="JPF16" s="11"/>
      <c r="JPG16" s="11"/>
      <c r="JPH16" s="11"/>
      <c r="JPI16" s="11"/>
      <c r="JPJ16" s="11"/>
      <c r="JPK16" s="11"/>
      <c r="JPL16" s="11"/>
      <c r="JPM16" s="11"/>
      <c r="JPN16" s="11"/>
      <c r="JPO16" s="11"/>
      <c r="JPP16" s="11"/>
      <c r="JPQ16" s="11"/>
      <c r="JPR16" s="11"/>
      <c r="JPS16" s="11"/>
      <c r="JPT16" s="11"/>
      <c r="JPU16" s="11"/>
      <c r="JPV16" s="11"/>
      <c r="JPW16" s="11"/>
      <c r="JPX16" s="11"/>
      <c r="JPY16" s="11"/>
      <c r="JPZ16" s="11"/>
      <c r="JQA16" s="11"/>
      <c r="JQB16" s="11"/>
      <c r="JQC16" s="11"/>
      <c r="JQD16" s="11"/>
      <c r="JQE16" s="11"/>
      <c r="JQF16" s="11"/>
      <c r="JQG16" s="11"/>
      <c r="JQH16" s="11"/>
      <c r="JQI16" s="11"/>
      <c r="JQJ16" s="11"/>
      <c r="JQK16" s="11"/>
      <c r="JQL16" s="11"/>
      <c r="JQM16" s="11"/>
      <c r="JQN16" s="11"/>
      <c r="JQO16" s="11"/>
      <c r="JQP16" s="11"/>
      <c r="JQQ16" s="11"/>
      <c r="JQR16" s="11"/>
      <c r="JQS16" s="11"/>
      <c r="JQT16" s="11"/>
      <c r="JQU16" s="11"/>
      <c r="JQV16" s="11"/>
      <c r="JQW16" s="11"/>
      <c r="JQX16" s="11"/>
      <c r="JQY16" s="11"/>
      <c r="JQZ16" s="11"/>
      <c r="JRA16" s="11"/>
      <c r="JRB16" s="11"/>
      <c r="JRC16" s="11"/>
      <c r="JRD16" s="11"/>
      <c r="JRE16" s="11"/>
      <c r="JRF16" s="11"/>
      <c r="JRG16" s="11"/>
      <c r="JRH16" s="11"/>
      <c r="JRI16" s="11"/>
      <c r="JRJ16" s="11"/>
      <c r="JRK16" s="11"/>
      <c r="JRL16" s="11"/>
      <c r="JRM16" s="11"/>
      <c r="JRN16" s="11"/>
      <c r="JRO16" s="11"/>
      <c r="JRP16" s="11"/>
      <c r="JRQ16" s="11"/>
      <c r="JRR16" s="11"/>
      <c r="JRS16" s="11"/>
      <c r="JRT16" s="11"/>
      <c r="JRU16" s="11"/>
      <c r="JRV16" s="11"/>
      <c r="JRW16" s="11"/>
      <c r="JRX16" s="11"/>
      <c r="JRY16" s="11"/>
      <c r="JRZ16" s="11"/>
      <c r="JSA16" s="11"/>
      <c r="JSB16" s="11"/>
      <c r="JSC16" s="11"/>
      <c r="JSD16" s="11"/>
      <c r="JSE16" s="11"/>
      <c r="JSF16" s="11"/>
      <c r="JSG16" s="11"/>
      <c r="JSH16" s="11"/>
      <c r="JSI16" s="11"/>
      <c r="JSJ16" s="11"/>
      <c r="JSK16" s="11"/>
      <c r="JSL16" s="11"/>
      <c r="JSM16" s="11"/>
      <c r="JSN16" s="11"/>
      <c r="JSO16" s="11"/>
      <c r="JSP16" s="11"/>
      <c r="JSQ16" s="11"/>
      <c r="JSR16" s="11"/>
      <c r="JSS16" s="11"/>
      <c r="JST16" s="11"/>
      <c r="JSU16" s="11"/>
      <c r="JSV16" s="11"/>
      <c r="JSW16" s="11"/>
      <c r="JSX16" s="11"/>
      <c r="JSY16" s="11"/>
      <c r="JSZ16" s="11"/>
      <c r="JTA16" s="11"/>
      <c r="JTB16" s="11"/>
      <c r="JTC16" s="11"/>
      <c r="JTD16" s="11"/>
      <c r="JTE16" s="11"/>
      <c r="JTF16" s="11"/>
      <c r="JTG16" s="11"/>
      <c r="JTH16" s="11"/>
      <c r="JTI16" s="11"/>
      <c r="JTJ16" s="11"/>
      <c r="JTK16" s="11"/>
      <c r="JTL16" s="11"/>
      <c r="JTM16" s="11"/>
      <c r="JTN16" s="11"/>
      <c r="JTO16" s="11"/>
      <c r="JTP16" s="11"/>
      <c r="JTQ16" s="11"/>
      <c r="JTR16" s="11"/>
      <c r="JTS16" s="11"/>
      <c r="JTT16" s="11"/>
      <c r="JTU16" s="11"/>
      <c r="JTV16" s="11"/>
      <c r="JTW16" s="11"/>
      <c r="JTX16" s="11"/>
      <c r="JTY16" s="11"/>
      <c r="JTZ16" s="11"/>
      <c r="JUA16" s="11"/>
      <c r="JUB16" s="11"/>
      <c r="JUC16" s="11"/>
      <c r="JUD16" s="11"/>
      <c r="JUE16" s="11"/>
      <c r="JUF16" s="11"/>
      <c r="JUG16" s="11"/>
      <c r="JUH16" s="11"/>
      <c r="JUI16" s="11"/>
      <c r="JUJ16" s="11"/>
      <c r="JUK16" s="11"/>
      <c r="JUL16" s="11"/>
      <c r="JUM16" s="11"/>
      <c r="JUN16" s="11"/>
      <c r="JUO16" s="11"/>
      <c r="JUP16" s="11"/>
      <c r="JUQ16" s="11"/>
      <c r="JUR16" s="11"/>
      <c r="JUS16" s="11"/>
      <c r="JUT16" s="11"/>
      <c r="JUU16" s="11"/>
      <c r="JUV16" s="11"/>
      <c r="JUW16" s="11"/>
      <c r="JUX16" s="11"/>
      <c r="JUY16" s="11"/>
      <c r="JUZ16" s="11"/>
      <c r="JVA16" s="11"/>
      <c r="JVB16" s="11"/>
      <c r="JVC16" s="11"/>
      <c r="JVD16" s="11"/>
      <c r="JVE16" s="11"/>
      <c r="JVF16" s="11"/>
      <c r="JVG16" s="11"/>
      <c r="JVH16" s="11"/>
      <c r="JVI16" s="11"/>
      <c r="JVJ16" s="11"/>
      <c r="JVK16" s="11"/>
      <c r="JVL16" s="11"/>
      <c r="JVM16" s="11"/>
      <c r="JVN16" s="11"/>
      <c r="JVO16" s="11"/>
      <c r="JVP16" s="11"/>
      <c r="JVQ16" s="11"/>
      <c r="JVR16" s="11"/>
      <c r="JVS16" s="11"/>
      <c r="JVT16" s="11"/>
      <c r="JVU16" s="11"/>
      <c r="JVV16" s="11"/>
      <c r="JVW16" s="11"/>
      <c r="JVX16" s="11"/>
      <c r="JVY16" s="11"/>
      <c r="JVZ16" s="11"/>
      <c r="JWA16" s="11"/>
      <c r="JWB16" s="11"/>
      <c r="JWC16" s="11"/>
      <c r="JWD16" s="11"/>
      <c r="JWE16" s="11"/>
      <c r="JWF16" s="11"/>
      <c r="JWG16" s="11"/>
      <c r="JWH16" s="11"/>
      <c r="JWI16" s="11"/>
      <c r="JWJ16" s="11"/>
      <c r="JWK16" s="11"/>
      <c r="JWL16" s="11"/>
      <c r="JWM16" s="11"/>
      <c r="JWN16" s="11"/>
      <c r="JWO16" s="11"/>
      <c r="JWP16" s="11"/>
      <c r="JWQ16" s="11"/>
      <c r="JWR16" s="11"/>
      <c r="JWS16" s="11"/>
      <c r="JWT16" s="11"/>
      <c r="JWU16" s="11"/>
      <c r="JWV16" s="11"/>
      <c r="JWW16" s="11"/>
      <c r="JWX16" s="11"/>
      <c r="JWY16" s="11"/>
      <c r="JWZ16" s="11"/>
      <c r="JXA16" s="11"/>
      <c r="JXB16" s="11"/>
      <c r="JXC16" s="11"/>
      <c r="JXD16" s="11"/>
      <c r="JXE16" s="11"/>
      <c r="JXF16" s="11"/>
      <c r="JXG16" s="11"/>
      <c r="JXH16" s="11"/>
      <c r="JXI16" s="11"/>
      <c r="JXJ16" s="11"/>
      <c r="JXK16" s="11"/>
      <c r="JXL16" s="11"/>
      <c r="JXM16" s="11"/>
      <c r="JXN16" s="11"/>
      <c r="JXO16" s="11"/>
      <c r="JXP16" s="11"/>
      <c r="JXQ16" s="11"/>
      <c r="JXR16" s="11"/>
      <c r="JXS16" s="11"/>
      <c r="JXT16" s="11"/>
      <c r="JXU16" s="11"/>
      <c r="JXV16" s="11"/>
      <c r="JXW16" s="11"/>
      <c r="JXX16" s="11"/>
      <c r="JXY16" s="11"/>
      <c r="JXZ16" s="11"/>
      <c r="JYA16" s="11"/>
      <c r="JYB16" s="11"/>
      <c r="JYC16" s="11"/>
      <c r="JYD16" s="11"/>
      <c r="JYE16" s="11"/>
      <c r="JYF16" s="11"/>
      <c r="JYG16" s="11"/>
      <c r="JYH16" s="11"/>
      <c r="JYI16" s="11"/>
      <c r="JYJ16" s="11"/>
      <c r="JYK16" s="11"/>
      <c r="JYL16" s="11"/>
      <c r="JYM16" s="11"/>
      <c r="JYN16" s="11"/>
      <c r="JYO16" s="11"/>
      <c r="JYP16" s="11"/>
      <c r="JYQ16" s="11"/>
      <c r="JYR16" s="11"/>
      <c r="JYS16" s="11"/>
      <c r="JYT16" s="11"/>
      <c r="JYU16" s="11"/>
      <c r="JYV16" s="11"/>
      <c r="JYW16" s="11"/>
      <c r="JYX16" s="11"/>
      <c r="JYY16" s="11"/>
      <c r="JYZ16" s="11"/>
      <c r="JZA16" s="11"/>
      <c r="JZB16" s="11"/>
      <c r="JZC16" s="11"/>
      <c r="JZD16" s="11"/>
      <c r="JZE16" s="11"/>
      <c r="JZF16" s="11"/>
      <c r="JZG16" s="11"/>
      <c r="JZH16" s="11"/>
      <c r="JZI16" s="11"/>
      <c r="JZJ16" s="11"/>
      <c r="JZK16" s="11"/>
      <c r="JZL16" s="11"/>
      <c r="JZM16" s="11"/>
      <c r="JZN16" s="11"/>
      <c r="JZO16" s="11"/>
      <c r="JZP16" s="11"/>
      <c r="JZQ16" s="11"/>
      <c r="JZR16" s="11"/>
      <c r="JZS16" s="11"/>
      <c r="JZT16" s="11"/>
      <c r="JZU16" s="11"/>
      <c r="JZV16" s="11"/>
      <c r="JZW16" s="11"/>
      <c r="JZX16" s="11"/>
      <c r="JZY16" s="11"/>
      <c r="JZZ16" s="11"/>
      <c r="KAA16" s="11"/>
      <c r="KAB16" s="11"/>
      <c r="KAC16" s="11"/>
      <c r="KAD16" s="11"/>
      <c r="KAE16" s="11"/>
      <c r="KAF16" s="11"/>
      <c r="KAG16" s="11"/>
      <c r="KAH16" s="11"/>
      <c r="KAI16" s="11"/>
      <c r="KAJ16" s="11"/>
      <c r="KAK16" s="11"/>
      <c r="KAL16" s="11"/>
      <c r="KAM16" s="11"/>
      <c r="KAN16" s="11"/>
      <c r="KAO16" s="11"/>
      <c r="KAP16" s="11"/>
      <c r="KAQ16" s="11"/>
      <c r="KAR16" s="11"/>
      <c r="KAS16" s="11"/>
      <c r="KAT16" s="11"/>
      <c r="KAU16" s="11"/>
      <c r="KAV16" s="11"/>
      <c r="KAW16" s="11"/>
      <c r="KAX16" s="11"/>
      <c r="KAY16" s="11"/>
      <c r="KAZ16" s="11"/>
      <c r="KBA16" s="11"/>
      <c r="KBB16" s="11"/>
      <c r="KBC16" s="11"/>
      <c r="KBD16" s="11"/>
      <c r="KBE16" s="11"/>
      <c r="KBF16" s="11"/>
      <c r="KBG16" s="11"/>
      <c r="KBH16" s="11"/>
      <c r="KBI16" s="11"/>
      <c r="KBJ16" s="11"/>
      <c r="KBK16" s="11"/>
      <c r="KBL16" s="11"/>
      <c r="KBM16" s="11"/>
      <c r="KBN16" s="11"/>
      <c r="KBO16" s="11"/>
      <c r="KBP16" s="11"/>
      <c r="KBQ16" s="11"/>
      <c r="KBR16" s="11"/>
      <c r="KBS16" s="11"/>
      <c r="KBT16" s="11"/>
      <c r="KBU16" s="11"/>
      <c r="KBV16" s="11"/>
      <c r="KBW16" s="11"/>
      <c r="KBX16" s="11"/>
      <c r="KBY16" s="11"/>
      <c r="KBZ16" s="11"/>
      <c r="KCA16" s="11"/>
      <c r="KCB16" s="11"/>
      <c r="KCC16" s="11"/>
      <c r="KCD16" s="11"/>
      <c r="KCE16" s="11"/>
      <c r="KCF16" s="11"/>
      <c r="KCG16" s="11"/>
      <c r="KCH16" s="11"/>
      <c r="KCI16" s="11"/>
      <c r="KCJ16" s="11"/>
      <c r="KCK16" s="11"/>
      <c r="KCL16" s="11"/>
      <c r="KCM16" s="11"/>
      <c r="KCN16" s="11"/>
      <c r="KCO16" s="11"/>
      <c r="KCP16" s="11"/>
      <c r="KCQ16" s="11"/>
      <c r="KCR16" s="11"/>
      <c r="KCS16" s="11"/>
      <c r="KCT16" s="11"/>
      <c r="KCU16" s="11"/>
      <c r="KCV16" s="11"/>
      <c r="KCW16" s="11"/>
      <c r="KCX16" s="11"/>
      <c r="KCY16" s="11"/>
      <c r="KCZ16" s="11"/>
      <c r="KDA16" s="11"/>
      <c r="KDB16" s="11"/>
      <c r="KDC16" s="11"/>
      <c r="KDD16" s="11"/>
      <c r="KDE16" s="11"/>
      <c r="KDF16" s="11"/>
      <c r="KDG16" s="11"/>
      <c r="KDH16" s="11"/>
      <c r="KDI16" s="11"/>
      <c r="KDJ16" s="11"/>
      <c r="KDK16" s="11"/>
      <c r="KDL16" s="11"/>
      <c r="KDM16" s="11"/>
      <c r="KDN16" s="11"/>
      <c r="KDO16" s="11"/>
      <c r="KDP16" s="11"/>
      <c r="KDQ16" s="11"/>
      <c r="KDR16" s="11"/>
      <c r="KDS16" s="11"/>
      <c r="KDT16" s="11"/>
      <c r="KDU16" s="11"/>
      <c r="KDV16" s="11"/>
      <c r="KDW16" s="11"/>
      <c r="KDX16" s="11"/>
      <c r="KDY16" s="11"/>
      <c r="KDZ16" s="11"/>
      <c r="KEA16" s="11"/>
      <c r="KEB16" s="11"/>
      <c r="KEC16" s="11"/>
      <c r="KED16" s="11"/>
      <c r="KEE16" s="11"/>
      <c r="KEF16" s="11"/>
      <c r="KEG16" s="11"/>
      <c r="KEH16" s="11"/>
      <c r="KEI16" s="11"/>
      <c r="KEJ16" s="11"/>
      <c r="KEK16" s="11"/>
      <c r="KEL16" s="11"/>
      <c r="KEM16" s="11"/>
      <c r="KEN16" s="11"/>
      <c r="KEO16" s="11"/>
      <c r="KEP16" s="11"/>
      <c r="KEQ16" s="11"/>
      <c r="KER16" s="11"/>
      <c r="KES16" s="11"/>
      <c r="KET16" s="11"/>
      <c r="KEU16" s="11"/>
      <c r="KEV16" s="11"/>
      <c r="KEW16" s="11"/>
      <c r="KEX16" s="11"/>
      <c r="KEY16" s="11"/>
      <c r="KEZ16" s="11"/>
      <c r="KFA16" s="11"/>
      <c r="KFB16" s="11"/>
      <c r="KFC16" s="11"/>
      <c r="KFD16" s="11"/>
      <c r="KFE16" s="11"/>
      <c r="KFF16" s="11"/>
      <c r="KFG16" s="11"/>
      <c r="KFH16" s="11"/>
      <c r="KFI16" s="11"/>
      <c r="KFJ16" s="11"/>
      <c r="KFK16" s="11"/>
      <c r="KFL16" s="11"/>
      <c r="KFM16" s="11"/>
      <c r="KFN16" s="11"/>
      <c r="KFO16" s="11"/>
      <c r="KFP16" s="11"/>
      <c r="KFQ16" s="11"/>
      <c r="KFR16" s="11"/>
      <c r="KFS16" s="11"/>
      <c r="KFT16" s="11"/>
      <c r="KFU16" s="11"/>
      <c r="KFV16" s="11"/>
      <c r="KFW16" s="11"/>
      <c r="KFX16" s="11"/>
      <c r="KFY16" s="11"/>
      <c r="KFZ16" s="11"/>
      <c r="KGA16" s="11"/>
      <c r="KGB16" s="11"/>
      <c r="KGC16" s="11"/>
      <c r="KGD16" s="11"/>
      <c r="KGE16" s="11"/>
      <c r="KGF16" s="11"/>
      <c r="KGG16" s="11"/>
      <c r="KGH16" s="11"/>
      <c r="KGI16" s="11"/>
      <c r="KGJ16" s="11"/>
      <c r="KGK16" s="11"/>
      <c r="KGL16" s="11"/>
      <c r="KGM16" s="11"/>
      <c r="KGN16" s="11"/>
      <c r="KGO16" s="11"/>
      <c r="KGP16" s="11"/>
      <c r="KGQ16" s="11"/>
      <c r="KGR16" s="11"/>
      <c r="KGS16" s="11"/>
      <c r="KGT16" s="11"/>
      <c r="KGU16" s="11"/>
      <c r="KGV16" s="11"/>
      <c r="KGW16" s="11"/>
      <c r="KGX16" s="11"/>
      <c r="KGY16" s="11"/>
      <c r="KGZ16" s="11"/>
      <c r="KHA16" s="11"/>
      <c r="KHB16" s="11"/>
      <c r="KHC16" s="11"/>
      <c r="KHD16" s="11"/>
      <c r="KHE16" s="11"/>
      <c r="KHF16" s="11"/>
      <c r="KHG16" s="11"/>
      <c r="KHH16" s="11"/>
      <c r="KHI16" s="11"/>
      <c r="KHJ16" s="11"/>
      <c r="KHK16" s="11"/>
      <c r="KHL16" s="11"/>
      <c r="KHM16" s="11"/>
      <c r="KHN16" s="11"/>
      <c r="KHO16" s="11"/>
      <c r="KHP16" s="11"/>
      <c r="KHQ16" s="11"/>
      <c r="KHR16" s="11"/>
      <c r="KHS16" s="11"/>
      <c r="KHT16" s="11"/>
      <c r="KHU16" s="11"/>
      <c r="KHV16" s="11"/>
      <c r="KHW16" s="11"/>
      <c r="KHX16" s="11"/>
      <c r="KHY16" s="11"/>
      <c r="KHZ16" s="11"/>
      <c r="KIA16" s="11"/>
      <c r="KIB16" s="11"/>
      <c r="KIC16" s="11"/>
      <c r="KID16" s="11"/>
      <c r="KIE16" s="11"/>
      <c r="KIF16" s="11"/>
      <c r="KIG16" s="11"/>
      <c r="KIH16" s="11"/>
      <c r="KII16" s="11"/>
      <c r="KIJ16" s="11"/>
      <c r="KIK16" s="11"/>
      <c r="KIL16" s="11"/>
      <c r="KIM16" s="11"/>
      <c r="KIN16" s="11"/>
      <c r="KIO16" s="11"/>
      <c r="KIP16" s="11"/>
      <c r="KIQ16" s="11"/>
      <c r="KIR16" s="11"/>
      <c r="KIS16" s="11"/>
      <c r="KIT16" s="11"/>
      <c r="KIU16" s="11"/>
      <c r="KIV16" s="11"/>
      <c r="KIW16" s="11"/>
      <c r="KIX16" s="11"/>
      <c r="KIY16" s="11"/>
      <c r="KIZ16" s="11"/>
      <c r="KJA16" s="11"/>
      <c r="KJB16" s="11"/>
      <c r="KJC16" s="11"/>
      <c r="KJD16" s="11"/>
      <c r="KJE16" s="11"/>
      <c r="KJF16" s="11"/>
      <c r="KJG16" s="11"/>
      <c r="KJH16" s="11"/>
      <c r="KJI16" s="11"/>
      <c r="KJJ16" s="11"/>
      <c r="KJK16" s="11"/>
      <c r="KJL16" s="11"/>
      <c r="KJM16" s="11"/>
      <c r="KJN16" s="11"/>
      <c r="KJO16" s="11"/>
      <c r="KJP16" s="11"/>
      <c r="KJQ16" s="11"/>
      <c r="KJR16" s="11"/>
      <c r="KJS16" s="11"/>
      <c r="KJT16" s="11"/>
      <c r="KJU16" s="11"/>
      <c r="KJV16" s="11"/>
      <c r="KJW16" s="11"/>
      <c r="KJX16" s="11"/>
      <c r="KJY16" s="11"/>
      <c r="KJZ16" s="11"/>
      <c r="KKA16" s="11"/>
      <c r="KKB16" s="11"/>
      <c r="KKC16" s="11"/>
      <c r="KKD16" s="11"/>
      <c r="KKE16" s="11"/>
      <c r="KKF16" s="11"/>
      <c r="KKG16" s="11"/>
      <c r="KKH16" s="11"/>
      <c r="KKI16" s="11"/>
      <c r="KKJ16" s="11"/>
      <c r="KKK16" s="11"/>
      <c r="KKL16" s="11"/>
      <c r="KKM16" s="11"/>
      <c r="KKN16" s="11"/>
      <c r="KKO16" s="11"/>
      <c r="KKP16" s="11"/>
      <c r="KKQ16" s="11"/>
      <c r="KKR16" s="11"/>
      <c r="KKS16" s="11"/>
      <c r="KKT16" s="11"/>
      <c r="KKU16" s="11"/>
      <c r="KKV16" s="11"/>
      <c r="KKW16" s="11"/>
      <c r="KKX16" s="11"/>
      <c r="KKY16" s="11"/>
      <c r="KKZ16" s="11"/>
      <c r="KLA16" s="11"/>
      <c r="KLB16" s="11"/>
      <c r="KLC16" s="11"/>
      <c r="KLD16" s="11"/>
      <c r="KLE16" s="11"/>
      <c r="KLF16" s="11"/>
      <c r="KLG16" s="11"/>
      <c r="KLH16" s="11"/>
      <c r="KLI16" s="11"/>
      <c r="KLJ16" s="11"/>
      <c r="KLK16" s="11"/>
      <c r="KLL16" s="11"/>
      <c r="KLM16" s="11"/>
      <c r="KLN16" s="11"/>
      <c r="KLO16" s="11"/>
      <c r="KLP16" s="11"/>
      <c r="KLQ16" s="11"/>
      <c r="KLR16" s="11"/>
      <c r="KLS16" s="11"/>
      <c r="KLT16" s="11"/>
      <c r="KLU16" s="11"/>
      <c r="KLV16" s="11"/>
      <c r="KLW16" s="11"/>
      <c r="KLX16" s="11"/>
      <c r="KLY16" s="11"/>
      <c r="KLZ16" s="11"/>
      <c r="KMA16" s="11"/>
      <c r="KMB16" s="11"/>
      <c r="KMC16" s="11"/>
      <c r="KMD16" s="11"/>
      <c r="KME16" s="11"/>
      <c r="KMF16" s="11"/>
      <c r="KMG16" s="11"/>
      <c r="KMH16" s="11"/>
      <c r="KMI16" s="11"/>
      <c r="KMJ16" s="11"/>
      <c r="KMK16" s="11"/>
      <c r="KML16" s="11"/>
      <c r="KMM16" s="11"/>
      <c r="KMN16" s="11"/>
      <c r="KMO16" s="11"/>
      <c r="KMP16" s="11"/>
      <c r="KMQ16" s="11"/>
      <c r="KMR16" s="11"/>
      <c r="KMS16" s="11"/>
      <c r="KMT16" s="11"/>
      <c r="KMU16" s="11"/>
      <c r="KMV16" s="11"/>
      <c r="KMW16" s="11"/>
      <c r="KMX16" s="11"/>
      <c r="KMY16" s="11"/>
      <c r="KMZ16" s="11"/>
      <c r="KNA16" s="11"/>
      <c r="KNB16" s="11"/>
      <c r="KNC16" s="11"/>
      <c r="KND16" s="11"/>
      <c r="KNE16" s="11"/>
      <c r="KNF16" s="11"/>
      <c r="KNG16" s="11"/>
      <c r="KNH16" s="11"/>
      <c r="KNI16" s="11"/>
      <c r="KNJ16" s="11"/>
      <c r="KNK16" s="11"/>
      <c r="KNL16" s="11"/>
      <c r="KNM16" s="11"/>
      <c r="KNN16" s="11"/>
      <c r="KNO16" s="11"/>
      <c r="KNP16" s="11"/>
      <c r="KNQ16" s="11"/>
      <c r="KNR16" s="11"/>
      <c r="KNS16" s="11"/>
      <c r="KNT16" s="11"/>
      <c r="KNU16" s="11"/>
      <c r="KNV16" s="11"/>
      <c r="KNW16" s="11"/>
      <c r="KNX16" s="11"/>
      <c r="KNY16" s="11"/>
      <c r="KNZ16" s="11"/>
      <c r="KOA16" s="11"/>
      <c r="KOB16" s="11"/>
      <c r="KOC16" s="11"/>
      <c r="KOD16" s="11"/>
      <c r="KOE16" s="11"/>
      <c r="KOF16" s="11"/>
      <c r="KOG16" s="11"/>
      <c r="KOH16" s="11"/>
      <c r="KOI16" s="11"/>
      <c r="KOJ16" s="11"/>
      <c r="KOK16" s="11"/>
      <c r="KOL16" s="11"/>
      <c r="KOM16" s="11"/>
      <c r="KON16" s="11"/>
      <c r="KOO16" s="11"/>
      <c r="KOP16" s="11"/>
      <c r="KOQ16" s="11"/>
      <c r="KOR16" s="11"/>
      <c r="KOS16" s="11"/>
      <c r="KOT16" s="11"/>
      <c r="KOU16" s="11"/>
      <c r="KOV16" s="11"/>
      <c r="KOW16" s="11"/>
      <c r="KOX16" s="11"/>
      <c r="KOY16" s="11"/>
      <c r="KOZ16" s="11"/>
      <c r="KPA16" s="11"/>
      <c r="KPB16" s="11"/>
      <c r="KPC16" s="11"/>
      <c r="KPD16" s="11"/>
      <c r="KPE16" s="11"/>
      <c r="KPF16" s="11"/>
      <c r="KPG16" s="11"/>
      <c r="KPH16" s="11"/>
      <c r="KPI16" s="11"/>
      <c r="KPJ16" s="11"/>
      <c r="KPK16" s="11"/>
      <c r="KPL16" s="11"/>
      <c r="KPM16" s="11"/>
      <c r="KPN16" s="11"/>
      <c r="KPO16" s="11"/>
      <c r="KPP16" s="11"/>
      <c r="KPQ16" s="11"/>
      <c r="KPR16" s="11"/>
      <c r="KPS16" s="11"/>
      <c r="KPT16" s="11"/>
      <c r="KPU16" s="11"/>
      <c r="KPV16" s="11"/>
      <c r="KPW16" s="11"/>
      <c r="KPX16" s="11"/>
      <c r="KPY16" s="11"/>
      <c r="KPZ16" s="11"/>
      <c r="KQA16" s="11"/>
      <c r="KQB16" s="11"/>
      <c r="KQC16" s="11"/>
      <c r="KQD16" s="11"/>
      <c r="KQE16" s="11"/>
      <c r="KQF16" s="11"/>
      <c r="KQG16" s="11"/>
      <c r="KQH16" s="11"/>
      <c r="KQI16" s="11"/>
      <c r="KQJ16" s="11"/>
      <c r="KQK16" s="11"/>
      <c r="KQL16" s="11"/>
      <c r="KQM16" s="11"/>
      <c r="KQN16" s="11"/>
      <c r="KQO16" s="11"/>
      <c r="KQP16" s="11"/>
      <c r="KQQ16" s="11"/>
      <c r="KQR16" s="11"/>
      <c r="KQS16" s="11"/>
      <c r="KQT16" s="11"/>
      <c r="KQU16" s="11"/>
      <c r="KQV16" s="11"/>
      <c r="KQW16" s="11"/>
      <c r="KQX16" s="11"/>
      <c r="KQY16" s="11"/>
      <c r="KQZ16" s="11"/>
      <c r="KRA16" s="11"/>
      <c r="KRB16" s="11"/>
      <c r="KRC16" s="11"/>
      <c r="KRD16" s="11"/>
      <c r="KRE16" s="11"/>
      <c r="KRF16" s="11"/>
      <c r="KRG16" s="11"/>
      <c r="KRH16" s="11"/>
      <c r="KRI16" s="11"/>
      <c r="KRJ16" s="11"/>
      <c r="KRK16" s="11"/>
      <c r="KRL16" s="11"/>
      <c r="KRM16" s="11"/>
      <c r="KRN16" s="11"/>
      <c r="KRO16" s="11"/>
      <c r="KRP16" s="11"/>
      <c r="KRQ16" s="11"/>
      <c r="KRR16" s="11"/>
      <c r="KRS16" s="11"/>
      <c r="KRT16" s="11"/>
      <c r="KRU16" s="11"/>
      <c r="KRV16" s="11"/>
      <c r="KRW16" s="11"/>
      <c r="KRX16" s="11"/>
      <c r="KRY16" s="11"/>
      <c r="KRZ16" s="11"/>
      <c r="KSA16" s="11"/>
      <c r="KSB16" s="11"/>
      <c r="KSC16" s="11"/>
      <c r="KSD16" s="11"/>
      <c r="KSE16" s="11"/>
      <c r="KSF16" s="11"/>
      <c r="KSG16" s="11"/>
      <c r="KSH16" s="11"/>
      <c r="KSI16" s="11"/>
      <c r="KSJ16" s="11"/>
      <c r="KSK16" s="11"/>
      <c r="KSL16" s="11"/>
      <c r="KSM16" s="11"/>
      <c r="KSN16" s="11"/>
      <c r="KSO16" s="11"/>
      <c r="KSP16" s="11"/>
      <c r="KSQ16" s="11"/>
      <c r="KSR16" s="11"/>
      <c r="KSS16" s="11"/>
      <c r="KST16" s="11"/>
      <c r="KSU16" s="11"/>
      <c r="KSV16" s="11"/>
      <c r="KSW16" s="11"/>
      <c r="KSX16" s="11"/>
      <c r="KSY16" s="11"/>
      <c r="KSZ16" s="11"/>
      <c r="KTA16" s="11"/>
      <c r="KTB16" s="11"/>
      <c r="KTC16" s="11"/>
      <c r="KTD16" s="11"/>
      <c r="KTE16" s="11"/>
      <c r="KTF16" s="11"/>
      <c r="KTG16" s="11"/>
      <c r="KTH16" s="11"/>
      <c r="KTI16" s="11"/>
      <c r="KTJ16" s="11"/>
      <c r="KTK16" s="11"/>
      <c r="KTL16" s="11"/>
      <c r="KTM16" s="11"/>
      <c r="KTN16" s="11"/>
      <c r="KTO16" s="11"/>
      <c r="KTP16" s="11"/>
      <c r="KTQ16" s="11"/>
      <c r="KTR16" s="11"/>
      <c r="KTS16" s="11"/>
      <c r="KTT16" s="11"/>
      <c r="KTU16" s="11"/>
      <c r="KTV16" s="11"/>
      <c r="KTW16" s="11"/>
      <c r="KTX16" s="11"/>
      <c r="KTY16" s="11"/>
      <c r="KTZ16" s="11"/>
      <c r="KUA16" s="11"/>
      <c r="KUB16" s="11"/>
      <c r="KUC16" s="11"/>
      <c r="KUD16" s="11"/>
      <c r="KUE16" s="11"/>
      <c r="KUF16" s="11"/>
      <c r="KUG16" s="11"/>
      <c r="KUH16" s="11"/>
      <c r="KUI16" s="11"/>
      <c r="KUJ16" s="11"/>
      <c r="KUK16" s="11"/>
      <c r="KUL16" s="11"/>
      <c r="KUM16" s="11"/>
      <c r="KUN16" s="11"/>
      <c r="KUO16" s="11"/>
      <c r="KUP16" s="11"/>
      <c r="KUQ16" s="11"/>
      <c r="KUR16" s="11"/>
      <c r="KUS16" s="11"/>
      <c r="KUT16" s="11"/>
      <c r="KUU16" s="11"/>
      <c r="KUV16" s="11"/>
      <c r="KUW16" s="11"/>
      <c r="KUX16" s="11"/>
      <c r="KUY16" s="11"/>
      <c r="KUZ16" s="11"/>
      <c r="KVA16" s="11"/>
      <c r="KVB16" s="11"/>
      <c r="KVC16" s="11"/>
      <c r="KVD16" s="11"/>
      <c r="KVE16" s="11"/>
      <c r="KVF16" s="11"/>
      <c r="KVG16" s="11"/>
      <c r="KVH16" s="11"/>
      <c r="KVI16" s="11"/>
      <c r="KVJ16" s="11"/>
      <c r="KVK16" s="11"/>
      <c r="KVL16" s="11"/>
      <c r="KVM16" s="11"/>
      <c r="KVN16" s="11"/>
      <c r="KVO16" s="11"/>
      <c r="KVP16" s="11"/>
      <c r="KVQ16" s="11"/>
      <c r="KVR16" s="11"/>
      <c r="KVS16" s="11"/>
      <c r="KVT16" s="11"/>
      <c r="KVU16" s="11"/>
      <c r="KVV16" s="11"/>
      <c r="KVW16" s="11"/>
      <c r="KVX16" s="11"/>
      <c r="KVY16" s="11"/>
      <c r="KVZ16" s="11"/>
      <c r="KWA16" s="11"/>
      <c r="KWB16" s="11"/>
      <c r="KWC16" s="11"/>
      <c r="KWD16" s="11"/>
      <c r="KWE16" s="11"/>
      <c r="KWF16" s="11"/>
      <c r="KWG16" s="11"/>
      <c r="KWH16" s="11"/>
      <c r="KWI16" s="11"/>
      <c r="KWJ16" s="11"/>
      <c r="KWK16" s="11"/>
      <c r="KWL16" s="11"/>
      <c r="KWM16" s="11"/>
      <c r="KWN16" s="11"/>
      <c r="KWO16" s="11"/>
      <c r="KWP16" s="11"/>
      <c r="KWQ16" s="11"/>
      <c r="KWR16" s="11"/>
      <c r="KWS16" s="11"/>
      <c r="KWT16" s="11"/>
      <c r="KWU16" s="11"/>
      <c r="KWV16" s="11"/>
      <c r="KWW16" s="11"/>
      <c r="KWX16" s="11"/>
      <c r="KWY16" s="11"/>
      <c r="KWZ16" s="11"/>
      <c r="KXA16" s="11"/>
      <c r="KXB16" s="11"/>
      <c r="KXC16" s="11"/>
      <c r="KXD16" s="11"/>
      <c r="KXE16" s="11"/>
      <c r="KXF16" s="11"/>
      <c r="KXG16" s="11"/>
      <c r="KXH16" s="11"/>
      <c r="KXI16" s="11"/>
      <c r="KXJ16" s="11"/>
      <c r="KXK16" s="11"/>
      <c r="KXL16" s="11"/>
      <c r="KXM16" s="11"/>
      <c r="KXN16" s="11"/>
      <c r="KXO16" s="11"/>
      <c r="KXP16" s="11"/>
      <c r="KXQ16" s="11"/>
      <c r="KXR16" s="11"/>
      <c r="KXS16" s="11"/>
      <c r="KXT16" s="11"/>
      <c r="KXU16" s="11"/>
      <c r="KXV16" s="11"/>
      <c r="KXW16" s="11"/>
      <c r="KXX16" s="11"/>
      <c r="KXY16" s="11"/>
      <c r="KXZ16" s="11"/>
      <c r="KYA16" s="11"/>
      <c r="KYB16" s="11"/>
      <c r="KYC16" s="11"/>
      <c r="KYD16" s="11"/>
      <c r="KYE16" s="11"/>
      <c r="KYF16" s="11"/>
      <c r="KYG16" s="11"/>
      <c r="KYH16" s="11"/>
      <c r="KYI16" s="11"/>
      <c r="KYJ16" s="11"/>
      <c r="KYK16" s="11"/>
      <c r="KYL16" s="11"/>
      <c r="KYM16" s="11"/>
      <c r="KYN16" s="11"/>
      <c r="KYO16" s="11"/>
      <c r="KYP16" s="11"/>
      <c r="KYQ16" s="11"/>
      <c r="KYR16" s="11"/>
      <c r="KYS16" s="11"/>
      <c r="KYT16" s="11"/>
      <c r="KYU16" s="11"/>
      <c r="KYV16" s="11"/>
      <c r="KYW16" s="11"/>
      <c r="KYX16" s="11"/>
      <c r="KYY16" s="11"/>
      <c r="KYZ16" s="11"/>
      <c r="KZA16" s="11"/>
      <c r="KZB16" s="11"/>
      <c r="KZC16" s="11"/>
      <c r="KZD16" s="11"/>
      <c r="KZE16" s="11"/>
      <c r="KZF16" s="11"/>
      <c r="KZG16" s="11"/>
      <c r="KZH16" s="11"/>
      <c r="KZI16" s="11"/>
      <c r="KZJ16" s="11"/>
      <c r="KZK16" s="11"/>
      <c r="KZL16" s="11"/>
      <c r="KZM16" s="11"/>
      <c r="KZN16" s="11"/>
      <c r="KZO16" s="11"/>
      <c r="KZP16" s="11"/>
      <c r="KZQ16" s="11"/>
      <c r="KZR16" s="11"/>
      <c r="KZS16" s="11"/>
      <c r="KZT16" s="11"/>
      <c r="KZU16" s="11"/>
      <c r="KZV16" s="11"/>
      <c r="KZW16" s="11"/>
      <c r="KZX16" s="11"/>
      <c r="KZY16" s="11"/>
      <c r="KZZ16" s="11"/>
      <c r="LAA16" s="11"/>
      <c r="LAB16" s="11"/>
      <c r="LAC16" s="11"/>
      <c r="LAD16" s="11"/>
      <c r="LAE16" s="11"/>
      <c r="LAF16" s="11"/>
      <c r="LAG16" s="11"/>
      <c r="LAH16" s="11"/>
      <c r="LAI16" s="11"/>
      <c r="LAJ16" s="11"/>
      <c r="LAK16" s="11"/>
      <c r="LAL16" s="11"/>
      <c r="LAM16" s="11"/>
      <c r="LAN16" s="11"/>
      <c r="LAO16" s="11"/>
      <c r="LAP16" s="11"/>
      <c r="LAQ16" s="11"/>
      <c r="LAR16" s="11"/>
      <c r="LAS16" s="11"/>
      <c r="LAT16" s="11"/>
      <c r="LAU16" s="11"/>
      <c r="LAV16" s="11"/>
      <c r="LAW16" s="11"/>
      <c r="LAX16" s="11"/>
      <c r="LAY16" s="11"/>
      <c r="LAZ16" s="11"/>
      <c r="LBA16" s="11"/>
      <c r="LBB16" s="11"/>
      <c r="LBC16" s="11"/>
      <c r="LBD16" s="11"/>
      <c r="LBE16" s="11"/>
      <c r="LBF16" s="11"/>
      <c r="LBG16" s="11"/>
      <c r="LBH16" s="11"/>
      <c r="LBI16" s="11"/>
      <c r="LBJ16" s="11"/>
      <c r="LBK16" s="11"/>
      <c r="LBL16" s="11"/>
      <c r="LBM16" s="11"/>
      <c r="LBN16" s="11"/>
      <c r="LBO16" s="11"/>
      <c r="LBP16" s="11"/>
      <c r="LBQ16" s="11"/>
      <c r="LBR16" s="11"/>
      <c r="LBS16" s="11"/>
      <c r="LBT16" s="11"/>
      <c r="LBU16" s="11"/>
      <c r="LBV16" s="11"/>
      <c r="LBW16" s="11"/>
      <c r="LBX16" s="11"/>
      <c r="LBY16" s="11"/>
      <c r="LBZ16" s="11"/>
      <c r="LCA16" s="11"/>
      <c r="LCB16" s="11"/>
      <c r="LCC16" s="11"/>
      <c r="LCD16" s="11"/>
      <c r="LCE16" s="11"/>
      <c r="LCF16" s="11"/>
      <c r="LCG16" s="11"/>
      <c r="LCH16" s="11"/>
      <c r="LCI16" s="11"/>
      <c r="LCJ16" s="11"/>
      <c r="LCK16" s="11"/>
      <c r="LCL16" s="11"/>
      <c r="LCM16" s="11"/>
      <c r="LCN16" s="11"/>
      <c r="LCO16" s="11"/>
      <c r="LCP16" s="11"/>
      <c r="LCQ16" s="11"/>
      <c r="LCR16" s="11"/>
      <c r="LCS16" s="11"/>
      <c r="LCT16" s="11"/>
      <c r="LCU16" s="11"/>
      <c r="LCV16" s="11"/>
      <c r="LCW16" s="11"/>
      <c r="LCX16" s="11"/>
      <c r="LCY16" s="11"/>
      <c r="LCZ16" s="11"/>
      <c r="LDA16" s="11"/>
      <c r="LDB16" s="11"/>
      <c r="LDC16" s="11"/>
      <c r="LDD16" s="11"/>
      <c r="LDE16" s="11"/>
      <c r="LDF16" s="11"/>
      <c r="LDG16" s="11"/>
      <c r="LDH16" s="11"/>
      <c r="LDI16" s="11"/>
      <c r="LDJ16" s="11"/>
      <c r="LDK16" s="11"/>
      <c r="LDL16" s="11"/>
      <c r="LDM16" s="11"/>
      <c r="LDN16" s="11"/>
      <c r="LDO16" s="11"/>
      <c r="LDP16" s="11"/>
      <c r="LDQ16" s="11"/>
      <c r="LDR16" s="11"/>
      <c r="LDS16" s="11"/>
      <c r="LDT16" s="11"/>
      <c r="LDU16" s="11"/>
      <c r="LDV16" s="11"/>
      <c r="LDW16" s="11"/>
      <c r="LDX16" s="11"/>
      <c r="LDY16" s="11"/>
      <c r="LDZ16" s="11"/>
      <c r="LEA16" s="11"/>
      <c r="LEB16" s="11"/>
      <c r="LEC16" s="11"/>
      <c r="LED16" s="11"/>
      <c r="LEE16" s="11"/>
      <c r="LEF16" s="11"/>
      <c r="LEG16" s="11"/>
      <c r="LEH16" s="11"/>
      <c r="LEI16" s="11"/>
      <c r="LEJ16" s="11"/>
      <c r="LEK16" s="11"/>
      <c r="LEL16" s="11"/>
      <c r="LEM16" s="11"/>
      <c r="LEN16" s="11"/>
      <c r="LEO16" s="11"/>
      <c r="LEP16" s="11"/>
      <c r="LEQ16" s="11"/>
      <c r="LER16" s="11"/>
      <c r="LES16" s="11"/>
      <c r="LET16" s="11"/>
      <c r="LEU16" s="11"/>
      <c r="LEV16" s="11"/>
      <c r="LEW16" s="11"/>
      <c r="LEX16" s="11"/>
      <c r="LEY16" s="11"/>
      <c r="LEZ16" s="11"/>
      <c r="LFA16" s="11"/>
      <c r="LFB16" s="11"/>
      <c r="LFC16" s="11"/>
      <c r="LFD16" s="11"/>
      <c r="LFE16" s="11"/>
      <c r="LFF16" s="11"/>
      <c r="LFG16" s="11"/>
      <c r="LFH16" s="11"/>
      <c r="LFI16" s="11"/>
      <c r="LFJ16" s="11"/>
      <c r="LFK16" s="11"/>
      <c r="LFL16" s="11"/>
      <c r="LFM16" s="11"/>
      <c r="LFN16" s="11"/>
      <c r="LFO16" s="11"/>
      <c r="LFP16" s="11"/>
      <c r="LFQ16" s="11"/>
      <c r="LFR16" s="11"/>
      <c r="LFS16" s="11"/>
      <c r="LFT16" s="11"/>
      <c r="LFU16" s="11"/>
      <c r="LFV16" s="11"/>
      <c r="LFW16" s="11"/>
      <c r="LFX16" s="11"/>
      <c r="LFY16" s="11"/>
      <c r="LFZ16" s="11"/>
      <c r="LGA16" s="11"/>
      <c r="LGB16" s="11"/>
      <c r="LGC16" s="11"/>
      <c r="LGD16" s="11"/>
      <c r="LGE16" s="11"/>
      <c r="LGF16" s="11"/>
      <c r="LGG16" s="11"/>
      <c r="LGH16" s="11"/>
      <c r="LGI16" s="11"/>
      <c r="LGJ16" s="11"/>
      <c r="LGK16" s="11"/>
      <c r="LGL16" s="11"/>
      <c r="LGM16" s="11"/>
      <c r="LGN16" s="11"/>
      <c r="LGO16" s="11"/>
      <c r="LGP16" s="11"/>
      <c r="LGQ16" s="11"/>
      <c r="LGR16" s="11"/>
      <c r="LGS16" s="11"/>
      <c r="LGT16" s="11"/>
      <c r="LGU16" s="11"/>
      <c r="LGV16" s="11"/>
      <c r="LGW16" s="11"/>
      <c r="LGX16" s="11"/>
      <c r="LGY16" s="11"/>
      <c r="LGZ16" s="11"/>
      <c r="LHA16" s="11"/>
      <c r="LHB16" s="11"/>
      <c r="LHC16" s="11"/>
      <c r="LHD16" s="11"/>
      <c r="LHE16" s="11"/>
      <c r="LHF16" s="11"/>
      <c r="LHG16" s="11"/>
      <c r="LHH16" s="11"/>
      <c r="LHI16" s="11"/>
      <c r="LHJ16" s="11"/>
      <c r="LHK16" s="11"/>
      <c r="LHL16" s="11"/>
      <c r="LHM16" s="11"/>
      <c r="LHN16" s="11"/>
      <c r="LHO16" s="11"/>
      <c r="LHP16" s="11"/>
      <c r="LHQ16" s="11"/>
      <c r="LHR16" s="11"/>
      <c r="LHS16" s="11"/>
      <c r="LHT16" s="11"/>
      <c r="LHU16" s="11"/>
      <c r="LHV16" s="11"/>
      <c r="LHW16" s="11"/>
      <c r="LHX16" s="11"/>
      <c r="LHY16" s="11"/>
      <c r="LHZ16" s="11"/>
      <c r="LIA16" s="11"/>
      <c r="LIB16" s="11"/>
      <c r="LIC16" s="11"/>
      <c r="LID16" s="11"/>
      <c r="LIE16" s="11"/>
      <c r="LIF16" s="11"/>
      <c r="LIG16" s="11"/>
      <c r="LIH16" s="11"/>
      <c r="LII16" s="11"/>
      <c r="LIJ16" s="11"/>
      <c r="LIK16" s="11"/>
      <c r="LIL16" s="11"/>
      <c r="LIM16" s="11"/>
      <c r="LIN16" s="11"/>
      <c r="LIO16" s="11"/>
      <c r="LIP16" s="11"/>
      <c r="LIQ16" s="11"/>
      <c r="LIR16" s="11"/>
      <c r="LIS16" s="11"/>
      <c r="LIT16" s="11"/>
      <c r="LIU16" s="11"/>
      <c r="LIV16" s="11"/>
      <c r="LIW16" s="11"/>
      <c r="LIX16" s="11"/>
      <c r="LIY16" s="11"/>
      <c r="LIZ16" s="11"/>
      <c r="LJA16" s="11"/>
      <c r="LJB16" s="11"/>
      <c r="LJC16" s="11"/>
      <c r="LJD16" s="11"/>
      <c r="LJE16" s="11"/>
      <c r="LJF16" s="11"/>
      <c r="LJG16" s="11"/>
      <c r="LJH16" s="11"/>
      <c r="LJI16" s="11"/>
      <c r="LJJ16" s="11"/>
      <c r="LJK16" s="11"/>
      <c r="LJL16" s="11"/>
      <c r="LJM16" s="11"/>
      <c r="LJN16" s="11"/>
      <c r="LJO16" s="11"/>
      <c r="LJP16" s="11"/>
      <c r="LJQ16" s="11"/>
      <c r="LJR16" s="11"/>
      <c r="LJS16" s="11"/>
      <c r="LJT16" s="11"/>
      <c r="LJU16" s="11"/>
      <c r="LJV16" s="11"/>
      <c r="LJW16" s="11"/>
      <c r="LJX16" s="11"/>
      <c r="LJY16" s="11"/>
      <c r="LJZ16" s="11"/>
      <c r="LKA16" s="11"/>
      <c r="LKB16" s="11"/>
      <c r="LKC16" s="11"/>
      <c r="LKD16" s="11"/>
      <c r="LKE16" s="11"/>
      <c r="LKF16" s="11"/>
      <c r="LKG16" s="11"/>
      <c r="LKH16" s="11"/>
      <c r="LKI16" s="11"/>
      <c r="LKJ16" s="11"/>
      <c r="LKK16" s="11"/>
      <c r="LKL16" s="11"/>
      <c r="LKM16" s="11"/>
      <c r="LKN16" s="11"/>
      <c r="LKO16" s="11"/>
      <c r="LKP16" s="11"/>
      <c r="LKQ16" s="11"/>
      <c r="LKR16" s="11"/>
      <c r="LKS16" s="11"/>
      <c r="LKT16" s="11"/>
      <c r="LKU16" s="11"/>
      <c r="LKV16" s="11"/>
      <c r="LKW16" s="11"/>
      <c r="LKX16" s="11"/>
      <c r="LKY16" s="11"/>
      <c r="LKZ16" s="11"/>
      <c r="LLA16" s="11"/>
      <c r="LLB16" s="11"/>
      <c r="LLC16" s="11"/>
      <c r="LLD16" s="11"/>
      <c r="LLE16" s="11"/>
      <c r="LLF16" s="11"/>
      <c r="LLG16" s="11"/>
      <c r="LLH16" s="11"/>
      <c r="LLI16" s="11"/>
      <c r="LLJ16" s="11"/>
      <c r="LLK16" s="11"/>
      <c r="LLL16" s="11"/>
      <c r="LLM16" s="11"/>
      <c r="LLN16" s="11"/>
      <c r="LLO16" s="11"/>
      <c r="LLP16" s="11"/>
      <c r="LLQ16" s="11"/>
      <c r="LLR16" s="11"/>
      <c r="LLS16" s="11"/>
      <c r="LLT16" s="11"/>
      <c r="LLU16" s="11"/>
      <c r="LLV16" s="11"/>
      <c r="LLW16" s="11"/>
      <c r="LLX16" s="11"/>
      <c r="LLY16" s="11"/>
      <c r="LLZ16" s="11"/>
      <c r="LMA16" s="11"/>
      <c r="LMB16" s="11"/>
      <c r="LMC16" s="11"/>
      <c r="LMD16" s="11"/>
      <c r="LME16" s="11"/>
      <c r="LMF16" s="11"/>
      <c r="LMG16" s="11"/>
      <c r="LMH16" s="11"/>
      <c r="LMI16" s="11"/>
      <c r="LMJ16" s="11"/>
      <c r="LMK16" s="11"/>
      <c r="LML16" s="11"/>
      <c r="LMM16" s="11"/>
      <c r="LMN16" s="11"/>
      <c r="LMO16" s="11"/>
      <c r="LMP16" s="11"/>
      <c r="LMQ16" s="11"/>
      <c r="LMR16" s="11"/>
      <c r="LMS16" s="11"/>
      <c r="LMT16" s="11"/>
      <c r="LMU16" s="11"/>
      <c r="LMV16" s="11"/>
      <c r="LMW16" s="11"/>
      <c r="LMX16" s="11"/>
      <c r="LMY16" s="11"/>
      <c r="LMZ16" s="11"/>
      <c r="LNA16" s="11"/>
      <c r="LNB16" s="11"/>
      <c r="LNC16" s="11"/>
      <c r="LND16" s="11"/>
      <c r="LNE16" s="11"/>
      <c r="LNF16" s="11"/>
      <c r="LNG16" s="11"/>
      <c r="LNH16" s="11"/>
      <c r="LNI16" s="11"/>
      <c r="LNJ16" s="11"/>
      <c r="LNK16" s="11"/>
      <c r="LNL16" s="11"/>
      <c r="LNM16" s="11"/>
      <c r="LNN16" s="11"/>
      <c r="LNO16" s="11"/>
      <c r="LNP16" s="11"/>
      <c r="LNQ16" s="11"/>
      <c r="LNR16" s="11"/>
      <c r="LNS16" s="11"/>
      <c r="LNT16" s="11"/>
      <c r="LNU16" s="11"/>
      <c r="LNV16" s="11"/>
      <c r="LNW16" s="11"/>
      <c r="LNX16" s="11"/>
      <c r="LNY16" s="11"/>
      <c r="LNZ16" s="11"/>
      <c r="LOA16" s="11"/>
      <c r="LOB16" s="11"/>
      <c r="LOC16" s="11"/>
      <c r="LOD16" s="11"/>
      <c r="LOE16" s="11"/>
      <c r="LOF16" s="11"/>
      <c r="LOG16" s="11"/>
      <c r="LOH16" s="11"/>
      <c r="LOI16" s="11"/>
      <c r="LOJ16" s="11"/>
      <c r="LOK16" s="11"/>
      <c r="LOL16" s="11"/>
      <c r="LOM16" s="11"/>
      <c r="LON16" s="11"/>
      <c r="LOO16" s="11"/>
      <c r="LOP16" s="11"/>
      <c r="LOQ16" s="11"/>
      <c r="LOR16" s="11"/>
      <c r="LOS16" s="11"/>
      <c r="LOT16" s="11"/>
      <c r="LOU16" s="11"/>
      <c r="LOV16" s="11"/>
      <c r="LOW16" s="11"/>
      <c r="LOX16" s="11"/>
      <c r="LOY16" s="11"/>
      <c r="LOZ16" s="11"/>
      <c r="LPA16" s="11"/>
      <c r="LPB16" s="11"/>
      <c r="LPC16" s="11"/>
      <c r="LPD16" s="11"/>
      <c r="LPE16" s="11"/>
      <c r="LPF16" s="11"/>
      <c r="LPG16" s="11"/>
      <c r="LPH16" s="11"/>
      <c r="LPI16" s="11"/>
      <c r="LPJ16" s="11"/>
      <c r="LPK16" s="11"/>
      <c r="LPL16" s="11"/>
      <c r="LPM16" s="11"/>
      <c r="LPN16" s="11"/>
      <c r="LPO16" s="11"/>
      <c r="LPP16" s="11"/>
      <c r="LPQ16" s="11"/>
      <c r="LPR16" s="11"/>
      <c r="LPS16" s="11"/>
      <c r="LPT16" s="11"/>
      <c r="LPU16" s="11"/>
      <c r="LPV16" s="11"/>
      <c r="LPW16" s="11"/>
      <c r="LPX16" s="11"/>
      <c r="LPY16" s="11"/>
      <c r="LPZ16" s="11"/>
      <c r="LQA16" s="11"/>
      <c r="LQB16" s="11"/>
      <c r="LQC16" s="11"/>
      <c r="LQD16" s="11"/>
      <c r="LQE16" s="11"/>
      <c r="LQF16" s="11"/>
      <c r="LQG16" s="11"/>
      <c r="LQH16" s="11"/>
      <c r="LQI16" s="11"/>
      <c r="LQJ16" s="11"/>
      <c r="LQK16" s="11"/>
      <c r="LQL16" s="11"/>
      <c r="LQM16" s="11"/>
      <c r="LQN16" s="11"/>
      <c r="LQO16" s="11"/>
      <c r="LQP16" s="11"/>
      <c r="LQQ16" s="11"/>
      <c r="LQR16" s="11"/>
      <c r="LQS16" s="11"/>
      <c r="LQT16" s="11"/>
      <c r="LQU16" s="11"/>
      <c r="LQV16" s="11"/>
      <c r="LQW16" s="11"/>
      <c r="LQX16" s="11"/>
      <c r="LQY16" s="11"/>
      <c r="LQZ16" s="11"/>
      <c r="LRA16" s="11"/>
      <c r="LRB16" s="11"/>
      <c r="LRC16" s="11"/>
      <c r="LRD16" s="11"/>
      <c r="LRE16" s="11"/>
      <c r="LRF16" s="11"/>
      <c r="LRG16" s="11"/>
      <c r="LRH16" s="11"/>
      <c r="LRI16" s="11"/>
      <c r="LRJ16" s="11"/>
      <c r="LRK16" s="11"/>
      <c r="LRL16" s="11"/>
      <c r="LRM16" s="11"/>
      <c r="LRN16" s="11"/>
      <c r="LRO16" s="11"/>
      <c r="LRP16" s="11"/>
      <c r="LRQ16" s="11"/>
      <c r="LRR16" s="11"/>
      <c r="LRS16" s="11"/>
      <c r="LRT16" s="11"/>
      <c r="LRU16" s="11"/>
      <c r="LRV16" s="11"/>
      <c r="LRW16" s="11"/>
      <c r="LRX16" s="11"/>
      <c r="LRY16" s="11"/>
      <c r="LRZ16" s="11"/>
      <c r="LSA16" s="11"/>
      <c r="LSB16" s="11"/>
      <c r="LSC16" s="11"/>
      <c r="LSD16" s="11"/>
      <c r="LSE16" s="11"/>
      <c r="LSF16" s="11"/>
      <c r="LSG16" s="11"/>
      <c r="LSH16" s="11"/>
      <c r="LSI16" s="11"/>
      <c r="LSJ16" s="11"/>
      <c r="LSK16" s="11"/>
      <c r="LSL16" s="11"/>
      <c r="LSM16" s="11"/>
      <c r="LSN16" s="11"/>
      <c r="LSO16" s="11"/>
      <c r="LSP16" s="11"/>
      <c r="LSQ16" s="11"/>
      <c r="LSR16" s="11"/>
      <c r="LSS16" s="11"/>
      <c r="LST16" s="11"/>
      <c r="LSU16" s="11"/>
      <c r="LSV16" s="11"/>
      <c r="LSW16" s="11"/>
      <c r="LSX16" s="11"/>
      <c r="LSY16" s="11"/>
      <c r="LSZ16" s="11"/>
      <c r="LTA16" s="11"/>
      <c r="LTB16" s="11"/>
      <c r="LTC16" s="11"/>
      <c r="LTD16" s="11"/>
      <c r="LTE16" s="11"/>
      <c r="LTF16" s="11"/>
      <c r="LTG16" s="11"/>
      <c r="LTH16" s="11"/>
      <c r="LTI16" s="11"/>
      <c r="LTJ16" s="11"/>
      <c r="LTK16" s="11"/>
      <c r="LTL16" s="11"/>
      <c r="LTM16" s="11"/>
      <c r="LTN16" s="11"/>
      <c r="LTO16" s="11"/>
      <c r="LTP16" s="11"/>
      <c r="LTQ16" s="11"/>
      <c r="LTR16" s="11"/>
      <c r="LTS16" s="11"/>
      <c r="LTT16" s="11"/>
      <c r="LTU16" s="11"/>
      <c r="LTV16" s="11"/>
      <c r="LTW16" s="11"/>
      <c r="LTX16" s="11"/>
      <c r="LTY16" s="11"/>
      <c r="LTZ16" s="11"/>
      <c r="LUA16" s="11"/>
      <c r="LUB16" s="11"/>
      <c r="LUC16" s="11"/>
      <c r="LUD16" s="11"/>
      <c r="LUE16" s="11"/>
      <c r="LUF16" s="11"/>
      <c r="LUG16" s="11"/>
      <c r="LUH16" s="11"/>
      <c r="LUI16" s="11"/>
      <c r="LUJ16" s="11"/>
      <c r="LUK16" s="11"/>
      <c r="LUL16" s="11"/>
      <c r="LUM16" s="11"/>
      <c r="LUN16" s="11"/>
      <c r="LUO16" s="11"/>
      <c r="LUP16" s="11"/>
      <c r="LUQ16" s="11"/>
      <c r="LUR16" s="11"/>
      <c r="LUS16" s="11"/>
      <c r="LUT16" s="11"/>
      <c r="LUU16" s="11"/>
      <c r="LUV16" s="11"/>
      <c r="LUW16" s="11"/>
      <c r="LUX16" s="11"/>
      <c r="LUY16" s="11"/>
      <c r="LUZ16" s="11"/>
      <c r="LVA16" s="11"/>
      <c r="LVB16" s="11"/>
      <c r="LVC16" s="11"/>
      <c r="LVD16" s="11"/>
      <c r="LVE16" s="11"/>
      <c r="LVF16" s="11"/>
      <c r="LVG16" s="11"/>
      <c r="LVH16" s="11"/>
      <c r="LVI16" s="11"/>
      <c r="LVJ16" s="11"/>
      <c r="LVK16" s="11"/>
      <c r="LVL16" s="11"/>
      <c r="LVM16" s="11"/>
      <c r="LVN16" s="11"/>
      <c r="LVO16" s="11"/>
      <c r="LVP16" s="11"/>
      <c r="LVQ16" s="11"/>
      <c r="LVR16" s="11"/>
      <c r="LVS16" s="11"/>
      <c r="LVT16" s="11"/>
      <c r="LVU16" s="11"/>
      <c r="LVV16" s="11"/>
      <c r="LVW16" s="11"/>
      <c r="LVX16" s="11"/>
      <c r="LVY16" s="11"/>
      <c r="LVZ16" s="11"/>
      <c r="LWA16" s="11"/>
      <c r="LWB16" s="11"/>
      <c r="LWC16" s="11"/>
      <c r="LWD16" s="11"/>
      <c r="LWE16" s="11"/>
      <c r="LWF16" s="11"/>
      <c r="LWG16" s="11"/>
      <c r="LWH16" s="11"/>
      <c r="LWI16" s="11"/>
      <c r="LWJ16" s="11"/>
      <c r="LWK16" s="11"/>
      <c r="LWL16" s="11"/>
      <c r="LWM16" s="11"/>
      <c r="LWN16" s="11"/>
      <c r="LWO16" s="11"/>
      <c r="LWP16" s="11"/>
      <c r="LWQ16" s="11"/>
      <c r="LWR16" s="11"/>
      <c r="LWS16" s="11"/>
      <c r="LWT16" s="11"/>
      <c r="LWU16" s="11"/>
      <c r="LWV16" s="11"/>
      <c r="LWW16" s="11"/>
      <c r="LWX16" s="11"/>
      <c r="LWY16" s="11"/>
      <c r="LWZ16" s="11"/>
      <c r="LXA16" s="11"/>
      <c r="LXB16" s="11"/>
      <c r="LXC16" s="11"/>
      <c r="LXD16" s="11"/>
      <c r="LXE16" s="11"/>
      <c r="LXF16" s="11"/>
      <c r="LXG16" s="11"/>
      <c r="LXH16" s="11"/>
      <c r="LXI16" s="11"/>
      <c r="LXJ16" s="11"/>
      <c r="LXK16" s="11"/>
      <c r="LXL16" s="11"/>
      <c r="LXM16" s="11"/>
      <c r="LXN16" s="11"/>
      <c r="LXO16" s="11"/>
      <c r="LXP16" s="11"/>
      <c r="LXQ16" s="11"/>
      <c r="LXR16" s="11"/>
      <c r="LXS16" s="11"/>
      <c r="LXT16" s="11"/>
      <c r="LXU16" s="11"/>
      <c r="LXV16" s="11"/>
      <c r="LXW16" s="11"/>
      <c r="LXX16" s="11"/>
      <c r="LXY16" s="11"/>
      <c r="LXZ16" s="11"/>
      <c r="LYA16" s="11"/>
      <c r="LYB16" s="11"/>
      <c r="LYC16" s="11"/>
      <c r="LYD16" s="11"/>
      <c r="LYE16" s="11"/>
      <c r="LYF16" s="11"/>
      <c r="LYG16" s="11"/>
      <c r="LYH16" s="11"/>
      <c r="LYI16" s="11"/>
      <c r="LYJ16" s="11"/>
      <c r="LYK16" s="11"/>
      <c r="LYL16" s="11"/>
      <c r="LYM16" s="11"/>
      <c r="LYN16" s="11"/>
      <c r="LYO16" s="11"/>
      <c r="LYP16" s="11"/>
      <c r="LYQ16" s="11"/>
      <c r="LYR16" s="11"/>
      <c r="LYS16" s="11"/>
      <c r="LYT16" s="11"/>
      <c r="LYU16" s="11"/>
      <c r="LYV16" s="11"/>
      <c r="LYW16" s="11"/>
      <c r="LYX16" s="11"/>
      <c r="LYY16" s="11"/>
      <c r="LYZ16" s="11"/>
      <c r="LZA16" s="11"/>
      <c r="LZB16" s="11"/>
      <c r="LZC16" s="11"/>
      <c r="LZD16" s="11"/>
      <c r="LZE16" s="11"/>
      <c r="LZF16" s="11"/>
      <c r="LZG16" s="11"/>
      <c r="LZH16" s="11"/>
      <c r="LZI16" s="11"/>
      <c r="LZJ16" s="11"/>
      <c r="LZK16" s="11"/>
      <c r="LZL16" s="11"/>
      <c r="LZM16" s="11"/>
      <c r="LZN16" s="11"/>
      <c r="LZO16" s="11"/>
      <c r="LZP16" s="11"/>
      <c r="LZQ16" s="11"/>
      <c r="LZR16" s="11"/>
      <c r="LZS16" s="11"/>
      <c r="LZT16" s="11"/>
      <c r="LZU16" s="11"/>
      <c r="LZV16" s="11"/>
      <c r="LZW16" s="11"/>
      <c r="LZX16" s="11"/>
      <c r="LZY16" s="11"/>
      <c r="LZZ16" s="11"/>
      <c r="MAA16" s="11"/>
      <c r="MAB16" s="11"/>
      <c r="MAC16" s="11"/>
      <c r="MAD16" s="11"/>
      <c r="MAE16" s="11"/>
      <c r="MAF16" s="11"/>
      <c r="MAG16" s="11"/>
      <c r="MAH16" s="11"/>
      <c r="MAI16" s="11"/>
      <c r="MAJ16" s="11"/>
      <c r="MAK16" s="11"/>
      <c r="MAL16" s="11"/>
      <c r="MAM16" s="11"/>
      <c r="MAN16" s="11"/>
      <c r="MAO16" s="11"/>
      <c r="MAP16" s="11"/>
      <c r="MAQ16" s="11"/>
      <c r="MAR16" s="11"/>
      <c r="MAS16" s="11"/>
      <c r="MAT16" s="11"/>
      <c r="MAU16" s="11"/>
      <c r="MAV16" s="11"/>
      <c r="MAW16" s="11"/>
      <c r="MAX16" s="11"/>
      <c r="MAY16" s="11"/>
      <c r="MAZ16" s="11"/>
      <c r="MBA16" s="11"/>
      <c r="MBB16" s="11"/>
      <c r="MBC16" s="11"/>
      <c r="MBD16" s="11"/>
      <c r="MBE16" s="11"/>
      <c r="MBF16" s="11"/>
      <c r="MBG16" s="11"/>
      <c r="MBH16" s="11"/>
      <c r="MBI16" s="11"/>
      <c r="MBJ16" s="11"/>
      <c r="MBK16" s="11"/>
      <c r="MBL16" s="11"/>
      <c r="MBM16" s="11"/>
      <c r="MBN16" s="11"/>
      <c r="MBO16" s="11"/>
      <c r="MBP16" s="11"/>
      <c r="MBQ16" s="11"/>
      <c r="MBR16" s="11"/>
      <c r="MBS16" s="11"/>
      <c r="MBT16" s="11"/>
      <c r="MBU16" s="11"/>
      <c r="MBV16" s="11"/>
      <c r="MBW16" s="11"/>
      <c r="MBX16" s="11"/>
      <c r="MBY16" s="11"/>
      <c r="MBZ16" s="11"/>
      <c r="MCA16" s="11"/>
      <c r="MCB16" s="11"/>
      <c r="MCC16" s="11"/>
      <c r="MCD16" s="11"/>
      <c r="MCE16" s="11"/>
      <c r="MCF16" s="11"/>
      <c r="MCG16" s="11"/>
      <c r="MCH16" s="11"/>
      <c r="MCI16" s="11"/>
      <c r="MCJ16" s="11"/>
      <c r="MCK16" s="11"/>
      <c r="MCL16" s="11"/>
      <c r="MCM16" s="11"/>
      <c r="MCN16" s="11"/>
      <c r="MCO16" s="11"/>
      <c r="MCP16" s="11"/>
      <c r="MCQ16" s="11"/>
      <c r="MCR16" s="11"/>
      <c r="MCS16" s="11"/>
      <c r="MCT16" s="11"/>
      <c r="MCU16" s="11"/>
      <c r="MCV16" s="11"/>
      <c r="MCW16" s="11"/>
      <c r="MCX16" s="11"/>
      <c r="MCY16" s="11"/>
      <c r="MCZ16" s="11"/>
      <c r="MDA16" s="11"/>
      <c r="MDB16" s="11"/>
      <c r="MDC16" s="11"/>
      <c r="MDD16" s="11"/>
      <c r="MDE16" s="11"/>
      <c r="MDF16" s="11"/>
      <c r="MDG16" s="11"/>
      <c r="MDH16" s="11"/>
      <c r="MDI16" s="11"/>
      <c r="MDJ16" s="11"/>
      <c r="MDK16" s="11"/>
      <c r="MDL16" s="11"/>
      <c r="MDM16" s="11"/>
      <c r="MDN16" s="11"/>
      <c r="MDO16" s="11"/>
      <c r="MDP16" s="11"/>
      <c r="MDQ16" s="11"/>
      <c r="MDR16" s="11"/>
      <c r="MDS16" s="11"/>
      <c r="MDT16" s="11"/>
      <c r="MDU16" s="11"/>
      <c r="MDV16" s="11"/>
      <c r="MDW16" s="11"/>
      <c r="MDX16" s="11"/>
      <c r="MDY16" s="11"/>
      <c r="MDZ16" s="11"/>
      <c r="MEA16" s="11"/>
      <c r="MEB16" s="11"/>
      <c r="MEC16" s="11"/>
      <c r="MED16" s="11"/>
      <c r="MEE16" s="11"/>
      <c r="MEF16" s="11"/>
      <c r="MEG16" s="11"/>
      <c r="MEH16" s="11"/>
      <c r="MEI16" s="11"/>
      <c r="MEJ16" s="11"/>
      <c r="MEK16" s="11"/>
      <c r="MEL16" s="11"/>
      <c r="MEM16" s="11"/>
      <c r="MEN16" s="11"/>
      <c r="MEO16" s="11"/>
      <c r="MEP16" s="11"/>
      <c r="MEQ16" s="11"/>
      <c r="MER16" s="11"/>
      <c r="MES16" s="11"/>
      <c r="MET16" s="11"/>
      <c r="MEU16" s="11"/>
      <c r="MEV16" s="11"/>
      <c r="MEW16" s="11"/>
      <c r="MEX16" s="11"/>
      <c r="MEY16" s="11"/>
      <c r="MEZ16" s="11"/>
      <c r="MFA16" s="11"/>
      <c r="MFB16" s="11"/>
      <c r="MFC16" s="11"/>
      <c r="MFD16" s="11"/>
      <c r="MFE16" s="11"/>
      <c r="MFF16" s="11"/>
      <c r="MFG16" s="11"/>
      <c r="MFH16" s="11"/>
      <c r="MFI16" s="11"/>
      <c r="MFJ16" s="11"/>
      <c r="MFK16" s="11"/>
      <c r="MFL16" s="11"/>
      <c r="MFM16" s="11"/>
      <c r="MFN16" s="11"/>
      <c r="MFO16" s="11"/>
      <c r="MFP16" s="11"/>
      <c r="MFQ16" s="11"/>
      <c r="MFR16" s="11"/>
      <c r="MFS16" s="11"/>
      <c r="MFT16" s="11"/>
      <c r="MFU16" s="11"/>
      <c r="MFV16" s="11"/>
      <c r="MFW16" s="11"/>
      <c r="MFX16" s="11"/>
      <c r="MFY16" s="11"/>
      <c r="MFZ16" s="11"/>
      <c r="MGA16" s="11"/>
      <c r="MGB16" s="11"/>
      <c r="MGC16" s="11"/>
      <c r="MGD16" s="11"/>
      <c r="MGE16" s="11"/>
      <c r="MGF16" s="11"/>
      <c r="MGG16" s="11"/>
      <c r="MGH16" s="11"/>
      <c r="MGI16" s="11"/>
      <c r="MGJ16" s="11"/>
      <c r="MGK16" s="11"/>
      <c r="MGL16" s="11"/>
      <c r="MGM16" s="11"/>
      <c r="MGN16" s="11"/>
      <c r="MGO16" s="11"/>
      <c r="MGP16" s="11"/>
      <c r="MGQ16" s="11"/>
      <c r="MGR16" s="11"/>
      <c r="MGS16" s="11"/>
      <c r="MGT16" s="11"/>
      <c r="MGU16" s="11"/>
      <c r="MGV16" s="11"/>
      <c r="MGW16" s="11"/>
      <c r="MGX16" s="11"/>
      <c r="MGY16" s="11"/>
      <c r="MGZ16" s="11"/>
      <c r="MHA16" s="11"/>
      <c r="MHB16" s="11"/>
      <c r="MHC16" s="11"/>
      <c r="MHD16" s="11"/>
      <c r="MHE16" s="11"/>
      <c r="MHF16" s="11"/>
      <c r="MHG16" s="11"/>
      <c r="MHH16" s="11"/>
      <c r="MHI16" s="11"/>
      <c r="MHJ16" s="11"/>
      <c r="MHK16" s="11"/>
      <c r="MHL16" s="11"/>
      <c r="MHM16" s="11"/>
      <c r="MHN16" s="11"/>
      <c r="MHO16" s="11"/>
      <c r="MHP16" s="11"/>
      <c r="MHQ16" s="11"/>
      <c r="MHR16" s="11"/>
      <c r="MHS16" s="11"/>
      <c r="MHT16" s="11"/>
      <c r="MHU16" s="11"/>
      <c r="MHV16" s="11"/>
      <c r="MHW16" s="11"/>
      <c r="MHX16" s="11"/>
      <c r="MHY16" s="11"/>
      <c r="MHZ16" s="11"/>
      <c r="MIA16" s="11"/>
      <c r="MIB16" s="11"/>
      <c r="MIC16" s="11"/>
      <c r="MID16" s="11"/>
      <c r="MIE16" s="11"/>
      <c r="MIF16" s="11"/>
      <c r="MIG16" s="11"/>
      <c r="MIH16" s="11"/>
      <c r="MII16" s="11"/>
      <c r="MIJ16" s="11"/>
      <c r="MIK16" s="11"/>
      <c r="MIL16" s="11"/>
      <c r="MIM16" s="11"/>
      <c r="MIN16" s="11"/>
      <c r="MIO16" s="11"/>
      <c r="MIP16" s="11"/>
      <c r="MIQ16" s="11"/>
      <c r="MIR16" s="11"/>
      <c r="MIS16" s="11"/>
      <c r="MIT16" s="11"/>
      <c r="MIU16" s="11"/>
      <c r="MIV16" s="11"/>
      <c r="MIW16" s="11"/>
      <c r="MIX16" s="11"/>
      <c r="MIY16" s="11"/>
      <c r="MIZ16" s="11"/>
      <c r="MJA16" s="11"/>
      <c r="MJB16" s="11"/>
      <c r="MJC16" s="11"/>
      <c r="MJD16" s="11"/>
      <c r="MJE16" s="11"/>
      <c r="MJF16" s="11"/>
      <c r="MJG16" s="11"/>
      <c r="MJH16" s="11"/>
      <c r="MJI16" s="11"/>
      <c r="MJJ16" s="11"/>
      <c r="MJK16" s="11"/>
      <c r="MJL16" s="11"/>
      <c r="MJM16" s="11"/>
      <c r="MJN16" s="11"/>
      <c r="MJO16" s="11"/>
      <c r="MJP16" s="11"/>
      <c r="MJQ16" s="11"/>
      <c r="MJR16" s="11"/>
      <c r="MJS16" s="11"/>
      <c r="MJT16" s="11"/>
      <c r="MJU16" s="11"/>
      <c r="MJV16" s="11"/>
      <c r="MJW16" s="11"/>
      <c r="MJX16" s="11"/>
      <c r="MJY16" s="11"/>
      <c r="MJZ16" s="11"/>
      <c r="MKA16" s="11"/>
      <c r="MKB16" s="11"/>
      <c r="MKC16" s="11"/>
      <c r="MKD16" s="11"/>
      <c r="MKE16" s="11"/>
      <c r="MKF16" s="11"/>
      <c r="MKG16" s="11"/>
      <c r="MKH16" s="11"/>
      <c r="MKI16" s="11"/>
      <c r="MKJ16" s="11"/>
      <c r="MKK16" s="11"/>
      <c r="MKL16" s="11"/>
      <c r="MKM16" s="11"/>
      <c r="MKN16" s="11"/>
      <c r="MKO16" s="11"/>
      <c r="MKP16" s="11"/>
      <c r="MKQ16" s="11"/>
      <c r="MKR16" s="11"/>
      <c r="MKS16" s="11"/>
      <c r="MKT16" s="11"/>
      <c r="MKU16" s="11"/>
      <c r="MKV16" s="11"/>
      <c r="MKW16" s="11"/>
      <c r="MKX16" s="11"/>
      <c r="MKY16" s="11"/>
      <c r="MKZ16" s="11"/>
      <c r="MLA16" s="11"/>
      <c r="MLB16" s="11"/>
      <c r="MLC16" s="11"/>
      <c r="MLD16" s="11"/>
      <c r="MLE16" s="11"/>
      <c r="MLF16" s="11"/>
      <c r="MLG16" s="11"/>
      <c r="MLH16" s="11"/>
      <c r="MLI16" s="11"/>
      <c r="MLJ16" s="11"/>
      <c r="MLK16" s="11"/>
      <c r="MLL16" s="11"/>
      <c r="MLM16" s="11"/>
      <c r="MLN16" s="11"/>
      <c r="MLO16" s="11"/>
      <c r="MLP16" s="11"/>
      <c r="MLQ16" s="11"/>
      <c r="MLR16" s="11"/>
      <c r="MLS16" s="11"/>
      <c r="MLT16" s="11"/>
      <c r="MLU16" s="11"/>
      <c r="MLV16" s="11"/>
      <c r="MLW16" s="11"/>
      <c r="MLX16" s="11"/>
      <c r="MLY16" s="11"/>
      <c r="MLZ16" s="11"/>
      <c r="MMA16" s="11"/>
      <c r="MMB16" s="11"/>
      <c r="MMC16" s="11"/>
      <c r="MMD16" s="11"/>
      <c r="MME16" s="11"/>
      <c r="MMF16" s="11"/>
      <c r="MMG16" s="11"/>
      <c r="MMH16" s="11"/>
      <c r="MMI16" s="11"/>
      <c r="MMJ16" s="11"/>
      <c r="MMK16" s="11"/>
      <c r="MML16" s="11"/>
      <c r="MMM16" s="11"/>
      <c r="MMN16" s="11"/>
      <c r="MMO16" s="11"/>
      <c r="MMP16" s="11"/>
      <c r="MMQ16" s="11"/>
      <c r="MMR16" s="11"/>
      <c r="MMS16" s="11"/>
      <c r="MMT16" s="11"/>
      <c r="MMU16" s="11"/>
      <c r="MMV16" s="11"/>
      <c r="MMW16" s="11"/>
      <c r="MMX16" s="11"/>
      <c r="MMY16" s="11"/>
      <c r="MMZ16" s="11"/>
      <c r="MNA16" s="11"/>
      <c r="MNB16" s="11"/>
      <c r="MNC16" s="11"/>
      <c r="MND16" s="11"/>
      <c r="MNE16" s="11"/>
      <c r="MNF16" s="11"/>
      <c r="MNG16" s="11"/>
      <c r="MNH16" s="11"/>
      <c r="MNI16" s="11"/>
      <c r="MNJ16" s="11"/>
      <c r="MNK16" s="11"/>
      <c r="MNL16" s="11"/>
      <c r="MNM16" s="11"/>
      <c r="MNN16" s="11"/>
      <c r="MNO16" s="11"/>
      <c r="MNP16" s="11"/>
      <c r="MNQ16" s="11"/>
      <c r="MNR16" s="11"/>
      <c r="MNS16" s="11"/>
      <c r="MNT16" s="11"/>
      <c r="MNU16" s="11"/>
      <c r="MNV16" s="11"/>
      <c r="MNW16" s="11"/>
      <c r="MNX16" s="11"/>
      <c r="MNY16" s="11"/>
      <c r="MNZ16" s="11"/>
      <c r="MOA16" s="11"/>
      <c r="MOB16" s="11"/>
      <c r="MOC16" s="11"/>
      <c r="MOD16" s="11"/>
      <c r="MOE16" s="11"/>
      <c r="MOF16" s="11"/>
      <c r="MOG16" s="11"/>
      <c r="MOH16" s="11"/>
      <c r="MOI16" s="11"/>
      <c r="MOJ16" s="11"/>
      <c r="MOK16" s="11"/>
      <c r="MOL16" s="11"/>
      <c r="MOM16" s="11"/>
      <c r="MON16" s="11"/>
      <c r="MOO16" s="11"/>
      <c r="MOP16" s="11"/>
      <c r="MOQ16" s="11"/>
      <c r="MOR16" s="11"/>
      <c r="MOS16" s="11"/>
      <c r="MOT16" s="11"/>
      <c r="MOU16" s="11"/>
      <c r="MOV16" s="11"/>
      <c r="MOW16" s="11"/>
      <c r="MOX16" s="11"/>
      <c r="MOY16" s="11"/>
      <c r="MOZ16" s="11"/>
      <c r="MPA16" s="11"/>
      <c r="MPB16" s="11"/>
      <c r="MPC16" s="11"/>
      <c r="MPD16" s="11"/>
      <c r="MPE16" s="11"/>
      <c r="MPF16" s="11"/>
      <c r="MPG16" s="11"/>
      <c r="MPH16" s="11"/>
      <c r="MPI16" s="11"/>
      <c r="MPJ16" s="11"/>
      <c r="MPK16" s="11"/>
      <c r="MPL16" s="11"/>
      <c r="MPM16" s="11"/>
      <c r="MPN16" s="11"/>
      <c r="MPO16" s="11"/>
      <c r="MPP16" s="11"/>
      <c r="MPQ16" s="11"/>
      <c r="MPR16" s="11"/>
      <c r="MPS16" s="11"/>
      <c r="MPT16" s="11"/>
      <c r="MPU16" s="11"/>
      <c r="MPV16" s="11"/>
      <c r="MPW16" s="11"/>
      <c r="MPX16" s="11"/>
      <c r="MPY16" s="11"/>
      <c r="MPZ16" s="11"/>
      <c r="MQA16" s="11"/>
      <c r="MQB16" s="11"/>
      <c r="MQC16" s="11"/>
      <c r="MQD16" s="11"/>
      <c r="MQE16" s="11"/>
      <c r="MQF16" s="11"/>
      <c r="MQG16" s="11"/>
      <c r="MQH16" s="11"/>
      <c r="MQI16" s="11"/>
      <c r="MQJ16" s="11"/>
      <c r="MQK16" s="11"/>
      <c r="MQL16" s="11"/>
      <c r="MQM16" s="11"/>
      <c r="MQN16" s="11"/>
      <c r="MQO16" s="11"/>
      <c r="MQP16" s="11"/>
      <c r="MQQ16" s="11"/>
      <c r="MQR16" s="11"/>
      <c r="MQS16" s="11"/>
      <c r="MQT16" s="11"/>
      <c r="MQU16" s="11"/>
      <c r="MQV16" s="11"/>
      <c r="MQW16" s="11"/>
      <c r="MQX16" s="11"/>
      <c r="MQY16" s="11"/>
      <c r="MQZ16" s="11"/>
      <c r="MRA16" s="11"/>
      <c r="MRB16" s="11"/>
      <c r="MRC16" s="11"/>
      <c r="MRD16" s="11"/>
      <c r="MRE16" s="11"/>
      <c r="MRF16" s="11"/>
      <c r="MRG16" s="11"/>
      <c r="MRH16" s="11"/>
      <c r="MRI16" s="11"/>
      <c r="MRJ16" s="11"/>
      <c r="MRK16" s="11"/>
      <c r="MRL16" s="11"/>
      <c r="MRM16" s="11"/>
      <c r="MRN16" s="11"/>
      <c r="MRO16" s="11"/>
      <c r="MRP16" s="11"/>
      <c r="MRQ16" s="11"/>
      <c r="MRR16" s="11"/>
      <c r="MRS16" s="11"/>
      <c r="MRT16" s="11"/>
      <c r="MRU16" s="11"/>
      <c r="MRV16" s="11"/>
      <c r="MRW16" s="11"/>
      <c r="MRX16" s="11"/>
      <c r="MRY16" s="11"/>
      <c r="MRZ16" s="11"/>
      <c r="MSA16" s="11"/>
      <c r="MSB16" s="11"/>
      <c r="MSC16" s="11"/>
      <c r="MSD16" s="11"/>
      <c r="MSE16" s="11"/>
      <c r="MSF16" s="11"/>
      <c r="MSG16" s="11"/>
      <c r="MSH16" s="11"/>
      <c r="MSI16" s="11"/>
      <c r="MSJ16" s="11"/>
      <c r="MSK16" s="11"/>
      <c r="MSL16" s="11"/>
      <c r="MSM16" s="11"/>
      <c r="MSN16" s="11"/>
      <c r="MSO16" s="11"/>
      <c r="MSP16" s="11"/>
      <c r="MSQ16" s="11"/>
      <c r="MSR16" s="11"/>
      <c r="MSS16" s="11"/>
      <c r="MST16" s="11"/>
      <c r="MSU16" s="11"/>
      <c r="MSV16" s="11"/>
      <c r="MSW16" s="11"/>
      <c r="MSX16" s="11"/>
      <c r="MSY16" s="11"/>
      <c r="MSZ16" s="11"/>
      <c r="MTA16" s="11"/>
      <c r="MTB16" s="11"/>
      <c r="MTC16" s="11"/>
      <c r="MTD16" s="11"/>
      <c r="MTE16" s="11"/>
      <c r="MTF16" s="11"/>
      <c r="MTG16" s="11"/>
      <c r="MTH16" s="11"/>
      <c r="MTI16" s="11"/>
      <c r="MTJ16" s="11"/>
      <c r="MTK16" s="11"/>
      <c r="MTL16" s="11"/>
      <c r="MTM16" s="11"/>
      <c r="MTN16" s="11"/>
      <c r="MTO16" s="11"/>
      <c r="MTP16" s="11"/>
      <c r="MTQ16" s="11"/>
      <c r="MTR16" s="11"/>
      <c r="MTS16" s="11"/>
      <c r="MTT16" s="11"/>
      <c r="MTU16" s="11"/>
      <c r="MTV16" s="11"/>
      <c r="MTW16" s="11"/>
      <c r="MTX16" s="11"/>
      <c r="MTY16" s="11"/>
      <c r="MTZ16" s="11"/>
      <c r="MUA16" s="11"/>
      <c r="MUB16" s="11"/>
      <c r="MUC16" s="11"/>
      <c r="MUD16" s="11"/>
      <c r="MUE16" s="11"/>
      <c r="MUF16" s="11"/>
      <c r="MUG16" s="11"/>
      <c r="MUH16" s="11"/>
      <c r="MUI16" s="11"/>
      <c r="MUJ16" s="11"/>
      <c r="MUK16" s="11"/>
      <c r="MUL16" s="11"/>
      <c r="MUM16" s="11"/>
      <c r="MUN16" s="11"/>
      <c r="MUO16" s="11"/>
      <c r="MUP16" s="11"/>
      <c r="MUQ16" s="11"/>
      <c r="MUR16" s="11"/>
      <c r="MUS16" s="11"/>
      <c r="MUT16" s="11"/>
      <c r="MUU16" s="11"/>
      <c r="MUV16" s="11"/>
      <c r="MUW16" s="11"/>
      <c r="MUX16" s="11"/>
      <c r="MUY16" s="11"/>
      <c r="MUZ16" s="11"/>
      <c r="MVA16" s="11"/>
      <c r="MVB16" s="11"/>
      <c r="MVC16" s="11"/>
      <c r="MVD16" s="11"/>
      <c r="MVE16" s="11"/>
      <c r="MVF16" s="11"/>
      <c r="MVG16" s="11"/>
      <c r="MVH16" s="11"/>
      <c r="MVI16" s="11"/>
      <c r="MVJ16" s="11"/>
      <c r="MVK16" s="11"/>
      <c r="MVL16" s="11"/>
      <c r="MVM16" s="11"/>
      <c r="MVN16" s="11"/>
      <c r="MVO16" s="11"/>
      <c r="MVP16" s="11"/>
      <c r="MVQ16" s="11"/>
      <c r="MVR16" s="11"/>
      <c r="MVS16" s="11"/>
      <c r="MVT16" s="11"/>
      <c r="MVU16" s="11"/>
      <c r="MVV16" s="11"/>
      <c r="MVW16" s="11"/>
      <c r="MVX16" s="11"/>
      <c r="MVY16" s="11"/>
      <c r="MVZ16" s="11"/>
      <c r="MWA16" s="11"/>
      <c r="MWB16" s="11"/>
      <c r="MWC16" s="11"/>
      <c r="MWD16" s="11"/>
      <c r="MWE16" s="11"/>
      <c r="MWF16" s="11"/>
      <c r="MWG16" s="11"/>
      <c r="MWH16" s="11"/>
      <c r="MWI16" s="11"/>
      <c r="MWJ16" s="11"/>
      <c r="MWK16" s="11"/>
      <c r="MWL16" s="11"/>
      <c r="MWM16" s="11"/>
      <c r="MWN16" s="11"/>
      <c r="MWO16" s="11"/>
      <c r="MWP16" s="11"/>
      <c r="MWQ16" s="11"/>
      <c r="MWR16" s="11"/>
      <c r="MWS16" s="11"/>
      <c r="MWT16" s="11"/>
      <c r="MWU16" s="11"/>
      <c r="MWV16" s="11"/>
      <c r="MWW16" s="11"/>
      <c r="MWX16" s="11"/>
      <c r="MWY16" s="11"/>
      <c r="MWZ16" s="11"/>
      <c r="MXA16" s="11"/>
      <c r="MXB16" s="11"/>
      <c r="MXC16" s="11"/>
      <c r="MXD16" s="11"/>
      <c r="MXE16" s="11"/>
      <c r="MXF16" s="11"/>
      <c r="MXG16" s="11"/>
      <c r="MXH16" s="11"/>
      <c r="MXI16" s="11"/>
      <c r="MXJ16" s="11"/>
      <c r="MXK16" s="11"/>
      <c r="MXL16" s="11"/>
      <c r="MXM16" s="11"/>
      <c r="MXN16" s="11"/>
      <c r="MXO16" s="11"/>
      <c r="MXP16" s="11"/>
      <c r="MXQ16" s="11"/>
      <c r="MXR16" s="11"/>
      <c r="MXS16" s="11"/>
      <c r="MXT16" s="11"/>
      <c r="MXU16" s="11"/>
      <c r="MXV16" s="11"/>
      <c r="MXW16" s="11"/>
      <c r="MXX16" s="11"/>
      <c r="MXY16" s="11"/>
      <c r="MXZ16" s="11"/>
      <c r="MYA16" s="11"/>
      <c r="MYB16" s="11"/>
      <c r="MYC16" s="11"/>
      <c r="MYD16" s="11"/>
      <c r="MYE16" s="11"/>
      <c r="MYF16" s="11"/>
      <c r="MYG16" s="11"/>
      <c r="MYH16" s="11"/>
      <c r="MYI16" s="11"/>
      <c r="MYJ16" s="11"/>
      <c r="MYK16" s="11"/>
      <c r="MYL16" s="11"/>
      <c r="MYM16" s="11"/>
      <c r="MYN16" s="11"/>
      <c r="MYO16" s="11"/>
      <c r="MYP16" s="11"/>
      <c r="MYQ16" s="11"/>
      <c r="MYR16" s="11"/>
      <c r="MYS16" s="11"/>
      <c r="MYT16" s="11"/>
      <c r="MYU16" s="11"/>
      <c r="MYV16" s="11"/>
      <c r="MYW16" s="11"/>
      <c r="MYX16" s="11"/>
      <c r="MYY16" s="11"/>
      <c r="MYZ16" s="11"/>
      <c r="MZA16" s="11"/>
      <c r="MZB16" s="11"/>
      <c r="MZC16" s="11"/>
      <c r="MZD16" s="11"/>
      <c r="MZE16" s="11"/>
      <c r="MZF16" s="11"/>
      <c r="MZG16" s="11"/>
      <c r="MZH16" s="11"/>
      <c r="MZI16" s="11"/>
      <c r="MZJ16" s="11"/>
      <c r="MZK16" s="11"/>
      <c r="MZL16" s="11"/>
      <c r="MZM16" s="11"/>
      <c r="MZN16" s="11"/>
      <c r="MZO16" s="11"/>
      <c r="MZP16" s="11"/>
      <c r="MZQ16" s="11"/>
      <c r="MZR16" s="11"/>
      <c r="MZS16" s="11"/>
      <c r="MZT16" s="11"/>
      <c r="MZU16" s="11"/>
      <c r="MZV16" s="11"/>
      <c r="MZW16" s="11"/>
      <c r="MZX16" s="11"/>
      <c r="MZY16" s="11"/>
      <c r="MZZ16" s="11"/>
      <c r="NAA16" s="11"/>
      <c r="NAB16" s="11"/>
      <c r="NAC16" s="11"/>
      <c r="NAD16" s="11"/>
      <c r="NAE16" s="11"/>
      <c r="NAF16" s="11"/>
      <c r="NAG16" s="11"/>
      <c r="NAH16" s="11"/>
      <c r="NAI16" s="11"/>
      <c r="NAJ16" s="11"/>
      <c r="NAK16" s="11"/>
      <c r="NAL16" s="11"/>
      <c r="NAM16" s="11"/>
      <c r="NAN16" s="11"/>
      <c r="NAO16" s="11"/>
      <c r="NAP16" s="11"/>
      <c r="NAQ16" s="11"/>
      <c r="NAR16" s="11"/>
      <c r="NAS16" s="11"/>
      <c r="NAT16" s="11"/>
      <c r="NAU16" s="11"/>
      <c r="NAV16" s="11"/>
      <c r="NAW16" s="11"/>
      <c r="NAX16" s="11"/>
      <c r="NAY16" s="11"/>
      <c r="NAZ16" s="11"/>
      <c r="NBA16" s="11"/>
      <c r="NBB16" s="11"/>
      <c r="NBC16" s="11"/>
      <c r="NBD16" s="11"/>
      <c r="NBE16" s="11"/>
      <c r="NBF16" s="11"/>
      <c r="NBG16" s="11"/>
      <c r="NBH16" s="11"/>
      <c r="NBI16" s="11"/>
      <c r="NBJ16" s="11"/>
      <c r="NBK16" s="11"/>
      <c r="NBL16" s="11"/>
      <c r="NBM16" s="11"/>
      <c r="NBN16" s="11"/>
      <c r="NBO16" s="11"/>
      <c r="NBP16" s="11"/>
      <c r="NBQ16" s="11"/>
      <c r="NBR16" s="11"/>
      <c r="NBS16" s="11"/>
      <c r="NBT16" s="11"/>
      <c r="NBU16" s="11"/>
      <c r="NBV16" s="11"/>
      <c r="NBW16" s="11"/>
      <c r="NBX16" s="11"/>
      <c r="NBY16" s="11"/>
      <c r="NBZ16" s="11"/>
      <c r="NCA16" s="11"/>
      <c r="NCB16" s="11"/>
      <c r="NCC16" s="11"/>
      <c r="NCD16" s="11"/>
      <c r="NCE16" s="11"/>
      <c r="NCF16" s="11"/>
      <c r="NCG16" s="11"/>
      <c r="NCH16" s="11"/>
      <c r="NCI16" s="11"/>
      <c r="NCJ16" s="11"/>
      <c r="NCK16" s="11"/>
      <c r="NCL16" s="11"/>
      <c r="NCM16" s="11"/>
      <c r="NCN16" s="11"/>
      <c r="NCO16" s="11"/>
      <c r="NCP16" s="11"/>
      <c r="NCQ16" s="11"/>
      <c r="NCR16" s="11"/>
      <c r="NCS16" s="11"/>
      <c r="NCT16" s="11"/>
      <c r="NCU16" s="11"/>
      <c r="NCV16" s="11"/>
      <c r="NCW16" s="11"/>
      <c r="NCX16" s="11"/>
      <c r="NCY16" s="11"/>
      <c r="NCZ16" s="11"/>
      <c r="NDA16" s="11"/>
      <c r="NDB16" s="11"/>
      <c r="NDC16" s="11"/>
      <c r="NDD16" s="11"/>
      <c r="NDE16" s="11"/>
      <c r="NDF16" s="11"/>
      <c r="NDG16" s="11"/>
      <c r="NDH16" s="11"/>
      <c r="NDI16" s="11"/>
      <c r="NDJ16" s="11"/>
      <c r="NDK16" s="11"/>
      <c r="NDL16" s="11"/>
      <c r="NDM16" s="11"/>
      <c r="NDN16" s="11"/>
      <c r="NDO16" s="11"/>
      <c r="NDP16" s="11"/>
      <c r="NDQ16" s="11"/>
      <c r="NDR16" s="11"/>
      <c r="NDS16" s="11"/>
      <c r="NDT16" s="11"/>
      <c r="NDU16" s="11"/>
      <c r="NDV16" s="11"/>
      <c r="NDW16" s="11"/>
      <c r="NDX16" s="11"/>
      <c r="NDY16" s="11"/>
      <c r="NDZ16" s="11"/>
      <c r="NEA16" s="11"/>
      <c r="NEB16" s="11"/>
      <c r="NEC16" s="11"/>
      <c r="NED16" s="11"/>
      <c r="NEE16" s="11"/>
      <c r="NEF16" s="11"/>
      <c r="NEG16" s="11"/>
      <c r="NEH16" s="11"/>
      <c r="NEI16" s="11"/>
      <c r="NEJ16" s="11"/>
      <c r="NEK16" s="11"/>
      <c r="NEL16" s="11"/>
      <c r="NEM16" s="11"/>
      <c r="NEN16" s="11"/>
      <c r="NEO16" s="11"/>
      <c r="NEP16" s="11"/>
      <c r="NEQ16" s="11"/>
      <c r="NER16" s="11"/>
      <c r="NES16" s="11"/>
      <c r="NET16" s="11"/>
      <c r="NEU16" s="11"/>
      <c r="NEV16" s="11"/>
      <c r="NEW16" s="11"/>
      <c r="NEX16" s="11"/>
      <c r="NEY16" s="11"/>
      <c r="NEZ16" s="11"/>
      <c r="NFA16" s="11"/>
      <c r="NFB16" s="11"/>
      <c r="NFC16" s="11"/>
      <c r="NFD16" s="11"/>
      <c r="NFE16" s="11"/>
      <c r="NFF16" s="11"/>
      <c r="NFG16" s="11"/>
      <c r="NFH16" s="11"/>
      <c r="NFI16" s="11"/>
      <c r="NFJ16" s="11"/>
      <c r="NFK16" s="11"/>
      <c r="NFL16" s="11"/>
      <c r="NFM16" s="11"/>
      <c r="NFN16" s="11"/>
      <c r="NFO16" s="11"/>
      <c r="NFP16" s="11"/>
      <c r="NFQ16" s="11"/>
      <c r="NFR16" s="11"/>
      <c r="NFS16" s="11"/>
      <c r="NFT16" s="11"/>
      <c r="NFU16" s="11"/>
      <c r="NFV16" s="11"/>
      <c r="NFW16" s="11"/>
      <c r="NFX16" s="11"/>
      <c r="NFY16" s="11"/>
      <c r="NFZ16" s="11"/>
      <c r="NGA16" s="11"/>
      <c r="NGB16" s="11"/>
      <c r="NGC16" s="11"/>
      <c r="NGD16" s="11"/>
      <c r="NGE16" s="11"/>
      <c r="NGF16" s="11"/>
      <c r="NGG16" s="11"/>
      <c r="NGH16" s="11"/>
      <c r="NGI16" s="11"/>
      <c r="NGJ16" s="11"/>
      <c r="NGK16" s="11"/>
      <c r="NGL16" s="11"/>
      <c r="NGM16" s="11"/>
      <c r="NGN16" s="11"/>
      <c r="NGO16" s="11"/>
      <c r="NGP16" s="11"/>
      <c r="NGQ16" s="11"/>
      <c r="NGR16" s="11"/>
      <c r="NGS16" s="11"/>
      <c r="NGT16" s="11"/>
      <c r="NGU16" s="11"/>
      <c r="NGV16" s="11"/>
      <c r="NGW16" s="11"/>
      <c r="NGX16" s="11"/>
      <c r="NGY16" s="11"/>
      <c r="NGZ16" s="11"/>
      <c r="NHA16" s="11"/>
      <c r="NHB16" s="11"/>
      <c r="NHC16" s="11"/>
      <c r="NHD16" s="11"/>
      <c r="NHE16" s="11"/>
      <c r="NHF16" s="11"/>
      <c r="NHG16" s="11"/>
      <c r="NHH16" s="11"/>
      <c r="NHI16" s="11"/>
      <c r="NHJ16" s="11"/>
      <c r="NHK16" s="11"/>
      <c r="NHL16" s="11"/>
      <c r="NHM16" s="11"/>
      <c r="NHN16" s="11"/>
      <c r="NHO16" s="11"/>
      <c r="NHP16" s="11"/>
      <c r="NHQ16" s="11"/>
      <c r="NHR16" s="11"/>
      <c r="NHS16" s="11"/>
      <c r="NHT16" s="11"/>
      <c r="NHU16" s="11"/>
      <c r="NHV16" s="11"/>
      <c r="NHW16" s="11"/>
      <c r="NHX16" s="11"/>
      <c r="NHY16" s="11"/>
      <c r="NHZ16" s="11"/>
      <c r="NIA16" s="11"/>
      <c r="NIB16" s="11"/>
      <c r="NIC16" s="11"/>
      <c r="NID16" s="11"/>
      <c r="NIE16" s="11"/>
      <c r="NIF16" s="11"/>
      <c r="NIG16" s="11"/>
      <c r="NIH16" s="11"/>
      <c r="NII16" s="11"/>
      <c r="NIJ16" s="11"/>
      <c r="NIK16" s="11"/>
      <c r="NIL16" s="11"/>
      <c r="NIM16" s="11"/>
      <c r="NIN16" s="11"/>
      <c r="NIO16" s="11"/>
      <c r="NIP16" s="11"/>
      <c r="NIQ16" s="11"/>
      <c r="NIR16" s="11"/>
      <c r="NIS16" s="11"/>
      <c r="NIT16" s="11"/>
      <c r="NIU16" s="11"/>
      <c r="NIV16" s="11"/>
      <c r="NIW16" s="11"/>
      <c r="NIX16" s="11"/>
      <c r="NIY16" s="11"/>
      <c r="NIZ16" s="11"/>
      <c r="NJA16" s="11"/>
      <c r="NJB16" s="11"/>
      <c r="NJC16" s="11"/>
      <c r="NJD16" s="11"/>
      <c r="NJE16" s="11"/>
      <c r="NJF16" s="11"/>
      <c r="NJG16" s="11"/>
      <c r="NJH16" s="11"/>
      <c r="NJI16" s="11"/>
      <c r="NJJ16" s="11"/>
      <c r="NJK16" s="11"/>
      <c r="NJL16" s="11"/>
      <c r="NJM16" s="11"/>
      <c r="NJN16" s="11"/>
      <c r="NJO16" s="11"/>
      <c r="NJP16" s="11"/>
      <c r="NJQ16" s="11"/>
      <c r="NJR16" s="11"/>
      <c r="NJS16" s="11"/>
      <c r="NJT16" s="11"/>
      <c r="NJU16" s="11"/>
      <c r="NJV16" s="11"/>
      <c r="NJW16" s="11"/>
      <c r="NJX16" s="11"/>
      <c r="NJY16" s="11"/>
      <c r="NJZ16" s="11"/>
      <c r="NKA16" s="11"/>
      <c r="NKB16" s="11"/>
      <c r="NKC16" s="11"/>
      <c r="NKD16" s="11"/>
      <c r="NKE16" s="11"/>
      <c r="NKF16" s="11"/>
      <c r="NKG16" s="11"/>
      <c r="NKH16" s="11"/>
      <c r="NKI16" s="11"/>
      <c r="NKJ16" s="11"/>
      <c r="NKK16" s="11"/>
      <c r="NKL16" s="11"/>
      <c r="NKM16" s="11"/>
      <c r="NKN16" s="11"/>
      <c r="NKO16" s="11"/>
      <c r="NKP16" s="11"/>
      <c r="NKQ16" s="11"/>
      <c r="NKR16" s="11"/>
      <c r="NKS16" s="11"/>
      <c r="NKT16" s="11"/>
      <c r="NKU16" s="11"/>
      <c r="NKV16" s="11"/>
      <c r="NKW16" s="11"/>
      <c r="NKX16" s="11"/>
      <c r="NKY16" s="11"/>
      <c r="NKZ16" s="11"/>
      <c r="NLA16" s="11"/>
      <c r="NLB16" s="11"/>
      <c r="NLC16" s="11"/>
      <c r="NLD16" s="11"/>
      <c r="NLE16" s="11"/>
      <c r="NLF16" s="11"/>
      <c r="NLG16" s="11"/>
      <c r="NLH16" s="11"/>
      <c r="NLI16" s="11"/>
      <c r="NLJ16" s="11"/>
      <c r="NLK16" s="11"/>
      <c r="NLL16" s="11"/>
      <c r="NLM16" s="11"/>
      <c r="NLN16" s="11"/>
      <c r="NLO16" s="11"/>
      <c r="NLP16" s="11"/>
      <c r="NLQ16" s="11"/>
      <c r="NLR16" s="11"/>
      <c r="NLS16" s="11"/>
      <c r="NLT16" s="11"/>
      <c r="NLU16" s="11"/>
      <c r="NLV16" s="11"/>
      <c r="NLW16" s="11"/>
      <c r="NLX16" s="11"/>
      <c r="NLY16" s="11"/>
      <c r="NLZ16" s="11"/>
      <c r="NMA16" s="11"/>
      <c r="NMB16" s="11"/>
      <c r="NMC16" s="11"/>
      <c r="NMD16" s="11"/>
      <c r="NME16" s="11"/>
      <c r="NMF16" s="11"/>
      <c r="NMG16" s="11"/>
      <c r="NMH16" s="11"/>
      <c r="NMI16" s="11"/>
      <c r="NMJ16" s="11"/>
      <c r="NMK16" s="11"/>
      <c r="NML16" s="11"/>
      <c r="NMM16" s="11"/>
      <c r="NMN16" s="11"/>
      <c r="NMO16" s="11"/>
      <c r="NMP16" s="11"/>
      <c r="NMQ16" s="11"/>
      <c r="NMR16" s="11"/>
      <c r="NMS16" s="11"/>
      <c r="NMT16" s="11"/>
      <c r="NMU16" s="11"/>
      <c r="NMV16" s="11"/>
      <c r="NMW16" s="11"/>
      <c r="NMX16" s="11"/>
      <c r="NMY16" s="11"/>
      <c r="NMZ16" s="11"/>
      <c r="NNA16" s="11"/>
      <c r="NNB16" s="11"/>
      <c r="NNC16" s="11"/>
      <c r="NND16" s="11"/>
      <c r="NNE16" s="11"/>
      <c r="NNF16" s="11"/>
      <c r="NNG16" s="11"/>
      <c r="NNH16" s="11"/>
      <c r="NNI16" s="11"/>
      <c r="NNJ16" s="11"/>
      <c r="NNK16" s="11"/>
      <c r="NNL16" s="11"/>
      <c r="NNM16" s="11"/>
      <c r="NNN16" s="11"/>
      <c r="NNO16" s="11"/>
      <c r="NNP16" s="11"/>
      <c r="NNQ16" s="11"/>
      <c r="NNR16" s="11"/>
      <c r="NNS16" s="11"/>
      <c r="NNT16" s="11"/>
      <c r="NNU16" s="11"/>
      <c r="NNV16" s="11"/>
      <c r="NNW16" s="11"/>
      <c r="NNX16" s="11"/>
      <c r="NNY16" s="11"/>
      <c r="NNZ16" s="11"/>
      <c r="NOA16" s="11"/>
      <c r="NOB16" s="11"/>
      <c r="NOC16" s="11"/>
      <c r="NOD16" s="11"/>
      <c r="NOE16" s="11"/>
      <c r="NOF16" s="11"/>
      <c r="NOG16" s="11"/>
      <c r="NOH16" s="11"/>
      <c r="NOI16" s="11"/>
      <c r="NOJ16" s="11"/>
      <c r="NOK16" s="11"/>
      <c r="NOL16" s="11"/>
      <c r="NOM16" s="11"/>
      <c r="NON16" s="11"/>
      <c r="NOO16" s="11"/>
      <c r="NOP16" s="11"/>
      <c r="NOQ16" s="11"/>
      <c r="NOR16" s="11"/>
      <c r="NOS16" s="11"/>
      <c r="NOT16" s="11"/>
      <c r="NOU16" s="11"/>
      <c r="NOV16" s="11"/>
      <c r="NOW16" s="11"/>
      <c r="NOX16" s="11"/>
      <c r="NOY16" s="11"/>
      <c r="NOZ16" s="11"/>
      <c r="NPA16" s="11"/>
      <c r="NPB16" s="11"/>
      <c r="NPC16" s="11"/>
      <c r="NPD16" s="11"/>
      <c r="NPE16" s="11"/>
      <c r="NPF16" s="11"/>
      <c r="NPG16" s="11"/>
      <c r="NPH16" s="11"/>
      <c r="NPI16" s="11"/>
      <c r="NPJ16" s="11"/>
      <c r="NPK16" s="11"/>
      <c r="NPL16" s="11"/>
      <c r="NPM16" s="11"/>
      <c r="NPN16" s="11"/>
      <c r="NPO16" s="11"/>
      <c r="NPP16" s="11"/>
      <c r="NPQ16" s="11"/>
      <c r="NPR16" s="11"/>
      <c r="NPS16" s="11"/>
      <c r="NPT16" s="11"/>
      <c r="NPU16" s="11"/>
      <c r="NPV16" s="11"/>
      <c r="NPW16" s="11"/>
      <c r="NPX16" s="11"/>
      <c r="NPY16" s="11"/>
      <c r="NPZ16" s="11"/>
      <c r="NQA16" s="11"/>
      <c r="NQB16" s="11"/>
      <c r="NQC16" s="11"/>
      <c r="NQD16" s="11"/>
      <c r="NQE16" s="11"/>
      <c r="NQF16" s="11"/>
      <c r="NQG16" s="11"/>
      <c r="NQH16" s="11"/>
      <c r="NQI16" s="11"/>
      <c r="NQJ16" s="11"/>
      <c r="NQK16" s="11"/>
      <c r="NQL16" s="11"/>
      <c r="NQM16" s="11"/>
      <c r="NQN16" s="11"/>
      <c r="NQO16" s="11"/>
      <c r="NQP16" s="11"/>
      <c r="NQQ16" s="11"/>
      <c r="NQR16" s="11"/>
      <c r="NQS16" s="11"/>
      <c r="NQT16" s="11"/>
      <c r="NQU16" s="11"/>
      <c r="NQV16" s="11"/>
      <c r="NQW16" s="11"/>
      <c r="NQX16" s="11"/>
      <c r="NQY16" s="11"/>
      <c r="NQZ16" s="11"/>
      <c r="NRA16" s="11"/>
      <c r="NRB16" s="11"/>
      <c r="NRC16" s="11"/>
      <c r="NRD16" s="11"/>
      <c r="NRE16" s="11"/>
      <c r="NRF16" s="11"/>
      <c r="NRG16" s="11"/>
      <c r="NRH16" s="11"/>
      <c r="NRI16" s="11"/>
      <c r="NRJ16" s="11"/>
      <c r="NRK16" s="11"/>
      <c r="NRL16" s="11"/>
      <c r="NRM16" s="11"/>
      <c r="NRN16" s="11"/>
      <c r="NRO16" s="11"/>
      <c r="NRP16" s="11"/>
      <c r="NRQ16" s="11"/>
      <c r="NRR16" s="11"/>
      <c r="NRS16" s="11"/>
      <c r="NRT16" s="11"/>
      <c r="NRU16" s="11"/>
      <c r="NRV16" s="11"/>
      <c r="NRW16" s="11"/>
      <c r="NRX16" s="11"/>
      <c r="NRY16" s="11"/>
      <c r="NRZ16" s="11"/>
      <c r="NSA16" s="11"/>
      <c r="NSB16" s="11"/>
      <c r="NSC16" s="11"/>
      <c r="NSD16" s="11"/>
      <c r="NSE16" s="11"/>
      <c r="NSF16" s="11"/>
      <c r="NSG16" s="11"/>
      <c r="NSH16" s="11"/>
      <c r="NSI16" s="11"/>
      <c r="NSJ16" s="11"/>
      <c r="NSK16" s="11"/>
      <c r="NSL16" s="11"/>
      <c r="NSM16" s="11"/>
      <c r="NSN16" s="11"/>
      <c r="NSO16" s="11"/>
      <c r="NSP16" s="11"/>
      <c r="NSQ16" s="11"/>
      <c r="NSR16" s="11"/>
      <c r="NSS16" s="11"/>
      <c r="NST16" s="11"/>
      <c r="NSU16" s="11"/>
      <c r="NSV16" s="11"/>
      <c r="NSW16" s="11"/>
      <c r="NSX16" s="11"/>
      <c r="NSY16" s="11"/>
      <c r="NSZ16" s="11"/>
      <c r="NTA16" s="11"/>
      <c r="NTB16" s="11"/>
      <c r="NTC16" s="11"/>
      <c r="NTD16" s="11"/>
      <c r="NTE16" s="11"/>
      <c r="NTF16" s="11"/>
      <c r="NTG16" s="11"/>
      <c r="NTH16" s="11"/>
      <c r="NTI16" s="11"/>
      <c r="NTJ16" s="11"/>
      <c r="NTK16" s="11"/>
      <c r="NTL16" s="11"/>
      <c r="NTM16" s="11"/>
      <c r="NTN16" s="11"/>
      <c r="NTO16" s="11"/>
      <c r="NTP16" s="11"/>
      <c r="NTQ16" s="11"/>
      <c r="NTR16" s="11"/>
      <c r="NTS16" s="11"/>
      <c r="NTT16" s="11"/>
      <c r="NTU16" s="11"/>
      <c r="NTV16" s="11"/>
      <c r="NTW16" s="11"/>
      <c r="NTX16" s="11"/>
      <c r="NTY16" s="11"/>
      <c r="NTZ16" s="11"/>
      <c r="NUA16" s="11"/>
      <c r="NUB16" s="11"/>
      <c r="NUC16" s="11"/>
      <c r="NUD16" s="11"/>
      <c r="NUE16" s="11"/>
      <c r="NUF16" s="11"/>
      <c r="NUG16" s="11"/>
      <c r="NUH16" s="11"/>
      <c r="NUI16" s="11"/>
      <c r="NUJ16" s="11"/>
      <c r="NUK16" s="11"/>
      <c r="NUL16" s="11"/>
      <c r="NUM16" s="11"/>
      <c r="NUN16" s="11"/>
      <c r="NUO16" s="11"/>
      <c r="NUP16" s="11"/>
      <c r="NUQ16" s="11"/>
      <c r="NUR16" s="11"/>
      <c r="NUS16" s="11"/>
      <c r="NUT16" s="11"/>
      <c r="NUU16" s="11"/>
      <c r="NUV16" s="11"/>
      <c r="NUW16" s="11"/>
      <c r="NUX16" s="11"/>
      <c r="NUY16" s="11"/>
      <c r="NUZ16" s="11"/>
      <c r="NVA16" s="11"/>
      <c r="NVB16" s="11"/>
      <c r="NVC16" s="11"/>
      <c r="NVD16" s="11"/>
      <c r="NVE16" s="11"/>
      <c r="NVF16" s="11"/>
      <c r="NVG16" s="11"/>
      <c r="NVH16" s="11"/>
      <c r="NVI16" s="11"/>
      <c r="NVJ16" s="11"/>
      <c r="NVK16" s="11"/>
      <c r="NVL16" s="11"/>
      <c r="NVM16" s="11"/>
      <c r="NVN16" s="11"/>
      <c r="NVO16" s="11"/>
      <c r="NVP16" s="11"/>
      <c r="NVQ16" s="11"/>
      <c r="NVR16" s="11"/>
      <c r="NVS16" s="11"/>
      <c r="NVT16" s="11"/>
      <c r="NVU16" s="11"/>
      <c r="NVV16" s="11"/>
      <c r="NVW16" s="11"/>
      <c r="NVX16" s="11"/>
      <c r="NVY16" s="11"/>
      <c r="NVZ16" s="11"/>
      <c r="NWA16" s="11"/>
      <c r="NWB16" s="11"/>
      <c r="NWC16" s="11"/>
      <c r="NWD16" s="11"/>
      <c r="NWE16" s="11"/>
      <c r="NWF16" s="11"/>
      <c r="NWG16" s="11"/>
      <c r="NWH16" s="11"/>
      <c r="NWI16" s="11"/>
      <c r="NWJ16" s="11"/>
      <c r="NWK16" s="11"/>
      <c r="NWL16" s="11"/>
      <c r="NWM16" s="11"/>
      <c r="NWN16" s="11"/>
      <c r="NWO16" s="11"/>
      <c r="NWP16" s="11"/>
      <c r="NWQ16" s="11"/>
      <c r="NWR16" s="11"/>
      <c r="NWS16" s="11"/>
      <c r="NWT16" s="11"/>
      <c r="NWU16" s="11"/>
      <c r="NWV16" s="11"/>
      <c r="NWW16" s="11"/>
      <c r="NWX16" s="11"/>
      <c r="NWY16" s="11"/>
      <c r="NWZ16" s="11"/>
      <c r="NXA16" s="11"/>
      <c r="NXB16" s="11"/>
      <c r="NXC16" s="11"/>
      <c r="NXD16" s="11"/>
      <c r="NXE16" s="11"/>
      <c r="NXF16" s="11"/>
      <c r="NXG16" s="11"/>
      <c r="NXH16" s="11"/>
      <c r="NXI16" s="11"/>
      <c r="NXJ16" s="11"/>
      <c r="NXK16" s="11"/>
      <c r="NXL16" s="11"/>
      <c r="NXM16" s="11"/>
      <c r="NXN16" s="11"/>
      <c r="NXO16" s="11"/>
      <c r="NXP16" s="11"/>
      <c r="NXQ16" s="11"/>
      <c r="NXR16" s="11"/>
      <c r="NXS16" s="11"/>
      <c r="NXT16" s="11"/>
      <c r="NXU16" s="11"/>
      <c r="NXV16" s="11"/>
      <c r="NXW16" s="11"/>
      <c r="NXX16" s="11"/>
      <c r="NXY16" s="11"/>
      <c r="NXZ16" s="11"/>
      <c r="NYA16" s="11"/>
      <c r="NYB16" s="11"/>
      <c r="NYC16" s="11"/>
      <c r="NYD16" s="11"/>
      <c r="NYE16" s="11"/>
      <c r="NYF16" s="11"/>
      <c r="NYG16" s="11"/>
      <c r="NYH16" s="11"/>
      <c r="NYI16" s="11"/>
      <c r="NYJ16" s="11"/>
      <c r="NYK16" s="11"/>
      <c r="NYL16" s="11"/>
      <c r="NYM16" s="11"/>
      <c r="NYN16" s="11"/>
      <c r="NYO16" s="11"/>
      <c r="NYP16" s="11"/>
      <c r="NYQ16" s="11"/>
      <c r="NYR16" s="11"/>
      <c r="NYS16" s="11"/>
      <c r="NYT16" s="11"/>
      <c r="NYU16" s="11"/>
      <c r="NYV16" s="11"/>
      <c r="NYW16" s="11"/>
      <c r="NYX16" s="11"/>
      <c r="NYY16" s="11"/>
      <c r="NYZ16" s="11"/>
      <c r="NZA16" s="11"/>
      <c r="NZB16" s="11"/>
      <c r="NZC16" s="11"/>
      <c r="NZD16" s="11"/>
      <c r="NZE16" s="11"/>
      <c r="NZF16" s="11"/>
      <c r="NZG16" s="11"/>
      <c r="NZH16" s="11"/>
      <c r="NZI16" s="11"/>
      <c r="NZJ16" s="11"/>
      <c r="NZK16" s="11"/>
      <c r="NZL16" s="11"/>
      <c r="NZM16" s="11"/>
      <c r="NZN16" s="11"/>
      <c r="NZO16" s="11"/>
      <c r="NZP16" s="11"/>
      <c r="NZQ16" s="11"/>
      <c r="NZR16" s="11"/>
      <c r="NZS16" s="11"/>
      <c r="NZT16" s="11"/>
      <c r="NZU16" s="11"/>
      <c r="NZV16" s="11"/>
      <c r="NZW16" s="11"/>
      <c r="NZX16" s="11"/>
      <c r="NZY16" s="11"/>
      <c r="NZZ16" s="11"/>
      <c r="OAA16" s="11"/>
      <c r="OAB16" s="11"/>
      <c r="OAC16" s="11"/>
      <c r="OAD16" s="11"/>
      <c r="OAE16" s="11"/>
      <c r="OAF16" s="11"/>
      <c r="OAG16" s="11"/>
      <c r="OAH16" s="11"/>
      <c r="OAI16" s="11"/>
      <c r="OAJ16" s="11"/>
      <c r="OAK16" s="11"/>
      <c r="OAL16" s="11"/>
      <c r="OAM16" s="11"/>
      <c r="OAN16" s="11"/>
      <c r="OAO16" s="11"/>
      <c r="OAP16" s="11"/>
      <c r="OAQ16" s="11"/>
      <c r="OAR16" s="11"/>
      <c r="OAS16" s="11"/>
      <c r="OAT16" s="11"/>
      <c r="OAU16" s="11"/>
      <c r="OAV16" s="11"/>
      <c r="OAW16" s="11"/>
      <c r="OAX16" s="11"/>
      <c r="OAY16" s="11"/>
      <c r="OAZ16" s="11"/>
      <c r="OBA16" s="11"/>
      <c r="OBB16" s="11"/>
      <c r="OBC16" s="11"/>
      <c r="OBD16" s="11"/>
      <c r="OBE16" s="11"/>
      <c r="OBF16" s="11"/>
      <c r="OBG16" s="11"/>
      <c r="OBH16" s="11"/>
      <c r="OBI16" s="11"/>
      <c r="OBJ16" s="11"/>
      <c r="OBK16" s="11"/>
      <c r="OBL16" s="11"/>
      <c r="OBM16" s="11"/>
      <c r="OBN16" s="11"/>
      <c r="OBO16" s="11"/>
      <c r="OBP16" s="11"/>
      <c r="OBQ16" s="11"/>
      <c r="OBR16" s="11"/>
      <c r="OBS16" s="11"/>
      <c r="OBT16" s="11"/>
      <c r="OBU16" s="11"/>
      <c r="OBV16" s="11"/>
      <c r="OBW16" s="11"/>
      <c r="OBX16" s="11"/>
      <c r="OBY16" s="11"/>
      <c r="OBZ16" s="11"/>
      <c r="OCA16" s="11"/>
      <c r="OCB16" s="11"/>
      <c r="OCC16" s="11"/>
      <c r="OCD16" s="11"/>
      <c r="OCE16" s="11"/>
      <c r="OCF16" s="11"/>
      <c r="OCG16" s="11"/>
      <c r="OCH16" s="11"/>
      <c r="OCI16" s="11"/>
      <c r="OCJ16" s="11"/>
      <c r="OCK16" s="11"/>
      <c r="OCL16" s="11"/>
      <c r="OCM16" s="11"/>
      <c r="OCN16" s="11"/>
      <c r="OCO16" s="11"/>
      <c r="OCP16" s="11"/>
      <c r="OCQ16" s="11"/>
      <c r="OCR16" s="11"/>
      <c r="OCS16" s="11"/>
      <c r="OCT16" s="11"/>
      <c r="OCU16" s="11"/>
      <c r="OCV16" s="11"/>
      <c r="OCW16" s="11"/>
      <c r="OCX16" s="11"/>
      <c r="OCY16" s="11"/>
      <c r="OCZ16" s="11"/>
      <c r="ODA16" s="11"/>
      <c r="ODB16" s="11"/>
      <c r="ODC16" s="11"/>
      <c r="ODD16" s="11"/>
      <c r="ODE16" s="11"/>
      <c r="ODF16" s="11"/>
      <c r="ODG16" s="11"/>
      <c r="ODH16" s="11"/>
      <c r="ODI16" s="11"/>
      <c r="ODJ16" s="11"/>
      <c r="ODK16" s="11"/>
      <c r="ODL16" s="11"/>
      <c r="ODM16" s="11"/>
      <c r="ODN16" s="11"/>
      <c r="ODO16" s="11"/>
      <c r="ODP16" s="11"/>
      <c r="ODQ16" s="11"/>
      <c r="ODR16" s="11"/>
      <c r="ODS16" s="11"/>
      <c r="ODT16" s="11"/>
      <c r="ODU16" s="11"/>
      <c r="ODV16" s="11"/>
      <c r="ODW16" s="11"/>
      <c r="ODX16" s="11"/>
      <c r="ODY16" s="11"/>
      <c r="ODZ16" s="11"/>
      <c r="OEA16" s="11"/>
      <c r="OEB16" s="11"/>
      <c r="OEC16" s="11"/>
      <c r="OED16" s="11"/>
      <c r="OEE16" s="11"/>
      <c r="OEF16" s="11"/>
      <c r="OEG16" s="11"/>
      <c r="OEH16" s="11"/>
      <c r="OEI16" s="11"/>
      <c r="OEJ16" s="11"/>
      <c r="OEK16" s="11"/>
      <c r="OEL16" s="11"/>
      <c r="OEM16" s="11"/>
      <c r="OEN16" s="11"/>
      <c r="OEO16" s="11"/>
      <c r="OEP16" s="11"/>
      <c r="OEQ16" s="11"/>
      <c r="OER16" s="11"/>
      <c r="OES16" s="11"/>
      <c r="OET16" s="11"/>
      <c r="OEU16" s="11"/>
      <c r="OEV16" s="11"/>
      <c r="OEW16" s="11"/>
      <c r="OEX16" s="11"/>
      <c r="OEY16" s="11"/>
      <c r="OEZ16" s="11"/>
      <c r="OFA16" s="11"/>
      <c r="OFB16" s="11"/>
      <c r="OFC16" s="11"/>
      <c r="OFD16" s="11"/>
      <c r="OFE16" s="11"/>
      <c r="OFF16" s="11"/>
      <c r="OFG16" s="11"/>
      <c r="OFH16" s="11"/>
      <c r="OFI16" s="11"/>
      <c r="OFJ16" s="11"/>
      <c r="OFK16" s="11"/>
      <c r="OFL16" s="11"/>
      <c r="OFM16" s="11"/>
      <c r="OFN16" s="11"/>
      <c r="OFO16" s="11"/>
      <c r="OFP16" s="11"/>
      <c r="OFQ16" s="11"/>
      <c r="OFR16" s="11"/>
      <c r="OFS16" s="11"/>
      <c r="OFT16" s="11"/>
      <c r="OFU16" s="11"/>
      <c r="OFV16" s="11"/>
      <c r="OFW16" s="11"/>
      <c r="OFX16" s="11"/>
      <c r="OFY16" s="11"/>
      <c r="OFZ16" s="11"/>
      <c r="OGA16" s="11"/>
      <c r="OGB16" s="11"/>
      <c r="OGC16" s="11"/>
      <c r="OGD16" s="11"/>
      <c r="OGE16" s="11"/>
      <c r="OGF16" s="11"/>
      <c r="OGG16" s="11"/>
      <c r="OGH16" s="11"/>
      <c r="OGI16" s="11"/>
      <c r="OGJ16" s="11"/>
      <c r="OGK16" s="11"/>
      <c r="OGL16" s="11"/>
      <c r="OGM16" s="11"/>
      <c r="OGN16" s="11"/>
      <c r="OGO16" s="11"/>
      <c r="OGP16" s="11"/>
      <c r="OGQ16" s="11"/>
      <c r="OGR16" s="11"/>
      <c r="OGS16" s="11"/>
      <c r="OGT16" s="11"/>
      <c r="OGU16" s="11"/>
      <c r="OGV16" s="11"/>
      <c r="OGW16" s="11"/>
      <c r="OGX16" s="11"/>
      <c r="OGY16" s="11"/>
      <c r="OGZ16" s="11"/>
      <c r="OHA16" s="11"/>
      <c r="OHB16" s="11"/>
      <c r="OHC16" s="11"/>
      <c r="OHD16" s="11"/>
      <c r="OHE16" s="11"/>
      <c r="OHF16" s="11"/>
      <c r="OHG16" s="11"/>
      <c r="OHH16" s="11"/>
      <c r="OHI16" s="11"/>
      <c r="OHJ16" s="11"/>
      <c r="OHK16" s="11"/>
      <c r="OHL16" s="11"/>
      <c r="OHM16" s="11"/>
      <c r="OHN16" s="11"/>
      <c r="OHO16" s="11"/>
      <c r="OHP16" s="11"/>
      <c r="OHQ16" s="11"/>
      <c r="OHR16" s="11"/>
      <c r="OHS16" s="11"/>
      <c r="OHT16" s="11"/>
      <c r="OHU16" s="11"/>
      <c r="OHV16" s="11"/>
      <c r="OHW16" s="11"/>
      <c r="OHX16" s="11"/>
      <c r="OHY16" s="11"/>
      <c r="OHZ16" s="11"/>
      <c r="OIA16" s="11"/>
      <c r="OIB16" s="11"/>
      <c r="OIC16" s="11"/>
      <c r="OID16" s="11"/>
      <c r="OIE16" s="11"/>
      <c r="OIF16" s="11"/>
      <c r="OIG16" s="11"/>
      <c r="OIH16" s="11"/>
      <c r="OII16" s="11"/>
      <c r="OIJ16" s="11"/>
      <c r="OIK16" s="11"/>
      <c r="OIL16" s="11"/>
      <c r="OIM16" s="11"/>
      <c r="OIN16" s="11"/>
      <c r="OIO16" s="11"/>
      <c r="OIP16" s="11"/>
      <c r="OIQ16" s="11"/>
      <c r="OIR16" s="11"/>
      <c r="OIS16" s="11"/>
      <c r="OIT16" s="11"/>
      <c r="OIU16" s="11"/>
      <c r="OIV16" s="11"/>
      <c r="OIW16" s="11"/>
      <c r="OIX16" s="11"/>
      <c r="OIY16" s="11"/>
      <c r="OIZ16" s="11"/>
      <c r="OJA16" s="11"/>
      <c r="OJB16" s="11"/>
      <c r="OJC16" s="11"/>
      <c r="OJD16" s="11"/>
      <c r="OJE16" s="11"/>
      <c r="OJF16" s="11"/>
      <c r="OJG16" s="11"/>
      <c r="OJH16" s="11"/>
      <c r="OJI16" s="11"/>
      <c r="OJJ16" s="11"/>
      <c r="OJK16" s="11"/>
      <c r="OJL16" s="11"/>
      <c r="OJM16" s="11"/>
      <c r="OJN16" s="11"/>
      <c r="OJO16" s="11"/>
      <c r="OJP16" s="11"/>
      <c r="OJQ16" s="11"/>
      <c r="OJR16" s="11"/>
      <c r="OJS16" s="11"/>
      <c r="OJT16" s="11"/>
      <c r="OJU16" s="11"/>
      <c r="OJV16" s="11"/>
      <c r="OJW16" s="11"/>
      <c r="OJX16" s="11"/>
      <c r="OJY16" s="11"/>
      <c r="OJZ16" s="11"/>
      <c r="OKA16" s="11"/>
      <c r="OKB16" s="11"/>
      <c r="OKC16" s="11"/>
      <c r="OKD16" s="11"/>
      <c r="OKE16" s="11"/>
      <c r="OKF16" s="11"/>
      <c r="OKG16" s="11"/>
      <c r="OKH16" s="11"/>
      <c r="OKI16" s="11"/>
      <c r="OKJ16" s="11"/>
      <c r="OKK16" s="11"/>
      <c r="OKL16" s="11"/>
      <c r="OKM16" s="11"/>
      <c r="OKN16" s="11"/>
      <c r="OKO16" s="11"/>
      <c r="OKP16" s="11"/>
      <c r="OKQ16" s="11"/>
      <c r="OKR16" s="11"/>
      <c r="OKS16" s="11"/>
      <c r="OKT16" s="11"/>
      <c r="OKU16" s="11"/>
      <c r="OKV16" s="11"/>
      <c r="OKW16" s="11"/>
      <c r="OKX16" s="11"/>
      <c r="OKY16" s="11"/>
      <c r="OKZ16" s="11"/>
      <c r="OLA16" s="11"/>
      <c r="OLB16" s="11"/>
      <c r="OLC16" s="11"/>
      <c r="OLD16" s="11"/>
      <c r="OLE16" s="11"/>
      <c r="OLF16" s="11"/>
      <c r="OLG16" s="11"/>
      <c r="OLH16" s="11"/>
      <c r="OLI16" s="11"/>
      <c r="OLJ16" s="11"/>
      <c r="OLK16" s="11"/>
      <c r="OLL16" s="11"/>
      <c r="OLM16" s="11"/>
      <c r="OLN16" s="11"/>
      <c r="OLO16" s="11"/>
      <c r="OLP16" s="11"/>
      <c r="OLQ16" s="11"/>
      <c r="OLR16" s="11"/>
      <c r="OLS16" s="11"/>
      <c r="OLT16" s="11"/>
      <c r="OLU16" s="11"/>
      <c r="OLV16" s="11"/>
      <c r="OLW16" s="11"/>
      <c r="OLX16" s="11"/>
      <c r="OLY16" s="11"/>
      <c r="OLZ16" s="11"/>
      <c r="OMA16" s="11"/>
      <c r="OMB16" s="11"/>
      <c r="OMC16" s="11"/>
      <c r="OMD16" s="11"/>
      <c r="OME16" s="11"/>
      <c r="OMF16" s="11"/>
      <c r="OMG16" s="11"/>
      <c r="OMH16" s="11"/>
      <c r="OMI16" s="11"/>
      <c r="OMJ16" s="11"/>
      <c r="OMK16" s="11"/>
      <c r="OML16" s="11"/>
      <c r="OMM16" s="11"/>
      <c r="OMN16" s="11"/>
      <c r="OMO16" s="11"/>
      <c r="OMP16" s="11"/>
      <c r="OMQ16" s="11"/>
      <c r="OMR16" s="11"/>
      <c r="OMS16" s="11"/>
      <c r="OMT16" s="11"/>
      <c r="OMU16" s="11"/>
      <c r="OMV16" s="11"/>
      <c r="OMW16" s="11"/>
      <c r="OMX16" s="11"/>
      <c r="OMY16" s="11"/>
      <c r="OMZ16" s="11"/>
      <c r="ONA16" s="11"/>
      <c r="ONB16" s="11"/>
      <c r="ONC16" s="11"/>
      <c r="OND16" s="11"/>
      <c r="ONE16" s="11"/>
      <c r="ONF16" s="11"/>
      <c r="ONG16" s="11"/>
      <c r="ONH16" s="11"/>
      <c r="ONI16" s="11"/>
      <c r="ONJ16" s="11"/>
      <c r="ONK16" s="11"/>
      <c r="ONL16" s="11"/>
      <c r="ONM16" s="11"/>
      <c r="ONN16" s="11"/>
      <c r="ONO16" s="11"/>
      <c r="ONP16" s="11"/>
      <c r="ONQ16" s="11"/>
      <c r="ONR16" s="11"/>
      <c r="ONS16" s="11"/>
      <c r="ONT16" s="11"/>
      <c r="ONU16" s="11"/>
      <c r="ONV16" s="11"/>
      <c r="ONW16" s="11"/>
      <c r="ONX16" s="11"/>
      <c r="ONY16" s="11"/>
      <c r="ONZ16" s="11"/>
      <c r="OOA16" s="11"/>
      <c r="OOB16" s="11"/>
      <c r="OOC16" s="11"/>
      <c r="OOD16" s="11"/>
      <c r="OOE16" s="11"/>
      <c r="OOF16" s="11"/>
      <c r="OOG16" s="11"/>
      <c r="OOH16" s="11"/>
      <c r="OOI16" s="11"/>
      <c r="OOJ16" s="11"/>
      <c r="OOK16" s="11"/>
      <c r="OOL16" s="11"/>
      <c r="OOM16" s="11"/>
      <c r="OON16" s="11"/>
      <c r="OOO16" s="11"/>
      <c r="OOP16" s="11"/>
      <c r="OOQ16" s="11"/>
      <c r="OOR16" s="11"/>
      <c r="OOS16" s="11"/>
      <c r="OOT16" s="11"/>
      <c r="OOU16" s="11"/>
      <c r="OOV16" s="11"/>
      <c r="OOW16" s="11"/>
      <c r="OOX16" s="11"/>
      <c r="OOY16" s="11"/>
      <c r="OOZ16" s="11"/>
      <c r="OPA16" s="11"/>
      <c r="OPB16" s="11"/>
      <c r="OPC16" s="11"/>
      <c r="OPD16" s="11"/>
      <c r="OPE16" s="11"/>
      <c r="OPF16" s="11"/>
      <c r="OPG16" s="11"/>
      <c r="OPH16" s="11"/>
      <c r="OPI16" s="11"/>
      <c r="OPJ16" s="11"/>
      <c r="OPK16" s="11"/>
      <c r="OPL16" s="11"/>
      <c r="OPM16" s="11"/>
      <c r="OPN16" s="11"/>
      <c r="OPO16" s="11"/>
      <c r="OPP16" s="11"/>
      <c r="OPQ16" s="11"/>
      <c r="OPR16" s="11"/>
      <c r="OPS16" s="11"/>
      <c r="OPT16" s="11"/>
      <c r="OPU16" s="11"/>
      <c r="OPV16" s="11"/>
      <c r="OPW16" s="11"/>
      <c r="OPX16" s="11"/>
      <c r="OPY16" s="11"/>
      <c r="OPZ16" s="11"/>
      <c r="OQA16" s="11"/>
      <c r="OQB16" s="11"/>
      <c r="OQC16" s="11"/>
      <c r="OQD16" s="11"/>
      <c r="OQE16" s="11"/>
      <c r="OQF16" s="11"/>
      <c r="OQG16" s="11"/>
      <c r="OQH16" s="11"/>
      <c r="OQI16" s="11"/>
      <c r="OQJ16" s="11"/>
      <c r="OQK16" s="11"/>
      <c r="OQL16" s="11"/>
      <c r="OQM16" s="11"/>
      <c r="OQN16" s="11"/>
      <c r="OQO16" s="11"/>
      <c r="OQP16" s="11"/>
      <c r="OQQ16" s="11"/>
      <c r="OQR16" s="11"/>
      <c r="OQS16" s="11"/>
      <c r="OQT16" s="11"/>
      <c r="OQU16" s="11"/>
      <c r="OQV16" s="11"/>
      <c r="OQW16" s="11"/>
      <c r="OQX16" s="11"/>
      <c r="OQY16" s="11"/>
      <c r="OQZ16" s="11"/>
      <c r="ORA16" s="11"/>
      <c r="ORB16" s="11"/>
      <c r="ORC16" s="11"/>
      <c r="ORD16" s="11"/>
      <c r="ORE16" s="11"/>
      <c r="ORF16" s="11"/>
      <c r="ORG16" s="11"/>
      <c r="ORH16" s="11"/>
      <c r="ORI16" s="11"/>
      <c r="ORJ16" s="11"/>
      <c r="ORK16" s="11"/>
      <c r="ORL16" s="11"/>
      <c r="ORM16" s="11"/>
      <c r="ORN16" s="11"/>
      <c r="ORO16" s="11"/>
      <c r="ORP16" s="11"/>
      <c r="ORQ16" s="11"/>
      <c r="ORR16" s="11"/>
      <c r="ORS16" s="11"/>
      <c r="ORT16" s="11"/>
      <c r="ORU16" s="11"/>
      <c r="ORV16" s="11"/>
      <c r="ORW16" s="11"/>
      <c r="ORX16" s="11"/>
      <c r="ORY16" s="11"/>
      <c r="ORZ16" s="11"/>
      <c r="OSA16" s="11"/>
      <c r="OSB16" s="11"/>
      <c r="OSC16" s="11"/>
      <c r="OSD16" s="11"/>
      <c r="OSE16" s="11"/>
      <c r="OSF16" s="11"/>
      <c r="OSG16" s="11"/>
      <c r="OSH16" s="11"/>
      <c r="OSI16" s="11"/>
      <c r="OSJ16" s="11"/>
      <c r="OSK16" s="11"/>
      <c r="OSL16" s="11"/>
      <c r="OSM16" s="11"/>
      <c r="OSN16" s="11"/>
      <c r="OSO16" s="11"/>
      <c r="OSP16" s="11"/>
      <c r="OSQ16" s="11"/>
      <c r="OSR16" s="11"/>
      <c r="OSS16" s="11"/>
      <c r="OST16" s="11"/>
      <c r="OSU16" s="11"/>
      <c r="OSV16" s="11"/>
      <c r="OSW16" s="11"/>
      <c r="OSX16" s="11"/>
      <c r="OSY16" s="11"/>
      <c r="OSZ16" s="11"/>
      <c r="OTA16" s="11"/>
      <c r="OTB16" s="11"/>
      <c r="OTC16" s="11"/>
      <c r="OTD16" s="11"/>
      <c r="OTE16" s="11"/>
      <c r="OTF16" s="11"/>
      <c r="OTG16" s="11"/>
      <c r="OTH16" s="11"/>
      <c r="OTI16" s="11"/>
      <c r="OTJ16" s="11"/>
      <c r="OTK16" s="11"/>
      <c r="OTL16" s="11"/>
      <c r="OTM16" s="11"/>
      <c r="OTN16" s="11"/>
      <c r="OTO16" s="11"/>
      <c r="OTP16" s="11"/>
      <c r="OTQ16" s="11"/>
      <c r="OTR16" s="11"/>
      <c r="OTS16" s="11"/>
      <c r="OTT16" s="11"/>
      <c r="OTU16" s="11"/>
      <c r="OTV16" s="11"/>
      <c r="OTW16" s="11"/>
      <c r="OTX16" s="11"/>
      <c r="OTY16" s="11"/>
      <c r="OTZ16" s="11"/>
      <c r="OUA16" s="11"/>
      <c r="OUB16" s="11"/>
      <c r="OUC16" s="11"/>
      <c r="OUD16" s="11"/>
      <c r="OUE16" s="11"/>
      <c r="OUF16" s="11"/>
      <c r="OUG16" s="11"/>
      <c r="OUH16" s="11"/>
      <c r="OUI16" s="11"/>
      <c r="OUJ16" s="11"/>
      <c r="OUK16" s="11"/>
      <c r="OUL16" s="11"/>
      <c r="OUM16" s="11"/>
      <c r="OUN16" s="11"/>
      <c r="OUO16" s="11"/>
      <c r="OUP16" s="11"/>
      <c r="OUQ16" s="11"/>
      <c r="OUR16" s="11"/>
      <c r="OUS16" s="11"/>
      <c r="OUT16" s="11"/>
      <c r="OUU16" s="11"/>
      <c r="OUV16" s="11"/>
      <c r="OUW16" s="11"/>
      <c r="OUX16" s="11"/>
      <c r="OUY16" s="11"/>
      <c r="OUZ16" s="11"/>
      <c r="OVA16" s="11"/>
      <c r="OVB16" s="11"/>
      <c r="OVC16" s="11"/>
      <c r="OVD16" s="11"/>
      <c r="OVE16" s="11"/>
      <c r="OVF16" s="11"/>
      <c r="OVG16" s="11"/>
      <c r="OVH16" s="11"/>
      <c r="OVI16" s="11"/>
      <c r="OVJ16" s="11"/>
      <c r="OVK16" s="11"/>
      <c r="OVL16" s="11"/>
      <c r="OVM16" s="11"/>
      <c r="OVN16" s="11"/>
      <c r="OVO16" s="11"/>
      <c r="OVP16" s="11"/>
      <c r="OVQ16" s="11"/>
      <c r="OVR16" s="11"/>
      <c r="OVS16" s="11"/>
      <c r="OVT16" s="11"/>
      <c r="OVU16" s="11"/>
      <c r="OVV16" s="11"/>
      <c r="OVW16" s="11"/>
      <c r="OVX16" s="11"/>
      <c r="OVY16" s="11"/>
      <c r="OVZ16" s="11"/>
      <c r="OWA16" s="11"/>
      <c r="OWB16" s="11"/>
      <c r="OWC16" s="11"/>
      <c r="OWD16" s="11"/>
      <c r="OWE16" s="11"/>
      <c r="OWF16" s="11"/>
      <c r="OWG16" s="11"/>
      <c r="OWH16" s="11"/>
      <c r="OWI16" s="11"/>
      <c r="OWJ16" s="11"/>
      <c r="OWK16" s="11"/>
      <c r="OWL16" s="11"/>
      <c r="OWM16" s="11"/>
      <c r="OWN16" s="11"/>
      <c r="OWO16" s="11"/>
      <c r="OWP16" s="11"/>
      <c r="OWQ16" s="11"/>
      <c r="OWR16" s="11"/>
      <c r="OWS16" s="11"/>
      <c r="OWT16" s="11"/>
      <c r="OWU16" s="11"/>
      <c r="OWV16" s="11"/>
      <c r="OWW16" s="11"/>
      <c r="OWX16" s="11"/>
      <c r="OWY16" s="11"/>
      <c r="OWZ16" s="11"/>
      <c r="OXA16" s="11"/>
      <c r="OXB16" s="11"/>
      <c r="OXC16" s="11"/>
      <c r="OXD16" s="11"/>
      <c r="OXE16" s="11"/>
      <c r="OXF16" s="11"/>
      <c r="OXG16" s="11"/>
      <c r="OXH16" s="11"/>
      <c r="OXI16" s="11"/>
      <c r="OXJ16" s="11"/>
      <c r="OXK16" s="11"/>
      <c r="OXL16" s="11"/>
      <c r="OXM16" s="11"/>
      <c r="OXN16" s="11"/>
      <c r="OXO16" s="11"/>
      <c r="OXP16" s="11"/>
      <c r="OXQ16" s="11"/>
      <c r="OXR16" s="11"/>
      <c r="OXS16" s="11"/>
      <c r="OXT16" s="11"/>
      <c r="OXU16" s="11"/>
      <c r="OXV16" s="11"/>
      <c r="OXW16" s="11"/>
      <c r="OXX16" s="11"/>
      <c r="OXY16" s="11"/>
      <c r="OXZ16" s="11"/>
      <c r="OYA16" s="11"/>
      <c r="OYB16" s="11"/>
      <c r="OYC16" s="11"/>
      <c r="OYD16" s="11"/>
      <c r="OYE16" s="11"/>
      <c r="OYF16" s="11"/>
      <c r="OYG16" s="11"/>
      <c r="OYH16" s="11"/>
      <c r="OYI16" s="11"/>
      <c r="OYJ16" s="11"/>
      <c r="OYK16" s="11"/>
      <c r="OYL16" s="11"/>
      <c r="OYM16" s="11"/>
      <c r="OYN16" s="11"/>
      <c r="OYO16" s="11"/>
      <c r="OYP16" s="11"/>
      <c r="OYQ16" s="11"/>
      <c r="OYR16" s="11"/>
      <c r="OYS16" s="11"/>
      <c r="OYT16" s="11"/>
      <c r="OYU16" s="11"/>
      <c r="OYV16" s="11"/>
      <c r="OYW16" s="11"/>
      <c r="OYX16" s="11"/>
      <c r="OYY16" s="11"/>
      <c r="OYZ16" s="11"/>
      <c r="OZA16" s="11"/>
      <c r="OZB16" s="11"/>
      <c r="OZC16" s="11"/>
      <c r="OZD16" s="11"/>
      <c r="OZE16" s="11"/>
      <c r="OZF16" s="11"/>
      <c r="OZG16" s="11"/>
      <c r="OZH16" s="11"/>
      <c r="OZI16" s="11"/>
      <c r="OZJ16" s="11"/>
      <c r="OZK16" s="11"/>
      <c r="OZL16" s="11"/>
      <c r="OZM16" s="11"/>
      <c r="OZN16" s="11"/>
      <c r="OZO16" s="11"/>
      <c r="OZP16" s="11"/>
      <c r="OZQ16" s="11"/>
      <c r="OZR16" s="11"/>
      <c r="OZS16" s="11"/>
      <c r="OZT16" s="11"/>
      <c r="OZU16" s="11"/>
      <c r="OZV16" s="11"/>
      <c r="OZW16" s="11"/>
      <c r="OZX16" s="11"/>
      <c r="OZY16" s="11"/>
      <c r="OZZ16" s="11"/>
      <c r="PAA16" s="11"/>
      <c r="PAB16" s="11"/>
      <c r="PAC16" s="11"/>
      <c r="PAD16" s="11"/>
      <c r="PAE16" s="11"/>
      <c r="PAF16" s="11"/>
      <c r="PAG16" s="11"/>
      <c r="PAH16" s="11"/>
      <c r="PAI16" s="11"/>
      <c r="PAJ16" s="11"/>
      <c r="PAK16" s="11"/>
      <c r="PAL16" s="11"/>
      <c r="PAM16" s="11"/>
      <c r="PAN16" s="11"/>
      <c r="PAO16" s="11"/>
      <c r="PAP16" s="11"/>
      <c r="PAQ16" s="11"/>
      <c r="PAR16" s="11"/>
      <c r="PAS16" s="11"/>
      <c r="PAT16" s="11"/>
      <c r="PAU16" s="11"/>
      <c r="PAV16" s="11"/>
      <c r="PAW16" s="11"/>
      <c r="PAX16" s="11"/>
      <c r="PAY16" s="11"/>
      <c r="PAZ16" s="11"/>
      <c r="PBA16" s="11"/>
      <c r="PBB16" s="11"/>
      <c r="PBC16" s="11"/>
      <c r="PBD16" s="11"/>
      <c r="PBE16" s="11"/>
      <c r="PBF16" s="11"/>
      <c r="PBG16" s="11"/>
      <c r="PBH16" s="11"/>
      <c r="PBI16" s="11"/>
      <c r="PBJ16" s="11"/>
      <c r="PBK16" s="11"/>
      <c r="PBL16" s="11"/>
      <c r="PBM16" s="11"/>
      <c r="PBN16" s="11"/>
      <c r="PBO16" s="11"/>
      <c r="PBP16" s="11"/>
      <c r="PBQ16" s="11"/>
      <c r="PBR16" s="11"/>
      <c r="PBS16" s="11"/>
      <c r="PBT16" s="11"/>
      <c r="PBU16" s="11"/>
      <c r="PBV16" s="11"/>
      <c r="PBW16" s="11"/>
      <c r="PBX16" s="11"/>
      <c r="PBY16" s="11"/>
      <c r="PBZ16" s="11"/>
      <c r="PCA16" s="11"/>
      <c r="PCB16" s="11"/>
      <c r="PCC16" s="11"/>
      <c r="PCD16" s="11"/>
      <c r="PCE16" s="11"/>
      <c r="PCF16" s="11"/>
      <c r="PCG16" s="11"/>
      <c r="PCH16" s="11"/>
      <c r="PCI16" s="11"/>
      <c r="PCJ16" s="11"/>
      <c r="PCK16" s="11"/>
      <c r="PCL16" s="11"/>
      <c r="PCM16" s="11"/>
      <c r="PCN16" s="11"/>
      <c r="PCO16" s="11"/>
      <c r="PCP16" s="11"/>
      <c r="PCQ16" s="11"/>
      <c r="PCR16" s="11"/>
      <c r="PCS16" s="11"/>
      <c r="PCT16" s="11"/>
      <c r="PCU16" s="11"/>
      <c r="PCV16" s="11"/>
      <c r="PCW16" s="11"/>
      <c r="PCX16" s="11"/>
      <c r="PCY16" s="11"/>
      <c r="PCZ16" s="11"/>
      <c r="PDA16" s="11"/>
      <c r="PDB16" s="11"/>
      <c r="PDC16" s="11"/>
      <c r="PDD16" s="11"/>
      <c r="PDE16" s="11"/>
      <c r="PDF16" s="11"/>
      <c r="PDG16" s="11"/>
      <c r="PDH16" s="11"/>
      <c r="PDI16" s="11"/>
      <c r="PDJ16" s="11"/>
      <c r="PDK16" s="11"/>
      <c r="PDL16" s="11"/>
      <c r="PDM16" s="11"/>
      <c r="PDN16" s="11"/>
      <c r="PDO16" s="11"/>
      <c r="PDP16" s="11"/>
      <c r="PDQ16" s="11"/>
      <c r="PDR16" s="11"/>
      <c r="PDS16" s="11"/>
      <c r="PDT16" s="11"/>
      <c r="PDU16" s="11"/>
      <c r="PDV16" s="11"/>
      <c r="PDW16" s="11"/>
      <c r="PDX16" s="11"/>
      <c r="PDY16" s="11"/>
      <c r="PDZ16" s="11"/>
      <c r="PEA16" s="11"/>
      <c r="PEB16" s="11"/>
      <c r="PEC16" s="11"/>
      <c r="PED16" s="11"/>
      <c r="PEE16" s="11"/>
      <c r="PEF16" s="11"/>
      <c r="PEG16" s="11"/>
      <c r="PEH16" s="11"/>
      <c r="PEI16" s="11"/>
      <c r="PEJ16" s="11"/>
      <c r="PEK16" s="11"/>
      <c r="PEL16" s="11"/>
      <c r="PEM16" s="11"/>
      <c r="PEN16" s="11"/>
      <c r="PEO16" s="11"/>
      <c r="PEP16" s="11"/>
      <c r="PEQ16" s="11"/>
      <c r="PER16" s="11"/>
      <c r="PES16" s="11"/>
      <c r="PET16" s="11"/>
      <c r="PEU16" s="11"/>
      <c r="PEV16" s="11"/>
      <c r="PEW16" s="11"/>
      <c r="PEX16" s="11"/>
      <c r="PEY16" s="11"/>
      <c r="PEZ16" s="11"/>
      <c r="PFA16" s="11"/>
      <c r="PFB16" s="11"/>
      <c r="PFC16" s="11"/>
      <c r="PFD16" s="11"/>
      <c r="PFE16" s="11"/>
      <c r="PFF16" s="11"/>
      <c r="PFG16" s="11"/>
      <c r="PFH16" s="11"/>
      <c r="PFI16" s="11"/>
      <c r="PFJ16" s="11"/>
      <c r="PFK16" s="11"/>
      <c r="PFL16" s="11"/>
      <c r="PFM16" s="11"/>
      <c r="PFN16" s="11"/>
      <c r="PFO16" s="11"/>
      <c r="PFP16" s="11"/>
      <c r="PFQ16" s="11"/>
      <c r="PFR16" s="11"/>
      <c r="PFS16" s="11"/>
      <c r="PFT16" s="11"/>
      <c r="PFU16" s="11"/>
      <c r="PFV16" s="11"/>
      <c r="PFW16" s="11"/>
      <c r="PFX16" s="11"/>
      <c r="PFY16" s="11"/>
      <c r="PFZ16" s="11"/>
      <c r="PGA16" s="11"/>
      <c r="PGB16" s="11"/>
      <c r="PGC16" s="11"/>
      <c r="PGD16" s="11"/>
      <c r="PGE16" s="11"/>
      <c r="PGF16" s="11"/>
      <c r="PGG16" s="11"/>
      <c r="PGH16" s="11"/>
      <c r="PGI16" s="11"/>
      <c r="PGJ16" s="11"/>
      <c r="PGK16" s="11"/>
      <c r="PGL16" s="11"/>
      <c r="PGM16" s="11"/>
      <c r="PGN16" s="11"/>
      <c r="PGO16" s="11"/>
      <c r="PGP16" s="11"/>
      <c r="PGQ16" s="11"/>
      <c r="PGR16" s="11"/>
      <c r="PGS16" s="11"/>
      <c r="PGT16" s="11"/>
      <c r="PGU16" s="11"/>
      <c r="PGV16" s="11"/>
      <c r="PGW16" s="11"/>
      <c r="PGX16" s="11"/>
      <c r="PGY16" s="11"/>
      <c r="PGZ16" s="11"/>
      <c r="PHA16" s="11"/>
      <c r="PHB16" s="11"/>
      <c r="PHC16" s="11"/>
      <c r="PHD16" s="11"/>
      <c r="PHE16" s="11"/>
      <c r="PHF16" s="11"/>
      <c r="PHG16" s="11"/>
      <c r="PHH16" s="11"/>
      <c r="PHI16" s="11"/>
      <c r="PHJ16" s="11"/>
      <c r="PHK16" s="11"/>
      <c r="PHL16" s="11"/>
      <c r="PHM16" s="11"/>
      <c r="PHN16" s="11"/>
      <c r="PHO16" s="11"/>
      <c r="PHP16" s="11"/>
      <c r="PHQ16" s="11"/>
      <c r="PHR16" s="11"/>
      <c r="PHS16" s="11"/>
      <c r="PHT16" s="11"/>
      <c r="PHU16" s="11"/>
      <c r="PHV16" s="11"/>
      <c r="PHW16" s="11"/>
      <c r="PHX16" s="11"/>
      <c r="PHY16" s="11"/>
      <c r="PHZ16" s="11"/>
      <c r="PIA16" s="11"/>
      <c r="PIB16" s="11"/>
      <c r="PIC16" s="11"/>
      <c r="PID16" s="11"/>
      <c r="PIE16" s="11"/>
      <c r="PIF16" s="11"/>
      <c r="PIG16" s="11"/>
      <c r="PIH16" s="11"/>
      <c r="PII16" s="11"/>
      <c r="PIJ16" s="11"/>
      <c r="PIK16" s="11"/>
      <c r="PIL16" s="11"/>
      <c r="PIM16" s="11"/>
      <c r="PIN16" s="11"/>
      <c r="PIO16" s="11"/>
      <c r="PIP16" s="11"/>
      <c r="PIQ16" s="11"/>
      <c r="PIR16" s="11"/>
      <c r="PIS16" s="11"/>
      <c r="PIT16" s="11"/>
      <c r="PIU16" s="11"/>
      <c r="PIV16" s="11"/>
      <c r="PIW16" s="11"/>
      <c r="PIX16" s="11"/>
      <c r="PIY16" s="11"/>
      <c r="PIZ16" s="11"/>
      <c r="PJA16" s="11"/>
      <c r="PJB16" s="11"/>
      <c r="PJC16" s="11"/>
      <c r="PJD16" s="11"/>
      <c r="PJE16" s="11"/>
      <c r="PJF16" s="11"/>
      <c r="PJG16" s="11"/>
      <c r="PJH16" s="11"/>
      <c r="PJI16" s="11"/>
      <c r="PJJ16" s="11"/>
      <c r="PJK16" s="11"/>
      <c r="PJL16" s="11"/>
      <c r="PJM16" s="11"/>
      <c r="PJN16" s="11"/>
      <c r="PJO16" s="11"/>
      <c r="PJP16" s="11"/>
      <c r="PJQ16" s="11"/>
      <c r="PJR16" s="11"/>
      <c r="PJS16" s="11"/>
      <c r="PJT16" s="11"/>
      <c r="PJU16" s="11"/>
      <c r="PJV16" s="11"/>
      <c r="PJW16" s="11"/>
      <c r="PJX16" s="11"/>
      <c r="PJY16" s="11"/>
      <c r="PJZ16" s="11"/>
      <c r="PKA16" s="11"/>
      <c r="PKB16" s="11"/>
      <c r="PKC16" s="11"/>
      <c r="PKD16" s="11"/>
      <c r="PKE16" s="11"/>
      <c r="PKF16" s="11"/>
      <c r="PKG16" s="11"/>
      <c r="PKH16" s="11"/>
      <c r="PKI16" s="11"/>
      <c r="PKJ16" s="11"/>
      <c r="PKK16" s="11"/>
      <c r="PKL16" s="11"/>
      <c r="PKM16" s="11"/>
      <c r="PKN16" s="11"/>
      <c r="PKO16" s="11"/>
      <c r="PKP16" s="11"/>
      <c r="PKQ16" s="11"/>
      <c r="PKR16" s="11"/>
      <c r="PKS16" s="11"/>
      <c r="PKT16" s="11"/>
      <c r="PKU16" s="11"/>
      <c r="PKV16" s="11"/>
      <c r="PKW16" s="11"/>
      <c r="PKX16" s="11"/>
      <c r="PKY16" s="11"/>
      <c r="PKZ16" s="11"/>
      <c r="PLA16" s="11"/>
      <c r="PLB16" s="11"/>
      <c r="PLC16" s="11"/>
      <c r="PLD16" s="11"/>
      <c r="PLE16" s="11"/>
      <c r="PLF16" s="11"/>
      <c r="PLG16" s="11"/>
      <c r="PLH16" s="11"/>
      <c r="PLI16" s="11"/>
      <c r="PLJ16" s="11"/>
      <c r="PLK16" s="11"/>
      <c r="PLL16" s="11"/>
      <c r="PLM16" s="11"/>
      <c r="PLN16" s="11"/>
      <c r="PLO16" s="11"/>
      <c r="PLP16" s="11"/>
      <c r="PLQ16" s="11"/>
      <c r="PLR16" s="11"/>
      <c r="PLS16" s="11"/>
      <c r="PLT16" s="11"/>
      <c r="PLU16" s="11"/>
      <c r="PLV16" s="11"/>
      <c r="PLW16" s="11"/>
      <c r="PLX16" s="11"/>
      <c r="PLY16" s="11"/>
      <c r="PLZ16" s="11"/>
      <c r="PMA16" s="11"/>
      <c r="PMB16" s="11"/>
      <c r="PMC16" s="11"/>
      <c r="PMD16" s="11"/>
      <c r="PME16" s="11"/>
      <c r="PMF16" s="11"/>
      <c r="PMG16" s="11"/>
      <c r="PMH16" s="11"/>
      <c r="PMI16" s="11"/>
      <c r="PMJ16" s="11"/>
      <c r="PMK16" s="11"/>
      <c r="PML16" s="11"/>
      <c r="PMM16" s="11"/>
      <c r="PMN16" s="11"/>
      <c r="PMO16" s="11"/>
      <c r="PMP16" s="11"/>
      <c r="PMQ16" s="11"/>
      <c r="PMR16" s="11"/>
      <c r="PMS16" s="11"/>
      <c r="PMT16" s="11"/>
      <c r="PMU16" s="11"/>
      <c r="PMV16" s="11"/>
      <c r="PMW16" s="11"/>
      <c r="PMX16" s="11"/>
      <c r="PMY16" s="11"/>
      <c r="PMZ16" s="11"/>
      <c r="PNA16" s="11"/>
      <c r="PNB16" s="11"/>
      <c r="PNC16" s="11"/>
      <c r="PND16" s="11"/>
      <c r="PNE16" s="11"/>
      <c r="PNF16" s="11"/>
      <c r="PNG16" s="11"/>
      <c r="PNH16" s="11"/>
      <c r="PNI16" s="11"/>
      <c r="PNJ16" s="11"/>
      <c r="PNK16" s="11"/>
      <c r="PNL16" s="11"/>
      <c r="PNM16" s="11"/>
      <c r="PNN16" s="11"/>
      <c r="PNO16" s="11"/>
      <c r="PNP16" s="11"/>
      <c r="PNQ16" s="11"/>
      <c r="PNR16" s="11"/>
      <c r="PNS16" s="11"/>
      <c r="PNT16" s="11"/>
      <c r="PNU16" s="11"/>
      <c r="PNV16" s="11"/>
      <c r="PNW16" s="11"/>
      <c r="PNX16" s="11"/>
      <c r="PNY16" s="11"/>
      <c r="PNZ16" s="11"/>
      <c r="POA16" s="11"/>
      <c r="POB16" s="11"/>
      <c r="POC16" s="11"/>
      <c r="POD16" s="11"/>
      <c r="POE16" s="11"/>
      <c r="POF16" s="11"/>
      <c r="POG16" s="11"/>
      <c r="POH16" s="11"/>
      <c r="POI16" s="11"/>
      <c r="POJ16" s="11"/>
      <c r="POK16" s="11"/>
      <c r="POL16" s="11"/>
      <c r="POM16" s="11"/>
      <c r="PON16" s="11"/>
      <c r="POO16" s="11"/>
      <c r="POP16" s="11"/>
      <c r="POQ16" s="11"/>
      <c r="POR16" s="11"/>
      <c r="POS16" s="11"/>
      <c r="POT16" s="11"/>
      <c r="POU16" s="11"/>
      <c r="POV16" s="11"/>
      <c r="POW16" s="11"/>
      <c r="POX16" s="11"/>
      <c r="POY16" s="11"/>
      <c r="POZ16" s="11"/>
      <c r="PPA16" s="11"/>
      <c r="PPB16" s="11"/>
      <c r="PPC16" s="11"/>
      <c r="PPD16" s="11"/>
      <c r="PPE16" s="11"/>
      <c r="PPF16" s="11"/>
      <c r="PPG16" s="11"/>
      <c r="PPH16" s="11"/>
      <c r="PPI16" s="11"/>
      <c r="PPJ16" s="11"/>
      <c r="PPK16" s="11"/>
      <c r="PPL16" s="11"/>
      <c r="PPM16" s="11"/>
      <c r="PPN16" s="11"/>
      <c r="PPO16" s="11"/>
      <c r="PPP16" s="11"/>
      <c r="PPQ16" s="11"/>
      <c r="PPR16" s="11"/>
      <c r="PPS16" s="11"/>
      <c r="PPT16" s="11"/>
      <c r="PPU16" s="11"/>
      <c r="PPV16" s="11"/>
      <c r="PPW16" s="11"/>
      <c r="PPX16" s="11"/>
      <c r="PPY16" s="11"/>
      <c r="PPZ16" s="11"/>
      <c r="PQA16" s="11"/>
      <c r="PQB16" s="11"/>
      <c r="PQC16" s="11"/>
      <c r="PQD16" s="11"/>
      <c r="PQE16" s="11"/>
      <c r="PQF16" s="11"/>
      <c r="PQG16" s="11"/>
      <c r="PQH16" s="11"/>
      <c r="PQI16" s="11"/>
      <c r="PQJ16" s="11"/>
      <c r="PQK16" s="11"/>
      <c r="PQL16" s="11"/>
      <c r="PQM16" s="11"/>
      <c r="PQN16" s="11"/>
      <c r="PQO16" s="11"/>
      <c r="PQP16" s="11"/>
      <c r="PQQ16" s="11"/>
      <c r="PQR16" s="11"/>
      <c r="PQS16" s="11"/>
      <c r="PQT16" s="11"/>
      <c r="PQU16" s="11"/>
      <c r="PQV16" s="11"/>
      <c r="PQW16" s="11"/>
      <c r="PQX16" s="11"/>
      <c r="PQY16" s="11"/>
      <c r="PQZ16" s="11"/>
      <c r="PRA16" s="11"/>
      <c r="PRB16" s="11"/>
      <c r="PRC16" s="11"/>
      <c r="PRD16" s="11"/>
      <c r="PRE16" s="11"/>
      <c r="PRF16" s="11"/>
      <c r="PRG16" s="11"/>
      <c r="PRH16" s="11"/>
      <c r="PRI16" s="11"/>
      <c r="PRJ16" s="11"/>
      <c r="PRK16" s="11"/>
      <c r="PRL16" s="11"/>
      <c r="PRM16" s="11"/>
      <c r="PRN16" s="11"/>
      <c r="PRO16" s="11"/>
      <c r="PRP16" s="11"/>
      <c r="PRQ16" s="11"/>
      <c r="PRR16" s="11"/>
      <c r="PRS16" s="11"/>
      <c r="PRT16" s="11"/>
      <c r="PRU16" s="11"/>
      <c r="PRV16" s="11"/>
      <c r="PRW16" s="11"/>
      <c r="PRX16" s="11"/>
      <c r="PRY16" s="11"/>
      <c r="PRZ16" s="11"/>
      <c r="PSA16" s="11"/>
      <c r="PSB16" s="11"/>
      <c r="PSC16" s="11"/>
      <c r="PSD16" s="11"/>
      <c r="PSE16" s="11"/>
      <c r="PSF16" s="11"/>
      <c r="PSG16" s="11"/>
      <c r="PSH16" s="11"/>
      <c r="PSI16" s="11"/>
      <c r="PSJ16" s="11"/>
      <c r="PSK16" s="11"/>
      <c r="PSL16" s="11"/>
      <c r="PSM16" s="11"/>
      <c r="PSN16" s="11"/>
      <c r="PSO16" s="11"/>
      <c r="PSP16" s="11"/>
      <c r="PSQ16" s="11"/>
      <c r="PSR16" s="11"/>
      <c r="PSS16" s="11"/>
      <c r="PST16" s="11"/>
      <c r="PSU16" s="11"/>
      <c r="PSV16" s="11"/>
      <c r="PSW16" s="11"/>
      <c r="PSX16" s="11"/>
      <c r="PSY16" s="11"/>
      <c r="PSZ16" s="11"/>
      <c r="PTA16" s="11"/>
      <c r="PTB16" s="11"/>
      <c r="PTC16" s="11"/>
      <c r="PTD16" s="11"/>
      <c r="PTE16" s="11"/>
      <c r="PTF16" s="11"/>
      <c r="PTG16" s="11"/>
      <c r="PTH16" s="11"/>
      <c r="PTI16" s="11"/>
      <c r="PTJ16" s="11"/>
      <c r="PTK16" s="11"/>
      <c r="PTL16" s="11"/>
      <c r="PTM16" s="11"/>
      <c r="PTN16" s="11"/>
      <c r="PTO16" s="11"/>
      <c r="PTP16" s="11"/>
      <c r="PTQ16" s="11"/>
      <c r="PTR16" s="11"/>
      <c r="PTS16" s="11"/>
      <c r="PTT16" s="11"/>
      <c r="PTU16" s="11"/>
      <c r="PTV16" s="11"/>
      <c r="PTW16" s="11"/>
      <c r="PTX16" s="11"/>
      <c r="PTY16" s="11"/>
      <c r="PTZ16" s="11"/>
      <c r="PUA16" s="11"/>
      <c r="PUB16" s="11"/>
      <c r="PUC16" s="11"/>
      <c r="PUD16" s="11"/>
      <c r="PUE16" s="11"/>
      <c r="PUF16" s="11"/>
      <c r="PUG16" s="11"/>
      <c r="PUH16" s="11"/>
      <c r="PUI16" s="11"/>
      <c r="PUJ16" s="11"/>
      <c r="PUK16" s="11"/>
      <c r="PUL16" s="11"/>
      <c r="PUM16" s="11"/>
      <c r="PUN16" s="11"/>
      <c r="PUO16" s="11"/>
      <c r="PUP16" s="11"/>
      <c r="PUQ16" s="11"/>
      <c r="PUR16" s="11"/>
      <c r="PUS16" s="11"/>
      <c r="PUT16" s="11"/>
      <c r="PUU16" s="11"/>
      <c r="PUV16" s="11"/>
      <c r="PUW16" s="11"/>
      <c r="PUX16" s="11"/>
      <c r="PUY16" s="11"/>
      <c r="PUZ16" s="11"/>
      <c r="PVA16" s="11"/>
      <c r="PVB16" s="11"/>
      <c r="PVC16" s="11"/>
      <c r="PVD16" s="11"/>
      <c r="PVE16" s="11"/>
      <c r="PVF16" s="11"/>
      <c r="PVG16" s="11"/>
      <c r="PVH16" s="11"/>
      <c r="PVI16" s="11"/>
      <c r="PVJ16" s="11"/>
      <c r="PVK16" s="11"/>
      <c r="PVL16" s="11"/>
      <c r="PVM16" s="11"/>
      <c r="PVN16" s="11"/>
      <c r="PVO16" s="11"/>
      <c r="PVP16" s="11"/>
      <c r="PVQ16" s="11"/>
      <c r="PVR16" s="11"/>
      <c r="PVS16" s="11"/>
      <c r="PVT16" s="11"/>
      <c r="PVU16" s="11"/>
      <c r="PVV16" s="11"/>
      <c r="PVW16" s="11"/>
      <c r="PVX16" s="11"/>
      <c r="PVY16" s="11"/>
      <c r="PVZ16" s="11"/>
      <c r="PWA16" s="11"/>
      <c r="PWB16" s="11"/>
      <c r="PWC16" s="11"/>
      <c r="PWD16" s="11"/>
      <c r="PWE16" s="11"/>
      <c r="PWF16" s="11"/>
      <c r="PWG16" s="11"/>
      <c r="PWH16" s="11"/>
      <c r="PWI16" s="11"/>
      <c r="PWJ16" s="11"/>
      <c r="PWK16" s="11"/>
      <c r="PWL16" s="11"/>
      <c r="PWM16" s="11"/>
      <c r="PWN16" s="11"/>
      <c r="PWO16" s="11"/>
      <c r="PWP16" s="11"/>
      <c r="PWQ16" s="11"/>
      <c r="PWR16" s="11"/>
      <c r="PWS16" s="11"/>
      <c r="PWT16" s="11"/>
      <c r="PWU16" s="11"/>
      <c r="PWV16" s="11"/>
      <c r="PWW16" s="11"/>
      <c r="PWX16" s="11"/>
      <c r="PWY16" s="11"/>
      <c r="PWZ16" s="11"/>
      <c r="PXA16" s="11"/>
      <c r="PXB16" s="11"/>
      <c r="PXC16" s="11"/>
      <c r="PXD16" s="11"/>
      <c r="PXE16" s="11"/>
      <c r="PXF16" s="11"/>
      <c r="PXG16" s="11"/>
      <c r="PXH16" s="11"/>
      <c r="PXI16" s="11"/>
      <c r="PXJ16" s="11"/>
      <c r="PXK16" s="11"/>
      <c r="PXL16" s="11"/>
      <c r="PXM16" s="11"/>
      <c r="PXN16" s="11"/>
      <c r="PXO16" s="11"/>
      <c r="PXP16" s="11"/>
      <c r="PXQ16" s="11"/>
      <c r="PXR16" s="11"/>
      <c r="PXS16" s="11"/>
      <c r="PXT16" s="11"/>
      <c r="PXU16" s="11"/>
      <c r="PXV16" s="11"/>
      <c r="PXW16" s="11"/>
      <c r="PXX16" s="11"/>
      <c r="PXY16" s="11"/>
      <c r="PXZ16" s="11"/>
      <c r="PYA16" s="11"/>
      <c r="PYB16" s="11"/>
      <c r="PYC16" s="11"/>
      <c r="PYD16" s="11"/>
      <c r="PYE16" s="11"/>
      <c r="PYF16" s="11"/>
      <c r="PYG16" s="11"/>
      <c r="PYH16" s="11"/>
      <c r="PYI16" s="11"/>
      <c r="PYJ16" s="11"/>
      <c r="PYK16" s="11"/>
      <c r="PYL16" s="11"/>
      <c r="PYM16" s="11"/>
      <c r="PYN16" s="11"/>
      <c r="PYO16" s="11"/>
      <c r="PYP16" s="11"/>
      <c r="PYQ16" s="11"/>
      <c r="PYR16" s="11"/>
      <c r="PYS16" s="11"/>
      <c r="PYT16" s="11"/>
      <c r="PYU16" s="11"/>
      <c r="PYV16" s="11"/>
      <c r="PYW16" s="11"/>
      <c r="PYX16" s="11"/>
      <c r="PYY16" s="11"/>
      <c r="PYZ16" s="11"/>
      <c r="PZA16" s="11"/>
      <c r="PZB16" s="11"/>
      <c r="PZC16" s="11"/>
      <c r="PZD16" s="11"/>
      <c r="PZE16" s="11"/>
      <c r="PZF16" s="11"/>
      <c r="PZG16" s="11"/>
      <c r="PZH16" s="11"/>
      <c r="PZI16" s="11"/>
      <c r="PZJ16" s="11"/>
      <c r="PZK16" s="11"/>
      <c r="PZL16" s="11"/>
      <c r="PZM16" s="11"/>
      <c r="PZN16" s="11"/>
      <c r="PZO16" s="11"/>
      <c r="PZP16" s="11"/>
      <c r="PZQ16" s="11"/>
      <c r="PZR16" s="11"/>
      <c r="PZS16" s="11"/>
      <c r="PZT16" s="11"/>
      <c r="PZU16" s="11"/>
      <c r="PZV16" s="11"/>
      <c r="PZW16" s="11"/>
      <c r="PZX16" s="11"/>
      <c r="PZY16" s="11"/>
      <c r="PZZ16" s="11"/>
      <c r="QAA16" s="11"/>
      <c r="QAB16" s="11"/>
      <c r="QAC16" s="11"/>
      <c r="QAD16" s="11"/>
      <c r="QAE16" s="11"/>
      <c r="QAF16" s="11"/>
      <c r="QAG16" s="11"/>
      <c r="QAH16" s="11"/>
      <c r="QAI16" s="11"/>
      <c r="QAJ16" s="11"/>
      <c r="QAK16" s="11"/>
      <c r="QAL16" s="11"/>
      <c r="QAM16" s="11"/>
      <c r="QAN16" s="11"/>
      <c r="QAO16" s="11"/>
      <c r="QAP16" s="11"/>
      <c r="QAQ16" s="11"/>
      <c r="QAR16" s="11"/>
      <c r="QAS16" s="11"/>
      <c r="QAT16" s="11"/>
      <c r="QAU16" s="11"/>
      <c r="QAV16" s="11"/>
      <c r="QAW16" s="11"/>
      <c r="QAX16" s="11"/>
      <c r="QAY16" s="11"/>
      <c r="QAZ16" s="11"/>
      <c r="QBA16" s="11"/>
      <c r="QBB16" s="11"/>
      <c r="QBC16" s="11"/>
      <c r="QBD16" s="11"/>
      <c r="QBE16" s="11"/>
      <c r="QBF16" s="11"/>
      <c r="QBG16" s="11"/>
      <c r="QBH16" s="11"/>
      <c r="QBI16" s="11"/>
      <c r="QBJ16" s="11"/>
      <c r="QBK16" s="11"/>
      <c r="QBL16" s="11"/>
      <c r="QBM16" s="11"/>
      <c r="QBN16" s="11"/>
      <c r="QBO16" s="11"/>
      <c r="QBP16" s="11"/>
      <c r="QBQ16" s="11"/>
      <c r="QBR16" s="11"/>
      <c r="QBS16" s="11"/>
      <c r="QBT16" s="11"/>
      <c r="QBU16" s="11"/>
      <c r="QBV16" s="11"/>
      <c r="QBW16" s="11"/>
      <c r="QBX16" s="11"/>
      <c r="QBY16" s="11"/>
      <c r="QBZ16" s="11"/>
      <c r="QCA16" s="11"/>
      <c r="QCB16" s="11"/>
      <c r="QCC16" s="11"/>
      <c r="QCD16" s="11"/>
      <c r="QCE16" s="11"/>
      <c r="QCF16" s="11"/>
      <c r="QCG16" s="11"/>
      <c r="QCH16" s="11"/>
      <c r="QCI16" s="11"/>
      <c r="QCJ16" s="11"/>
      <c r="QCK16" s="11"/>
      <c r="QCL16" s="11"/>
      <c r="QCM16" s="11"/>
      <c r="QCN16" s="11"/>
      <c r="QCO16" s="11"/>
      <c r="QCP16" s="11"/>
      <c r="QCQ16" s="11"/>
      <c r="QCR16" s="11"/>
      <c r="QCS16" s="11"/>
      <c r="QCT16" s="11"/>
      <c r="QCU16" s="11"/>
      <c r="QCV16" s="11"/>
      <c r="QCW16" s="11"/>
      <c r="QCX16" s="11"/>
      <c r="QCY16" s="11"/>
      <c r="QCZ16" s="11"/>
      <c r="QDA16" s="11"/>
      <c r="QDB16" s="11"/>
      <c r="QDC16" s="11"/>
      <c r="QDD16" s="11"/>
      <c r="QDE16" s="11"/>
      <c r="QDF16" s="11"/>
      <c r="QDG16" s="11"/>
      <c r="QDH16" s="11"/>
      <c r="QDI16" s="11"/>
      <c r="QDJ16" s="11"/>
      <c r="QDK16" s="11"/>
      <c r="QDL16" s="11"/>
      <c r="QDM16" s="11"/>
      <c r="QDN16" s="11"/>
      <c r="QDO16" s="11"/>
      <c r="QDP16" s="11"/>
      <c r="QDQ16" s="11"/>
      <c r="QDR16" s="11"/>
      <c r="QDS16" s="11"/>
      <c r="QDT16" s="11"/>
      <c r="QDU16" s="11"/>
      <c r="QDV16" s="11"/>
      <c r="QDW16" s="11"/>
      <c r="QDX16" s="11"/>
      <c r="QDY16" s="11"/>
      <c r="QDZ16" s="11"/>
      <c r="QEA16" s="11"/>
      <c r="QEB16" s="11"/>
      <c r="QEC16" s="11"/>
      <c r="QED16" s="11"/>
      <c r="QEE16" s="11"/>
      <c r="QEF16" s="11"/>
      <c r="QEG16" s="11"/>
      <c r="QEH16" s="11"/>
      <c r="QEI16" s="11"/>
      <c r="QEJ16" s="11"/>
      <c r="QEK16" s="11"/>
      <c r="QEL16" s="11"/>
      <c r="QEM16" s="11"/>
      <c r="QEN16" s="11"/>
      <c r="QEO16" s="11"/>
      <c r="QEP16" s="11"/>
      <c r="QEQ16" s="11"/>
      <c r="QER16" s="11"/>
      <c r="QES16" s="11"/>
      <c r="QET16" s="11"/>
      <c r="QEU16" s="11"/>
      <c r="QEV16" s="11"/>
      <c r="QEW16" s="11"/>
      <c r="QEX16" s="11"/>
      <c r="QEY16" s="11"/>
      <c r="QEZ16" s="11"/>
      <c r="QFA16" s="11"/>
      <c r="QFB16" s="11"/>
      <c r="QFC16" s="11"/>
      <c r="QFD16" s="11"/>
      <c r="QFE16" s="11"/>
      <c r="QFF16" s="11"/>
      <c r="QFG16" s="11"/>
      <c r="QFH16" s="11"/>
      <c r="QFI16" s="11"/>
      <c r="QFJ16" s="11"/>
      <c r="QFK16" s="11"/>
      <c r="QFL16" s="11"/>
      <c r="QFM16" s="11"/>
      <c r="QFN16" s="11"/>
      <c r="QFO16" s="11"/>
      <c r="QFP16" s="11"/>
      <c r="QFQ16" s="11"/>
      <c r="QFR16" s="11"/>
      <c r="QFS16" s="11"/>
      <c r="QFT16" s="11"/>
      <c r="QFU16" s="11"/>
      <c r="QFV16" s="11"/>
      <c r="QFW16" s="11"/>
      <c r="QFX16" s="11"/>
      <c r="QFY16" s="11"/>
      <c r="QFZ16" s="11"/>
      <c r="QGA16" s="11"/>
      <c r="QGB16" s="11"/>
      <c r="QGC16" s="11"/>
      <c r="QGD16" s="11"/>
      <c r="QGE16" s="11"/>
      <c r="QGF16" s="11"/>
      <c r="QGG16" s="11"/>
      <c r="QGH16" s="11"/>
      <c r="QGI16" s="11"/>
      <c r="QGJ16" s="11"/>
      <c r="QGK16" s="11"/>
      <c r="QGL16" s="11"/>
      <c r="QGM16" s="11"/>
      <c r="QGN16" s="11"/>
      <c r="QGO16" s="11"/>
      <c r="QGP16" s="11"/>
      <c r="QGQ16" s="11"/>
      <c r="QGR16" s="11"/>
      <c r="QGS16" s="11"/>
      <c r="QGT16" s="11"/>
      <c r="QGU16" s="11"/>
      <c r="QGV16" s="11"/>
      <c r="QGW16" s="11"/>
      <c r="QGX16" s="11"/>
      <c r="QGY16" s="11"/>
      <c r="QGZ16" s="11"/>
      <c r="QHA16" s="11"/>
      <c r="QHB16" s="11"/>
      <c r="QHC16" s="11"/>
      <c r="QHD16" s="11"/>
      <c r="QHE16" s="11"/>
      <c r="QHF16" s="11"/>
      <c r="QHG16" s="11"/>
      <c r="QHH16" s="11"/>
      <c r="QHI16" s="11"/>
      <c r="QHJ16" s="11"/>
      <c r="QHK16" s="11"/>
      <c r="QHL16" s="11"/>
      <c r="QHM16" s="11"/>
      <c r="QHN16" s="11"/>
      <c r="QHO16" s="11"/>
      <c r="QHP16" s="11"/>
      <c r="QHQ16" s="11"/>
      <c r="QHR16" s="11"/>
      <c r="QHS16" s="11"/>
      <c r="QHT16" s="11"/>
      <c r="QHU16" s="11"/>
      <c r="QHV16" s="11"/>
      <c r="QHW16" s="11"/>
      <c r="QHX16" s="11"/>
      <c r="QHY16" s="11"/>
      <c r="QHZ16" s="11"/>
      <c r="QIA16" s="11"/>
      <c r="QIB16" s="11"/>
      <c r="QIC16" s="11"/>
      <c r="QID16" s="11"/>
      <c r="QIE16" s="11"/>
      <c r="QIF16" s="11"/>
      <c r="QIG16" s="11"/>
      <c r="QIH16" s="11"/>
      <c r="QII16" s="11"/>
      <c r="QIJ16" s="11"/>
      <c r="QIK16" s="11"/>
      <c r="QIL16" s="11"/>
      <c r="QIM16" s="11"/>
      <c r="QIN16" s="11"/>
      <c r="QIO16" s="11"/>
      <c r="QIP16" s="11"/>
      <c r="QIQ16" s="11"/>
      <c r="QIR16" s="11"/>
      <c r="QIS16" s="11"/>
      <c r="QIT16" s="11"/>
      <c r="QIU16" s="11"/>
      <c r="QIV16" s="11"/>
      <c r="QIW16" s="11"/>
      <c r="QIX16" s="11"/>
      <c r="QIY16" s="11"/>
      <c r="QIZ16" s="11"/>
      <c r="QJA16" s="11"/>
      <c r="QJB16" s="11"/>
      <c r="QJC16" s="11"/>
      <c r="QJD16" s="11"/>
      <c r="QJE16" s="11"/>
      <c r="QJF16" s="11"/>
      <c r="QJG16" s="11"/>
      <c r="QJH16" s="11"/>
      <c r="QJI16" s="11"/>
      <c r="QJJ16" s="11"/>
      <c r="QJK16" s="11"/>
      <c r="QJL16" s="11"/>
      <c r="QJM16" s="11"/>
      <c r="QJN16" s="11"/>
      <c r="QJO16" s="11"/>
      <c r="QJP16" s="11"/>
      <c r="QJQ16" s="11"/>
      <c r="QJR16" s="11"/>
      <c r="QJS16" s="11"/>
      <c r="QJT16" s="11"/>
      <c r="QJU16" s="11"/>
      <c r="QJV16" s="11"/>
      <c r="QJW16" s="11"/>
      <c r="QJX16" s="11"/>
      <c r="QJY16" s="11"/>
      <c r="QJZ16" s="11"/>
      <c r="QKA16" s="11"/>
      <c r="QKB16" s="11"/>
      <c r="QKC16" s="11"/>
      <c r="QKD16" s="11"/>
      <c r="QKE16" s="11"/>
      <c r="QKF16" s="11"/>
      <c r="QKG16" s="11"/>
      <c r="QKH16" s="11"/>
      <c r="QKI16" s="11"/>
      <c r="QKJ16" s="11"/>
      <c r="QKK16" s="11"/>
      <c r="QKL16" s="11"/>
      <c r="QKM16" s="11"/>
      <c r="QKN16" s="11"/>
      <c r="QKO16" s="11"/>
      <c r="QKP16" s="11"/>
      <c r="QKQ16" s="11"/>
      <c r="QKR16" s="11"/>
      <c r="QKS16" s="11"/>
      <c r="QKT16" s="11"/>
      <c r="QKU16" s="11"/>
      <c r="QKV16" s="11"/>
      <c r="QKW16" s="11"/>
      <c r="QKX16" s="11"/>
      <c r="QKY16" s="11"/>
      <c r="QKZ16" s="11"/>
      <c r="QLA16" s="11"/>
      <c r="QLB16" s="11"/>
      <c r="QLC16" s="11"/>
      <c r="QLD16" s="11"/>
      <c r="QLE16" s="11"/>
      <c r="QLF16" s="11"/>
      <c r="QLG16" s="11"/>
      <c r="QLH16" s="11"/>
      <c r="QLI16" s="11"/>
      <c r="QLJ16" s="11"/>
      <c r="QLK16" s="11"/>
      <c r="QLL16" s="11"/>
      <c r="QLM16" s="11"/>
      <c r="QLN16" s="11"/>
      <c r="QLO16" s="11"/>
      <c r="QLP16" s="11"/>
      <c r="QLQ16" s="11"/>
      <c r="QLR16" s="11"/>
      <c r="QLS16" s="11"/>
      <c r="QLT16" s="11"/>
      <c r="QLU16" s="11"/>
      <c r="QLV16" s="11"/>
      <c r="QLW16" s="11"/>
      <c r="QLX16" s="11"/>
      <c r="QLY16" s="11"/>
      <c r="QLZ16" s="11"/>
      <c r="QMA16" s="11"/>
      <c r="QMB16" s="11"/>
      <c r="QMC16" s="11"/>
      <c r="QMD16" s="11"/>
      <c r="QME16" s="11"/>
      <c r="QMF16" s="11"/>
      <c r="QMG16" s="11"/>
      <c r="QMH16" s="11"/>
      <c r="QMI16" s="11"/>
      <c r="QMJ16" s="11"/>
      <c r="QMK16" s="11"/>
      <c r="QML16" s="11"/>
      <c r="QMM16" s="11"/>
      <c r="QMN16" s="11"/>
      <c r="QMO16" s="11"/>
      <c r="QMP16" s="11"/>
      <c r="QMQ16" s="11"/>
      <c r="QMR16" s="11"/>
      <c r="QMS16" s="11"/>
      <c r="QMT16" s="11"/>
      <c r="QMU16" s="11"/>
      <c r="QMV16" s="11"/>
      <c r="QMW16" s="11"/>
      <c r="QMX16" s="11"/>
      <c r="QMY16" s="11"/>
      <c r="QMZ16" s="11"/>
      <c r="QNA16" s="11"/>
      <c r="QNB16" s="11"/>
      <c r="QNC16" s="11"/>
      <c r="QND16" s="11"/>
      <c r="QNE16" s="11"/>
      <c r="QNF16" s="11"/>
      <c r="QNG16" s="11"/>
      <c r="QNH16" s="11"/>
      <c r="QNI16" s="11"/>
      <c r="QNJ16" s="11"/>
      <c r="QNK16" s="11"/>
      <c r="QNL16" s="11"/>
      <c r="QNM16" s="11"/>
      <c r="QNN16" s="11"/>
      <c r="QNO16" s="11"/>
      <c r="QNP16" s="11"/>
      <c r="QNQ16" s="11"/>
      <c r="QNR16" s="11"/>
      <c r="QNS16" s="11"/>
      <c r="QNT16" s="11"/>
      <c r="QNU16" s="11"/>
      <c r="QNV16" s="11"/>
      <c r="QNW16" s="11"/>
      <c r="QNX16" s="11"/>
      <c r="QNY16" s="11"/>
      <c r="QNZ16" s="11"/>
      <c r="QOA16" s="11"/>
      <c r="QOB16" s="11"/>
      <c r="QOC16" s="11"/>
      <c r="QOD16" s="11"/>
      <c r="QOE16" s="11"/>
      <c r="QOF16" s="11"/>
      <c r="QOG16" s="11"/>
      <c r="QOH16" s="11"/>
      <c r="QOI16" s="11"/>
      <c r="QOJ16" s="11"/>
      <c r="QOK16" s="11"/>
      <c r="QOL16" s="11"/>
      <c r="QOM16" s="11"/>
      <c r="QON16" s="11"/>
      <c r="QOO16" s="11"/>
      <c r="QOP16" s="11"/>
      <c r="QOQ16" s="11"/>
      <c r="QOR16" s="11"/>
      <c r="QOS16" s="11"/>
      <c r="QOT16" s="11"/>
      <c r="QOU16" s="11"/>
      <c r="QOV16" s="11"/>
      <c r="QOW16" s="11"/>
      <c r="QOX16" s="11"/>
      <c r="QOY16" s="11"/>
      <c r="QOZ16" s="11"/>
      <c r="QPA16" s="11"/>
      <c r="QPB16" s="11"/>
      <c r="QPC16" s="11"/>
      <c r="QPD16" s="11"/>
      <c r="QPE16" s="11"/>
      <c r="QPF16" s="11"/>
      <c r="QPG16" s="11"/>
      <c r="QPH16" s="11"/>
      <c r="QPI16" s="11"/>
      <c r="QPJ16" s="11"/>
      <c r="QPK16" s="11"/>
      <c r="QPL16" s="11"/>
      <c r="QPM16" s="11"/>
      <c r="QPN16" s="11"/>
      <c r="QPO16" s="11"/>
      <c r="QPP16" s="11"/>
      <c r="QPQ16" s="11"/>
      <c r="QPR16" s="11"/>
      <c r="QPS16" s="11"/>
      <c r="QPT16" s="11"/>
      <c r="QPU16" s="11"/>
      <c r="QPV16" s="11"/>
      <c r="QPW16" s="11"/>
      <c r="QPX16" s="11"/>
      <c r="QPY16" s="11"/>
      <c r="QPZ16" s="11"/>
      <c r="QQA16" s="11"/>
      <c r="QQB16" s="11"/>
      <c r="QQC16" s="11"/>
      <c r="QQD16" s="11"/>
      <c r="QQE16" s="11"/>
      <c r="QQF16" s="11"/>
      <c r="QQG16" s="11"/>
      <c r="QQH16" s="11"/>
      <c r="QQI16" s="11"/>
      <c r="QQJ16" s="11"/>
      <c r="QQK16" s="11"/>
      <c r="QQL16" s="11"/>
      <c r="QQM16" s="11"/>
      <c r="QQN16" s="11"/>
      <c r="QQO16" s="11"/>
      <c r="QQP16" s="11"/>
      <c r="QQQ16" s="11"/>
      <c r="QQR16" s="11"/>
      <c r="QQS16" s="11"/>
      <c r="QQT16" s="11"/>
      <c r="QQU16" s="11"/>
      <c r="QQV16" s="11"/>
      <c r="QQW16" s="11"/>
      <c r="QQX16" s="11"/>
      <c r="QQY16" s="11"/>
      <c r="QQZ16" s="11"/>
      <c r="QRA16" s="11"/>
      <c r="QRB16" s="11"/>
      <c r="QRC16" s="11"/>
      <c r="QRD16" s="11"/>
      <c r="QRE16" s="11"/>
      <c r="QRF16" s="11"/>
      <c r="QRG16" s="11"/>
      <c r="QRH16" s="11"/>
      <c r="QRI16" s="11"/>
      <c r="QRJ16" s="11"/>
      <c r="QRK16" s="11"/>
      <c r="QRL16" s="11"/>
      <c r="QRM16" s="11"/>
      <c r="QRN16" s="11"/>
      <c r="QRO16" s="11"/>
      <c r="QRP16" s="11"/>
      <c r="QRQ16" s="11"/>
      <c r="QRR16" s="11"/>
      <c r="QRS16" s="11"/>
      <c r="QRT16" s="11"/>
      <c r="QRU16" s="11"/>
      <c r="QRV16" s="11"/>
      <c r="QRW16" s="11"/>
      <c r="QRX16" s="11"/>
      <c r="QRY16" s="11"/>
      <c r="QRZ16" s="11"/>
      <c r="QSA16" s="11"/>
      <c r="QSB16" s="11"/>
      <c r="QSC16" s="11"/>
      <c r="QSD16" s="11"/>
      <c r="QSE16" s="11"/>
      <c r="QSF16" s="11"/>
      <c r="QSG16" s="11"/>
      <c r="QSH16" s="11"/>
      <c r="QSI16" s="11"/>
      <c r="QSJ16" s="11"/>
      <c r="QSK16" s="11"/>
      <c r="QSL16" s="11"/>
      <c r="QSM16" s="11"/>
      <c r="QSN16" s="11"/>
      <c r="QSO16" s="11"/>
      <c r="QSP16" s="11"/>
      <c r="QSQ16" s="11"/>
      <c r="QSR16" s="11"/>
      <c r="QSS16" s="11"/>
      <c r="QST16" s="11"/>
      <c r="QSU16" s="11"/>
      <c r="QSV16" s="11"/>
      <c r="QSW16" s="11"/>
      <c r="QSX16" s="11"/>
      <c r="QSY16" s="11"/>
      <c r="QSZ16" s="11"/>
      <c r="QTA16" s="11"/>
      <c r="QTB16" s="11"/>
      <c r="QTC16" s="11"/>
      <c r="QTD16" s="11"/>
      <c r="QTE16" s="11"/>
      <c r="QTF16" s="11"/>
      <c r="QTG16" s="11"/>
      <c r="QTH16" s="11"/>
      <c r="QTI16" s="11"/>
      <c r="QTJ16" s="11"/>
      <c r="QTK16" s="11"/>
      <c r="QTL16" s="11"/>
      <c r="QTM16" s="11"/>
      <c r="QTN16" s="11"/>
      <c r="QTO16" s="11"/>
      <c r="QTP16" s="11"/>
      <c r="QTQ16" s="11"/>
      <c r="QTR16" s="11"/>
      <c r="QTS16" s="11"/>
      <c r="QTT16" s="11"/>
      <c r="QTU16" s="11"/>
      <c r="QTV16" s="11"/>
      <c r="QTW16" s="11"/>
      <c r="QTX16" s="11"/>
      <c r="QTY16" s="11"/>
      <c r="QTZ16" s="11"/>
      <c r="QUA16" s="11"/>
      <c r="QUB16" s="11"/>
      <c r="QUC16" s="11"/>
      <c r="QUD16" s="11"/>
      <c r="QUE16" s="11"/>
      <c r="QUF16" s="11"/>
      <c r="QUG16" s="11"/>
      <c r="QUH16" s="11"/>
      <c r="QUI16" s="11"/>
      <c r="QUJ16" s="11"/>
      <c r="QUK16" s="11"/>
      <c r="QUL16" s="11"/>
      <c r="QUM16" s="11"/>
      <c r="QUN16" s="11"/>
      <c r="QUO16" s="11"/>
      <c r="QUP16" s="11"/>
      <c r="QUQ16" s="11"/>
      <c r="QUR16" s="11"/>
      <c r="QUS16" s="11"/>
      <c r="QUT16" s="11"/>
      <c r="QUU16" s="11"/>
      <c r="QUV16" s="11"/>
      <c r="QUW16" s="11"/>
      <c r="QUX16" s="11"/>
      <c r="QUY16" s="11"/>
      <c r="QUZ16" s="11"/>
      <c r="QVA16" s="11"/>
      <c r="QVB16" s="11"/>
      <c r="QVC16" s="11"/>
      <c r="QVD16" s="11"/>
      <c r="QVE16" s="11"/>
      <c r="QVF16" s="11"/>
      <c r="QVG16" s="11"/>
      <c r="QVH16" s="11"/>
      <c r="QVI16" s="11"/>
      <c r="QVJ16" s="11"/>
      <c r="QVK16" s="11"/>
      <c r="QVL16" s="11"/>
      <c r="QVM16" s="11"/>
      <c r="QVN16" s="11"/>
      <c r="QVO16" s="11"/>
      <c r="QVP16" s="11"/>
      <c r="QVQ16" s="11"/>
      <c r="QVR16" s="11"/>
      <c r="QVS16" s="11"/>
      <c r="QVT16" s="11"/>
      <c r="QVU16" s="11"/>
      <c r="QVV16" s="11"/>
      <c r="QVW16" s="11"/>
      <c r="QVX16" s="11"/>
      <c r="QVY16" s="11"/>
      <c r="QVZ16" s="11"/>
      <c r="QWA16" s="11"/>
      <c r="QWB16" s="11"/>
      <c r="QWC16" s="11"/>
      <c r="QWD16" s="11"/>
      <c r="QWE16" s="11"/>
      <c r="QWF16" s="11"/>
      <c r="QWG16" s="11"/>
      <c r="QWH16" s="11"/>
      <c r="QWI16" s="11"/>
      <c r="QWJ16" s="11"/>
      <c r="QWK16" s="11"/>
      <c r="QWL16" s="11"/>
      <c r="QWM16" s="11"/>
      <c r="QWN16" s="11"/>
      <c r="QWO16" s="11"/>
      <c r="QWP16" s="11"/>
      <c r="QWQ16" s="11"/>
      <c r="QWR16" s="11"/>
      <c r="QWS16" s="11"/>
      <c r="QWT16" s="11"/>
      <c r="QWU16" s="11"/>
      <c r="QWV16" s="11"/>
      <c r="QWW16" s="11"/>
      <c r="QWX16" s="11"/>
      <c r="QWY16" s="11"/>
      <c r="QWZ16" s="11"/>
      <c r="QXA16" s="11"/>
      <c r="QXB16" s="11"/>
      <c r="QXC16" s="11"/>
      <c r="QXD16" s="11"/>
      <c r="QXE16" s="11"/>
      <c r="QXF16" s="11"/>
      <c r="QXG16" s="11"/>
      <c r="QXH16" s="11"/>
      <c r="QXI16" s="11"/>
      <c r="QXJ16" s="11"/>
      <c r="QXK16" s="11"/>
      <c r="QXL16" s="11"/>
      <c r="QXM16" s="11"/>
      <c r="QXN16" s="11"/>
      <c r="QXO16" s="11"/>
      <c r="QXP16" s="11"/>
      <c r="QXQ16" s="11"/>
      <c r="QXR16" s="11"/>
      <c r="QXS16" s="11"/>
      <c r="QXT16" s="11"/>
      <c r="QXU16" s="11"/>
      <c r="QXV16" s="11"/>
      <c r="QXW16" s="11"/>
      <c r="QXX16" s="11"/>
      <c r="QXY16" s="11"/>
      <c r="QXZ16" s="11"/>
      <c r="QYA16" s="11"/>
      <c r="QYB16" s="11"/>
      <c r="QYC16" s="11"/>
      <c r="QYD16" s="11"/>
      <c r="QYE16" s="11"/>
      <c r="QYF16" s="11"/>
      <c r="QYG16" s="11"/>
      <c r="QYH16" s="11"/>
      <c r="QYI16" s="11"/>
      <c r="QYJ16" s="11"/>
      <c r="QYK16" s="11"/>
      <c r="QYL16" s="11"/>
      <c r="QYM16" s="11"/>
      <c r="QYN16" s="11"/>
      <c r="QYO16" s="11"/>
      <c r="QYP16" s="11"/>
      <c r="QYQ16" s="11"/>
      <c r="QYR16" s="11"/>
      <c r="QYS16" s="11"/>
      <c r="QYT16" s="11"/>
      <c r="QYU16" s="11"/>
      <c r="QYV16" s="11"/>
      <c r="QYW16" s="11"/>
      <c r="QYX16" s="11"/>
      <c r="QYY16" s="11"/>
      <c r="QYZ16" s="11"/>
      <c r="QZA16" s="11"/>
      <c r="QZB16" s="11"/>
      <c r="QZC16" s="11"/>
      <c r="QZD16" s="11"/>
      <c r="QZE16" s="11"/>
      <c r="QZF16" s="11"/>
      <c r="QZG16" s="11"/>
      <c r="QZH16" s="11"/>
      <c r="QZI16" s="11"/>
      <c r="QZJ16" s="11"/>
      <c r="QZK16" s="11"/>
      <c r="QZL16" s="11"/>
      <c r="QZM16" s="11"/>
      <c r="QZN16" s="11"/>
      <c r="QZO16" s="11"/>
      <c r="QZP16" s="11"/>
      <c r="QZQ16" s="11"/>
      <c r="QZR16" s="11"/>
      <c r="QZS16" s="11"/>
      <c r="QZT16" s="11"/>
      <c r="QZU16" s="11"/>
      <c r="QZV16" s="11"/>
      <c r="QZW16" s="11"/>
      <c r="QZX16" s="11"/>
      <c r="QZY16" s="11"/>
      <c r="QZZ16" s="11"/>
      <c r="RAA16" s="11"/>
      <c r="RAB16" s="11"/>
      <c r="RAC16" s="11"/>
      <c r="RAD16" s="11"/>
      <c r="RAE16" s="11"/>
      <c r="RAF16" s="11"/>
      <c r="RAG16" s="11"/>
      <c r="RAH16" s="11"/>
      <c r="RAI16" s="11"/>
      <c r="RAJ16" s="11"/>
      <c r="RAK16" s="11"/>
      <c r="RAL16" s="11"/>
      <c r="RAM16" s="11"/>
      <c r="RAN16" s="11"/>
      <c r="RAO16" s="11"/>
      <c r="RAP16" s="11"/>
      <c r="RAQ16" s="11"/>
      <c r="RAR16" s="11"/>
      <c r="RAS16" s="11"/>
      <c r="RAT16" s="11"/>
      <c r="RAU16" s="11"/>
      <c r="RAV16" s="11"/>
      <c r="RAW16" s="11"/>
      <c r="RAX16" s="11"/>
      <c r="RAY16" s="11"/>
      <c r="RAZ16" s="11"/>
      <c r="RBA16" s="11"/>
      <c r="RBB16" s="11"/>
      <c r="RBC16" s="11"/>
      <c r="RBD16" s="11"/>
      <c r="RBE16" s="11"/>
      <c r="RBF16" s="11"/>
      <c r="RBG16" s="11"/>
      <c r="RBH16" s="11"/>
      <c r="RBI16" s="11"/>
      <c r="RBJ16" s="11"/>
      <c r="RBK16" s="11"/>
      <c r="RBL16" s="11"/>
      <c r="RBM16" s="11"/>
      <c r="RBN16" s="11"/>
      <c r="RBO16" s="11"/>
      <c r="RBP16" s="11"/>
      <c r="RBQ16" s="11"/>
      <c r="RBR16" s="11"/>
      <c r="RBS16" s="11"/>
      <c r="RBT16" s="11"/>
      <c r="RBU16" s="11"/>
      <c r="RBV16" s="11"/>
      <c r="RBW16" s="11"/>
      <c r="RBX16" s="11"/>
      <c r="RBY16" s="11"/>
      <c r="RBZ16" s="11"/>
      <c r="RCA16" s="11"/>
      <c r="RCB16" s="11"/>
      <c r="RCC16" s="11"/>
      <c r="RCD16" s="11"/>
      <c r="RCE16" s="11"/>
      <c r="RCF16" s="11"/>
      <c r="RCG16" s="11"/>
      <c r="RCH16" s="11"/>
      <c r="RCI16" s="11"/>
      <c r="RCJ16" s="11"/>
      <c r="RCK16" s="11"/>
      <c r="RCL16" s="11"/>
      <c r="RCM16" s="11"/>
      <c r="RCN16" s="11"/>
      <c r="RCO16" s="11"/>
      <c r="RCP16" s="11"/>
      <c r="RCQ16" s="11"/>
      <c r="RCR16" s="11"/>
      <c r="RCS16" s="11"/>
      <c r="RCT16" s="11"/>
      <c r="RCU16" s="11"/>
      <c r="RCV16" s="11"/>
      <c r="RCW16" s="11"/>
      <c r="RCX16" s="11"/>
      <c r="RCY16" s="11"/>
      <c r="RCZ16" s="11"/>
      <c r="RDA16" s="11"/>
      <c r="RDB16" s="11"/>
      <c r="RDC16" s="11"/>
      <c r="RDD16" s="11"/>
      <c r="RDE16" s="11"/>
      <c r="RDF16" s="11"/>
      <c r="RDG16" s="11"/>
      <c r="RDH16" s="11"/>
      <c r="RDI16" s="11"/>
      <c r="RDJ16" s="11"/>
      <c r="RDK16" s="11"/>
      <c r="RDL16" s="11"/>
      <c r="RDM16" s="11"/>
      <c r="RDN16" s="11"/>
      <c r="RDO16" s="11"/>
      <c r="RDP16" s="11"/>
      <c r="RDQ16" s="11"/>
      <c r="RDR16" s="11"/>
      <c r="RDS16" s="11"/>
      <c r="RDT16" s="11"/>
      <c r="RDU16" s="11"/>
      <c r="RDV16" s="11"/>
      <c r="RDW16" s="11"/>
      <c r="RDX16" s="11"/>
      <c r="RDY16" s="11"/>
      <c r="RDZ16" s="11"/>
      <c r="REA16" s="11"/>
      <c r="REB16" s="11"/>
      <c r="REC16" s="11"/>
      <c r="RED16" s="11"/>
      <c r="REE16" s="11"/>
      <c r="REF16" s="11"/>
      <c r="REG16" s="11"/>
      <c r="REH16" s="11"/>
      <c r="REI16" s="11"/>
      <c r="REJ16" s="11"/>
      <c r="REK16" s="11"/>
      <c r="REL16" s="11"/>
      <c r="REM16" s="11"/>
      <c r="REN16" s="11"/>
      <c r="REO16" s="11"/>
      <c r="REP16" s="11"/>
      <c r="REQ16" s="11"/>
      <c r="RER16" s="11"/>
      <c r="RES16" s="11"/>
      <c r="RET16" s="11"/>
      <c r="REU16" s="11"/>
      <c r="REV16" s="11"/>
      <c r="REW16" s="11"/>
      <c r="REX16" s="11"/>
      <c r="REY16" s="11"/>
      <c r="REZ16" s="11"/>
      <c r="RFA16" s="11"/>
      <c r="RFB16" s="11"/>
      <c r="RFC16" s="11"/>
      <c r="RFD16" s="11"/>
      <c r="RFE16" s="11"/>
      <c r="RFF16" s="11"/>
      <c r="RFG16" s="11"/>
      <c r="RFH16" s="11"/>
      <c r="RFI16" s="11"/>
      <c r="RFJ16" s="11"/>
      <c r="RFK16" s="11"/>
      <c r="RFL16" s="11"/>
      <c r="RFM16" s="11"/>
      <c r="RFN16" s="11"/>
      <c r="RFO16" s="11"/>
      <c r="RFP16" s="11"/>
      <c r="RFQ16" s="11"/>
      <c r="RFR16" s="11"/>
      <c r="RFS16" s="11"/>
      <c r="RFT16" s="11"/>
      <c r="RFU16" s="11"/>
      <c r="RFV16" s="11"/>
      <c r="RFW16" s="11"/>
      <c r="RFX16" s="11"/>
      <c r="RFY16" s="11"/>
      <c r="RFZ16" s="11"/>
      <c r="RGA16" s="11"/>
      <c r="RGB16" s="11"/>
      <c r="RGC16" s="11"/>
      <c r="RGD16" s="11"/>
      <c r="RGE16" s="11"/>
      <c r="RGF16" s="11"/>
      <c r="RGG16" s="11"/>
      <c r="RGH16" s="11"/>
      <c r="RGI16" s="11"/>
      <c r="RGJ16" s="11"/>
      <c r="RGK16" s="11"/>
      <c r="RGL16" s="11"/>
      <c r="RGM16" s="11"/>
      <c r="RGN16" s="11"/>
      <c r="RGO16" s="11"/>
      <c r="RGP16" s="11"/>
      <c r="RGQ16" s="11"/>
      <c r="RGR16" s="11"/>
      <c r="RGS16" s="11"/>
      <c r="RGT16" s="11"/>
      <c r="RGU16" s="11"/>
      <c r="RGV16" s="11"/>
      <c r="RGW16" s="11"/>
      <c r="RGX16" s="11"/>
      <c r="RGY16" s="11"/>
      <c r="RGZ16" s="11"/>
      <c r="RHA16" s="11"/>
      <c r="RHB16" s="11"/>
      <c r="RHC16" s="11"/>
      <c r="RHD16" s="11"/>
      <c r="RHE16" s="11"/>
      <c r="RHF16" s="11"/>
      <c r="RHG16" s="11"/>
      <c r="RHH16" s="11"/>
      <c r="RHI16" s="11"/>
      <c r="RHJ16" s="11"/>
      <c r="RHK16" s="11"/>
      <c r="RHL16" s="11"/>
      <c r="RHM16" s="11"/>
      <c r="RHN16" s="11"/>
      <c r="RHO16" s="11"/>
      <c r="RHP16" s="11"/>
      <c r="RHQ16" s="11"/>
      <c r="RHR16" s="11"/>
      <c r="RHS16" s="11"/>
      <c r="RHT16" s="11"/>
      <c r="RHU16" s="11"/>
      <c r="RHV16" s="11"/>
      <c r="RHW16" s="11"/>
      <c r="RHX16" s="11"/>
      <c r="RHY16" s="11"/>
      <c r="RHZ16" s="11"/>
      <c r="RIA16" s="11"/>
      <c r="RIB16" s="11"/>
      <c r="RIC16" s="11"/>
      <c r="RID16" s="11"/>
      <c r="RIE16" s="11"/>
      <c r="RIF16" s="11"/>
      <c r="RIG16" s="11"/>
      <c r="RIH16" s="11"/>
      <c r="RII16" s="11"/>
      <c r="RIJ16" s="11"/>
      <c r="RIK16" s="11"/>
      <c r="RIL16" s="11"/>
      <c r="RIM16" s="11"/>
      <c r="RIN16" s="11"/>
      <c r="RIO16" s="11"/>
      <c r="RIP16" s="11"/>
      <c r="RIQ16" s="11"/>
      <c r="RIR16" s="11"/>
      <c r="RIS16" s="11"/>
      <c r="RIT16" s="11"/>
      <c r="RIU16" s="11"/>
      <c r="RIV16" s="11"/>
      <c r="RIW16" s="11"/>
      <c r="RIX16" s="11"/>
      <c r="RIY16" s="11"/>
      <c r="RIZ16" s="11"/>
      <c r="RJA16" s="11"/>
      <c r="RJB16" s="11"/>
      <c r="RJC16" s="11"/>
      <c r="RJD16" s="11"/>
      <c r="RJE16" s="11"/>
      <c r="RJF16" s="11"/>
      <c r="RJG16" s="11"/>
      <c r="RJH16" s="11"/>
      <c r="RJI16" s="11"/>
      <c r="RJJ16" s="11"/>
      <c r="RJK16" s="11"/>
      <c r="RJL16" s="11"/>
      <c r="RJM16" s="11"/>
      <c r="RJN16" s="11"/>
      <c r="RJO16" s="11"/>
      <c r="RJP16" s="11"/>
      <c r="RJQ16" s="11"/>
      <c r="RJR16" s="11"/>
      <c r="RJS16" s="11"/>
      <c r="RJT16" s="11"/>
      <c r="RJU16" s="11"/>
      <c r="RJV16" s="11"/>
      <c r="RJW16" s="11"/>
      <c r="RJX16" s="11"/>
      <c r="RJY16" s="11"/>
      <c r="RJZ16" s="11"/>
      <c r="RKA16" s="11"/>
      <c r="RKB16" s="11"/>
      <c r="RKC16" s="11"/>
      <c r="RKD16" s="11"/>
      <c r="RKE16" s="11"/>
      <c r="RKF16" s="11"/>
      <c r="RKG16" s="11"/>
      <c r="RKH16" s="11"/>
      <c r="RKI16" s="11"/>
      <c r="RKJ16" s="11"/>
      <c r="RKK16" s="11"/>
      <c r="RKL16" s="11"/>
      <c r="RKM16" s="11"/>
      <c r="RKN16" s="11"/>
      <c r="RKO16" s="11"/>
      <c r="RKP16" s="11"/>
      <c r="RKQ16" s="11"/>
      <c r="RKR16" s="11"/>
      <c r="RKS16" s="11"/>
      <c r="RKT16" s="11"/>
      <c r="RKU16" s="11"/>
      <c r="RKV16" s="11"/>
      <c r="RKW16" s="11"/>
      <c r="RKX16" s="11"/>
      <c r="RKY16" s="11"/>
      <c r="RKZ16" s="11"/>
      <c r="RLA16" s="11"/>
      <c r="RLB16" s="11"/>
      <c r="RLC16" s="11"/>
      <c r="RLD16" s="11"/>
      <c r="RLE16" s="11"/>
      <c r="RLF16" s="11"/>
      <c r="RLG16" s="11"/>
      <c r="RLH16" s="11"/>
      <c r="RLI16" s="11"/>
      <c r="RLJ16" s="11"/>
      <c r="RLK16" s="11"/>
      <c r="RLL16" s="11"/>
      <c r="RLM16" s="11"/>
      <c r="RLN16" s="11"/>
      <c r="RLO16" s="11"/>
      <c r="RLP16" s="11"/>
      <c r="RLQ16" s="11"/>
      <c r="RLR16" s="11"/>
      <c r="RLS16" s="11"/>
      <c r="RLT16" s="11"/>
      <c r="RLU16" s="11"/>
      <c r="RLV16" s="11"/>
      <c r="RLW16" s="11"/>
      <c r="RLX16" s="11"/>
      <c r="RLY16" s="11"/>
      <c r="RLZ16" s="11"/>
      <c r="RMA16" s="11"/>
      <c r="RMB16" s="11"/>
      <c r="RMC16" s="11"/>
      <c r="RMD16" s="11"/>
      <c r="RME16" s="11"/>
      <c r="RMF16" s="11"/>
      <c r="RMG16" s="11"/>
      <c r="RMH16" s="11"/>
      <c r="RMI16" s="11"/>
      <c r="RMJ16" s="11"/>
      <c r="RMK16" s="11"/>
      <c r="RML16" s="11"/>
      <c r="RMM16" s="11"/>
      <c r="RMN16" s="11"/>
      <c r="RMO16" s="11"/>
      <c r="RMP16" s="11"/>
      <c r="RMQ16" s="11"/>
      <c r="RMR16" s="11"/>
      <c r="RMS16" s="11"/>
      <c r="RMT16" s="11"/>
      <c r="RMU16" s="11"/>
      <c r="RMV16" s="11"/>
      <c r="RMW16" s="11"/>
      <c r="RMX16" s="11"/>
      <c r="RMY16" s="11"/>
      <c r="RMZ16" s="11"/>
      <c r="RNA16" s="11"/>
      <c r="RNB16" s="11"/>
      <c r="RNC16" s="11"/>
      <c r="RND16" s="11"/>
      <c r="RNE16" s="11"/>
      <c r="RNF16" s="11"/>
      <c r="RNG16" s="11"/>
      <c r="RNH16" s="11"/>
      <c r="RNI16" s="11"/>
      <c r="RNJ16" s="11"/>
      <c r="RNK16" s="11"/>
      <c r="RNL16" s="11"/>
      <c r="RNM16" s="11"/>
      <c r="RNN16" s="11"/>
      <c r="RNO16" s="11"/>
      <c r="RNP16" s="11"/>
      <c r="RNQ16" s="11"/>
      <c r="RNR16" s="11"/>
      <c r="RNS16" s="11"/>
      <c r="RNT16" s="11"/>
      <c r="RNU16" s="11"/>
      <c r="RNV16" s="11"/>
      <c r="RNW16" s="11"/>
      <c r="RNX16" s="11"/>
      <c r="RNY16" s="11"/>
      <c r="RNZ16" s="11"/>
      <c r="ROA16" s="11"/>
      <c r="ROB16" s="11"/>
      <c r="ROC16" s="11"/>
      <c r="ROD16" s="11"/>
      <c r="ROE16" s="11"/>
      <c r="ROF16" s="11"/>
      <c r="ROG16" s="11"/>
      <c r="ROH16" s="11"/>
      <c r="ROI16" s="11"/>
      <c r="ROJ16" s="11"/>
      <c r="ROK16" s="11"/>
      <c r="ROL16" s="11"/>
      <c r="ROM16" s="11"/>
      <c r="RON16" s="11"/>
      <c r="ROO16" s="11"/>
      <c r="ROP16" s="11"/>
      <c r="ROQ16" s="11"/>
      <c r="ROR16" s="11"/>
      <c r="ROS16" s="11"/>
      <c r="ROT16" s="11"/>
      <c r="ROU16" s="11"/>
      <c r="ROV16" s="11"/>
      <c r="ROW16" s="11"/>
      <c r="ROX16" s="11"/>
      <c r="ROY16" s="11"/>
      <c r="ROZ16" s="11"/>
      <c r="RPA16" s="11"/>
      <c r="RPB16" s="11"/>
      <c r="RPC16" s="11"/>
      <c r="RPD16" s="11"/>
      <c r="RPE16" s="11"/>
      <c r="RPF16" s="11"/>
      <c r="RPG16" s="11"/>
      <c r="RPH16" s="11"/>
      <c r="RPI16" s="11"/>
      <c r="RPJ16" s="11"/>
      <c r="RPK16" s="11"/>
      <c r="RPL16" s="11"/>
      <c r="RPM16" s="11"/>
      <c r="RPN16" s="11"/>
      <c r="RPO16" s="11"/>
      <c r="RPP16" s="11"/>
      <c r="RPQ16" s="11"/>
      <c r="RPR16" s="11"/>
      <c r="RPS16" s="11"/>
      <c r="RPT16" s="11"/>
      <c r="RPU16" s="11"/>
      <c r="RPV16" s="11"/>
      <c r="RPW16" s="11"/>
      <c r="RPX16" s="11"/>
      <c r="RPY16" s="11"/>
      <c r="RPZ16" s="11"/>
      <c r="RQA16" s="11"/>
      <c r="RQB16" s="11"/>
      <c r="RQC16" s="11"/>
      <c r="RQD16" s="11"/>
      <c r="RQE16" s="11"/>
      <c r="RQF16" s="11"/>
      <c r="RQG16" s="11"/>
      <c r="RQH16" s="11"/>
      <c r="RQI16" s="11"/>
      <c r="RQJ16" s="11"/>
      <c r="RQK16" s="11"/>
      <c r="RQL16" s="11"/>
      <c r="RQM16" s="11"/>
      <c r="RQN16" s="11"/>
      <c r="RQO16" s="11"/>
      <c r="RQP16" s="11"/>
      <c r="RQQ16" s="11"/>
      <c r="RQR16" s="11"/>
      <c r="RQS16" s="11"/>
      <c r="RQT16" s="11"/>
      <c r="RQU16" s="11"/>
      <c r="RQV16" s="11"/>
      <c r="RQW16" s="11"/>
      <c r="RQX16" s="11"/>
      <c r="RQY16" s="11"/>
      <c r="RQZ16" s="11"/>
      <c r="RRA16" s="11"/>
      <c r="RRB16" s="11"/>
      <c r="RRC16" s="11"/>
      <c r="RRD16" s="11"/>
      <c r="RRE16" s="11"/>
      <c r="RRF16" s="11"/>
      <c r="RRG16" s="11"/>
      <c r="RRH16" s="11"/>
      <c r="RRI16" s="11"/>
      <c r="RRJ16" s="11"/>
      <c r="RRK16" s="11"/>
      <c r="RRL16" s="11"/>
      <c r="RRM16" s="11"/>
      <c r="RRN16" s="11"/>
      <c r="RRO16" s="11"/>
      <c r="RRP16" s="11"/>
      <c r="RRQ16" s="11"/>
      <c r="RRR16" s="11"/>
      <c r="RRS16" s="11"/>
      <c r="RRT16" s="11"/>
      <c r="RRU16" s="11"/>
      <c r="RRV16" s="11"/>
      <c r="RRW16" s="11"/>
      <c r="RRX16" s="11"/>
      <c r="RRY16" s="11"/>
      <c r="RRZ16" s="11"/>
      <c r="RSA16" s="11"/>
      <c r="RSB16" s="11"/>
      <c r="RSC16" s="11"/>
      <c r="RSD16" s="11"/>
      <c r="RSE16" s="11"/>
      <c r="RSF16" s="11"/>
      <c r="RSG16" s="11"/>
      <c r="RSH16" s="11"/>
      <c r="RSI16" s="11"/>
      <c r="RSJ16" s="11"/>
      <c r="RSK16" s="11"/>
      <c r="RSL16" s="11"/>
      <c r="RSM16" s="11"/>
      <c r="RSN16" s="11"/>
      <c r="RSO16" s="11"/>
      <c r="RSP16" s="11"/>
      <c r="RSQ16" s="11"/>
      <c r="RSR16" s="11"/>
      <c r="RSS16" s="11"/>
      <c r="RST16" s="11"/>
      <c r="RSU16" s="11"/>
      <c r="RSV16" s="11"/>
      <c r="RSW16" s="11"/>
      <c r="RSX16" s="11"/>
      <c r="RSY16" s="11"/>
      <c r="RSZ16" s="11"/>
      <c r="RTA16" s="11"/>
      <c r="RTB16" s="11"/>
      <c r="RTC16" s="11"/>
      <c r="RTD16" s="11"/>
      <c r="RTE16" s="11"/>
      <c r="RTF16" s="11"/>
      <c r="RTG16" s="11"/>
      <c r="RTH16" s="11"/>
      <c r="RTI16" s="11"/>
      <c r="RTJ16" s="11"/>
      <c r="RTK16" s="11"/>
      <c r="RTL16" s="11"/>
      <c r="RTM16" s="11"/>
      <c r="RTN16" s="11"/>
      <c r="RTO16" s="11"/>
      <c r="RTP16" s="11"/>
      <c r="RTQ16" s="11"/>
      <c r="RTR16" s="11"/>
      <c r="RTS16" s="11"/>
      <c r="RTT16" s="11"/>
      <c r="RTU16" s="11"/>
      <c r="RTV16" s="11"/>
      <c r="RTW16" s="11"/>
      <c r="RTX16" s="11"/>
      <c r="RTY16" s="11"/>
      <c r="RTZ16" s="11"/>
      <c r="RUA16" s="11"/>
      <c r="RUB16" s="11"/>
      <c r="RUC16" s="11"/>
      <c r="RUD16" s="11"/>
      <c r="RUE16" s="11"/>
      <c r="RUF16" s="11"/>
      <c r="RUG16" s="11"/>
      <c r="RUH16" s="11"/>
      <c r="RUI16" s="11"/>
      <c r="RUJ16" s="11"/>
      <c r="RUK16" s="11"/>
      <c r="RUL16" s="11"/>
      <c r="RUM16" s="11"/>
      <c r="RUN16" s="11"/>
      <c r="RUO16" s="11"/>
      <c r="RUP16" s="11"/>
      <c r="RUQ16" s="11"/>
      <c r="RUR16" s="11"/>
      <c r="RUS16" s="11"/>
      <c r="RUT16" s="11"/>
      <c r="RUU16" s="11"/>
      <c r="RUV16" s="11"/>
      <c r="RUW16" s="11"/>
      <c r="RUX16" s="11"/>
      <c r="RUY16" s="11"/>
      <c r="RUZ16" s="11"/>
      <c r="RVA16" s="11"/>
      <c r="RVB16" s="11"/>
      <c r="RVC16" s="11"/>
      <c r="RVD16" s="11"/>
      <c r="RVE16" s="11"/>
      <c r="RVF16" s="11"/>
      <c r="RVG16" s="11"/>
      <c r="RVH16" s="11"/>
      <c r="RVI16" s="11"/>
      <c r="RVJ16" s="11"/>
      <c r="RVK16" s="11"/>
      <c r="RVL16" s="11"/>
      <c r="RVM16" s="11"/>
      <c r="RVN16" s="11"/>
      <c r="RVO16" s="11"/>
      <c r="RVP16" s="11"/>
      <c r="RVQ16" s="11"/>
      <c r="RVR16" s="11"/>
      <c r="RVS16" s="11"/>
      <c r="RVT16" s="11"/>
      <c r="RVU16" s="11"/>
      <c r="RVV16" s="11"/>
      <c r="RVW16" s="11"/>
      <c r="RVX16" s="11"/>
      <c r="RVY16" s="11"/>
      <c r="RVZ16" s="11"/>
      <c r="RWA16" s="11"/>
      <c r="RWB16" s="11"/>
      <c r="RWC16" s="11"/>
      <c r="RWD16" s="11"/>
      <c r="RWE16" s="11"/>
      <c r="RWF16" s="11"/>
      <c r="RWG16" s="11"/>
      <c r="RWH16" s="11"/>
      <c r="RWI16" s="11"/>
      <c r="RWJ16" s="11"/>
      <c r="RWK16" s="11"/>
      <c r="RWL16" s="11"/>
      <c r="RWM16" s="11"/>
      <c r="RWN16" s="11"/>
      <c r="RWO16" s="11"/>
      <c r="RWP16" s="11"/>
      <c r="RWQ16" s="11"/>
      <c r="RWR16" s="11"/>
      <c r="RWS16" s="11"/>
      <c r="RWT16" s="11"/>
      <c r="RWU16" s="11"/>
      <c r="RWV16" s="11"/>
      <c r="RWW16" s="11"/>
      <c r="RWX16" s="11"/>
      <c r="RWY16" s="11"/>
      <c r="RWZ16" s="11"/>
      <c r="RXA16" s="11"/>
      <c r="RXB16" s="11"/>
      <c r="RXC16" s="11"/>
      <c r="RXD16" s="11"/>
      <c r="RXE16" s="11"/>
      <c r="RXF16" s="11"/>
      <c r="RXG16" s="11"/>
      <c r="RXH16" s="11"/>
      <c r="RXI16" s="11"/>
      <c r="RXJ16" s="11"/>
      <c r="RXK16" s="11"/>
      <c r="RXL16" s="11"/>
      <c r="RXM16" s="11"/>
      <c r="RXN16" s="11"/>
      <c r="RXO16" s="11"/>
      <c r="RXP16" s="11"/>
      <c r="RXQ16" s="11"/>
      <c r="RXR16" s="11"/>
      <c r="RXS16" s="11"/>
      <c r="RXT16" s="11"/>
      <c r="RXU16" s="11"/>
      <c r="RXV16" s="11"/>
      <c r="RXW16" s="11"/>
      <c r="RXX16" s="11"/>
      <c r="RXY16" s="11"/>
      <c r="RXZ16" s="11"/>
      <c r="RYA16" s="11"/>
      <c r="RYB16" s="11"/>
      <c r="RYC16" s="11"/>
      <c r="RYD16" s="11"/>
      <c r="RYE16" s="11"/>
      <c r="RYF16" s="11"/>
      <c r="RYG16" s="11"/>
      <c r="RYH16" s="11"/>
      <c r="RYI16" s="11"/>
      <c r="RYJ16" s="11"/>
      <c r="RYK16" s="11"/>
      <c r="RYL16" s="11"/>
      <c r="RYM16" s="11"/>
      <c r="RYN16" s="11"/>
      <c r="RYO16" s="11"/>
      <c r="RYP16" s="11"/>
      <c r="RYQ16" s="11"/>
      <c r="RYR16" s="11"/>
      <c r="RYS16" s="11"/>
      <c r="RYT16" s="11"/>
      <c r="RYU16" s="11"/>
      <c r="RYV16" s="11"/>
      <c r="RYW16" s="11"/>
      <c r="RYX16" s="11"/>
      <c r="RYY16" s="11"/>
      <c r="RYZ16" s="11"/>
      <c r="RZA16" s="11"/>
      <c r="RZB16" s="11"/>
      <c r="RZC16" s="11"/>
      <c r="RZD16" s="11"/>
      <c r="RZE16" s="11"/>
      <c r="RZF16" s="11"/>
      <c r="RZG16" s="11"/>
      <c r="RZH16" s="11"/>
      <c r="RZI16" s="11"/>
      <c r="RZJ16" s="11"/>
      <c r="RZK16" s="11"/>
      <c r="RZL16" s="11"/>
      <c r="RZM16" s="11"/>
      <c r="RZN16" s="11"/>
      <c r="RZO16" s="11"/>
      <c r="RZP16" s="11"/>
      <c r="RZQ16" s="11"/>
      <c r="RZR16" s="11"/>
      <c r="RZS16" s="11"/>
      <c r="RZT16" s="11"/>
      <c r="RZU16" s="11"/>
      <c r="RZV16" s="11"/>
      <c r="RZW16" s="11"/>
      <c r="RZX16" s="11"/>
      <c r="RZY16" s="11"/>
      <c r="RZZ16" s="11"/>
      <c r="SAA16" s="11"/>
      <c r="SAB16" s="11"/>
      <c r="SAC16" s="11"/>
      <c r="SAD16" s="11"/>
      <c r="SAE16" s="11"/>
      <c r="SAF16" s="11"/>
      <c r="SAG16" s="11"/>
      <c r="SAH16" s="11"/>
      <c r="SAI16" s="11"/>
      <c r="SAJ16" s="11"/>
      <c r="SAK16" s="11"/>
      <c r="SAL16" s="11"/>
      <c r="SAM16" s="11"/>
      <c r="SAN16" s="11"/>
      <c r="SAO16" s="11"/>
      <c r="SAP16" s="11"/>
      <c r="SAQ16" s="11"/>
      <c r="SAR16" s="11"/>
      <c r="SAS16" s="11"/>
      <c r="SAT16" s="11"/>
      <c r="SAU16" s="11"/>
      <c r="SAV16" s="11"/>
      <c r="SAW16" s="11"/>
      <c r="SAX16" s="11"/>
      <c r="SAY16" s="11"/>
      <c r="SAZ16" s="11"/>
      <c r="SBA16" s="11"/>
      <c r="SBB16" s="11"/>
      <c r="SBC16" s="11"/>
      <c r="SBD16" s="11"/>
      <c r="SBE16" s="11"/>
      <c r="SBF16" s="11"/>
      <c r="SBG16" s="11"/>
      <c r="SBH16" s="11"/>
      <c r="SBI16" s="11"/>
      <c r="SBJ16" s="11"/>
      <c r="SBK16" s="11"/>
      <c r="SBL16" s="11"/>
      <c r="SBM16" s="11"/>
      <c r="SBN16" s="11"/>
      <c r="SBO16" s="11"/>
      <c r="SBP16" s="11"/>
      <c r="SBQ16" s="11"/>
      <c r="SBR16" s="11"/>
      <c r="SBS16" s="11"/>
      <c r="SBT16" s="11"/>
      <c r="SBU16" s="11"/>
      <c r="SBV16" s="11"/>
      <c r="SBW16" s="11"/>
      <c r="SBX16" s="11"/>
      <c r="SBY16" s="11"/>
      <c r="SBZ16" s="11"/>
      <c r="SCA16" s="11"/>
      <c r="SCB16" s="11"/>
      <c r="SCC16" s="11"/>
      <c r="SCD16" s="11"/>
      <c r="SCE16" s="11"/>
      <c r="SCF16" s="11"/>
      <c r="SCG16" s="11"/>
      <c r="SCH16" s="11"/>
      <c r="SCI16" s="11"/>
      <c r="SCJ16" s="11"/>
      <c r="SCK16" s="11"/>
      <c r="SCL16" s="11"/>
      <c r="SCM16" s="11"/>
      <c r="SCN16" s="11"/>
      <c r="SCO16" s="11"/>
      <c r="SCP16" s="11"/>
      <c r="SCQ16" s="11"/>
      <c r="SCR16" s="11"/>
      <c r="SCS16" s="11"/>
      <c r="SCT16" s="11"/>
      <c r="SCU16" s="11"/>
      <c r="SCV16" s="11"/>
      <c r="SCW16" s="11"/>
      <c r="SCX16" s="11"/>
      <c r="SCY16" s="11"/>
      <c r="SCZ16" s="11"/>
      <c r="SDA16" s="11"/>
      <c r="SDB16" s="11"/>
      <c r="SDC16" s="11"/>
      <c r="SDD16" s="11"/>
      <c r="SDE16" s="11"/>
      <c r="SDF16" s="11"/>
      <c r="SDG16" s="11"/>
      <c r="SDH16" s="11"/>
      <c r="SDI16" s="11"/>
      <c r="SDJ16" s="11"/>
      <c r="SDK16" s="11"/>
      <c r="SDL16" s="11"/>
      <c r="SDM16" s="11"/>
      <c r="SDN16" s="11"/>
      <c r="SDO16" s="11"/>
      <c r="SDP16" s="11"/>
      <c r="SDQ16" s="11"/>
      <c r="SDR16" s="11"/>
      <c r="SDS16" s="11"/>
      <c r="SDT16" s="11"/>
      <c r="SDU16" s="11"/>
      <c r="SDV16" s="11"/>
      <c r="SDW16" s="11"/>
      <c r="SDX16" s="11"/>
      <c r="SDY16" s="11"/>
      <c r="SDZ16" s="11"/>
      <c r="SEA16" s="11"/>
      <c r="SEB16" s="11"/>
      <c r="SEC16" s="11"/>
      <c r="SED16" s="11"/>
      <c r="SEE16" s="11"/>
      <c r="SEF16" s="11"/>
      <c r="SEG16" s="11"/>
      <c r="SEH16" s="11"/>
      <c r="SEI16" s="11"/>
      <c r="SEJ16" s="11"/>
      <c r="SEK16" s="11"/>
      <c r="SEL16" s="11"/>
      <c r="SEM16" s="11"/>
      <c r="SEN16" s="11"/>
      <c r="SEO16" s="11"/>
      <c r="SEP16" s="11"/>
      <c r="SEQ16" s="11"/>
      <c r="SER16" s="11"/>
      <c r="SES16" s="11"/>
      <c r="SET16" s="11"/>
      <c r="SEU16" s="11"/>
      <c r="SEV16" s="11"/>
      <c r="SEW16" s="11"/>
      <c r="SEX16" s="11"/>
      <c r="SEY16" s="11"/>
      <c r="SEZ16" s="11"/>
      <c r="SFA16" s="11"/>
      <c r="SFB16" s="11"/>
      <c r="SFC16" s="11"/>
      <c r="SFD16" s="11"/>
      <c r="SFE16" s="11"/>
      <c r="SFF16" s="11"/>
      <c r="SFG16" s="11"/>
      <c r="SFH16" s="11"/>
      <c r="SFI16" s="11"/>
      <c r="SFJ16" s="11"/>
      <c r="SFK16" s="11"/>
      <c r="SFL16" s="11"/>
      <c r="SFM16" s="11"/>
      <c r="SFN16" s="11"/>
      <c r="SFO16" s="11"/>
      <c r="SFP16" s="11"/>
      <c r="SFQ16" s="11"/>
      <c r="SFR16" s="11"/>
      <c r="SFS16" s="11"/>
      <c r="SFT16" s="11"/>
      <c r="SFU16" s="11"/>
      <c r="SFV16" s="11"/>
      <c r="SFW16" s="11"/>
      <c r="SFX16" s="11"/>
      <c r="SFY16" s="11"/>
      <c r="SFZ16" s="11"/>
      <c r="SGA16" s="11"/>
      <c r="SGB16" s="11"/>
      <c r="SGC16" s="11"/>
      <c r="SGD16" s="11"/>
      <c r="SGE16" s="11"/>
      <c r="SGF16" s="11"/>
      <c r="SGG16" s="11"/>
      <c r="SGH16" s="11"/>
      <c r="SGI16" s="11"/>
      <c r="SGJ16" s="11"/>
      <c r="SGK16" s="11"/>
      <c r="SGL16" s="11"/>
      <c r="SGM16" s="11"/>
      <c r="SGN16" s="11"/>
      <c r="SGO16" s="11"/>
      <c r="SGP16" s="11"/>
      <c r="SGQ16" s="11"/>
      <c r="SGR16" s="11"/>
      <c r="SGS16" s="11"/>
      <c r="SGT16" s="11"/>
      <c r="SGU16" s="11"/>
      <c r="SGV16" s="11"/>
      <c r="SGW16" s="11"/>
      <c r="SGX16" s="11"/>
      <c r="SGY16" s="11"/>
      <c r="SGZ16" s="11"/>
      <c r="SHA16" s="11"/>
      <c r="SHB16" s="11"/>
      <c r="SHC16" s="11"/>
      <c r="SHD16" s="11"/>
      <c r="SHE16" s="11"/>
      <c r="SHF16" s="11"/>
      <c r="SHG16" s="11"/>
      <c r="SHH16" s="11"/>
      <c r="SHI16" s="11"/>
      <c r="SHJ16" s="11"/>
      <c r="SHK16" s="11"/>
      <c r="SHL16" s="11"/>
      <c r="SHM16" s="11"/>
      <c r="SHN16" s="11"/>
      <c r="SHO16" s="11"/>
      <c r="SHP16" s="11"/>
      <c r="SHQ16" s="11"/>
      <c r="SHR16" s="11"/>
      <c r="SHS16" s="11"/>
      <c r="SHT16" s="11"/>
      <c r="SHU16" s="11"/>
      <c r="SHV16" s="11"/>
      <c r="SHW16" s="11"/>
      <c r="SHX16" s="11"/>
      <c r="SHY16" s="11"/>
      <c r="SHZ16" s="11"/>
      <c r="SIA16" s="11"/>
      <c r="SIB16" s="11"/>
      <c r="SIC16" s="11"/>
      <c r="SID16" s="11"/>
      <c r="SIE16" s="11"/>
      <c r="SIF16" s="11"/>
      <c r="SIG16" s="11"/>
      <c r="SIH16" s="11"/>
      <c r="SII16" s="11"/>
      <c r="SIJ16" s="11"/>
      <c r="SIK16" s="11"/>
      <c r="SIL16" s="11"/>
      <c r="SIM16" s="11"/>
      <c r="SIN16" s="11"/>
      <c r="SIO16" s="11"/>
      <c r="SIP16" s="11"/>
      <c r="SIQ16" s="11"/>
      <c r="SIR16" s="11"/>
      <c r="SIS16" s="11"/>
      <c r="SIT16" s="11"/>
      <c r="SIU16" s="11"/>
      <c r="SIV16" s="11"/>
      <c r="SIW16" s="11"/>
      <c r="SIX16" s="11"/>
      <c r="SIY16" s="11"/>
      <c r="SIZ16" s="11"/>
      <c r="SJA16" s="11"/>
      <c r="SJB16" s="11"/>
      <c r="SJC16" s="11"/>
      <c r="SJD16" s="11"/>
      <c r="SJE16" s="11"/>
      <c r="SJF16" s="11"/>
      <c r="SJG16" s="11"/>
      <c r="SJH16" s="11"/>
      <c r="SJI16" s="11"/>
      <c r="SJJ16" s="11"/>
      <c r="SJK16" s="11"/>
      <c r="SJL16" s="11"/>
      <c r="SJM16" s="11"/>
      <c r="SJN16" s="11"/>
      <c r="SJO16" s="11"/>
      <c r="SJP16" s="11"/>
      <c r="SJQ16" s="11"/>
      <c r="SJR16" s="11"/>
      <c r="SJS16" s="11"/>
      <c r="SJT16" s="11"/>
      <c r="SJU16" s="11"/>
      <c r="SJV16" s="11"/>
      <c r="SJW16" s="11"/>
      <c r="SJX16" s="11"/>
      <c r="SJY16" s="11"/>
      <c r="SJZ16" s="11"/>
      <c r="SKA16" s="11"/>
      <c r="SKB16" s="11"/>
      <c r="SKC16" s="11"/>
      <c r="SKD16" s="11"/>
      <c r="SKE16" s="11"/>
      <c r="SKF16" s="11"/>
      <c r="SKG16" s="11"/>
      <c r="SKH16" s="11"/>
      <c r="SKI16" s="11"/>
      <c r="SKJ16" s="11"/>
      <c r="SKK16" s="11"/>
      <c r="SKL16" s="11"/>
      <c r="SKM16" s="11"/>
      <c r="SKN16" s="11"/>
      <c r="SKO16" s="11"/>
      <c r="SKP16" s="11"/>
      <c r="SKQ16" s="11"/>
      <c r="SKR16" s="11"/>
      <c r="SKS16" s="11"/>
      <c r="SKT16" s="11"/>
      <c r="SKU16" s="11"/>
      <c r="SKV16" s="11"/>
      <c r="SKW16" s="11"/>
      <c r="SKX16" s="11"/>
      <c r="SKY16" s="11"/>
      <c r="SKZ16" s="11"/>
      <c r="SLA16" s="11"/>
      <c r="SLB16" s="11"/>
      <c r="SLC16" s="11"/>
      <c r="SLD16" s="11"/>
      <c r="SLE16" s="11"/>
      <c r="SLF16" s="11"/>
      <c r="SLG16" s="11"/>
      <c r="SLH16" s="11"/>
      <c r="SLI16" s="11"/>
      <c r="SLJ16" s="11"/>
      <c r="SLK16" s="11"/>
      <c r="SLL16" s="11"/>
      <c r="SLM16" s="11"/>
      <c r="SLN16" s="11"/>
      <c r="SLO16" s="11"/>
      <c r="SLP16" s="11"/>
      <c r="SLQ16" s="11"/>
      <c r="SLR16" s="11"/>
      <c r="SLS16" s="11"/>
      <c r="SLT16" s="11"/>
      <c r="SLU16" s="11"/>
      <c r="SLV16" s="11"/>
      <c r="SLW16" s="11"/>
      <c r="SLX16" s="11"/>
      <c r="SLY16" s="11"/>
      <c r="SLZ16" s="11"/>
      <c r="SMA16" s="11"/>
      <c r="SMB16" s="11"/>
      <c r="SMC16" s="11"/>
      <c r="SMD16" s="11"/>
      <c r="SME16" s="11"/>
      <c r="SMF16" s="11"/>
      <c r="SMG16" s="11"/>
      <c r="SMH16" s="11"/>
      <c r="SMI16" s="11"/>
      <c r="SMJ16" s="11"/>
      <c r="SMK16" s="11"/>
      <c r="SML16" s="11"/>
      <c r="SMM16" s="11"/>
      <c r="SMN16" s="11"/>
      <c r="SMO16" s="11"/>
      <c r="SMP16" s="11"/>
      <c r="SMQ16" s="11"/>
      <c r="SMR16" s="11"/>
      <c r="SMS16" s="11"/>
      <c r="SMT16" s="11"/>
      <c r="SMU16" s="11"/>
      <c r="SMV16" s="11"/>
      <c r="SMW16" s="11"/>
      <c r="SMX16" s="11"/>
      <c r="SMY16" s="11"/>
      <c r="SMZ16" s="11"/>
      <c r="SNA16" s="11"/>
      <c r="SNB16" s="11"/>
      <c r="SNC16" s="11"/>
      <c r="SND16" s="11"/>
      <c r="SNE16" s="11"/>
      <c r="SNF16" s="11"/>
      <c r="SNG16" s="11"/>
      <c r="SNH16" s="11"/>
      <c r="SNI16" s="11"/>
      <c r="SNJ16" s="11"/>
      <c r="SNK16" s="11"/>
      <c r="SNL16" s="11"/>
      <c r="SNM16" s="11"/>
      <c r="SNN16" s="11"/>
      <c r="SNO16" s="11"/>
      <c r="SNP16" s="11"/>
      <c r="SNQ16" s="11"/>
      <c r="SNR16" s="11"/>
      <c r="SNS16" s="11"/>
      <c r="SNT16" s="11"/>
      <c r="SNU16" s="11"/>
      <c r="SNV16" s="11"/>
      <c r="SNW16" s="11"/>
      <c r="SNX16" s="11"/>
      <c r="SNY16" s="11"/>
      <c r="SNZ16" s="11"/>
      <c r="SOA16" s="11"/>
      <c r="SOB16" s="11"/>
      <c r="SOC16" s="11"/>
      <c r="SOD16" s="11"/>
      <c r="SOE16" s="11"/>
      <c r="SOF16" s="11"/>
      <c r="SOG16" s="11"/>
      <c r="SOH16" s="11"/>
      <c r="SOI16" s="11"/>
      <c r="SOJ16" s="11"/>
      <c r="SOK16" s="11"/>
      <c r="SOL16" s="11"/>
      <c r="SOM16" s="11"/>
      <c r="SON16" s="11"/>
      <c r="SOO16" s="11"/>
      <c r="SOP16" s="11"/>
      <c r="SOQ16" s="11"/>
      <c r="SOR16" s="11"/>
      <c r="SOS16" s="11"/>
      <c r="SOT16" s="11"/>
      <c r="SOU16" s="11"/>
      <c r="SOV16" s="11"/>
      <c r="SOW16" s="11"/>
      <c r="SOX16" s="11"/>
      <c r="SOY16" s="11"/>
      <c r="SOZ16" s="11"/>
      <c r="SPA16" s="11"/>
      <c r="SPB16" s="11"/>
      <c r="SPC16" s="11"/>
      <c r="SPD16" s="11"/>
      <c r="SPE16" s="11"/>
      <c r="SPF16" s="11"/>
      <c r="SPG16" s="11"/>
      <c r="SPH16" s="11"/>
      <c r="SPI16" s="11"/>
      <c r="SPJ16" s="11"/>
      <c r="SPK16" s="11"/>
      <c r="SPL16" s="11"/>
      <c r="SPM16" s="11"/>
      <c r="SPN16" s="11"/>
      <c r="SPO16" s="11"/>
      <c r="SPP16" s="11"/>
      <c r="SPQ16" s="11"/>
      <c r="SPR16" s="11"/>
      <c r="SPS16" s="11"/>
      <c r="SPT16" s="11"/>
      <c r="SPU16" s="11"/>
      <c r="SPV16" s="11"/>
      <c r="SPW16" s="11"/>
      <c r="SPX16" s="11"/>
      <c r="SPY16" s="11"/>
      <c r="SPZ16" s="11"/>
      <c r="SQA16" s="11"/>
      <c r="SQB16" s="11"/>
      <c r="SQC16" s="11"/>
      <c r="SQD16" s="11"/>
      <c r="SQE16" s="11"/>
      <c r="SQF16" s="11"/>
      <c r="SQG16" s="11"/>
      <c r="SQH16" s="11"/>
      <c r="SQI16" s="11"/>
      <c r="SQJ16" s="11"/>
      <c r="SQK16" s="11"/>
      <c r="SQL16" s="11"/>
      <c r="SQM16" s="11"/>
      <c r="SQN16" s="11"/>
      <c r="SQO16" s="11"/>
      <c r="SQP16" s="11"/>
      <c r="SQQ16" s="11"/>
      <c r="SQR16" s="11"/>
      <c r="SQS16" s="11"/>
      <c r="SQT16" s="11"/>
      <c r="SQU16" s="11"/>
      <c r="SQV16" s="11"/>
      <c r="SQW16" s="11"/>
      <c r="SQX16" s="11"/>
      <c r="SQY16" s="11"/>
      <c r="SQZ16" s="11"/>
      <c r="SRA16" s="11"/>
      <c r="SRB16" s="11"/>
      <c r="SRC16" s="11"/>
      <c r="SRD16" s="11"/>
      <c r="SRE16" s="11"/>
      <c r="SRF16" s="11"/>
      <c r="SRG16" s="11"/>
      <c r="SRH16" s="11"/>
      <c r="SRI16" s="11"/>
      <c r="SRJ16" s="11"/>
      <c r="SRK16" s="11"/>
      <c r="SRL16" s="11"/>
      <c r="SRM16" s="11"/>
      <c r="SRN16" s="11"/>
      <c r="SRO16" s="11"/>
      <c r="SRP16" s="11"/>
      <c r="SRQ16" s="11"/>
      <c r="SRR16" s="11"/>
      <c r="SRS16" s="11"/>
      <c r="SRT16" s="11"/>
      <c r="SRU16" s="11"/>
      <c r="SRV16" s="11"/>
      <c r="SRW16" s="11"/>
      <c r="SRX16" s="11"/>
      <c r="SRY16" s="11"/>
      <c r="SRZ16" s="11"/>
      <c r="SSA16" s="11"/>
      <c r="SSB16" s="11"/>
      <c r="SSC16" s="11"/>
      <c r="SSD16" s="11"/>
      <c r="SSE16" s="11"/>
      <c r="SSF16" s="11"/>
      <c r="SSG16" s="11"/>
      <c r="SSH16" s="11"/>
      <c r="SSI16" s="11"/>
      <c r="SSJ16" s="11"/>
      <c r="SSK16" s="11"/>
      <c r="SSL16" s="11"/>
      <c r="SSM16" s="11"/>
      <c r="SSN16" s="11"/>
      <c r="SSO16" s="11"/>
      <c r="SSP16" s="11"/>
      <c r="SSQ16" s="11"/>
      <c r="SSR16" s="11"/>
      <c r="SSS16" s="11"/>
      <c r="SST16" s="11"/>
      <c r="SSU16" s="11"/>
      <c r="SSV16" s="11"/>
      <c r="SSW16" s="11"/>
      <c r="SSX16" s="11"/>
      <c r="SSY16" s="11"/>
      <c r="SSZ16" s="11"/>
      <c r="STA16" s="11"/>
      <c r="STB16" s="11"/>
      <c r="STC16" s="11"/>
      <c r="STD16" s="11"/>
      <c r="STE16" s="11"/>
      <c r="STF16" s="11"/>
      <c r="STG16" s="11"/>
      <c r="STH16" s="11"/>
      <c r="STI16" s="11"/>
      <c r="STJ16" s="11"/>
      <c r="STK16" s="11"/>
      <c r="STL16" s="11"/>
      <c r="STM16" s="11"/>
      <c r="STN16" s="11"/>
      <c r="STO16" s="11"/>
      <c r="STP16" s="11"/>
      <c r="STQ16" s="11"/>
      <c r="STR16" s="11"/>
      <c r="STS16" s="11"/>
      <c r="STT16" s="11"/>
      <c r="STU16" s="11"/>
      <c r="STV16" s="11"/>
      <c r="STW16" s="11"/>
      <c r="STX16" s="11"/>
      <c r="STY16" s="11"/>
      <c r="STZ16" s="11"/>
      <c r="SUA16" s="11"/>
      <c r="SUB16" s="11"/>
      <c r="SUC16" s="11"/>
      <c r="SUD16" s="11"/>
      <c r="SUE16" s="11"/>
      <c r="SUF16" s="11"/>
      <c r="SUG16" s="11"/>
      <c r="SUH16" s="11"/>
      <c r="SUI16" s="11"/>
      <c r="SUJ16" s="11"/>
      <c r="SUK16" s="11"/>
      <c r="SUL16" s="11"/>
      <c r="SUM16" s="11"/>
      <c r="SUN16" s="11"/>
      <c r="SUO16" s="11"/>
      <c r="SUP16" s="11"/>
      <c r="SUQ16" s="11"/>
      <c r="SUR16" s="11"/>
      <c r="SUS16" s="11"/>
      <c r="SUT16" s="11"/>
      <c r="SUU16" s="11"/>
      <c r="SUV16" s="11"/>
      <c r="SUW16" s="11"/>
      <c r="SUX16" s="11"/>
      <c r="SUY16" s="11"/>
      <c r="SUZ16" s="11"/>
      <c r="SVA16" s="11"/>
      <c r="SVB16" s="11"/>
      <c r="SVC16" s="11"/>
      <c r="SVD16" s="11"/>
      <c r="SVE16" s="11"/>
      <c r="SVF16" s="11"/>
      <c r="SVG16" s="11"/>
      <c r="SVH16" s="11"/>
      <c r="SVI16" s="11"/>
      <c r="SVJ16" s="11"/>
      <c r="SVK16" s="11"/>
      <c r="SVL16" s="11"/>
      <c r="SVM16" s="11"/>
      <c r="SVN16" s="11"/>
      <c r="SVO16" s="11"/>
      <c r="SVP16" s="11"/>
      <c r="SVQ16" s="11"/>
      <c r="SVR16" s="11"/>
      <c r="SVS16" s="11"/>
      <c r="SVT16" s="11"/>
      <c r="SVU16" s="11"/>
      <c r="SVV16" s="11"/>
      <c r="SVW16" s="11"/>
      <c r="SVX16" s="11"/>
      <c r="SVY16" s="11"/>
      <c r="SVZ16" s="11"/>
      <c r="SWA16" s="11"/>
      <c r="SWB16" s="11"/>
      <c r="SWC16" s="11"/>
      <c r="SWD16" s="11"/>
      <c r="SWE16" s="11"/>
      <c r="SWF16" s="11"/>
      <c r="SWG16" s="11"/>
      <c r="SWH16" s="11"/>
      <c r="SWI16" s="11"/>
      <c r="SWJ16" s="11"/>
      <c r="SWK16" s="11"/>
      <c r="SWL16" s="11"/>
      <c r="SWM16" s="11"/>
      <c r="SWN16" s="11"/>
      <c r="SWO16" s="11"/>
      <c r="SWP16" s="11"/>
      <c r="SWQ16" s="11"/>
      <c r="SWR16" s="11"/>
      <c r="SWS16" s="11"/>
      <c r="SWT16" s="11"/>
      <c r="SWU16" s="11"/>
      <c r="SWV16" s="11"/>
      <c r="SWW16" s="11"/>
      <c r="SWX16" s="11"/>
      <c r="SWY16" s="11"/>
      <c r="SWZ16" s="11"/>
      <c r="SXA16" s="11"/>
      <c r="SXB16" s="11"/>
      <c r="SXC16" s="11"/>
      <c r="SXD16" s="11"/>
      <c r="SXE16" s="11"/>
      <c r="SXF16" s="11"/>
      <c r="SXG16" s="11"/>
      <c r="SXH16" s="11"/>
      <c r="SXI16" s="11"/>
      <c r="SXJ16" s="11"/>
      <c r="SXK16" s="11"/>
      <c r="SXL16" s="11"/>
      <c r="SXM16" s="11"/>
      <c r="SXN16" s="11"/>
      <c r="SXO16" s="11"/>
      <c r="SXP16" s="11"/>
      <c r="SXQ16" s="11"/>
      <c r="SXR16" s="11"/>
      <c r="SXS16" s="11"/>
      <c r="SXT16" s="11"/>
      <c r="SXU16" s="11"/>
      <c r="SXV16" s="11"/>
      <c r="SXW16" s="11"/>
      <c r="SXX16" s="11"/>
      <c r="SXY16" s="11"/>
      <c r="SXZ16" s="11"/>
      <c r="SYA16" s="11"/>
      <c r="SYB16" s="11"/>
      <c r="SYC16" s="11"/>
      <c r="SYD16" s="11"/>
      <c r="SYE16" s="11"/>
      <c r="SYF16" s="11"/>
      <c r="SYG16" s="11"/>
      <c r="SYH16" s="11"/>
      <c r="SYI16" s="11"/>
      <c r="SYJ16" s="11"/>
      <c r="SYK16" s="11"/>
      <c r="SYL16" s="11"/>
      <c r="SYM16" s="11"/>
      <c r="SYN16" s="11"/>
      <c r="SYO16" s="11"/>
      <c r="SYP16" s="11"/>
      <c r="SYQ16" s="11"/>
      <c r="SYR16" s="11"/>
      <c r="SYS16" s="11"/>
      <c r="SYT16" s="11"/>
      <c r="SYU16" s="11"/>
      <c r="SYV16" s="11"/>
      <c r="SYW16" s="11"/>
      <c r="SYX16" s="11"/>
      <c r="SYY16" s="11"/>
      <c r="SYZ16" s="11"/>
      <c r="SZA16" s="11"/>
      <c r="SZB16" s="11"/>
      <c r="SZC16" s="11"/>
      <c r="SZD16" s="11"/>
      <c r="SZE16" s="11"/>
      <c r="SZF16" s="11"/>
      <c r="SZG16" s="11"/>
      <c r="SZH16" s="11"/>
      <c r="SZI16" s="11"/>
      <c r="SZJ16" s="11"/>
      <c r="SZK16" s="11"/>
      <c r="SZL16" s="11"/>
      <c r="SZM16" s="11"/>
      <c r="SZN16" s="11"/>
      <c r="SZO16" s="11"/>
      <c r="SZP16" s="11"/>
      <c r="SZQ16" s="11"/>
      <c r="SZR16" s="11"/>
      <c r="SZS16" s="11"/>
      <c r="SZT16" s="11"/>
      <c r="SZU16" s="11"/>
      <c r="SZV16" s="11"/>
      <c r="SZW16" s="11"/>
      <c r="SZX16" s="11"/>
      <c r="SZY16" s="11"/>
      <c r="SZZ16" s="11"/>
      <c r="TAA16" s="11"/>
      <c r="TAB16" s="11"/>
      <c r="TAC16" s="11"/>
      <c r="TAD16" s="11"/>
      <c r="TAE16" s="11"/>
      <c r="TAF16" s="11"/>
      <c r="TAG16" s="11"/>
      <c r="TAH16" s="11"/>
      <c r="TAI16" s="11"/>
      <c r="TAJ16" s="11"/>
      <c r="TAK16" s="11"/>
      <c r="TAL16" s="11"/>
      <c r="TAM16" s="11"/>
      <c r="TAN16" s="11"/>
      <c r="TAO16" s="11"/>
      <c r="TAP16" s="11"/>
      <c r="TAQ16" s="11"/>
      <c r="TAR16" s="11"/>
      <c r="TAS16" s="11"/>
      <c r="TAT16" s="11"/>
      <c r="TAU16" s="11"/>
      <c r="TAV16" s="11"/>
      <c r="TAW16" s="11"/>
      <c r="TAX16" s="11"/>
      <c r="TAY16" s="11"/>
      <c r="TAZ16" s="11"/>
      <c r="TBA16" s="11"/>
      <c r="TBB16" s="11"/>
      <c r="TBC16" s="11"/>
      <c r="TBD16" s="11"/>
      <c r="TBE16" s="11"/>
      <c r="TBF16" s="11"/>
      <c r="TBG16" s="11"/>
      <c r="TBH16" s="11"/>
      <c r="TBI16" s="11"/>
      <c r="TBJ16" s="11"/>
      <c r="TBK16" s="11"/>
      <c r="TBL16" s="11"/>
      <c r="TBM16" s="11"/>
      <c r="TBN16" s="11"/>
      <c r="TBO16" s="11"/>
      <c r="TBP16" s="11"/>
      <c r="TBQ16" s="11"/>
      <c r="TBR16" s="11"/>
      <c r="TBS16" s="11"/>
      <c r="TBT16" s="11"/>
      <c r="TBU16" s="11"/>
      <c r="TBV16" s="11"/>
      <c r="TBW16" s="11"/>
      <c r="TBX16" s="11"/>
      <c r="TBY16" s="11"/>
      <c r="TBZ16" s="11"/>
      <c r="TCA16" s="11"/>
      <c r="TCB16" s="11"/>
      <c r="TCC16" s="11"/>
      <c r="TCD16" s="11"/>
      <c r="TCE16" s="11"/>
      <c r="TCF16" s="11"/>
      <c r="TCG16" s="11"/>
      <c r="TCH16" s="11"/>
      <c r="TCI16" s="11"/>
      <c r="TCJ16" s="11"/>
      <c r="TCK16" s="11"/>
      <c r="TCL16" s="11"/>
      <c r="TCM16" s="11"/>
      <c r="TCN16" s="11"/>
      <c r="TCO16" s="11"/>
      <c r="TCP16" s="11"/>
      <c r="TCQ16" s="11"/>
      <c r="TCR16" s="11"/>
      <c r="TCS16" s="11"/>
      <c r="TCT16" s="11"/>
      <c r="TCU16" s="11"/>
      <c r="TCV16" s="11"/>
      <c r="TCW16" s="11"/>
      <c r="TCX16" s="11"/>
      <c r="TCY16" s="11"/>
      <c r="TCZ16" s="11"/>
      <c r="TDA16" s="11"/>
      <c r="TDB16" s="11"/>
      <c r="TDC16" s="11"/>
      <c r="TDD16" s="11"/>
      <c r="TDE16" s="11"/>
      <c r="TDF16" s="11"/>
      <c r="TDG16" s="11"/>
      <c r="TDH16" s="11"/>
      <c r="TDI16" s="11"/>
      <c r="TDJ16" s="11"/>
      <c r="TDK16" s="11"/>
      <c r="TDL16" s="11"/>
      <c r="TDM16" s="11"/>
      <c r="TDN16" s="11"/>
      <c r="TDO16" s="11"/>
      <c r="TDP16" s="11"/>
      <c r="TDQ16" s="11"/>
      <c r="TDR16" s="11"/>
      <c r="TDS16" s="11"/>
      <c r="TDT16" s="11"/>
      <c r="TDU16" s="11"/>
      <c r="TDV16" s="11"/>
      <c r="TDW16" s="11"/>
      <c r="TDX16" s="11"/>
      <c r="TDY16" s="11"/>
      <c r="TDZ16" s="11"/>
      <c r="TEA16" s="11"/>
      <c r="TEB16" s="11"/>
      <c r="TEC16" s="11"/>
      <c r="TED16" s="11"/>
      <c r="TEE16" s="11"/>
      <c r="TEF16" s="11"/>
      <c r="TEG16" s="11"/>
      <c r="TEH16" s="11"/>
      <c r="TEI16" s="11"/>
      <c r="TEJ16" s="11"/>
      <c r="TEK16" s="11"/>
      <c r="TEL16" s="11"/>
      <c r="TEM16" s="11"/>
      <c r="TEN16" s="11"/>
      <c r="TEO16" s="11"/>
      <c r="TEP16" s="11"/>
      <c r="TEQ16" s="11"/>
      <c r="TER16" s="11"/>
      <c r="TES16" s="11"/>
      <c r="TET16" s="11"/>
      <c r="TEU16" s="11"/>
      <c r="TEV16" s="11"/>
      <c r="TEW16" s="11"/>
      <c r="TEX16" s="11"/>
      <c r="TEY16" s="11"/>
      <c r="TEZ16" s="11"/>
      <c r="TFA16" s="11"/>
      <c r="TFB16" s="11"/>
      <c r="TFC16" s="11"/>
      <c r="TFD16" s="11"/>
      <c r="TFE16" s="11"/>
      <c r="TFF16" s="11"/>
      <c r="TFG16" s="11"/>
      <c r="TFH16" s="11"/>
      <c r="TFI16" s="11"/>
      <c r="TFJ16" s="11"/>
      <c r="TFK16" s="11"/>
      <c r="TFL16" s="11"/>
      <c r="TFM16" s="11"/>
      <c r="TFN16" s="11"/>
      <c r="TFO16" s="11"/>
      <c r="TFP16" s="11"/>
      <c r="TFQ16" s="11"/>
      <c r="TFR16" s="11"/>
      <c r="TFS16" s="11"/>
      <c r="TFT16" s="11"/>
      <c r="TFU16" s="11"/>
      <c r="TFV16" s="11"/>
      <c r="TFW16" s="11"/>
      <c r="TFX16" s="11"/>
      <c r="TFY16" s="11"/>
      <c r="TFZ16" s="11"/>
      <c r="TGA16" s="11"/>
      <c r="TGB16" s="11"/>
      <c r="TGC16" s="11"/>
      <c r="TGD16" s="11"/>
      <c r="TGE16" s="11"/>
      <c r="TGF16" s="11"/>
      <c r="TGG16" s="11"/>
      <c r="TGH16" s="11"/>
      <c r="TGI16" s="11"/>
      <c r="TGJ16" s="11"/>
      <c r="TGK16" s="11"/>
      <c r="TGL16" s="11"/>
      <c r="TGM16" s="11"/>
      <c r="TGN16" s="11"/>
      <c r="TGO16" s="11"/>
      <c r="TGP16" s="11"/>
      <c r="TGQ16" s="11"/>
      <c r="TGR16" s="11"/>
      <c r="TGS16" s="11"/>
      <c r="TGT16" s="11"/>
      <c r="TGU16" s="11"/>
      <c r="TGV16" s="11"/>
      <c r="TGW16" s="11"/>
      <c r="TGX16" s="11"/>
      <c r="TGY16" s="11"/>
      <c r="TGZ16" s="11"/>
      <c r="THA16" s="11"/>
      <c r="THB16" s="11"/>
      <c r="THC16" s="11"/>
      <c r="THD16" s="11"/>
      <c r="THE16" s="11"/>
      <c r="THF16" s="11"/>
      <c r="THG16" s="11"/>
      <c r="THH16" s="11"/>
      <c r="THI16" s="11"/>
      <c r="THJ16" s="11"/>
      <c r="THK16" s="11"/>
      <c r="THL16" s="11"/>
      <c r="THM16" s="11"/>
      <c r="THN16" s="11"/>
      <c r="THO16" s="11"/>
      <c r="THP16" s="11"/>
      <c r="THQ16" s="11"/>
      <c r="THR16" s="11"/>
      <c r="THS16" s="11"/>
      <c r="THT16" s="11"/>
      <c r="THU16" s="11"/>
      <c r="THV16" s="11"/>
      <c r="THW16" s="11"/>
      <c r="THX16" s="11"/>
      <c r="THY16" s="11"/>
      <c r="THZ16" s="11"/>
      <c r="TIA16" s="11"/>
      <c r="TIB16" s="11"/>
      <c r="TIC16" s="11"/>
      <c r="TID16" s="11"/>
      <c r="TIE16" s="11"/>
      <c r="TIF16" s="11"/>
      <c r="TIG16" s="11"/>
      <c r="TIH16" s="11"/>
      <c r="TII16" s="11"/>
      <c r="TIJ16" s="11"/>
      <c r="TIK16" s="11"/>
      <c r="TIL16" s="11"/>
      <c r="TIM16" s="11"/>
      <c r="TIN16" s="11"/>
      <c r="TIO16" s="11"/>
      <c r="TIP16" s="11"/>
      <c r="TIQ16" s="11"/>
      <c r="TIR16" s="11"/>
      <c r="TIS16" s="11"/>
      <c r="TIT16" s="11"/>
      <c r="TIU16" s="11"/>
      <c r="TIV16" s="11"/>
      <c r="TIW16" s="11"/>
      <c r="TIX16" s="11"/>
      <c r="TIY16" s="11"/>
      <c r="TIZ16" s="11"/>
      <c r="TJA16" s="11"/>
      <c r="TJB16" s="11"/>
      <c r="TJC16" s="11"/>
      <c r="TJD16" s="11"/>
      <c r="TJE16" s="11"/>
      <c r="TJF16" s="11"/>
      <c r="TJG16" s="11"/>
      <c r="TJH16" s="11"/>
      <c r="TJI16" s="11"/>
      <c r="TJJ16" s="11"/>
      <c r="TJK16" s="11"/>
      <c r="TJL16" s="11"/>
      <c r="TJM16" s="11"/>
      <c r="TJN16" s="11"/>
      <c r="TJO16" s="11"/>
      <c r="TJP16" s="11"/>
      <c r="TJQ16" s="11"/>
      <c r="TJR16" s="11"/>
      <c r="TJS16" s="11"/>
      <c r="TJT16" s="11"/>
      <c r="TJU16" s="11"/>
      <c r="TJV16" s="11"/>
      <c r="TJW16" s="11"/>
      <c r="TJX16" s="11"/>
      <c r="TJY16" s="11"/>
      <c r="TJZ16" s="11"/>
      <c r="TKA16" s="11"/>
      <c r="TKB16" s="11"/>
      <c r="TKC16" s="11"/>
      <c r="TKD16" s="11"/>
      <c r="TKE16" s="11"/>
      <c r="TKF16" s="11"/>
      <c r="TKG16" s="11"/>
      <c r="TKH16" s="11"/>
      <c r="TKI16" s="11"/>
      <c r="TKJ16" s="11"/>
      <c r="TKK16" s="11"/>
      <c r="TKL16" s="11"/>
      <c r="TKM16" s="11"/>
      <c r="TKN16" s="11"/>
      <c r="TKO16" s="11"/>
      <c r="TKP16" s="11"/>
      <c r="TKQ16" s="11"/>
      <c r="TKR16" s="11"/>
      <c r="TKS16" s="11"/>
      <c r="TKT16" s="11"/>
      <c r="TKU16" s="11"/>
      <c r="TKV16" s="11"/>
      <c r="TKW16" s="11"/>
      <c r="TKX16" s="11"/>
      <c r="TKY16" s="11"/>
      <c r="TKZ16" s="11"/>
      <c r="TLA16" s="11"/>
      <c r="TLB16" s="11"/>
      <c r="TLC16" s="11"/>
      <c r="TLD16" s="11"/>
      <c r="TLE16" s="11"/>
      <c r="TLF16" s="11"/>
      <c r="TLG16" s="11"/>
      <c r="TLH16" s="11"/>
      <c r="TLI16" s="11"/>
      <c r="TLJ16" s="11"/>
      <c r="TLK16" s="11"/>
      <c r="TLL16" s="11"/>
      <c r="TLM16" s="11"/>
      <c r="TLN16" s="11"/>
      <c r="TLO16" s="11"/>
      <c r="TLP16" s="11"/>
      <c r="TLQ16" s="11"/>
      <c r="TLR16" s="11"/>
      <c r="TLS16" s="11"/>
      <c r="TLT16" s="11"/>
      <c r="TLU16" s="11"/>
      <c r="TLV16" s="11"/>
      <c r="TLW16" s="11"/>
      <c r="TLX16" s="11"/>
      <c r="TLY16" s="11"/>
      <c r="TLZ16" s="11"/>
      <c r="TMA16" s="11"/>
      <c r="TMB16" s="11"/>
      <c r="TMC16" s="11"/>
      <c r="TMD16" s="11"/>
      <c r="TME16" s="11"/>
      <c r="TMF16" s="11"/>
      <c r="TMG16" s="11"/>
      <c r="TMH16" s="11"/>
      <c r="TMI16" s="11"/>
      <c r="TMJ16" s="11"/>
      <c r="TMK16" s="11"/>
      <c r="TML16" s="11"/>
      <c r="TMM16" s="11"/>
      <c r="TMN16" s="11"/>
      <c r="TMO16" s="11"/>
      <c r="TMP16" s="11"/>
      <c r="TMQ16" s="11"/>
      <c r="TMR16" s="11"/>
      <c r="TMS16" s="11"/>
      <c r="TMT16" s="11"/>
      <c r="TMU16" s="11"/>
      <c r="TMV16" s="11"/>
      <c r="TMW16" s="11"/>
      <c r="TMX16" s="11"/>
      <c r="TMY16" s="11"/>
      <c r="TMZ16" s="11"/>
      <c r="TNA16" s="11"/>
      <c r="TNB16" s="11"/>
      <c r="TNC16" s="11"/>
      <c r="TND16" s="11"/>
      <c r="TNE16" s="11"/>
      <c r="TNF16" s="11"/>
      <c r="TNG16" s="11"/>
      <c r="TNH16" s="11"/>
      <c r="TNI16" s="11"/>
      <c r="TNJ16" s="11"/>
      <c r="TNK16" s="11"/>
      <c r="TNL16" s="11"/>
      <c r="TNM16" s="11"/>
      <c r="TNN16" s="11"/>
      <c r="TNO16" s="11"/>
      <c r="TNP16" s="11"/>
      <c r="TNQ16" s="11"/>
      <c r="TNR16" s="11"/>
      <c r="TNS16" s="11"/>
      <c r="TNT16" s="11"/>
      <c r="TNU16" s="11"/>
      <c r="TNV16" s="11"/>
      <c r="TNW16" s="11"/>
      <c r="TNX16" s="11"/>
      <c r="TNY16" s="11"/>
      <c r="TNZ16" s="11"/>
      <c r="TOA16" s="11"/>
      <c r="TOB16" s="11"/>
      <c r="TOC16" s="11"/>
      <c r="TOD16" s="11"/>
      <c r="TOE16" s="11"/>
      <c r="TOF16" s="11"/>
      <c r="TOG16" s="11"/>
      <c r="TOH16" s="11"/>
      <c r="TOI16" s="11"/>
      <c r="TOJ16" s="11"/>
      <c r="TOK16" s="11"/>
      <c r="TOL16" s="11"/>
      <c r="TOM16" s="11"/>
      <c r="TON16" s="11"/>
      <c r="TOO16" s="11"/>
      <c r="TOP16" s="11"/>
      <c r="TOQ16" s="11"/>
      <c r="TOR16" s="11"/>
      <c r="TOS16" s="11"/>
      <c r="TOT16" s="11"/>
      <c r="TOU16" s="11"/>
      <c r="TOV16" s="11"/>
      <c r="TOW16" s="11"/>
      <c r="TOX16" s="11"/>
      <c r="TOY16" s="11"/>
      <c r="TOZ16" s="11"/>
      <c r="TPA16" s="11"/>
      <c r="TPB16" s="11"/>
      <c r="TPC16" s="11"/>
      <c r="TPD16" s="11"/>
      <c r="TPE16" s="11"/>
      <c r="TPF16" s="11"/>
      <c r="TPG16" s="11"/>
      <c r="TPH16" s="11"/>
      <c r="TPI16" s="11"/>
      <c r="TPJ16" s="11"/>
      <c r="TPK16" s="11"/>
      <c r="TPL16" s="11"/>
      <c r="TPM16" s="11"/>
      <c r="TPN16" s="11"/>
      <c r="TPO16" s="11"/>
      <c r="TPP16" s="11"/>
      <c r="TPQ16" s="11"/>
      <c r="TPR16" s="11"/>
      <c r="TPS16" s="11"/>
      <c r="TPT16" s="11"/>
      <c r="TPU16" s="11"/>
      <c r="TPV16" s="11"/>
      <c r="TPW16" s="11"/>
      <c r="TPX16" s="11"/>
      <c r="TPY16" s="11"/>
      <c r="TPZ16" s="11"/>
      <c r="TQA16" s="11"/>
      <c r="TQB16" s="11"/>
      <c r="TQC16" s="11"/>
      <c r="TQD16" s="11"/>
      <c r="TQE16" s="11"/>
      <c r="TQF16" s="11"/>
      <c r="TQG16" s="11"/>
      <c r="TQH16" s="11"/>
      <c r="TQI16" s="11"/>
      <c r="TQJ16" s="11"/>
      <c r="TQK16" s="11"/>
      <c r="TQL16" s="11"/>
      <c r="TQM16" s="11"/>
      <c r="TQN16" s="11"/>
      <c r="TQO16" s="11"/>
      <c r="TQP16" s="11"/>
      <c r="TQQ16" s="11"/>
      <c r="TQR16" s="11"/>
      <c r="TQS16" s="11"/>
      <c r="TQT16" s="11"/>
      <c r="TQU16" s="11"/>
      <c r="TQV16" s="11"/>
      <c r="TQW16" s="11"/>
      <c r="TQX16" s="11"/>
      <c r="TQY16" s="11"/>
      <c r="TQZ16" s="11"/>
      <c r="TRA16" s="11"/>
      <c r="TRB16" s="11"/>
      <c r="TRC16" s="11"/>
      <c r="TRD16" s="11"/>
      <c r="TRE16" s="11"/>
      <c r="TRF16" s="11"/>
      <c r="TRG16" s="11"/>
      <c r="TRH16" s="11"/>
      <c r="TRI16" s="11"/>
      <c r="TRJ16" s="11"/>
      <c r="TRK16" s="11"/>
      <c r="TRL16" s="11"/>
      <c r="TRM16" s="11"/>
      <c r="TRN16" s="11"/>
      <c r="TRO16" s="11"/>
      <c r="TRP16" s="11"/>
      <c r="TRQ16" s="11"/>
      <c r="TRR16" s="11"/>
      <c r="TRS16" s="11"/>
      <c r="TRT16" s="11"/>
      <c r="TRU16" s="11"/>
      <c r="TRV16" s="11"/>
      <c r="TRW16" s="11"/>
      <c r="TRX16" s="11"/>
      <c r="TRY16" s="11"/>
      <c r="TRZ16" s="11"/>
      <c r="TSA16" s="11"/>
      <c r="TSB16" s="11"/>
      <c r="TSC16" s="11"/>
      <c r="TSD16" s="11"/>
      <c r="TSE16" s="11"/>
      <c r="TSF16" s="11"/>
      <c r="TSG16" s="11"/>
      <c r="TSH16" s="11"/>
      <c r="TSI16" s="11"/>
      <c r="TSJ16" s="11"/>
      <c r="TSK16" s="11"/>
      <c r="TSL16" s="11"/>
      <c r="TSM16" s="11"/>
      <c r="TSN16" s="11"/>
      <c r="TSO16" s="11"/>
      <c r="TSP16" s="11"/>
      <c r="TSQ16" s="11"/>
      <c r="TSR16" s="11"/>
      <c r="TSS16" s="11"/>
      <c r="TST16" s="11"/>
      <c r="TSU16" s="11"/>
      <c r="TSV16" s="11"/>
      <c r="TSW16" s="11"/>
      <c r="TSX16" s="11"/>
      <c r="TSY16" s="11"/>
      <c r="TSZ16" s="11"/>
      <c r="TTA16" s="11"/>
      <c r="TTB16" s="11"/>
      <c r="TTC16" s="11"/>
      <c r="TTD16" s="11"/>
      <c r="TTE16" s="11"/>
      <c r="TTF16" s="11"/>
      <c r="TTG16" s="11"/>
      <c r="TTH16" s="11"/>
      <c r="TTI16" s="11"/>
      <c r="TTJ16" s="11"/>
      <c r="TTK16" s="11"/>
      <c r="TTL16" s="11"/>
      <c r="TTM16" s="11"/>
      <c r="TTN16" s="11"/>
      <c r="TTO16" s="11"/>
      <c r="TTP16" s="11"/>
      <c r="TTQ16" s="11"/>
      <c r="TTR16" s="11"/>
      <c r="TTS16" s="11"/>
      <c r="TTT16" s="11"/>
      <c r="TTU16" s="11"/>
      <c r="TTV16" s="11"/>
      <c r="TTW16" s="11"/>
      <c r="TTX16" s="11"/>
      <c r="TTY16" s="11"/>
      <c r="TTZ16" s="11"/>
      <c r="TUA16" s="11"/>
      <c r="TUB16" s="11"/>
      <c r="TUC16" s="11"/>
      <c r="TUD16" s="11"/>
      <c r="TUE16" s="11"/>
      <c r="TUF16" s="11"/>
      <c r="TUG16" s="11"/>
      <c r="TUH16" s="11"/>
      <c r="TUI16" s="11"/>
      <c r="TUJ16" s="11"/>
      <c r="TUK16" s="11"/>
      <c r="TUL16" s="11"/>
      <c r="TUM16" s="11"/>
      <c r="TUN16" s="11"/>
      <c r="TUO16" s="11"/>
      <c r="TUP16" s="11"/>
      <c r="TUQ16" s="11"/>
      <c r="TUR16" s="11"/>
      <c r="TUS16" s="11"/>
      <c r="TUT16" s="11"/>
      <c r="TUU16" s="11"/>
      <c r="TUV16" s="11"/>
      <c r="TUW16" s="11"/>
      <c r="TUX16" s="11"/>
      <c r="TUY16" s="11"/>
      <c r="TUZ16" s="11"/>
      <c r="TVA16" s="11"/>
      <c r="TVB16" s="11"/>
      <c r="TVC16" s="11"/>
      <c r="TVD16" s="11"/>
      <c r="TVE16" s="11"/>
      <c r="TVF16" s="11"/>
      <c r="TVG16" s="11"/>
      <c r="TVH16" s="11"/>
      <c r="TVI16" s="11"/>
      <c r="TVJ16" s="11"/>
      <c r="TVK16" s="11"/>
      <c r="TVL16" s="11"/>
      <c r="TVM16" s="11"/>
      <c r="TVN16" s="11"/>
      <c r="TVO16" s="11"/>
      <c r="TVP16" s="11"/>
      <c r="TVQ16" s="11"/>
      <c r="TVR16" s="11"/>
      <c r="TVS16" s="11"/>
      <c r="TVT16" s="11"/>
      <c r="TVU16" s="11"/>
      <c r="TVV16" s="11"/>
      <c r="TVW16" s="11"/>
      <c r="TVX16" s="11"/>
      <c r="TVY16" s="11"/>
      <c r="TVZ16" s="11"/>
      <c r="TWA16" s="11"/>
      <c r="TWB16" s="11"/>
      <c r="TWC16" s="11"/>
      <c r="TWD16" s="11"/>
      <c r="TWE16" s="11"/>
      <c r="TWF16" s="11"/>
      <c r="TWG16" s="11"/>
      <c r="TWH16" s="11"/>
      <c r="TWI16" s="11"/>
      <c r="TWJ16" s="11"/>
      <c r="TWK16" s="11"/>
      <c r="TWL16" s="11"/>
      <c r="TWM16" s="11"/>
      <c r="TWN16" s="11"/>
      <c r="TWO16" s="11"/>
      <c r="TWP16" s="11"/>
      <c r="TWQ16" s="11"/>
      <c r="TWR16" s="11"/>
      <c r="TWS16" s="11"/>
      <c r="TWT16" s="11"/>
      <c r="TWU16" s="11"/>
      <c r="TWV16" s="11"/>
      <c r="TWW16" s="11"/>
      <c r="TWX16" s="11"/>
      <c r="TWY16" s="11"/>
      <c r="TWZ16" s="11"/>
      <c r="TXA16" s="11"/>
      <c r="TXB16" s="11"/>
      <c r="TXC16" s="11"/>
      <c r="TXD16" s="11"/>
      <c r="TXE16" s="11"/>
      <c r="TXF16" s="11"/>
      <c r="TXG16" s="11"/>
      <c r="TXH16" s="11"/>
      <c r="TXI16" s="11"/>
      <c r="TXJ16" s="11"/>
      <c r="TXK16" s="11"/>
      <c r="TXL16" s="11"/>
      <c r="TXM16" s="11"/>
      <c r="TXN16" s="11"/>
      <c r="TXO16" s="11"/>
      <c r="TXP16" s="11"/>
      <c r="TXQ16" s="11"/>
      <c r="TXR16" s="11"/>
      <c r="TXS16" s="11"/>
      <c r="TXT16" s="11"/>
      <c r="TXU16" s="11"/>
      <c r="TXV16" s="11"/>
      <c r="TXW16" s="11"/>
      <c r="TXX16" s="11"/>
      <c r="TXY16" s="11"/>
      <c r="TXZ16" s="11"/>
      <c r="TYA16" s="11"/>
      <c r="TYB16" s="11"/>
      <c r="TYC16" s="11"/>
      <c r="TYD16" s="11"/>
      <c r="TYE16" s="11"/>
      <c r="TYF16" s="11"/>
      <c r="TYG16" s="11"/>
      <c r="TYH16" s="11"/>
      <c r="TYI16" s="11"/>
      <c r="TYJ16" s="11"/>
      <c r="TYK16" s="11"/>
      <c r="TYL16" s="11"/>
      <c r="TYM16" s="11"/>
      <c r="TYN16" s="11"/>
      <c r="TYO16" s="11"/>
      <c r="TYP16" s="11"/>
      <c r="TYQ16" s="11"/>
      <c r="TYR16" s="11"/>
      <c r="TYS16" s="11"/>
      <c r="TYT16" s="11"/>
      <c r="TYU16" s="11"/>
      <c r="TYV16" s="11"/>
      <c r="TYW16" s="11"/>
      <c r="TYX16" s="11"/>
      <c r="TYY16" s="11"/>
      <c r="TYZ16" s="11"/>
      <c r="TZA16" s="11"/>
      <c r="TZB16" s="11"/>
      <c r="TZC16" s="11"/>
      <c r="TZD16" s="11"/>
      <c r="TZE16" s="11"/>
      <c r="TZF16" s="11"/>
      <c r="TZG16" s="11"/>
      <c r="TZH16" s="11"/>
      <c r="TZI16" s="11"/>
      <c r="TZJ16" s="11"/>
      <c r="TZK16" s="11"/>
      <c r="TZL16" s="11"/>
      <c r="TZM16" s="11"/>
      <c r="TZN16" s="11"/>
      <c r="TZO16" s="11"/>
      <c r="TZP16" s="11"/>
      <c r="TZQ16" s="11"/>
      <c r="TZR16" s="11"/>
      <c r="TZS16" s="11"/>
      <c r="TZT16" s="11"/>
      <c r="TZU16" s="11"/>
      <c r="TZV16" s="11"/>
      <c r="TZW16" s="11"/>
      <c r="TZX16" s="11"/>
      <c r="TZY16" s="11"/>
      <c r="TZZ16" s="11"/>
      <c r="UAA16" s="11"/>
      <c r="UAB16" s="11"/>
      <c r="UAC16" s="11"/>
      <c r="UAD16" s="11"/>
      <c r="UAE16" s="11"/>
      <c r="UAF16" s="11"/>
      <c r="UAG16" s="11"/>
      <c r="UAH16" s="11"/>
      <c r="UAI16" s="11"/>
      <c r="UAJ16" s="11"/>
      <c r="UAK16" s="11"/>
      <c r="UAL16" s="11"/>
      <c r="UAM16" s="11"/>
      <c r="UAN16" s="11"/>
      <c r="UAO16" s="11"/>
      <c r="UAP16" s="11"/>
      <c r="UAQ16" s="11"/>
      <c r="UAR16" s="11"/>
      <c r="UAS16" s="11"/>
      <c r="UAT16" s="11"/>
      <c r="UAU16" s="11"/>
      <c r="UAV16" s="11"/>
      <c r="UAW16" s="11"/>
      <c r="UAX16" s="11"/>
      <c r="UAY16" s="11"/>
      <c r="UAZ16" s="11"/>
      <c r="UBA16" s="11"/>
      <c r="UBB16" s="11"/>
      <c r="UBC16" s="11"/>
      <c r="UBD16" s="11"/>
      <c r="UBE16" s="11"/>
      <c r="UBF16" s="11"/>
      <c r="UBG16" s="11"/>
      <c r="UBH16" s="11"/>
      <c r="UBI16" s="11"/>
      <c r="UBJ16" s="11"/>
      <c r="UBK16" s="11"/>
      <c r="UBL16" s="11"/>
      <c r="UBM16" s="11"/>
      <c r="UBN16" s="11"/>
      <c r="UBO16" s="11"/>
      <c r="UBP16" s="11"/>
      <c r="UBQ16" s="11"/>
      <c r="UBR16" s="11"/>
      <c r="UBS16" s="11"/>
      <c r="UBT16" s="11"/>
      <c r="UBU16" s="11"/>
      <c r="UBV16" s="11"/>
      <c r="UBW16" s="11"/>
      <c r="UBX16" s="11"/>
      <c r="UBY16" s="11"/>
      <c r="UBZ16" s="11"/>
      <c r="UCA16" s="11"/>
      <c r="UCB16" s="11"/>
      <c r="UCC16" s="11"/>
      <c r="UCD16" s="11"/>
      <c r="UCE16" s="11"/>
      <c r="UCF16" s="11"/>
      <c r="UCG16" s="11"/>
      <c r="UCH16" s="11"/>
      <c r="UCI16" s="11"/>
      <c r="UCJ16" s="11"/>
      <c r="UCK16" s="11"/>
      <c r="UCL16" s="11"/>
      <c r="UCM16" s="11"/>
      <c r="UCN16" s="11"/>
      <c r="UCO16" s="11"/>
      <c r="UCP16" s="11"/>
      <c r="UCQ16" s="11"/>
      <c r="UCR16" s="11"/>
      <c r="UCS16" s="11"/>
      <c r="UCT16" s="11"/>
      <c r="UCU16" s="11"/>
      <c r="UCV16" s="11"/>
      <c r="UCW16" s="11"/>
      <c r="UCX16" s="11"/>
      <c r="UCY16" s="11"/>
      <c r="UCZ16" s="11"/>
      <c r="UDA16" s="11"/>
      <c r="UDB16" s="11"/>
      <c r="UDC16" s="11"/>
      <c r="UDD16" s="11"/>
      <c r="UDE16" s="11"/>
      <c r="UDF16" s="11"/>
      <c r="UDG16" s="11"/>
      <c r="UDH16" s="11"/>
      <c r="UDI16" s="11"/>
      <c r="UDJ16" s="11"/>
      <c r="UDK16" s="11"/>
      <c r="UDL16" s="11"/>
      <c r="UDM16" s="11"/>
      <c r="UDN16" s="11"/>
      <c r="UDO16" s="11"/>
      <c r="UDP16" s="11"/>
      <c r="UDQ16" s="11"/>
      <c r="UDR16" s="11"/>
      <c r="UDS16" s="11"/>
      <c r="UDT16" s="11"/>
      <c r="UDU16" s="11"/>
      <c r="UDV16" s="11"/>
      <c r="UDW16" s="11"/>
      <c r="UDX16" s="11"/>
      <c r="UDY16" s="11"/>
      <c r="UDZ16" s="11"/>
      <c r="UEA16" s="11"/>
      <c r="UEB16" s="11"/>
      <c r="UEC16" s="11"/>
      <c r="UED16" s="11"/>
      <c r="UEE16" s="11"/>
      <c r="UEF16" s="11"/>
      <c r="UEG16" s="11"/>
      <c r="UEH16" s="11"/>
      <c r="UEI16" s="11"/>
      <c r="UEJ16" s="11"/>
      <c r="UEK16" s="11"/>
      <c r="UEL16" s="11"/>
      <c r="UEM16" s="11"/>
      <c r="UEN16" s="11"/>
      <c r="UEO16" s="11"/>
      <c r="UEP16" s="11"/>
      <c r="UEQ16" s="11"/>
      <c r="UER16" s="11"/>
      <c r="UES16" s="11"/>
      <c r="UET16" s="11"/>
      <c r="UEU16" s="11"/>
      <c r="UEV16" s="11"/>
      <c r="UEW16" s="11"/>
      <c r="UEX16" s="11"/>
      <c r="UEY16" s="11"/>
      <c r="UEZ16" s="11"/>
      <c r="UFA16" s="11"/>
      <c r="UFB16" s="11"/>
      <c r="UFC16" s="11"/>
      <c r="UFD16" s="11"/>
      <c r="UFE16" s="11"/>
      <c r="UFF16" s="11"/>
      <c r="UFG16" s="11"/>
      <c r="UFH16" s="11"/>
      <c r="UFI16" s="11"/>
      <c r="UFJ16" s="11"/>
      <c r="UFK16" s="11"/>
      <c r="UFL16" s="11"/>
      <c r="UFM16" s="11"/>
      <c r="UFN16" s="11"/>
      <c r="UFO16" s="11"/>
      <c r="UFP16" s="11"/>
      <c r="UFQ16" s="11"/>
      <c r="UFR16" s="11"/>
      <c r="UFS16" s="11"/>
      <c r="UFT16" s="11"/>
      <c r="UFU16" s="11"/>
      <c r="UFV16" s="11"/>
      <c r="UFW16" s="11"/>
      <c r="UFX16" s="11"/>
      <c r="UFY16" s="11"/>
      <c r="UFZ16" s="11"/>
      <c r="UGA16" s="11"/>
      <c r="UGB16" s="11"/>
      <c r="UGC16" s="11"/>
      <c r="UGD16" s="11"/>
      <c r="UGE16" s="11"/>
      <c r="UGF16" s="11"/>
      <c r="UGG16" s="11"/>
      <c r="UGH16" s="11"/>
      <c r="UGI16" s="11"/>
      <c r="UGJ16" s="11"/>
      <c r="UGK16" s="11"/>
      <c r="UGL16" s="11"/>
      <c r="UGM16" s="11"/>
      <c r="UGN16" s="11"/>
      <c r="UGO16" s="11"/>
      <c r="UGP16" s="11"/>
      <c r="UGQ16" s="11"/>
      <c r="UGR16" s="11"/>
      <c r="UGS16" s="11"/>
      <c r="UGT16" s="11"/>
      <c r="UGU16" s="11"/>
      <c r="UGV16" s="11"/>
      <c r="UGW16" s="11"/>
      <c r="UGX16" s="11"/>
      <c r="UGY16" s="11"/>
      <c r="UGZ16" s="11"/>
      <c r="UHA16" s="11"/>
      <c r="UHB16" s="11"/>
      <c r="UHC16" s="11"/>
      <c r="UHD16" s="11"/>
      <c r="UHE16" s="11"/>
      <c r="UHF16" s="11"/>
      <c r="UHG16" s="11"/>
      <c r="UHH16" s="11"/>
      <c r="UHI16" s="11"/>
      <c r="UHJ16" s="11"/>
      <c r="UHK16" s="11"/>
      <c r="UHL16" s="11"/>
      <c r="UHM16" s="11"/>
      <c r="UHN16" s="11"/>
      <c r="UHO16" s="11"/>
      <c r="UHP16" s="11"/>
      <c r="UHQ16" s="11"/>
      <c r="UHR16" s="11"/>
      <c r="UHS16" s="11"/>
      <c r="UHT16" s="11"/>
      <c r="UHU16" s="11"/>
      <c r="UHV16" s="11"/>
      <c r="UHW16" s="11"/>
      <c r="UHX16" s="11"/>
      <c r="UHY16" s="11"/>
      <c r="UHZ16" s="11"/>
      <c r="UIA16" s="11"/>
      <c r="UIB16" s="11"/>
      <c r="UIC16" s="11"/>
      <c r="UID16" s="11"/>
      <c r="UIE16" s="11"/>
      <c r="UIF16" s="11"/>
      <c r="UIG16" s="11"/>
      <c r="UIH16" s="11"/>
      <c r="UII16" s="11"/>
      <c r="UIJ16" s="11"/>
      <c r="UIK16" s="11"/>
      <c r="UIL16" s="11"/>
      <c r="UIM16" s="11"/>
      <c r="UIN16" s="11"/>
      <c r="UIO16" s="11"/>
      <c r="UIP16" s="11"/>
      <c r="UIQ16" s="11"/>
      <c r="UIR16" s="11"/>
      <c r="UIS16" s="11"/>
      <c r="UIT16" s="11"/>
      <c r="UIU16" s="11"/>
      <c r="UIV16" s="11"/>
      <c r="UIW16" s="11"/>
      <c r="UIX16" s="11"/>
      <c r="UIY16" s="11"/>
      <c r="UIZ16" s="11"/>
      <c r="UJA16" s="11"/>
      <c r="UJB16" s="11"/>
      <c r="UJC16" s="11"/>
      <c r="UJD16" s="11"/>
      <c r="UJE16" s="11"/>
      <c r="UJF16" s="11"/>
      <c r="UJG16" s="11"/>
      <c r="UJH16" s="11"/>
      <c r="UJI16" s="11"/>
      <c r="UJJ16" s="11"/>
      <c r="UJK16" s="11"/>
      <c r="UJL16" s="11"/>
      <c r="UJM16" s="11"/>
      <c r="UJN16" s="11"/>
      <c r="UJO16" s="11"/>
      <c r="UJP16" s="11"/>
      <c r="UJQ16" s="11"/>
      <c r="UJR16" s="11"/>
      <c r="UJS16" s="11"/>
      <c r="UJT16" s="11"/>
      <c r="UJU16" s="11"/>
      <c r="UJV16" s="11"/>
      <c r="UJW16" s="11"/>
      <c r="UJX16" s="11"/>
      <c r="UJY16" s="11"/>
      <c r="UJZ16" s="11"/>
      <c r="UKA16" s="11"/>
      <c r="UKB16" s="11"/>
      <c r="UKC16" s="11"/>
      <c r="UKD16" s="11"/>
      <c r="UKE16" s="11"/>
      <c r="UKF16" s="11"/>
      <c r="UKG16" s="11"/>
      <c r="UKH16" s="11"/>
      <c r="UKI16" s="11"/>
      <c r="UKJ16" s="11"/>
      <c r="UKK16" s="11"/>
      <c r="UKL16" s="11"/>
      <c r="UKM16" s="11"/>
      <c r="UKN16" s="11"/>
      <c r="UKO16" s="11"/>
      <c r="UKP16" s="11"/>
      <c r="UKQ16" s="11"/>
      <c r="UKR16" s="11"/>
      <c r="UKS16" s="11"/>
      <c r="UKT16" s="11"/>
      <c r="UKU16" s="11"/>
      <c r="UKV16" s="11"/>
      <c r="UKW16" s="11"/>
      <c r="UKX16" s="11"/>
      <c r="UKY16" s="11"/>
      <c r="UKZ16" s="11"/>
      <c r="ULA16" s="11"/>
      <c r="ULB16" s="11"/>
      <c r="ULC16" s="11"/>
      <c r="ULD16" s="11"/>
      <c r="ULE16" s="11"/>
      <c r="ULF16" s="11"/>
      <c r="ULG16" s="11"/>
      <c r="ULH16" s="11"/>
      <c r="ULI16" s="11"/>
      <c r="ULJ16" s="11"/>
      <c r="ULK16" s="11"/>
      <c r="ULL16" s="11"/>
      <c r="ULM16" s="11"/>
      <c r="ULN16" s="11"/>
      <c r="ULO16" s="11"/>
      <c r="ULP16" s="11"/>
      <c r="ULQ16" s="11"/>
      <c r="ULR16" s="11"/>
      <c r="ULS16" s="11"/>
      <c r="ULT16" s="11"/>
      <c r="ULU16" s="11"/>
      <c r="ULV16" s="11"/>
      <c r="ULW16" s="11"/>
      <c r="ULX16" s="11"/>
      <c r="ULY16" s="11"/>
      <c r="ULZ16" s="11"/>
      <c r="UMA16" s="11"/>
      <c r="UMB16" s="11"/>
      <c r="UMC16" s="11"/>
      <c r="UMD16" s="11"/>
      <c r="UME16" s="11"/>
      <c r="UMF16" s="11"/>
      <c r="UMG16" s="11"/>
      <c r="UMH16" s="11"/>
      <c r="UMI16" s="11"/>
      <c r="UMJ16" s="11"/>
      <c r="UMK16" s="11"/>
      <c r="UML16" s="11"/>
      <c r="UMM16" s="11"/>
      <c r="UMN16" s="11"/>
      <c r="UMO16" s="11"/>
      <c r="UMP16" s="11"/>
      <c r="UMQ16" s="11"/>
      <c r="UMR16" s="11"/>
      <c r="UMS16" s="11"/>
      <c r="UMT16" s="11"/>
      <c r="UMU16" s="11"/>
      <c r="UMV16" s="11"/>
      <c r="UMW16" s="11"/>
      <c r="UMX16" s="11"/>
      <c r="UMY16" s="11"/>
      <c r="UMZ16" s="11"/>
      <c r="UNA16" s="11"/>
      <c r="UNB16" s="11"/>
      <c r="UNC16" s="11"/>
      <c r="UND16" s="11"/>
      <c r="UNE16" s="11"/>
      <c r="UNF16" s="11"/>
      <c r="UNG16" s="11"/>
      <c r="UNH16" s="11"/>
      <c r="UNI16" s="11"/>
      <c r="UNJ16" s="11"/>
      <c r="UNK16" s="11"/>
      <c r="UNL16" s="11"/>
      <c r="UNM16" s="11"/>
      <c r="UNN16" s="11"/>
      <c r="UNO16" s="11"/>
      <c r="UNP16" s="11"/>
      <c r="UNQ16" s="11"/>
      <c r="UNR16" s="11"/>
      <c r="UNS16" s="11"/>
      <c r="UNT16" s="11"/>
      <c r="UNU16" s="11"/>
      <c r="UNV16" s="11"/>
      <c r="UNW16" s="11"/>
      <c r="UNX16" s="11"/>
      <c r="UNY16" s="11"/>
      <c r="UNZ16" s="11"/>
      <c r="UOA16" s="11"/>
      <c r="UOB16" s="11"/>
      <c r="UOC16" s="11"/>
      <c r="UOD16" s="11"/>
      <c r="UOE16" s="11"/>
      <c r="UOF16" s="11"/>
      <c r="UOG16" s="11"/>
      <c r="UOH16" s="11"/>
      <c r="UOI16" s="11"/>
      <c r="UOJ16" s="11"/>
      <c r="UOK16" s="11"/>
      <c r="UOL16" s="11"/>
      <c r="UOM16" s="11"/>
      <c r="UON16" s="11"/>
      <c r="UOO16" s="11"/>
      <c r="UOP16" s="11"/>
      <c r="UOQ16" s="11"/>
      <c r="UOR16" s="11"/>
      <c r="UOS16" s="11"/>
      <c r="UOT16" s="11"/>
      <c r="UOU16" s="11"/>
      <c r="UOV16" s="11"/>
      <c r="UOW16" s="11"/>
      <c r="UOX16" s="11"/>
      <c r="UOY16" s="11"/>
      <c r="UOZ16" s="11"/>
      <c r="UPA16" s="11"/>
      <c r="UPB16" s="11"/>
      <c r="UPC16" s="11"/>
      <c r="UPD16" s="11"/>
      <c r="UPE16" s="11"/>
      <c r="UPF16" s="11"/>
      <c r="UPG16" s="11"/>
      <c r="UPH16" s="11"/>
      <c r="UPI16" s="11"/>
      <c r="UPJ16" s="11"/>
      <c r="UPK16" s="11"/>
      <c r="UPL16" s="11"/>
      <c r="UPM16" s="11"/>
      <c r="UPN16" s="11"/>
      <c r="UPO16" s="11"/>
      <c r="UPP16" s="11"/>
      <c r="UPQ16" s="11"/>
      <c r="UPR16" s="11"/>
      <c r="UPS16" s="11"/>
      <c r="UPT16" s="11"/>
      <c r="UPU16" s="11"/>
      <c r="UPV16" s="11"/>
      <c r="UPW16" s="11"/>
      <c r="UPX16" s="11"/>
      <c r="UPY16" s="11"/>
      <c r="UPZ16" s="11"/>
      <c r="UQA16" s="11"/>
      <c r="UQB16" s="11"/>
      <c r="UQC16" s="11"/>
      <c r="UQD16" s="11"/>
      <c r="UQE16" s="11"/>
      <c r="UQF16" s="11"/>
      <c r="UQG16" s="11"/>
      <c r="UQH16" s="11"/>
      <c r="UQI16" s="11"/>
      <c r="UQJ16" s="11"/>
      <c r="UQK16" s="11"/>
      <c r="UQL16" s="11"/>
      <c r="UQM16" s="11"/>
      <c r="UQN16" s="11"/>
      <c r="UQO16" s="11"/>
      <c r="UQP16" s="11"/>
      <c r="UQQ16" s="11"/>
      <c r="UQR16" s="11"/>
      <c r="UQS16" s="11"/>
      <c r="UQT16" s="11"/>
      <c r="UQU16" s="11"/>
      <c r="UQV16" s="11"/>
      <c r="UQW16" s="11"/>
      <c r="UQX16" s="11"/>
      <c r="UQY16" s="11"/>
      <c r="UQZ16" s="11"/>
      <c r="URA16" s="11"/>
      <c r="URB16" s="11"/>
      <c r="URC16" s="11"/>
      <c r="URD16" s="11"/>
      <c r="URE16" s="11"/>
      <c r="URF16" s="11"/>
      <c r="URG16" s="11"/>
      <c r="URH16" s="11"/>
      <c r="URI16" s="11"/>
      <c r="URJ16" s="11"/>
      <c r="URK16" s="11"/>
      <c r="URL16" s="11"/>
      <c r="URM16" s="11"/>
      <c r="URN16" s="11"/>
      <c r="URO16" s="11"/>
      <c r="URP16" s="11"/>
      <c r="URQ16" s="11"/>
      <c r="URR16" s="11"/>
      <c r="URS16" s="11"/>
      <c r="URT16" s="11"/>
      <c r="URU16" s="11"/>
      <c r="URV16" s="11"/>
      <c r="URW16" s="11"/>
      <c r="URX16" s="11"/>
      <c r="URY16" s="11"/>
      <c r="URZ16" s="11"/>
      <c r="USA16" s="11"/>
      <c r="USB16" s="11"/>
      <c r="USC16" s="11"/>
      <c r="USD16" s="11"/>
      <c r="USE16" s="11"/>
      <c r="USF16" s="11"/>
      <c r="USG16" s="11"/>
      <c r="USH16" s="11"/>
      <c r="USI16" s="11"/>
      <c r="USJ16" s="11"/>
      <c r="USK16" s="11"/>
      <c r="USL16" s="11"/>
      <c r="USM16" s="11"/>
      <c r="USN16" s="11"/>
      <c r="USO16" s="11"/>
      <c r="USP16" s="11"/>
      <c r="USQ16" s="11"/>
      <c r="USR16" s="11"/>
      <c r="USS16" s="11"/>
      <c r="UST16" s="11"/>
      <c r="USU16" s="11"/>
      <c r="USV16" s="11"/>
      <c r="USW16" s="11"/>
      <c r="USX16" s="11"/>
      <c r="USY16" s="11"/>
      <c r="USZ16" s="11"/>
      <c r="UTA16" s="11"/>
      <c r="UTB16" s="11"/>
      <c r="UTC16" s="11"/>
      <c r="UTD16" s="11"/>
      <c r="UTE16" s="11"/>
      <c r="UTF16" s="11"/>
      <c r="UTG16" s="11"/>
      <c r="UTH16" s="11"/>
      <c r="UTI16" s="11"/>
      <c r="UTJ16" s="11"/>
      <c r="UTK16" s="11"/>
      <c r="UTL16" s="11"/>
      <c r="UTM16" s="11"/>
      <c r="UTN16" s="11"/>
      <c r="UTO16" s="11"/>
      <c r="UTP16" s="11"/>
      <c r="UTQ16" s="11"/>
      <c r="UTR16" s="11"/>
      <c r="UTS16" s="11"/>
      <c r="UTT16" s="11"/>
      <c r="UTU16" s="11"/>
      <c r="UTV16" s="11"/>
      <c r="UTW16" s="11"/>
      <c r="UTX16" s="11"/>
      <c r="UTY16" s="11"/>
      <c r="UTZ16" s="11"/>
      <c r="UUA16" s="11"/>
      <c r="UUB16" s="11"/>
      <c r="UUC16" s="11"/>
      <c r="UUD16" s="11"/>
      <c r="UUE16" s="11"/>
      <c r="UUF16" s="11"/>
      <c r="UUG16" s="11"/>
      <c r="UUH16" s="11"/>
      <c r="UUI16" s="11"/>
      <c r="UUJ16" s="11"/>
      <c r="UUK16" s="11"/>
      <c r="UUL16" s="11"/>
      <c r="UUM16" s="11"/>
      <c r="UUN16" s="11"/>
      <c r="UUO16" s="11"/>
      <c r="UUP16" s="11"/>
      <c r="UUQ16" s="11"/>
      <c r="UUR16" s="11"/>
      <c r="UUS16" s="11"/>
      <c r="UUT16" s="11"/>
      <c r="UUU16" s="11"/>
      <c r="UUV16" s="11"/>
      <c r="UUW16" s="11"/>
      <c r="UUX16" s="11"/>
      <c r="UUY16" s="11"/>
      <c r="UUZ16" s="11"/>
      <c r="UVA16" s="11"/>
      <c r="UVB16" s="11"/>
      <c r="UVC16" s="11"/>
      <c r="UVD16" s="11"/>
      <c r="UVE16" s="11"/>
      <c r="UVF16" s="11"/>
      <c r="UVG16" s="11"/>
      <c r="UVH16" s="11"/>
      <c r="UVI16" s="11"/>
      <c r="UVJ16" s="11"/>
      <c r="UVK16" s="11"/>
      <c r="UVL16" s="11"/>
      <c r="UVM16" s="11"/>
      <c r="UVN16" s="11"/>
      <c r="UVO16" s="11"/>
      <c r="UVP16" s="11"/>
      <c r="UVQ16" s="11"/>
      <c r="UVR16" s="11"/>
      <c r="UVS16" s="11"/>
      <c r="UVT16" s="11"/>
      <c r="UVU16" s="11"/>
      <c r="UVV16" s="11"/>
      <c r="UVW16" s="11"/>
      <c r="UVX16" s="11"/>
      <c r="UVY16" s="11"/>
      <c r="UVZ16" s="11"/>
      <c r="UWA16" s="11"/>
      <c r="UWB16" s="11"/>
      <c r="UWC16" s="11"/>
      <c r="UWD16" s="11"/>
      <c r="UWE16" s="11"/>
      <c r="UWF16" s="11"/>
      <c r="UWG16" s="11"/>
      <c r="UWH16" s="11"/>
      <c r="UWI16" s="11"/>
      <c r="UWJ16" s="11"/>
      <c r="UWK16" s="11"/>
      <c r="UWL16" s="11"/>
      <c r="UWM16" s="11"/>
      <c r="UWN16" s="11"/>
      <c r="UWO16" s="11"/>
      <c r="UWP16" s="11"/>
      <c r="UWQ16" s="11"/>
      <c r="UWR16" s="11"/>
      <c r="UWS16" s="11"/>
      <c r="UWT16" s="11"/>
      <c r="UWU16" s="11"/>
      <c r="UWV16" s="11"/>
      <c r="UWW16" s="11"/>
      <c r="UWX16" s="11"/>
      <c r="UWY16" s="11"/>
      <c r="UWZ16" s="11"/>
      <c r="UXA16" s="11"/>
      <c r="UXB16" s="11"/>
      <c r="UXC16" s="11"/>
      <c r="UXD16" s="11"/>
      <c r="UXE16" s="11"/>
      <c r="UXF16" s="11"/>
      <c r="UXG16" s="11"/>
      <c r="UXH16" s="11"/>
      <c r="UXI16" s="11"/>
      <c r="UXJ16" s="11"/>
      <c r="UXK16" s="11"/>
      <c r="UXL16" s="11"/>
      <c r="UXM16" s="11"/>
      <c r="UXN16" s="11"/>
      <c r="UXO16" s="11"/>
      <c r="UXP16" s="11"/>
      <c r="UXQ16" s="11"/>
      <c r="UXR16" s="11"/>
      <c r="UXS16" s="11"/>
      <c r="UXT16" s="11"/>
      <c r="UXU16" s="11"/>
      <c r="UXV16" s="11"/>
      <c r="UXW16" s="11"/>
      <c r="UXX16" s="11"/>
      <c r="UXY16" s="11"/>
      <c r="UXZ16" s="11"/>
      <c r="UYA16" s="11"/>
      <c r="UYB16" s="11"/>
      <c r="UYC16" s="11"/>
      <c r="UYD16" s="11"/>
      <c r="UYE16" s="11"/>
      <c r="UYF16" s="11"/>
      <c r="UYG16" s="11"/>
      <c r="UYH16" s="11"/>
      <c r="UYI16" s="11"/>
      <c r="UYJ16" s="11"/>
      <c r="UYK16" s="11"/>
      <c r="UYL16" s="11"/>
      <c r="UYM16" s="11"/>
      <c r="UYN16" s="11"/>
      <c r="UYO16" s="11"/>
      <c r="UYP16" s="11"/>
      <c r="UYQ16" s="11"/>
      <c r="UYR16" s="11"/>
      <c r="UYS16" s="11"/>
      <c r="UYT16" s="11"/>
      <c r="UYU16" s="11"/>
      <c r="UYV16" s="11"/>
      <c r="UYW16" s="11"/>
      <c r="UYX16" s="11"/>
      <c r="UYY16" s="11"/>
      <c r="UYZ16" s="11"/>
      <c r="UZA16" s="11"/>
      <c r="UZB16" s="11"/>
      <c r="UZC16" s="11"/>
      <c r="UZD16" s="11"/>
      <c r="UZE16" s="11"/>
      <c r="UZF16" s="11"/>
      <c r="UZG16" s="11"/>
      <c r="UZH16" s="11"/>
      <c r="UZI16" s="11"/>
      <c r="UZJ16" s="11"/>
      <c r="UZK16" s="11"/>
      <c r="UZL16" s="11"/>
      <c r="UZM16" s="11"/>
      <c r="UZN16" s="11"/>
      <c r="UZO16" s="11"/>
      <c r="UZP16" s="11"/>
      <c r="UZQ16" s="11"/>
      <c r="UZR16" s="11"/>
      <c r="UZS16" s="11"/>
      <c r="UZT16" s="11"/>
      <c r="UZU16" s="11"/>
      <c r="UZV16" s="11"/>
      <c r="UZW16" s="11"/>
      <c r="UZX16" s="11"/>
      <c r="UZY16" s="11"/>
      <c r="UZZ16" s="11"/>
      <c r="VAA16" s="11"/>
      <c r="VAB16" s="11"/>
      <c r="VAC16" s="11"/>
      <c r="VAD16" s="11"/>
      <c r="VAE16" s="11"/>
      <c r="VAF16" s="11"/>
      <c r="VAG16" s="11"/>
      <c r="VAH16" s="11"/>
      <c r="VAI16" s="11"/>
      <c r="VAJ16" s="11"/>
      <c r="VAK16" s="11"/>
      <c r="VAL16" s="11"/>
      <c r="VAM16" s="11"/>
      <c r="VAN16" s="11"/>
      <c r="VAO16" s="11"/>
      <c r="VAP16" s="11"/>
      <c r="VAQ16" s="11"/>
      <c r="VAR16" s="11"/>
      <c r="VAS16" s="11"/>
      <c r="VAT16" s="11"/>
      <c r="VAU16" s="11"/>
      <c r="VAV16" s="11"/>
      <c r="VAW16" s="11"/>
      <c r="VAX16" s="11"/>
      <c r="VAY16" s="11"/>
      <c r="VAZ16" s="11"/>
      <c r="VBA16" s="11"/>
      <c r="VBB16" s="11"/>
      <c r="VBC16" s="11"/>
      <c r="VBD16" s="11"/>
      <c r="VBE16" s="11"/>
      <c r="VBF16" s="11"/>
      <c r="VBG16" s="11"/>
      <c r="VBH16" s="11"/>
      <c r="VBI16" s="11"/>
      <c r="VBJ16" s="11"/>
      <c r="VBK16" s="11"/>
      <c r="VBL16" s="11"/>
      <c r="VBM16" s="11"/>
      <c r="VBN16" s="11"/>
      <c r="VBO16" s="11"/>
      <c r="VBP16" s="11"/>
      <c r="VBQ16" s="11"/>
      <c r="VBR16" s="11"/>
      <c r="VBS16" s="11"/>
      <c r="VBT16" s="11"/>
      <c r="VBU16" s="11"/>
      <c r="VBV16" s="11"/>
      <c r="VBW16" s="11"/>
      <c r="VBX16" s="11"/>
      <c r="VBY16" s="11"/>
      <c r="VBZ16" s="11"/>
      <c r="VCA16" s="11"/>
      <c r="VCB16" s="11"/>
      <c r="VCC16" s="11"/>
      <c r="VCD16" s="11"/>
      <c r="VCE16" s="11"/>
      <c r="VCF16" s="11"/>
      <c r="VCG16" s="11"/>
      <c r="VCH16" s="11"/>
      <c r="VCI16" s="11"/>
      <c r="VCJ16" s="11"/>
      <c r="VCK16" s="11"/>
      <c r="VCL16" s="11"/>
      <c r="VCM16" s="11"/>
      <c r="VCN16" s="11"/>
      <c r="VCO16" s="11"/>
      <c r="VCP16" s="11"/>
      <c r="VCQ16" s="11"/>
      <c r="VCR16" s="11"/>
      <c r="VCS16" s="11"/>
      <c r="VCT16" s="11"/>
      <c r="VCU16" s="11"/>
      <c r="VCV16" s="11"/>
      <c r="VCW16" s="11"/>
      <c r="VCX16" s="11"/>
      <c r="VCY16" s="11"/>
      <c r="VCZ16" s="11"/>
      <c r="VDA16" s="11"/>
      <c r="VDB16" s="11"/>
      <c r="VDC16" s="11"/>
      <c r="VDD16" s="11"/>
      <c r="VDE16" s="11"/>
      <c r="VDF16" s="11"/>
      <c r="VDG16" s="11"/>
      <c r="VDH16" s="11"/>
      <c r="VDI16" s="11"/>
      <c r="VDJ16" s="11"/>
      <c r="VDK16" s="11"/>
      <c r="VDL16" s="11"/>
      <c r="VDM16" s="11"/>
      <c r="VDN16" s="11"/>
      <c r="VDO16" s="11"/>
      <c r="VDP16" s="11"/>
      <c r="VDQ16" s="11"/>
      <c r="VDR16" s="11"/>
      <c r="VDS16" s="11"/>
      <c r="VDT16" s="11"/>
      <c r="VDU16" s="11"/>
      <c r="VDV16" s="11"/>
      <c r="VDW16" s="11"/>
      <c r="VDX16" s="11"/>
      <c r="VDY16" s="11"/>
      <c r="VDZ16" s="11"/>
      <c r="VEA16" s="11"/>
      <c r="VEB16" s="11"/>
      <c r="VEC16" s="11"/>
      <c r="VED16" s="11"/>
      <c r="VEE16" s="11"/>
      <c r="VEF16" s="11"/>
      <c r="VEG16" s="11"/>
      <c r="VEH16" s="11"/>
      <c r="VEI16" s="11"/>
      <c r="VEJ16" s="11"/>
      <c r="VEK16" s="11"/>
      <c r="VEL16" s="11"/>
      <c r="VEM16" s="11"/>
      <c r="VEN16" s="11"/>
      <c r="VEO16" s="11"/>
      <c r="VEP16" s="11"/>
      <c r="VEQ16" s="11"/>
      <c r="VER16" s="11"/>
      <c r="VES16" s="11"/>
      <c r="VET16" s="11"/>
      <c r="VEU16" s="11"/>
      <c r="VEV16" s="11"/>
      <c r="VEW16" s="11"/>
      <c r="VEX16" s="11"/>
      <c r="VEY16" s="11"/>
      <c r="VEZ16" s="11"/>
      <c r="VFA16" s="11"/>
      <c r="VFB16" s="11"/>
      <c r="VFC16" s="11"/>
      <c r="VFD16" s="11"/>
      <c r="VFE16" s="11"/>
      <c r="VFF16" s="11"/>
      <c r="VFG16" s="11"/>
      <c r="VFH16" s="11"/>
      <c r="VFI16" s="11"/>
      <c r="VFJ16" s="11"/>
      <c r="VFK16" s="11"/>
      <c r="VFL16" s="11"/>
      <c r="VFM16" s="11"/>
      <c r="VFN16" s="11"/>
      <c r="VFO16" s="11"/>
      <c r="VFP16" s="11"/>
      <c r="VFQ16" s="11"/>
      <c r="VFR16" s="11"/>
      <c r="VFS16" s="11"/>
      <c r="VFT16" s="11"/>
      <c r="VFU16" s="11"/>
      <c r="VFV16" s="11"/>
      <c r="VFW16" s="11"/>
      <c r="VFX16" s="11"/>
      <c r="VFY16" s="11"/>
      <c r="VFZ16" s="11"/>
      <c r="VGA16" s="11"/>
      <c r="VGB16" s="11"/>
      <c r="VGC16" s="11"/>
      <c r="VGD16" s="11"/>
      <c r="VGE16" s="11"/>
      <c r="VGF16" s="11"/>
      <c r="VGG16" s="11"/>
      <c r="VGH16" s="11"/>
      <c r="VGI16" s="11"/>
      <c r="VGJ16" s="11"/>
      <c r="VGK16" s="11"/>
      <c r="VGL16" s="11"/>
      <c r="VGM16" s="11"/>
      <c r="VGN16" s="11"/>
      <c r="VGO16" s="11"/>
      <c r="VGP16" s="11"/>
      <c r="VGQ16" s="11"/>
      <c r="VGR16" s="11"/>
      <c r="VGS16" s="11"/>
      <c r="VGT16" s="11"/>
      <c r="VGU16" s="11"/>
      <c r="VGV16" s="11"/>
      <c r="VGW16" s="11"/>
      <c r="VGX16" s="11"/>
      <c r="VGY16" s="11"/>
      <c r="VGZ16" s="11"/>
      <c r="VHA16" s="11"/>
      <c r="VHB16" s="11"/>
      <c r="VHC16" s="11"/>
      <c r="VHD16" s="11"/>
      <c r="VHE16" s="11"/>
      <c r="VHF16" s="11"/>
      <c r="VHG16" s="11"/>
      <c r="VHH16" s="11"/>
      <c r="VHI16" s="11"/>
      <c r="VHJ16" s="11"/>
      <c r="VHK16" s="11"/>
      <c r="VHL16" s="11"/>
      <c r="VHM16" s="11"/>
      <c r="VHN16" s="11"/>
      <c r="VHO16" s="11"/>
      <c r="VHP16" s="11"/>
      <c r="VHQ16" s="11"/>
      <c r="VHR16" s="11"/>
      <c r="VHS16" s="11"/>
      <c r="VHT16" s="11"/>
      <c r="VHU16" s="11"/>
      <c r="VHV16" s="11"/>
      <c r="VHW16" s="11"/>
      <c r="VHX16" s="11"/>
      <c r="VHY16" s="11"/>
      <c r="VHZ16" s="11"/>
      <c r="VIA16" s="11"/>
      <c r="VIB16" s="11"/>
      <c r="VIC16" s="11"/>
      <c r="VID16" s="11"/>
      <c r="VIE16" s="11"/>
      <c r="VIF16" s="11"/>
      <c r="VIG16" s="11"/>
      <c r="VIH16" s="11"/>
      <c r="VII16" s="11"/>
      <c r="VIJ16" s="11"/>
      <c r="VIK16" s="11"/>
      <c r="VIL16" s="11"/>
      <c r="VIM16" s="11"/>
      <c r="VIN16" s="11"/>
      <c r="VIO16" s="11"/>
      <c r="VIP16" s="11"/>
      <c r="VIQ16" s="11"/>
      <c r="VIR16" s="11"/>
      <c r="VIS16" s="11"/>
      <c r="VIT16" s="11"/>
      <c r="VIU16" s="11"/>
      <c r="VIV16" s="11"/>
      <c r="VIW16" s="11"/>
      <c r="VIX16" s="11"/>
      <c r="VIY16" s="11"/>
      <c r="VIZ16" s="11"/>
      <c r="VJA16" s="11"/>
      <c r="VJB16" s="11"/>
      <c r="VJC16" s="11"/>
      <c r="VJD16" s="11"/>
      <c r="VJE16" s="11"/>
      <c r="VJF16" s="11"/>
      <c r="VJG16" s="11"/>
      <c r="VJH16" s="11"/>
      <c r="VJI16" s="11"/>
      <c r="VJJ16" s="11"/>
      <c r="VJK16" s="11"/>
      <c r="VJL16" s="11"/>
      <c r="VJM16" s="11"/>
      <c r="VJN16" s="11"/>
      <c r="VJO16" s="11"/>
      <c r="VJP16" s="11"/>
      <c r="VJQ16" s="11"/>
      <c r="VJR16" s="11"/>
      <c r="VJS16" s="11"/>
      <c r="VJT16" s="11"/>
      <c r="VJU16" s="11"/>
      <c r="VJV16" s="11"/>
      <c r="VJW16" s="11"/>
      <c r="VJX16" s="11"/>
      <c r="VJY16" s="11"/>
      <c r="VJZ16" s="11"/>
      <c r="VKA16" s="11"/>
      <c r="VKB16" s="11"/>
      <c r="VKC16" s="11"/>
      <c r="VKD16" s="11"/>
      <c r="VKE16" s="11"/>
      <c r="VKF16" s="11"/>
      <c r="VKG16" s="11"/>
      <c r="VKH16" s="11"/>
      <c r="VKI16" s="11"/>
      <c r="VKJ16" s="11"/>
      <c r="VKK16" s="11"/>
      <c r="VKL16" s="11"/>
      <c r="VKM16" s="11"/>
      <c r="VKN16" s="11"/>
      <c r="VKO16" s="11"/>
      <c r="VKP16" s="11"/>
      <c r="VKQ16" s="11"/>
      <c r="VKR16" s="11"/>
      <c r="VKS16" s="11"/>
      <c r="VKT16" s="11"/>
      <c r="VKU16" s="11"/>
      <c r="VKV16" s="11"/>
      <c r="VKW16" s="11"/>
      <c r="VKX16" s="11"/>
      <c r="VKY16" s="11"/>
      <c r="VKZ16" s="11"/>
      <c r="VLA16" s="11"/>
      <c r="VLB16" s="11"/>
      <c r="VLC16" s="11"/>
      <c r="VLD16" s="11"/>
      <c r="VLE16" s="11"/>
      <c r="VLF16" s="11"/>
      <c r="VLG16" s="11"/>
      <c r="VLH16" s="11"/>
      <c r="VLI16" s="11"/>
      <c r="VLJ16" s="11"/>
      <c r="VLK16" s="11"/>
      <c r="VLL16" s="11"/>
      <c r="VLM16" s="11"/>
      <c r="VLN16" s="11"/>
      <c r="VLO16" s="11"/>
      <c r="VLP16" s="11"/>
      <c r="VLQ16" s="11"/>
      <c r="VLR16" s="11"/>
      <c r="VLS16" s="11"/>
      <c r="VLT16" s="11"/>
      <c r="VLU16" s="11"/>
      <c r="VLV16" s="11"/>
      <c r="VLW16" s="11"/>
      <c r="VLX16" s="11"/>
      <c r="VLY16" s="11"/>
      <c r="VLZ16" s="11"/>
      <c r="VMA16" s="11"/>
      <c r="VMB16" s="11"/>
      <c r="VMC16" s="11"/>
      <c r="VMD16" s="11"/>
      <c r="VME16" s="11"/>
      <c r="VMF16" s="11"/>
      <c r="VMG16" s="11"/>
      <c r="VMH16" s="11"/>
      <c r="VMI16" s="11"/>
      <c r="VMJ16" s="11"/>
      <c r="VMK16" s="11"/>
      <c r="VML16" s="11"/>
      <c r="VMM16" s="11"/>
      <c r="VMN16" s="11"/>
      <c r="VMO16" s="11"/>
      <c r="VMP16" s="11"/>
      <c r="VMQ16" s="11"/>
      <c r="VMR16" s="11"/>
      <c r="VMS16" s="11"/>
      <c r="VMT16" s="11"/>
      <c r="VMU16" s="11"/>
      <c r="VMV16" s="11"/>
      <c r="VMW16" s="11"/>
      <c r="VMX16" s="11"/>
      <c r="VMY16" s="11"/>
      <c r="VMZ16" s="11"/>
      <c r="VNA16" s="11"/>
      <c r="VNB16" s="11"/>
      <c r="VNC16" s="11"/>
      <c r="VND16" s="11"/>
      <c r="VNE16" s="11"/>
      <c r="VNF16" s="11"/>
      <c r="VNG16" s="11"/>
      <c r="VNH16" s="11"/>
      <c r="VNI16" s="11"/>
      <c r="VNJ16" s="11"/>
      <c r="VNK16" s="11"/>
      <c r="VNL16" s="11"/>
      <c r="VNM16" s="11"/>
      <c r="VNN16" s="11"/>
      <c r="VNO16" s="11"/>
      <c r="VNP16" s="11"/>
      <c r="VNQ16" s="11"/>
      <c r="VNR16" s="11"/>
      <c r="VNS16" s="11"/>
      <c r="VNT16" s="11"/>
      <c r="VNU16" s="11"/>
      <c r="VNV16" s="11"/>
      <c r="VNW16" s="11"/>
      <c r="VNX16" s="11"/>
      <c r="VNY16" s="11"/>
      <c r="VNZ16" s="11"/>
      <c r="VOA16" s="11"/>
      <c r="VOB16" s="11"/>
      <c r="VOC16" s="11"/>
      <c r="VOD16" s="11"/>
      <c r="VOE16" s="11"/>
      <c r="VOF16" s="11"/>
      <c r="VOG16" s="11"/>
      <c r="VOH16" s="11"/>
      <c r="VOI16" s="11"/>
      <c r="VOJ16" s="11"/>
      <c r="VOK16" s="11"/>
      <c r="VOL16" s="11"/>
      <c r="VOM16" s="11"/>
      <c r="VON16" s="11"/>
      <c r="VOO16" s="11"/>
      <c r="VOP16" s="11"/>
      <c r="VOQ16" s="11"/>
      <c r="VOR16" s="11"/>
      <c r="VOS16" s="11"/>
      <c r="VOT16" s="11"/>
      <c r="VOU16" s="11"/>
      <c r="VOV16" s="11"/>
      <c r="VOW16" s="11"/>
      <c r="VOX16" s="11"/>
      <c r="VOY16" s="11"/>
      <c r="VOZ16" s="11"/>
      <c r="VPA16" s="11"/>
      <c r="VPB16" s="11"/>
      <c r="VPC16" s="11"/>
      <c r="VPD16" s="11"/>
      <c r="VPE16" s="11"/>
      <c r="VPF16" s="11"/>
      <c r="VPG16" s="11"/>
      <c r="VPH16" s="11"/>
      <c r="VPI16" s="11"/>
      <c r="VPJ16" s="11"/>
      <c r="VPK16" s="11"/>
      <c r="VPL16" s="11"/>
      <c r="VPM16" s="11"/>
      <c r="VPN16" s="11"/>
      <c r="VPO16" s="11"/>
      <c r="VPP16" s="11"/>
      <c r="VPQ16" s="11"/>
      <c r="VPR16" s="11"/>
      <c r="VPS16" s="11"/>
      <c r="VPT16" s="11"/>
      <c r="VPU16" s="11"/>
      <c r="VPV16" s="11"/>
      <c r="VPW16" s="11"/>
      <c r="VPX16" s="11"/>
      <c r="VPY16" s="11"/>
      <c r="VPZ16" s="11"/>
      <c r="VQA16" s="11"/>
      <c r="VQB16" s="11"/>
      <c r="VQC16" s="11"/>
      <c r="VQD16" s="11"/>
      <c r="VQE16" s="11"/>
      <c r="VQF16" s="11"/>
      <c r="VQG16" s="11"/>
      <c r="VQH16" s="11"/>
      <c r="VQI16" s="11"/>
      <c r="VQJ16" s="11"/>
      <c r="VQK16" s="11"/>
      <c r="VQL16" s="11"/>
      <c r="VQM16" s="11"/>
      <c r="VQN16" s="11"/>
      <c r="VQO16" s="11"/>
      <c r="VQP16" s="11"/>
      <c r="VQQ16" s="11"/>
      <c r="VQR16" s="11"/>
      <c r="VQS16" s="11"/>
      <c r="VQT16" s="11"/>
      <c r="VQU16" s="11"/>
      <c r="VQV16" s="11"/>
      <c r="VQW16" s="11"/>
      <c r="VQX16" s="11"/>
      <c r="VQY16" s="11"/>
      <c r="VQZ16" s="11"/>
      <c r="VRA16" s="11"/>
      <c r="VRB16" s="11"/>
      <c r="VRC16" s="11"/>
      <c r="VRD16" s="11"/>
      <c r="VRE16" s="11"/>
      <c r="VRF16" s="11"/>
      <c r="VRG16" s="11"/>
      <c r="VRH16" s="11"/>
      <c r="VRI16" s="11"/>
      <c r="VRJ16" s="11"/>
      <c r="VRK16" s="11"/>
      <c r="VRL16" s="11"/>
      <c r="VRM16" s="11"/>
      <c r="VRN16" s="11"/>
      <c r="VRO16" s="11"/>
      <c r="VRP16" s="11"/>
      <c r="VRQ16" s="11"/>
      <c r="VRR16" s="11"/>
      <c r="VRS16" s="11"/>
      <c r="VRT16" s="11"/>
      <c r="VRU16" s="11"/>
      <c r="VRV16" s="11"/>
      <c r="VRW16" s="11"/>
      <c r="VRX16" s="11"/>
      <c r="VRY16" s="11"/>
      <c r="VRZ16" s="11"/>
      <c r="VSA16" s="11"/>
      <c r="VSB16" s="11"/>
      <c r="VSC16" s="11"/>
      <c r="VSD16" s="11"/>
      <c r="VSE16" s="11"/>
      <c r="VSF16" s="11"/>
      <c r="VSG16" s="11"/>
      <c r="VSH16" s="11"/>
      <c r="VSI16" s="11"/>
      <c r="VSJ16" s="11"/>
      <c r="VSK16" s="11"/>
      <c r="VSL16" s="11"/>
      <c r="VSM16" s="11"/>
      <c r="VSN16" s="11"/>
      <c r="VSO16" s="11"/>
      <c r="VSP16" s="11"/>
      <c r="VSQ16" s="11"/>
      <c r="VSR16" s="11"/>
      <c r="VSS16" s="11"/>
      <c r="VST16" s="11"/>
      <c r="VSU16" s="11"/>
      <c r="VSV16" s="11"/>
      <c r="VSW16" s="11"/>
      <c r="VSX16" s="11"/>
      <c r="VSY16" s="11"/>
      <c r="VSZ16" s="11"/>
      <c r="VTA16" s="11"/>
      <c r="VTB16" s="11"/>
      <c r="VTC16" s="11"/>
      <c r="VTD16" s="11"/>
      <c r="VTE16" s="11"/>
      <c r="VTF16" s="11"/>
      <c r="VTG16" s="11"/>
      <c r="VTH16" s="11"/>
      <c r="VTI16" s="11"/>
      <c r="VTJ16" s="11"/>
      <c r="VTK16" s="11"/>
      <c r="VTL16" s="11"/>
      <c r="VTM16" s="11"/>
      <c r="VTN16" s="11"/>
      <c r="VTO16" s="11"/>
      <c r="VTP16" s="11"/>
      <c r="VTQ16" s="11"/>
      <c r="VTR16" s="11"/>
      <c r="VTS16" s="11"/>
      <c r="VTT16" s="11"/>
      <c r="VTU16" s="11"/>
      <c r="VTV16" s="11"/>
      <c r="VTW16" s="11"/>
      <c r="VTX16" s="11"/>
      <c r="VTY16" s="11"/>
      <c r="VTZ16" s="11"/>
      <c r="VUA16" s="11"/>
      <c r="VUB16" s="11"/>
      <c r="VUC16" s="11"/>
      <c r="VUD16" s="11"/>
      <c r="VUE16" s="11"/>
      <c r="VUF16" s="11"/>
      <c r="VUG16" s="11"/>
      <c r="VUH16" s="11"/>
      <c r="VUI16" s="11"/>
      <c r="VUJ16" s="11"/>
      <c r="VUK16" s="11"/>
      <c r="VUL16" s="11"/>
      <c r="VUM16" s="11"/>
      <c r="VUN16" s="11"/>
      <c r="VUO16" s="11"/>
      <c r="VUP16" s="11"/>
      <c r="VUQ16" s="11"/>
      <c r="VUR16" s="11"/>
      <c r="VUS16" s="11"/>
      <c r="VUT16" s="11"/>
      <c r="VUU16" s="11"/>
      <c r="VUV16" s="11"/>
      <c r="VUW16" s="11"/>
      <c r="VUX16" s="11"/>
      <c r="VUY16" s="11"/>
      <c r="VUZ16" s="11"/>
      <c r="VVA16" s="11"/>
      <c r="VVB16" s="11"/>
      <c r="VVC16" s="11"/>
      <c r="VVD16" s="11"/>
      <c r="VVE16" s="11"/>
      <c r="VVF16" s="11"/>
      <c r="VVG16" s="11"/>
      <c r="VVH16" s="11"/>
      <c r="VVI16" s="11"/>
      <c r="VVJ16" s="11"/>
      <c r="VVK16" s="11"/>
      <c r="VVL16" s="11"/>
      <c r="VVM16" s="11"/>
      <c r="VVN16" s="11"/>
      <c r="VVO16" s="11"/>
      <c r="VVP16" s="11"/>
      <c r="VVQ16" s="11"/>
      <c r="VVR16" s="11"/>
      <c r="VVS16" s="11"/>
      <c r="VVT16" s="11"/>
      <c r="VVU16" s="11"/>
      <c r="VVV16" s="11"/>
      <c r="VVW16" s="11"/>
      <c r="VVX16" s="11"/>
      <c r="VVY16" s="11"/>
      <c r="VVZ16" s="11"/>
      <c r="VWA16" s="11"/>
      <c r="VWB16" s="11"/>
      <c r="VWC16" s="11"/>
      <c r="VWD16" s="11"/>
      <c r="VWE16" s="11"/>
      <c r="VWF16" s="11"/>
      <c r="VWG16" s="11"/>
      <c r="VWH16" s="11"/>
      <c r="VWI16" s="11"/>
      <c r="VWJ16" s="11"/>
      <c r="VWK16" s="11"/>
      <c r="VWL16" s="11"/>
      <c r="VWM16" s="11"/>
      <c r="VWN16" s="11"/>
      <c r="VWO16" s="11"/>
      <c r="VWP16" s="11"/>
      <c r="VWQ16" s="11"/>
      <c r="VWR16" s="11"/>
      <c r="VWS16" s="11"/>
      <c r="VWT16" s="11"/>
      <c r="VWU16" s="11"/>
      <c r="VWV16" s="11"/>
      <c r="VWW16" s="11"/>
      <c r="VWX16" s="11"/>
      <c r="VWY16" s="11"/>
      <c r="VWZ16" s="11"/>
      <c r="VXA16" s="11"/>
      <c r="VXB16" s="11"/>
      <c r="VXC16" s="11"/>
      <c r="VXD16" s="11"/>
      <c r="VXE16" s="11"/>
      <c r="VXF16" s="11"/>
      <c r="VXG16" s="11"/>
      <c r="VXH16" s="11"/>
      <c r="VXI16" s="11"/>
      <c r="VXJ16" s="11"/>
      <c r="VXK16" s="11"/>
      <c r="VXL16" s="11"/>
      <c r="VXM16" s="11"/>
      <c r="VXN16" s="11"/>
      <c r="VXO16" s="11"/>
      <c r="VXP16" s="11"/>
      <c r="VXQ16" s="11"/>
      <c r="VXR16" s="11"/>
      <c r="VXS16" s="11"/>
      <c r="VXT16" s="11"/>
      <c r="VXU16" s="11"/>
      <c r="VXV16" s="11"/>
      <c r="VXW16" s="11"/>
      <c r="VXX16" s="11"/>
      <c r="VXY16" s="11"/>
      <c r="VXZ16" s="11"/>
      <c r="VYA16" s="11"/>
      <c r="VYB16" s="11"/>
      <c r="VYC16" s="11"/>
      <c r="VYD16" s="11"/>
      <c r="VYE16" s="11"/>
      <c r="VYF16" s="11"/>
      <c r="VYG16" s="11"/>
      <c r="VYH16" s="11"/>
      <c r="VYI16" s="11"/>
      <c r="VYJ16" s="11"/>
      <c r="VYK16" s="11"/>
      <c r="VYL16" s="11"/>
      <c r="VYM16" s="11"/>
      <c r="VYN16" s="11"/>
      <c r="VYO16" s="11"/>
      <c r="VYP16" s="11"/>
      <c r="VYQ16" s="11"/>
      <c r="VYR16" s="11"/>
      <c r="VYS16" s="11"/>
      <c r="VYT16" s="11"/>
      <c r="VYU16" s="11"/>
      <c r="VYV16" s="11"/>
      <c r="VYW16" s="11"/>
      <c r="VYX16" s="11"/>
      <c r="VYY16" s="11"/>
      <c r="VYZ16" s="11"/>
      <c r="VZA16" s="11"/>
      <c r="VZB16" s="11"/>
      <c r="VZC16" s="11"/>
      <c r="VZD16" s="11"/>
      <c r="VZE16" s="11"/>
      <c r="VZF16" s="11"/>
      <c r="VZG16" s="11"/>
      <c r="VZH16" s="11"/>
      <c r="VZI16" s="11"/>
      <c r="VZJ16" s="11"/>
      <c r="VZK16" s="11"/>
      <c r="VZL16" s="11"/>
      <c r="VZM16" s="11"/>
      <c r="VZN16" s="11"/>
      <c r="VZO16" s="11"/>
      <c r="VZP16" s="11"/>
      <c r="VZQ16" s="11"/>
      <c r="VZR16" s="11"/>
      <c r="VZS16" s="11"/>
      <c r="VZT16" s="11"/>
      <c r="VZU16" s="11"/>
      <c r="VZV16" s="11"/>
      <c r="VZW16" s="11"/>
      <c r="VZX16" s="11"/>
      <c r="VZY16" s="11"/>
      <c r="VZZ16" s="11"/>
      <c r="WAA16" s="11"/>
      <c r="WAB16" s="11"/>
      <c r="WAC16" s="11"/>
      <c r="WAD16" s="11"/>
      <c r="WAE16" s="11"/>
      <c r="WAF16" s="11"/>
      <c r="WAG16" s="11"/>
      <c r="WAH16" s="11"/>
      <c r="WAI16" s="11"/>
      <c r="WAJ16" s="11"/>
      <c r="WAK16" s="11"/>
      <c r="WAL16" s="11"/>
      <c r="WAM16" s="11"/>
      <c r="WAN16" s="11"/>
      <c r="WAO16" s="11"/>
      <c r="WAP16" s="11"/>
      <c r="WAQ16" s="11"/>
      <c r="WAR16" s="11"/>
      <c r="WAS16" s="11"/>
      <c r="WAT16" s="11"/>
      <c r="WAU16" s="11"/>
      <c r="WAV16" s="11"/>
      <c r="WAW16" s="11"/>
      <c r="WAX16" s="11"/>
      <c r="WAY16" s="11"/>
      <c r="WAZ16" s="11"/>
      <c r="WBA16" s="11"/>
      <c r="WBB16" s="11"/>
      <c r="WBC16" s="11"/>
      <c r="WBD16" s="11"/>
      <c r="WBE16" s="11"/>
      <c r="WBF16" s="11"/>
      <c r="WBG16" s="11"/>
      <c r="WBH16" s="11"/>
      <c r="WBI16" s="11"/>
      <c r="WBJ16" s="11"/>
      <c r="WBK16" s="11"/>
      <c r="WBL16" s="11"/>
      <c r="WBM16" s="11"/>
      <c r="WBN16" s="11"/>
      <c r="WBO16" s="11"/>
      <c r="WBP16" s="11"/>
      <c r="WBQ16" s="11"/>
      <c r="WBR16" s="11"/>
      <c r="WBS16" s="11"/>
      <c r="WBT16" s="11"/>
      <c r="WBU16" s="11"/>
      <c r="WBV16" s="11"/>
      <c r="WBW16" s="11"/>
      <c r="WBX16" s="11"/>
      <c r="WBY16" s="11"/>
      <c r="WBZ16" s="11"/>
      <c r="WCA16" s="11"/>
      <c r="WCB16" s="11"/>
      <c r="WCC16" s="11"/>
      <c r="WCD16" s="11"/>
      <c r="WCE16" s="11"/>
      <c r="WCF16" s="11"/>
      <c r="WCG16" s="11"/>
      <c r="WCH16" s="11"/>
      <c r="WCI16" s="11"/>
      <c r="WCJ16" s="11"/>
      <c r="WCK16" s="11"/>
      <c r="WCL16" s="11"/>
      <c r="WCM16" s="11"/>
      <c r="WCN16" s="11"/>
      <c r="WCO16" s="11"/>
      <c r="WCP16" s="11"/>
      <c r="WCQ16" s="11"/>
      <c r="WCR16" s="11"/>
      <c r="WCS16" s="11"/>
      <c r="WCT16" s="11"/>
      <c r="WCU16" s="11"/>
      <c r="WCV16" s="11"/>
      <c r="WCW16" s="11"/>
      <c r="WCX16" s="11"/>
      <c r="WCY16" s="11"/>
      <c r="WCZ16" s="11"/>
      <c r="WDA16" s="11"/>
      <c r="WDB16" s="11"/>
      <c r="WDC16" s="11"/>
      <c r="WDD16" s="11"/>
      <c r="WDE16" s="11"/>
      <c r="WDF16" s="11"/>
      <c r="WDG16" s="11"/>
      <c r="WDH16" s="11"/>
      <c r="WDI16" s="11"/>
      <c r="WDJ16" s="11"/>
      <c r="WDK16" s="11"/>
      <c r="WDL16" s="11"/>
      <c r="WDM16" s="11"/>
      <c r="WDN16" s="11"/>
      <c r="WDO16" s="11"/>
      <c r="WDP16" s="11"/>
      <c r="WDQ16" s="11"/>
      <c r="WDR16" s="11"/>
      <c r="WDS16" s="11"/>
      <c r="WDT16" s="11"/>
      <c r="WDU16" s="11"/>
      <c r="WDV16" s="11"/>
      <c r="WDW16" s="11"/>
      <c r="WDX16" s="11"/>
      <c r="WDY16" s="11"/>
      <c r="WDZ16" s="11"/>
      <c r="WEA16" s="11"/>
      <c r="WEB16" s="11"/>
      <c r="WEC16" s="11"/>
      <c r="WED16" s="11"/>
      <c r="WEE16" s="11"/>
      <c r="WEF16" s="11"/>
      <c r="WEG16" s="11"/>
      <c r="WEH16" s="11"/>
      <c r="WEI16" s="11"/>
      <c r="WEJ16" s="11"/>
      <c r="WEK16" s="11"/>
      <c r="WEL16" s="11"/>
      <c r="WEM16" s="11"/>
      <c r="WEN16" s="11"/>
      <c r="WEO16" s="11"/>
      <c r="WEP16" s="11"/>
      <c r="WEQ16" s="11"/>
      <c r="WER16" s="11"/>
      <c r="WES16" s="11"/>
      <c r="WET16" s="11"/>
      <c r="WEU16" s="11"/>
      <c r="WEV16" s="11"/>
      <c r="WEW16" s="11"/>
      <c r="WEX16" s="11"/>
      <c r="WEY16" s="11"/>
      <c r="WEZ16" s="11"/>
      <c r="WFA16" s="11"/>
      <c r="WFB16" s="11"/>
      <c r="WFC16" s="11"/>
      <c r="WFD16" s="11"/>
      <c r="WFE16" s="11"/>
      <c r="WFF16" s="11"/>
      <c r="WFG16" s="11"/>
      <c r="WFH16" s="11"/>
      <c r="WFI16" s="11"/>
      <c r="WFJ16" s="11"/>
      <c r="WFK16" s="11"/>
      <c r="WFL16" s="11"/>
      <c r="WFM16" s="11"/>
      <c r="WFN16" s="11"/>
      <c r="WFO16" s="11"/>
      <c r="WFP16" s="11"/>
      <c r="WFQ16" s="11"/>
      <c r="WFR16" s="11"/>
      <c r="WFS16" s="11"/>
      <c r="WFT16" s="11"/>
      <c r="WFU16" s="11"/>
      <c r="WFV16" s="11"/>
      <c r="WFW16" s="11"/>
      <c r="WFX16" s="11"/>
      <c r="WFY16" s="11"/>
      <c r="WFZ16" s="11"/>
      <c r="WGA16" s="11"/>
      <c r="WGB16" s="11"/>
      <c r="WGC16" s="11"/>
      <c r="WGD16" s="11"/>
      <c r="WGE16" s="11"/>
      <c r="WGF16" s="11"/>
      <c r="WGG16" s="11"/>
      <c r="WGH16" s="11"/>
      <c r="WGI16" s="11"/>
      <c r="WGJ16" s="11"/>
      <c r="WGK16" s="11"/>
      <c r="WGL16" s="11"/>
      <c r="WGM16" s="11"/>
      <c r="WGN16" s="11"/>
      <c r="WGO16" s="11"/>
      <c r="WGP16" s="11"/>
      <c r="WGQ16" s="11"/>
      <c r="WGR16" s="11"/>
      <c r="WGS16" s="11"/>
      <c r="WGT16" s="11"/>
      <c r="WGU16" s="11"/>
      <c r="WGV16" s="11"/>
      <c r="WGW16" s="11"/>
      <c r="WGX16" s="11"/>
      <c r="WGY16" s="11"/>
      <c r="WGZ16" s="11"/>
      <c r="WHA16" s="11"/>
      <c r="WHB16" s="11"/>
      <c r="WHC16" s="11"/>
      <c r="WHD16" s="11"/>
      <c r="WHE16" s="11"/>
      <c r="WHF16" s="11"/>
      <c r="WHG16" s="11"/>
      <c r="WHH16" s="11"/>
      <c r="WHI16" s="11"/>
      <c r="WHJ16" s="11"/>
      <c r="WHK16" s="11"/>
      <c r="WHL16" s="11"/>
      <c r="WHM16" s="11"/>
      <c r="WHN16" s="11"/>
      <c r="WHO16" s="11"/>
      <c r="WHP16" s="11"/>
      <c r="WHQ16" s="11"/>
      <c r="WHR16" s="11"/>
      <c r="WHS16" s="11"/>
      <c r="WHT16" s="11"/>
      <c r="WHU16" s="11"/>
      <c r="WHV16" s="11"/>
      <c r="WHW16" s="11"/>
      <c r="WHX16" s="11"/>
      <c r="WHY16" s="11"/>
      <c r="WHZ16" s="11"/>
      <c r="WIA16" s="11"/>
      <c r="WIB16" s="11"/>
      <c r="WIC16" s="11"/>
      <c r="WID16" s="11"/>
      <c r="WIE16" s="11"/>
      <c r="WIF16" s="11"/>
      <c r="WIG16" s="11"/>
      <c r="WIH16" s="11"/>
      <c r="WII16" s="11"/>
      <c r="WIJ16" s="11"/>
      <c r="WIK16" s="11"/>
      <c r="WIL16" s="11"/>
      <c r="WIM16" s="11"/>
      <c r="WIN16" s="11"/>
      <c r="WIO16" s="11"/>
      <c r="WIP16" s="11"/>
      <c r="WIQ16" s="11"/>
      <c r="WIR16" s="11"/>
      <c r="WIS16" s="11"/>
      <c r="WIT16" s="11"/>
      <c r="WIU16" s="11"/>
      <c r="WIV16" s="11"/>
      <c r="WIW16" s="11"/>
      <c r="WIX16" s="11"/>
      <c r="WIY16" s="11"/>
      <c r="WIZ16" s="11"/>
      <c r="WJA16" s="11"/>
      <c r="WJB16" s="11"/>
      <c r="WJC16" s="11"/>
      <c r="WJD16" s="11"/>
      <c r="WJE16" s="11"/>
      <c r="WJF16" s="11"/>
      <c r="WJG16" s="11"/>
      <c r="WJH16" s="11"/>
      <c r="WJI16" s="11"/>
      <c r="WJJ16" s="11"/>
      <c r="WJK16" s="11"/>
      <c r="WJL16" s="11"/>
      <c r="WJM16" s="11"/>
      <c r="WJN16" s="11"/>
      <c r="WJO16" s="11"/>
      <c r="WJP16" s="11"/>
      <c r="WJQ16" s="11"/>
      <c r="WJR16" s="11"/>
      <c r="WJS16" s="11"/>
      <c r="WJT16" s="11"/>
      <c r="WJU16" s="11"/>
      <c r="WJV16" s="11"/>
      <c r="WJW16" s="11"/>
      <c r="WJX16" s="11"/>
      <c r="WJY16" s="11"/>
      <c r="WJZ16" s="11"/>
      <c r="WKA16" s="11"/>
      <c r="WKB16" s="11"/>
      <c r="WKC16" s="11"/>
      <c r="WKD16" s="11"/>
      <c r="WKE16" s="11"/>
      <c r="WKF16" s="11"/>
      <c r="WKG16" s="11"/>
      <c r="WKH16" s="11"/>
      <c r="WKI16" s="11"/>
      <c r="WKJ16" s="11"/>
      <c r="WKK16" s="11"/>
      <c r="WKL16" s="11"/>
      <c r="WKM16" s="11"/>
      <c r="WKN16" s="11"/>
      <c r="WKO16" s="11"/>
      <c r="WKP16" s="11"/>
      <c r="WKQ16" s="11"/>
      <c r="WKR16" s="11"/>
      <c r="WKS16" s="11"/>
      <c r="WKT16" s="11"/>
      <c r="WKU16" s="11"/>
      <c r="WKV16" s="11"/>
      <c r="WKW16" s="11"/>
      <c r="WKX16" s="11"/>
      <c r="WKY16" s="11"/>
      <c r="WKZ16" s="11"/>
      <c r="WLA16" s="11"/>
      <c r="WLB16" s="11"/>
      <c r="WLC16" s="11"/>
      <c r="WLD16" s="11"/>
      <c r="WLE16" s="11"/>
      <c r="WLF16" s="11"/>
      <c r="WLG16" s="11"/>
      <c r="WLH16" s="11"/>
      <c r="WLI16" s="11"/>
      <c r="WLJ16" s="11"/>
      <c r="WLK16" s="11"/>
      <c r="WLL16" s="11"/>
      <c r="WLM16" s="11"/>
      <c r="WLN16" s="11"/>
      <c r="WLO16" s="11"/>
      <c r="WLP16" s="11"/>
      <c r="WLQ16" s="11"/>
      <c r="WLR16" s="11"/>
      <c r="WLS16" s="11"/>
      <c r="WLT16" s="11"/>
      <c r="WLU16" s="11"/>
      <c r="WLV16" s="11"/>
      <c r="WLW16" s="11"/>
      <c r="WLX16" s="11"/>
      <c r="WLY16" s="11"/>
      <c r="WLZ16" s="11"/>
      <c r="WMA16" s="11"/>
      <c r="WMB16" s="11"/>
      <c r="WMC16" s="11"/>
      <c r="WMD16" s="11"/>
      <c r="WME16" s="11"/>
      <c r="WMF16" s="11"/>
      <c r="WMG16" s="11"/>
      <c r="WMH16" s="11"/>
      <c r="WMI16" s="11"/>
      <c r="WMJ16" s="11"/>
      <c r="WMK16" s="11"/>
      <c r="WML16" s="11"/>
      <c r="WMM16" s="11"/>
      <c r="WMN16" s="11"/>
      <c r="WMO16" s="11"/>
      <c r="WMP16" s="11"/>
      <c r="WMQ16" s="11"/>
      <c r="WMR16" s="11"/>
      <c r="WMS16" s="11"/>
      <c r="WMT16" s="11"/>
      <c r="WMU16" s="11"/>
      <c r="WMV16" s="11"/>
      <c r="WMW16" s="11"/>
      <c r="WMX16" s="11"/>
      <c r="WMY16" s="11"/>
      <c r="WMZ16" s="11"/>
      <c r="WNA16" s="11"/>
      <c r="WNB16" s="11"/>
      <c r="WNC16" s="11"/>
      <c r="WND16" s="11"/>
      <c r="WNE16" s="11"/>
      <c r="WNF16" s="11"/>
      <c r="WNG16" s="11"/>
      <c r="WNH16" s="11"/>
      <c r="WNI16" s="11"/>
      <c r="WNJ16" s="11"/>
      <c r="WNK16" s="11"/>
      <c r="WNL16" s="11"/>
      <c r="WNM16" s="11"/>
      <c r="WNN16" s="11"/>
      <c r="WNO16" s="11"/>
      <c r="WNP16" s="11"/>
      <c r="WNQ16" s="11"/>
      <c r="WNR16" s="11"/>
      <c r="WNS16" s="11"/>
      <c r="WNT16" s="11"/>
      <c r="WNU16" s="11"/>
      <c r="WNV16" s="11"/>
      <c r="WNW16" s="11"/>
      <c r="WNX16" s="11"/>
      <c r="WNY16" s="11"/>
      <c r="WNZ16" s="11"/>
      <c r="WOA16" s="11"/>
      <c r="WOB16" s="11"/>
      <c r="WOC16" s="11"/>
      <c r="WOD16" s="11"/>
      <c r="WOE16" s="11"/>
      <c r="WOF16" s="11"/>
      <c r="WOG16" s="11"/>
      <c r="WOH16" s="11"/>
      <c r="WOI16" s="11"/>
      <c r="WOJ16" s="11"/>
      <c r="WOK16" s="11"/>
      <c r="WOL16" s="11"/>
      <c r="WOM16" s="11"/>
      <c r="WON16" s="11"/>
      <c r="WOO16" s="11"/>
      <c r="WOP16" s="11"/>
      <c r="WOQ16" s="11"/>
      <c r="WOR16" s="11"/>
      <c r="WOS16" s="11"/>
      <c r="WOT16" s="11"/>
      <c r="WOU16" s="11"/>
      <c r="WOV16" s="11"/>
      <c r="WOW16" s="11"/>
      <c r="WOX16" s="11"/>
      <c r="WOY16" s="11"/>
      <c r="WOZ16" s="11"/>
      <c r="WPA16" s="11"/>
      <c r="WPB16" s="11"/>
      <c r="WPC16" s="11"/>
      <c r="WPD16" s="11"/>
      <c r="WPE16" s="11"/>
      <c r="WPF16" s="11"/>
      <c r="WPG16" s="11"/>
      <c r="WPH16" s="11"/>
      <c r="WPI16" s="11"/>
      <c r="WPJ16" s="11"/>
      <c r="WPK16" s="11"/>
      <c r="WPL16" s="11"/>
      <c r="WPM16" s="11"/>
      <c r="WPN16" s="11"/>
      <c r="WPO16" s="11"/>
      <c r="WPP16" s="11"/>
      <c r="WPQ16" s="11"/>
      <c r="WPR16" s="11"/>
      <c r="WPS16" s="11"/>
      <c r="WPT16" s="11"/>
      <c r="WPU16" s="11"/>
      <c r="WPV16" s="11"/>
      <c r="WPW16" s="11"/>
      <c r="WPX16" s="11"/>
      <c r="WPY16" s="11"/>
      <c r="WPZ16" s="11"/>
      <c r="WQA16" s="11"/>
      <c r="WQB16" s="11"/>
      <c r="WQC16" s="11"/>
      <c r="WQD16" s="11"/>
      <c r="WQE16" s="11"/>
      <c r="WQF16" s="11"/>
      <c r="WQG16" s="11"/>
      <c r="WQH16" s="11"/>
      <c r="WQI16" s="11"/>
      <c r="WQJ16" s="11"/>
      <c r="WQK16" s="11"/>
      <c r="WQL16" s="11"/>
      <c r="WQM16" s="11"/>
      <c r="WQN16" s="11"/>
      <c r="WQO16" s="11"/>
      <c r="WQP16" s="11"/>
      <c r="WQQ16" s="11"/>
      <c r="WQR16" s="11"/>
      <c r="WQS16" s="11"/>
      <c r="WQT16" s="11"/>
      <c r="WQU16" s="11"/>
      <c r="WQV16" s="11"/>
      <c r="WQW16" s="11"/>
      <c r="WQX16" s="11"/>
      <c r="WQY16" s="11"/>
      <c r="WQZ16" s="11"/>
      <c r="WRA16" s="11"/>
      <c r="WRB16" s="11"/>
      <c r="WRC16" s="11"/>
      <c r="WRD16" s="11"/>
      <c r="WRE16" s="11"/>
      <c r="WRF16" s="11"/>
      <c r="WRG16" s="11"/>
      <c r="WRH16" s="11"/>
      <c r="WRI16" s="11"/>
      <c r="WRJ16" s="11"/>
      <c r="WRK16" s="11"/>
      <c r="WRL16" s="11"/>
      <c r="WRM16" s="11"/>
      <c r="WRN16" s="11"/>
      <c r="WRO16" s="11"/>
      <c r="WRP16" s="11"/>
      <c r="WRQ16" s="11"/>
      <c r="WRR16" s="11"/>
      <c r="WRS16" s="11"/>
      <c r="WRT16" s="11"/>
      <c r="WRU16" s="11"/>
      <c r="WRV16" s="11"/>
      <c r="WRW16" s="11"/>
      <c r="WRX16" s="11"/>
      <c r="WRY16" s="11"/>
      <c r="WRZ16" s="11"/>
      <c r="WSA16" s="11"/>
      <c r="WSB16" s="11"/>
      <c r="WSC16" s="11"/>
      <c r="WSD16" s="11"/>
      <c r="WSE16" s="11"/>
      <c r="WSF16" s="11"/>
      <c r="WSG16" s="11"/>
      <c r="WSH16" s="11"/>
      <c r="WSI16" s="11"/>
      <c r="WSJ16" s="11"/>
      <c r="WSK16" s="11"/>
      <c r="WSL16" s="11"/>
      <c r="WSM16" s="11"/>
      <c r="WSN16" s="11"/>
      <c r="WSO16" s="11"/>
      <c r="WSP16" s="11"/>
      <c r="WSQ16" s="11"/>
      <c r="WSR16" s="11"/>
      <c r="WSS16" s="11"/>
      <c r="WST16" s="11"/>
      <c r="WSU16" s="11"/>
      <c r="WSV16" s="11"/>
      <c r="WSW16" s="11"/>
      <c r="WSX16" s="11"/>
      <c r="WSY16" s="11"/>
      <c r="WSZ16" s="11"/>
      <c r="WTA16" s="11"/>
      <c r="WTB16" s="11"/>
      <c r="WTC16" s="11"/>
      <c r="WTD16" s="11"/>
      <c r="WTE16" s="11"/>
      <c r="WTF16" s="11"/>
      <c r="WTG16" s="11"/>
      <c r="WTH16" s="11"/>
      <c r="WTI16" s="11"/>
      <c r="WTJ16" s="11"/>
      <c r="WTK16" s="11"/>
      <c r="WTL16" s="11"/>
      <c r="WTM16" s="11"/>
      <c r="WTN16" s="11"/>
      <c r="WTO16" s="11"/>
      <c r="WTP16" s="11"/>
      <c r="WTQ16" s="11"/>
      <c r="WTR16" s="11"/>
      <c r="WTS16" s="11"/>
      <c r="WTT16" s="11"/>
      <c r="WTU16" s="11"/>
      <c r="WTV16" s="11"/>
      <c r="WTW16" s="11"/>
      <c r="WTX16" s="11"/>
      <c r="WTY16" s="11"/>
      <c r="WTZ16" s="11"/>
      <c r="WUA16" s="11"/>
      <c r="WUB16" s="11"/>
      <c r="WUC16" s="11"/>
      <c r="WUD16" s="11"/>
      <c r="WUE16" s="11"/>
      <c r="WUF16" s="11"/>
      <c r="WUG16" s="11"/>
      <c r="WUH16" s="11"/>
      <c r="WUI16" s="11"/>
      <c r="WUJ16" s="11"/>
      <c r="WUK16" s="11"/>
      <c r="WUL16" s="11"/>
      <c r="WUM16" s="11"/>
      <c r="WUN16" s="11"/>
      <c r="WUO16" s="11"/>
      <c r="WUP16" s="11"/>
      <c r="WUQ16" s="11"/>
      <c r="WUR16" s="11"/>
      <c r="WUS16" s="11"/>
      <c r="WUT16" s="11"/>
      <c r="WUU16" s="11"/>
      <c r="WUV16" s="11"/>
      <c r="WUW16" s="11"/>
      <c r="WUX16" s="11"/>
      <c r="WUY16" s="11"/>
      <c r="WUZ16" s="11"/>
      <c r="WVA16" s="11"/>
      <c r="WVB16" s="11"/>
      <c r="WVC16" s="11"/>
      <c r="WVD16" s="11"/>
      <c r="WVE16" s="11"/>
      <c r="WVF16" s="11"/>
      <c r="WVG16" s="11"/>
      <c r="WVH16" s="11"/>
      <c r="WVI16" s="11"/>
      <c r="WVJ16" s="11"/>
      <c r="WVK16" s="11"/>
      <c r="WVL16" s="11"/>
      <c r="WVM16" s="11"/>
      <c r="WVN16" s="11"/>
      <c r="WVO16" s="11"/>
      <c r="WVP16" s="11"/>
      <c r="WVQ16" s="11"/>
      <c r="WVR16" s="11"/>
      <c r="WVS16" s="11"/>
      <c r="WVT16" s="11"/>
      <c r="WVU16" s="11"/>
      <c r="WVV16" s="11"/>
      <c r="WVW16" s="11"/>
      <c r="WVX16" s="11"/>
      <c r="WVY16" s="11"/>
      <c r="WVZ16" s="11"/>
      <c r="WWA16" s="11"/>
      <c r="WWB16" s="11"/>
      <c r="WWC16" s="11"/>
      <c r="WWD16" s="11"/>
      <c r="WWE16" s="11"/>
      <c r="WWF16" s="11"/>
      <c r="WWG16" s="11"/>
      <c r="WWH16" s="11"/>
      <c r="WWI16" s="11"/>
      <c r="WWJ16" s="11"/>
      <c r="WWK16" s="11"/>
      <c r="WWL16" s="11"/>
      <c r="WWM16" s="11"/>
      <c r="WWN16" s="11"/>
      <c r="WWO16" s="11"/>
      <c r="WWP16" s="11"/>
      <c r="WWQ16" s="11"/>
      <c r="WWR16" s="11"/>
      <c r="WWS16" s="11"/>
      <c r="WWT16" s="11"/>
      <c r="WWU16" s="11"/>
      <c r="WWV16" s="11"/>
      <c r="WWW16" s="11"/>
      <c r="WWX16" s="11"/>
      <c r="WWY16" s="11"/>
      <c r="WWZ16" s="11"/>
      <c r="WXA16" s="11"/>
      <c r="WXB16" s="11"/>
      <c r="WXC16" s="11"/>
      <c r="WXD16" s="11"/>
      <c r="WXE16" s="11"/>
      <c r="WXF16" s="11"/>
      <c r="WXG16" s="11"/>
      <c r="WXH16" s="11"/>
      <c r="WXI16" s="11"/>
      <c r="WXJ16" s="11"/>
      <c r="WXK16" s="11"/>
      <c r="WXL16" s="11"/>
      <c r="WXM16" s="11"/>
      <c r="WXN16" s="11"/>
      <c r="WXO16" s="11"/>
      <c r="WXP16" s="11"/>
      <c r="WXQ16" s="11"/>
      <c r="WXR16" s="11"/>
      <c r="WXS16" s="11"/>
      <c r="WXT16" s="11"/>
      <c r="WXU16" s="11"/>
      <c r="WXV16" s="11"/>
      <c r="WXW16" s="11"/>
      <c r="WXX16" s="11"/>
      <c r="WXY16" s="11"/>
      <c r="WXZ16" s="11"/>
      <c r="WYA16" s="11"/>
      <c r="WYB16" s="11"/>
      <c r="WYC16" s="11"/>
      <c r="WYD16" s="11"/>
      <c r="WYE16" s="11"/>
      <c r="WYF16" s="11"/>
      <c r="WYG16" s="11"/>
      <c r="WYH16" s="11"/>
      <c r="WYI16" s="11"/>
      <c r="WYJ16" s="11"/>
      <c r="WYK16" s="11"/>
      <c r="WYL16" s="11"/>
      <c r="WYM16" s="11"/>
      <c r="WYN16" s="11"/>
      <c r="WYO16" s="11"/>
      <c r="WYP16" s="11"/>
      <c r="WYQ16" s="11"/>
      <c r="WYR16" s="11"/>
      <c r="WYS16" s="11"/>
      <c r="WYT16" s="11"/>
      <c r="WYU16" s="11"/>
      <c r="WYV16" s="11"/>
      <c r="WYW16" s="11"/>
      <c r="WYX16" s="11"/>
      <c r="WYY16" s="11"/>
      <c r="WYZ16" s="11"/>
      <c r="WZA16" s="11"/>
      <c r="WZB16" s="11"/>
      <c r="WZC16" s="11"/>
      <c r="WZD16" s="11"/>
      <c r="WZE16" s="11"/>
      <c r="WZF16" s="11"/>
      <c r="WZG16" s="11"/>
      <c r="WZH16" s="11"/>
      <c r="WZI16" s="11"/>
      <c r="WZJ16" s="11"/>
      <c r="WZK16" s="11"/>
      <c r="WZL16" s="11"/>
      <c r="WZM16" s="11"/>
      <c r="WZN16" s="11"/>
      <c r="WZO16" s="11"/>
      <c r="WZP16" s="11"/>
      <c r="WZQ16" s="11"/>
      <c r="WZR16" s="11"/>
      <c r="WZS16" s="11"/>
      <c r="WZT16" s="11"/>
      <c r="WZU16" s="11"/>
      <c r="WZV16" s="11"/>
      <c r="WZW16" s="11"/>
      <c r="WZX16" s="11"/>
      <c r="WZY16" s="11"/>
      <c r="WZZ16" s="11"/>
      <c r="XAA16" s="11"/>
      <c r="XAB16" s="11"/>
      <c r="XAC16" s="11"/>
      <c r="XAD16" s="11"/>
      <c r="XAE16" s="11"/>
      <c r="XAF16" s="11"/>
      <c r="XAG16" s="11"/>
      <c r="XAH16" s="11"/>
      <c r="XAI16" s="11"/>
      <c r="XAJ16" s="11"/>
      <c r="XAK16" s="11"/>
      <c r="XAL16" s="11"/>
      <c r="XAM16" s="11"/>
      <c r="XAN16" s="11"/>
      <c r="XAO16" s="11"/>
      <c r="XAP16" s="11"/>
      <c r="XAQ16" s="11"/>
      <c r="XAR16" s="11"/>
      <c r="XAS16" s="11"/>
      <c r="XAT16" s="11"/>
      <c r="XAU16" s="11"/>
      <c r="XAV16" s="11"/>
      <c r="XAW16" s="11"/>
      <c r="XAX16" s="11"/>
      <c r="XAY16" s="11"/>
      <c r="XAZ16" s="11"/>
      <c r="XBA16" s="11"/>
      <c r="XBB16" s="11"/>
      <c r="XBC16" s="11"/>
      <c r="XBD16" s="11"/>
      <c r="XBE16" s="11"/>
      <c r="XBF16" s="11"/>
      <c r="XBG16" s="11"/>
      <c r="XBH16" s="11"/>
      <c r="XBI16" s="11"/>
      <c r="XBJ16" s="11"/>
      <c r="XBK16" s="11"/>
      <c r="XBL16" s="11"/>
      <c r="XBM16" s="11"/>
      <c r="XBN16" s="11"/>
      <c r="XBO16" s="11"/>
      <c r="XBP16" s="11"/>
      <c r="XBQ16" s="11"/>
      <c r="XBR16" s="11"/>
      <c r="XBS16" s="11"/>
      <c r="XBT16" s="11"/>
      <c r="XBU16" s="11"/>
      <c r="XBV16" s="11"/>
      <c r="XBW16" s="11"/>
      <c r="XBX16" s="11"/>
      <c r="XBY16" s="11"/>
      <c r="XBZ16" s="11"/>
      <c r="XCA16" s="11"/>
      <c r="XCB16" s="11"/>
      <c r="XCC16" s="11"/>
      <c r="XCD16" s="11"/>
      <c r="XCE16" s="11"/>
      <c r="XCF16" s="11"/>
      <c r="XCG16" s="11"/>
      <c r="XCH16" s="11"/>
      <c r="XCI16" s="11"/>
      <c r="XCJ16" s="11"/>
      <c r="XCK16" s="11"/>
      <c r="XCL16" s="11"/>
      <c r="XCM16" s="11"/>
      <c r="XCN16" s="11"/>
      <c r="XCO16" s="11"/>
      <c r="XCP16" s="11"/>
      <c r="XCQ16" s="11"/>
      <c r="XCR16" s="11"/>
      <c r="XCS16" s="11"/>
      <c r="XCT16" s="11"/>
      <c r="XCU16" s="11"/>
      <c r="XCV16" s="11"/>
      <c r="XCW16" s="11"/>
      <c r="XCX16" s="11"/>
      <c r="XCY16" s="11"/>
      <c r="XCZ16" s="11"/>
      <c r="XDA16" s="11"/>
      <c r="XDB16" s="11"/>
      <c r="XDC16" s="11"/>
      <c r="XDD16" s="11"/>
      <c r="XDE16" s="11"/>
      <c r="XDF16" s="11"/>
      <c r="XDG16" s="11"/>
      <c r="XDH16" s="11"/>
      <c r="XDI16" s="11"/>
      <c r="XDJ16" s="11"/>
      <c r="XDK16" s="11"/>
      <c r="XDL16" s="11"/>
      <c r="XDM16" s="11"/>
      <c r="XDN16" s="11"/>
      <c r="XDO16" s="11"/>
      <c r="XDP16" s="11"/>
      <c r="XDQ16" s="11"/>
      <c r="XDR16" s="11"/>
      <c r="XDS16" s="11"/>
      <c r="XDT16" s="11"/>
      <c r="XDU16" s="11"/>
      <c r="XDV16" s="11"/>
      <c r="XDW16" s="11"/>
      <c r="XDX16" s="11"/>
      <c r="XDY16" s="11"/>
      <c r="XDZ16" s="11"/>
      <c r="XEA16" s="11"/>
      <c r="XEB16" s="11"/>
      <c r="XEC16" s="11"/>
      <c r="XED16" s="11"/>
      <c r="XEE16" s="11"/>
      <c r="XEF16" s="11"/>
      <c r="XEG16" s="11"/>
      <c r="XEH16" s="11"/>
      <c r="XEI16" s="11"/>
      <c r="XEJ16" s="11"/>
      <c r="XEK16" s="11"/>
      <c r="XEL16" s="11"/>
      <c r="XEM16" s="11"/>
      <c r="XEN16" s="11"/>
      <c r="XEO16" s="11"/>
      <c r="XEP16" s="11"/>
      <c r="XEQ16" s="11"/>
      <c r="XER16" s="11"/>
      <c r="XES16" s="11"/>
      <c r="XET16" s="11"/>
      <c r="XEU16" s="11"/>
      <c r="XEV16" s="11"/>
      <c r="XEW16" s="11"/>
      <c r="XEX16" s="11"/>
      <c r="XEY16" s="11"/>
      <c r="XEZ16" s="11"/>
      <c r="XFA16" s="11"/>
      <c r="XFB16" s="11"/>
      <c r="XFC16" s="11"/>
    </row>
    <row r="17" spans="1:16383" s="2" customFormat="1">
      <c r="A17" s="5" t="s">
        <v>2604</v>
      </c>
      <c r="B17" s="5" t="s">
        <v>2605</v>
      </c>
      <c r="C17" s="5" t="s">
        <v>2606</v>
      </c>
      <c r="D17" s="5" t="s">
        <v>2541</v>
      </c>
      <c r="E17" s="6">
        <v>11806.14</v>
      </c>
      <c r="F17" s="6">
        <v>11806.14</v>
      </c>
      <c r="G17" s="5" t="s">
        <v>2583</v>
      </c>
      <c r="H17" s="5" t="s">
        <v>2544</v>
      </c>
      <c r="I17" s="5" t="s">
        <v>2541</v>
      </c>
      <c r="J17" s="9">
        <v>45056.0004976852</v>
      </c>
      <c r="K17" s="5" t="s">
        <v>2545</v>
      </c>
      <c r="L17" s="5" t="s">
        <v>2607</v>
      </c>
      <c r="M17" s="6">
        <v>168.25</v>
      </c>
      <c r="N17" s="6">
        <v>142.51</v>
      </c>
      <c r="O17" s="6">
        <v>9.5</v>
      </c>
      <c r="P17" s="6">
        <v>143</v>
      </c>
      <c r="Q17" s="6">
        <v>0</v>
      </c>
      <c r="R17" s="5" t="s">
        <v>2547</v>
      </c>
      <c r="S17" s="11"/>
      <c r="T17" s="11"/>
      <c r="U17" s="11"/>
      <c r="V17" s="11"/>
      <c r="W17" s="11"/>
      <c r="X17" s="11"/>
      <c r="Y17" s="11"/>
      <c r="Z17" s="11"/>
      <c r="AA17" s="11"/>
      <c r="AB17" s="11"/>
      <c r="AC17" s="11"/>
      <c r="AD17" s="11"/>
      <c r="AE17" s="11"/>
      <c r="AF17" s="11"/>
      <c r="AG17" s="11"/>
      <c r="AH17" s="11"/>
      <c r="AI17" s="11"/>
      <c r="AJ17" s="11"/>
      <c r="AK17" s="11"/>
      <c r="AL17" s="11"/>
      <c r="AM17" s="11"/>
      <c r="AN17" s="11"/>
      <c r="AO17" s="11"/>
      <c r="AP17" s="11"/>
      <c r="AQ17" s="11"/>
      <c r="AR17" s="11"/>
      <c r="AS17" s="11"/>
      <c r="AT17" s="11"/>
      <c r="AU17" s="11"/>
      <c r="AV17" s="11"/>
      <c r="AW17" s="11"/>
      <c r="AX17" s="11"/>
      <c r="AY17" s="11"/>
      <c r="AZ17" s="11"/>
      <c r="BA17" s="11"/>
      <c r="BB17" s="11"/>
      <c r="BC17" s="11"/>
      <c r="BD17" s="11"/>
      <c r="BE17" s="11"/>
      <c r="BF17" s="11"/>
      <c r="BG17" s="11"/>
      <c r="BH17" s="11"/>
      <c r="BI17" s="11"/>
      <c r="BJ17" s="11"/>
      <c r="BK17" s="11"/>
      <c r="BL17" s="11"/>
      <c r="BM17" s="11"/>
      <c r="BN17" s="11"/>
      <c r="BO17" s="11"/>
      <c r="BP17" s="11"/>
      <c r="BQ17" s="11"/>
      <c r="BR17" s="11"/>
      <c r="BS17" s="11"/>
      <c r="BT17" s="11"/>
      <c r="BU17" s="11"/>
      <c r="BV17" s="11"/>
      <c r="BW17" s="11"/>
      <c r="BX17" s="11"/>
      <c r="BY17" s="11"/>
      <c r="BZ17" s="11"/>
      <c r="CA17" s="11"/>
      <c r="CB17" s="11"/>
      <c r="CC17" s="11"/>
      <c r="CD17" s="11"/>
      <c r="CE17" s="11"/>
      <c r="CF17" s="11"/>
      <c r="CG17" s="11"/>
      <c r="CH17" s="11"/>
      <c r="CI17" s="11"/>
      <c r="CJ17" s="11"/>
      <c r="CK17" s="11"/>
      <c r="CL17" s="11"/>
      <c r="CM17" s="11"/>
      <c r="CN17" s="11"/>
      <c r="CO17" s="11"/>
      <c r="CP17" s="11"/>
      <c r="CQ17" s="11"/>
      <c r="CR17" s="11"/>
      <c r="CS17" s="11"/>
      <c r="CT17" s="11"/>
      <c r="CU17" s="11"/>
      <c r="CV17" s="11"/>
      <c r="CW17" s="11"/>
      <c r="CX17" s="11"/>
      <c r="CY17" s="11"/>
      <c r="CZ17" s="11"/>
      <c r="DA17" s="11"/>
      <c r="DB17" s="11"/>
      <c r="DC17" s="11"/>
      <c r="DD17" s="11"/>
      <c r="DE17" s="11"/>
      <c r="DF17" s="11"/>
      <c r="DG17" s="11"/>
      <c r="DH17" s="11"/>
      <c r="DI17" s="11"/>
      <c r="DJ17" s="11"/>
      <c r="DK17" s="11"/>
      <c r="DL17" s="11"/>
      <c r="DM17" s="11"/>
      <c r="DN17" s="11"/>
      <c r="DO17" s="11"/>
      <c r="DP17" s="11"/>
      <c r="DQ17" s="11"/>
      <c r="DR17" s="11"/>
      <c r="DS17" s="11"/>
      <c r="DT17" s="11"/>
      <c r="DU17" s="11"/>
      <c r="DV17" s="11"/>
      <c r="DW17" s="11"/>
      <c r="DX17" s="11"/>
      <c r="DY17" s="11"/>
      <c r="DZ17" s="11"/>
      <c r="EA17" s="11"/>
      <c r="EB17" s="11"/>
      <c r="EC17" s="11"/>
      <c r="ED17" s="11"/>
      <c r="EE17" s="11"/>
      <c r="EF17" s="11"/>
      <c r="EG17" s="11"/>
      <c r="EH17" s="11"/>
      <c r="EI17" s="11"/>
      <c r="EJ17" s="11"/>
      <c r="EK17" s="11"/>
      <c r="EL17" s="11"/>
      <c r="EM17" s="11"/>
      <c r="EN17" s="11"/>
      <c r="EO17" s="11"/>
      <c r="EP17" s="11"/>
      <c r="EQ17" s="11"/>
      <c r="ER17" s="11"/>
      <c r="ES17" s="11"/>
      <c r="ET17" s="11"/>
      <c r="EU17" s="11"/>
      <c r="EV17" s="11"/>
      <c r="EW17" s="11"/>
      <c r="EX17" s="11"/>
      <c r="EY17" s="11"/>
      <c r="EZ17" s="11"/>
      <c r="FA17" s="11"/>
      <c r="FB17" s="11"/>
      <c r="FC17" s="11"/>
      <c r="FD17" s="11"/>
      <c r="FE17" s="11"/>
      <c r="FF17" s="11"/>
      <c r="FG17" s="11"/>
      <c r="FH17" s="11"/>
      <c r="FI17" s="11"/>
      <c r="FJ17" s="11"/>
      <c r="FK17" s="11"/>
      <c r="FL17" s="11"/>
      <c r="FM17" s="11"/>
      <c r="FN17" s="11"/>
      <c r="FO17" s="11"/>
      <c r="FP17" s="11"/>
      <c r="FQ17" s="11"/>
      <c r="FR17" s="11"/>
      <c r="FS17" s="11"/>
      <c r="FT17" s="11"/>
      <c r="FU17" s="11"/>
      <c r="FV17" s="11"/>
      <c r="FW17" s="11"/>
      <c r="FX17" s="11"/>
      <c r="FY17" s="11"/>
      <c r="FZ17" s="11"/>
      <c r="GA17" s="11"/>
      <c r="GB17" s="11"/>
      <c r="GC17" s="11"/>
      <c r="GD17" s="11"/>
      <c r="GE17" s="11"/>
      <c r="GF17" s="11"/>
      <c r="GG17" s="11"/>
      <c r="GH17" s="11"/>
      <c r="GI17" s="11"/>
      <c r="GJ17" s="11"/>
      <c r="GK17" s="11"/>
      <c r="GL17" s="11"/>
      <c r="GM17" s="11"/>
      <c r="GN17" s="11"/>
      <c r="GO17" s="11"/>
      <c r="GP17" s="11"/>
      <c r="GQ17" s="11"/>
      <c r="GR17" s="11"/>
      <c r="GS17" s="11"/>
      <c r="GT17" s="11"/>
      <c r="GU17" s="11"/>
      <c r="GV17" s="11"/>
      <c r="GW17" s="11"/>
      <c r="GX17" s="11"/>
      <c r="GY17" s="11"/>
      <c r="GZ17" s="11"/>
      <c r="HA17" s="11"/>
      <c r="HB17" s="11"/>
      <c r="HC17" s="11"/>
      <c r="HD17" s="11"/>
      <c r="HE17" s="11"/>
      <c r="HF17" s="11"/>
      <c r="HG17" s="11"/>
      <c r="HH17" s="11"/>
      <c r="HI17" s="11"/>
      <c r="HJ17" s="11"/>
      <c r="HK17" s="11"/>
      <c r="HL17" s="11"/>
      <c r="HM17" s="11"/>
      <c r="HN17" s="11"/>
      <c r="HO17" s="11"/>
      <c r="HP17" s="11"/>
      <c r="HQ17" s="11"/>
      <c r="HR17" s="11"/>
      <c r="HS17" s="11"/>
      <c r="HT17" s="11"/>
      <c r="HU17" s="11"/>
      <c r="HV17" s="11"/>
      <c r="HW17" s="11"/>
      <c r="HX17" s="11"/>
      <c r="HY17" s="11"/>
      <c r="HZ17" s="11"/>
      <c r="IA17" s="11"/>
      <c r="IB17" s="11"/>
      <c r="IC17" s="11"/>
      <c r="ID17" s="11"/>
      <c r="IE17" s="11"/>
      <c r="IF17" s="11"/>
      <c r="IG17" s="11"/>
      <c r="IH17" s="11"/>
      <c r="II17" s="11"/>
      <c r="IJ17" s="11"/>
      <c r="IK17" s="11"/>
      <c r="IL17" s="11"/>
      <c r="IM17" s="11"/>
      <c r="IN17" s="11"/>
      <c r="IO17" s="11"/>
      <c r="IP17" s="11"/>
      <c r="IQ17" s="11"/>
      <c r="IR17" s="11"/>
      <c r="IS17" s="11"/>
      <c r="IT17" s="11"/>
      <c r="IU17" s="11"/>
      <c r="IV17" s="11"/>
      <c r="IW17" s="11"/>
      <c r="IX17" s="11"/>
      <c r="IY17" s="11"/>
      <c r="IZ17" s="11"/>
      <c r="JA17" s="11"/>
      <c r="JB17" s="11"/>
      <c r="JC17" s="11"/>
      <c r="JD17" s="11"/>
      <c r="JE17" s="11"/>
      <c r="JF17" s="11"/>
      <c r="JG17" s="11"/>
      <c r="JH17" s="11"/>
      <c r="JI17" s="11"/>
      <c r="JJ17" s="11"/>
      <c r="JK17" s="11"/>
      <c r="JL17" s="11"/>
      <c r="JM17" s="11"/>
      <c r="JN17" s="11"/>
      <c r="JO17" s="11"/>
      <c r="JP17" s="11"/>
      <c r="JQ17" s="11"/>
      <c r="JR17" s="11"/>
      <c r="JS17" s="11"/>
      <c r="JT17" s="11"/>
      <c r="JU17" s="11"/>
      <c r="JV17" s="11"/>
      <c r="JW17" s="11"/>
      <c r="JX17" s="11"/>
      <c r="JY17" s="11"/>
      <c r="JZ17" s="11"/>
      <c r="KA17" s="11"/>
      <c r="KB17" s="11"/>
      <c r="KC17" s="11"/>
      <c r="KD17" s="11"/>
      <c r="KE17" s="11"/>
      <c r="KF17" s="11"/>
      <c r="KG17" s="11"/>
      <c r="KH17" s="11"/>
      <c r="KI17" s="11"/>
      <c r="KJ17" s="11"/>
      <c r="KK17" s="11"/>
      <c r="KL17" s="11"/>
      <c r="KM17" s="11"/>
      <c r="KN17" s="11"/>
      <c r="KO17" s="11"/>
      <c r="KP17" s="11"/>
      <c r="KQ17" s="11"/>
      <c r="KR17" s="11"/>
      <c r="KS17" s="11"/>
      <c r="KT17" s="11"/>
      <c r="KU17" s="11"/>
      <c r="KV17" s="11"/>
      <c r="KW17" s="11"/>
      <c r="KX17" s="11"/>
      <c r="KY17" s="11"/>
      <c r="KZ17" s="11"/>
      <c r="LA17" s="11"/>
      <c r="LB17" s="11"/>
      <c r="LC17" s="11"/>
      <c r="LD17" s="11"/>
      <c r="LE17" s="11"/>
      <c r="LF17" s="11"/>
      <c r="LG17" s="11"/>
      <c r="LH17" s="11"/>
      <c r="LI17" s="11"/>
      <c r="LJ17" s="11"/>
      <c r="LK17" s="11"/>
      <c r="LL17" s="11"/>
      <c r="LM17" s="11"/>
      <c r="LN17" s="11"/>
      <c r="LO17" s="11"/>
      <c r="LP17" s="11"/>
      <c r="LQ17" s="11"/>
      <c r="LR17" s="11"/>
      <c r="LS17" s="11"/>
      <c r="LT17" s="11"/>
      <c r="LU17" s="11"/>
      <c r="LV17" s="11"/>
      <c r="LW17" s="11"/>
      <c r="LX17" s="11"/>
      <c r="LY17" s="11"/>
      <c r="LZ17" s="11"/>
      <c r="MA17" s="11"/>
      <c r="MB17" s="11"/>
      <c r="MC17" s="11"/>
      <c r="MD17" s="11"/>
      <c r="ME17" s="11"/>
      <c r="MF17" s="11"/>
      <c r="MG17" s="11"/>
      <c r="MH17" s="11"/>
      <c r="MI17" s="11"/>
      <c r="MJ17" s="11"/>
      <c r="MK17" s="11"/>
      <c r="ML17" s="11"/>
      <c r="MM17" s="11"/>
      <c r="MN17" s="11"/>
      <c r="MO17" s="11"/>
      <c r="MP17" s="11"/>
      <c r="MQ17" s="11"/>
      <c r="MR17" s="11"/>
      <c r="MS17" s="11"/>
      <c r="MT17" s="11"/>
      <c r="MU17" s="11"/>
      <c r="MV17" s="11"/>
      <c r="MW17" s="11"/>
      <c r="MX17" s="11"/>
      <c r="MY17" s="11"/>
      <c r="MZ17" s="11"/>
      <c r="NA17" s="11"/>
      <c r="NB17" s="11"/>
      <c r="NC17" s="11"/>
      <c r="ND17" s="11"/>
      <c r="NE17" s="11"/>
      <c r="NF17" s="11"/>
      <c r="NG17" s="11"/>
      <c r="NH17" s="11"/>
      <c r="NI17" s="11"/>
      <c r="NJ17" s="11"/>
      <c r="NK17" s="11"/>
      <c r="NL17" s="11"/>
      <c r="NM17" s="11"/>
      <c r="NN17" s="11"/>
      <c r="NO17" s="11"/>
      <c r="NP17" s="11"/>
      <c r="NQ17" s="11"/>
      <c r="NR17" s="11"/>
      <c r="NS17" s="11"/>
      <c r="NT17" s="11"/>
      <c r="NU17" s="11"/>
      <c r="NV17" s="11"/>
      <c r="NW17" s="11"/>
      <c r="NX17" s="11"/>
      <c r="NY17" s="11"/>
      <c r="NZ17" s="11"/>
      <c r="OA17" s="11"/>
      <c r="OB17" s="11"/>
      <c r="OC17" s="11"/>
      <c r="OD17" s="11"/>
      <c r="OE17" s="11"/>
      <c r="OF17" s="11"/>
      <c r="OG17" s="11"/>
      <c r="OH17" s="11"/>
      <c r="OI17" s="11"/>
      <c r="OJ17" s="11"/>
      <c r="OK17" s="11"/>
      <c r="OL17" s="11"/>
      <c r="OM17" s="11"/>
      <c r="ON17" s="11"/>
      <c r="OO17" s="11"/>
      <c r="OP17" s="11"/>
      <c r="OQ17" s="11"/>
      <c r="OR17" s="11"/>
      <c r="OS17" s="11"/>
      <c r="OT17" s="11"/>
      <c r="OU17" s="11"/>
      <c r="OV17" s="11"/>
      <c r="OW17" s="11"/>
      <c r="OX17" s="11"/>
      <c r="OY17" s="11"/>
      <c r="OZ17" s="11"/>
      <c r="PA17" s="11"/>
      <c r="PB17" s="11"/>
      <c r="PC17" s="11"/>
      <c r="PD17" s="11"/>
      <c r="PE17" s="11"/>
      <c r="PF17" s="11"/>
      <c r="PG17" s="11"/>
      <c r="PH17" s="11"/>
      <c r="PI17" s="11"/>
      <c r="PJ17" s="11"/>
      <c r="PK17" s="11"/>
      <c r="PL17" s="11"/>
      <c r="PM17" s="11"/>
      <c r="PN17" s="11"/>
      <c r="PO17" s="11"/>
      <c r="PP17" s="11"/>
      <c r="PQ17" s="11"/>
      <c r="PR17" s="11"/>
      <c r="PS17" s="11"/>
      <c r="PT17" s="11"/>
      <c r="PU17" s="11"/>
      <c r="PV17" s="11"/>
      <c r="PW17" s="11"/>
      <c r="PX17" s="11"/>
      <c r="PY17" s="11"/>
      <c r="PZ17" s="11"/>
      <c r="QA17" s="11"/>
      <c r="QB17" s="11"/>
      <c r="QC17" s="11"/>
      <c r="QD17" s="11"/>
      <c r="QE17" s="11"/>
      <c r="QF17" s="11"/>
      <c r="QG17" s="11"/>
      <c r="QH17" s="11"/>
      <c r="QI17" s="11"/>
      <c r="QJ17" s="11"/>
      <c r="QK17" s="11"/>
      <c r="QL17" s="11"/>
      <c r="QM17" s="11"/>
      <c r="QN17" s="11"/>
      <c r="QO17" s="11"/>
      <c r="QP17" s="11"/>
      <c r="QQ17" s="11"/>
      <c r="QR17" s="11"/>
      <c r="QS17" s="11"/>
      <c r="QT17" s="11"/>
      <c r="QU17" s="11"/>
      <c r="QV17" s="11"/>
      <c r="QW17" s="11"/>
      <c r="QX17" s="11"/>
      <c r="QY17" s="11"/>
      <c r="QZ17" s="11"/>
      <c r="RA17" s="11"/>
      <c r="RB17" s="11"/>
      <c r="RC17" s="11"/>
      <c r="RD17" s="11"/>
      <c r="RE17" s="11"/>
      <c r="RF17" s="11"/>
      <c r="RG17" s="11"/>
      <c r="RH17" s="11"/>
      <c r="RI17" s="11"/>
      <c r="RJ17" s="11"/>
      <c r="RK17" s="11"/>
      <c r="RL17" s="11"/>
      <c r="RM17" s="11"/>
      <c r="RN17" s="11"/>
      <c r="RO17" s="11"/>
      <c r="RP17" s="11"/>
      <c r="RQ17" s="11"/>
      <c r="RR17" s="11"/>
      <c r="RS17" s="11"/>
      <c r="RT17" s="11"/>
      <c r="RU17" s="11"/>
      <c r="RV17" s="11"/>
      <c r="RW17" s="11"/>
      <c r="RX17" s="11"/>
      <c r="RY17" s="11"/>
      <c r="RZ17" s="11"/>
      <c r="SA17" s="11"/>
      <c r="SB17" s="11"/>
      <c r="SC17" s="11"/>
      <c r="SD17" s="11"/>
      <c r="SE17" s="11"/>
      <c r="SF17" s="11"/>
      <c r="SG17" s="11"/>
      <c r="SH17" s="11"/>
      <c r="SI17" s="11"/>
      <c r="SJ17" s="11"/>
      <c r="SK17" s="11"/>
      <c r="SL17" s="11"/>
      <c r="SM17" s="11"/>
      <c r="SN17" s="11"/>
      <c r="SO17" s="11"/>
      <c r="SP17" s="11"/>
      <c r="SQ17" s="11"/>
      <c r="SR17" s="11"/>
      <c r="SS17" s="11"/>
      <c r="ST17" s="11"/>
      <c r="SU17" s="11"/>
      <c r="SV17" s="11"/>
      <c r="SW17" s="11"/>
      <c r="SX17" s="11"/>
      <c r="SY17" s="11"/>
      <c r="SZ17" s="11"/>
      <c r="TA17" s="11"/>
      <c r="TB17" s="11"/>
      <c r="TC17" s="11"/>
      <c r="TD17" s="11"/>
      <c r="TE17" s="11"/>
      <c r="TF17" s="11"/>
      <c r="TG17" s="11"/>
      <c r="TH17" s="11"/>
      <c r="TI17" s="11"/>
      <c r="TJ17" s="11"/>
      <c r="TK17" s="11"/>
      <c r="TL17" s="11"/>
      <c r="TM17" s="11"/>
      <c r="TN17" s="11"/>
      <c r="TO17" s="11"/>
      <c r="TP17" s="11"/>
      <c r="TQ17" s="11"/>
      <c r="TR17" s="11"/>
      <c r="TS17" s="11"/>
      <c r="TT17" s="11"/>
      <c r="TU17" s="11"/>
      <c r="TV17" s="11"/>
      <c r="TW17" s="11"/>
      <c r="TX17" s="11"/>
      <c r="TY17" s="11"/>
      <c r="TZ17" s="11"/>
      <c r="UA17" s="11"/>
      <c r="UB17" s="11"/>
      <c r="UC17" s="11"/>
      <c r="UD17" s="11"/>
      <c r="UE17" s="11"/>
      <c r="UF17" s="11"/>
      <c r="UG17" s="11"/>
      <c r="UH17" s="11"/>
      <c r="UI17" s="11"/>
      <c r="UJ17" s="11"/>
      <c r="UK17" s="11"/>
      <c r="UL17" s="11"/>
      <c r="UM17" s="11"/>
      <c r="UN17" s="11"/>
      <c r="UO17" s="11"/>
      <c r="UP17" s="11"/>
      <c r="UQ17" s="11"/>
      <c r="UR17" s="11"/>
      <c r="US17" s="11"/>
      <c r="UT17" s="11"/>
      <c r="UU17" s="11"/>
      <c r="UV17" s="11"/>
      <c r="UW17" s="11"/>
      <c r="UX17" s="11"/>
      <c r="UY17" s="11"/>
      <c r="UZ17" s="11"/>
      <c r="VA17" s="11"/>
      <c r="VB17" s="11"/>
      <c r="VC17" s="11"/>
      <c r="VD17" s="11"/>
      <c r="VE17" s="11"/>
      <c r="VF17" s="11"/>
      <c r="VG17" s="11"/>
      <c r="VH17" s="11"/>
      <c r="VI17" s="11"/>
      <c r="VJ17" s="11"/>
      <c r="VK17" s="11"/>
      <c r="VL17" s="11"/>
      <c r="VM17" s="11"/>
      <c r="VN17" s="11"/>
      <c r="VO17" s="11"/>
      <c r="VP17" s="11"/>
      <c r="VQ17" s="11"/>
      <c r="VR17" s="11"/>
      <c r="VS17" s="11"/>
      <c r="VT17" s="11"/>
      <c r="VU17" s="11"/>
      <c r="VV17" s="11"/>
      <c r="VW17" s="11"/>
      <c r="VX17" s="11"/>
      <c r="VY17" s="11"/>
      <c r="VZ17" s="11"/>
      <c r="WA17" s="11"/>
      <c r="WB17" s="11"/>
      <c r="WC17" s="11"/>
      <c r="WD17" s="11"/>
      <c r="WE17" s="11"/>
      <c r="WF17" s="11"/>
      <c r="WG17" s="11"/>
      <c r="WH17" s="11"/>
      <c r="WI17" s="11"/>
      <c r="WJ17" s="11"/>
      <c r="WK17" s="11"/>
      <c r="WL17" s="11"/>
      <c r="WM17" s="11"/>
      <c r="WN17" s="11"/>
      <c r="WO17" s="11"/>
      <c r="WP17" s="11"/>
      <c r="WQ17" s="11"/>
      <c r="WR17" s="11"/>
      <c r="WS17" s="11"/>
      <c r="WT17" s="11"/>
      <c r="WU17" s="11"/>
      <c r="WV17" s="11"/>
      <c r="WW17" s="11"/>
      <c r="WX17" s="11"/>
      <c r="WY17" s="11"/>
      <c r="WZ17" s="11"/>
      <c r="XA17" s="11"/>
      <c r="XB17" s="11"/>
      <c r="XC17" s="11"/>
      <c r="XD17" s="11"/>
      <c r="XE17" s="11"/>
      <c r="XF17" s="11"/>
      <c r="XG17" s="11"/>
      <c r="XH17" s="11"/>
      <c r="XI17" s="11"/>
      <c r="XJ17" s="11"/>
      <c r="XK17" s="11"/>
      <c r="XL17" s="11"/>
      <c r="XM17" s="11"/>
      <c r="XN17" s="11"/>
      <c r="XO17" s="11"/>
      <c r="XP17" s="11"/>
      <c r="XQ17" s="11"/>
      <c r="XR17" s="11"/>
      <c r="XS17" s="11"/>
      <c r="XT17" s="11"/>
      <c r="XU17" s="11"/>
      <c r="XV17" s="11"/>
      <c r="XW17" s="11"/>
      <c r="XX17" s="11"/>
      <c r="XY17" s="11"/>
      <c r="XZ17" s="11"/>
      <c r="YA17" s="11"/>
      <c r="YB17" s="11"/>
      <c r="YC17" s="11"/>
      <c r="YD17" s="11"/>
      <c r="YE17" s="11"/>
      <c r="YF17" s="11"/>
      <c r="YG17" s="11"/>
      <c r="YH17" s="11"/>
      <c r="YI17" s="11"/>
      <c r="YJ17" s="11"/>
      <c r="YK17" s="11"/>
      <c r="YL17" s="11"/>
      <c r="YM17" s="11"/>
      <c r="YN17" s="11"/>
      <c r="YO17" s="11"/>
      <c r="YP17" s="11"/>
      <c r="YQ17" s="11"/>
      <c r="YR17" s="11"/>
      <c r="YS17" s="11"/>
      <c r="YT17" s="11"/>
      <c r="YU17" s="11"/>
      <c r="YV17" s="11"/>
      <c r="YW17" s="11"/>
      <c r="YX17" s="11"/>
      <c r="YY17" s="11"/>
      <c r="YZ17" s="11"/>
      <c r="ZA17" s="11"/>
      <c r="ZB17" s="11"/>
      <c r="ZC17" s="11"/>
      <c r="ZD17" s="11"/>
      <c r="ZE17" s="11"/>
      <c r="ZF17" s="11"/>
      <c r="ZG17" s="11"/>
      <c r="ZH17" s="11"/>
      <c r="ZI17" s="11"/>
      <c r="ZJ17" s="11"/>
      <c r="ZK17" s="11"/>
      <c r="ZL17" s="11"/>
      <c r="ZM17" s="11"/>
      <c r="ZN17" s="11"/>
      <c r="ZO17" s="11"/>
      <c r="ZP17" s="11"/>
      <c r="ZQ17" s="11"/>
      <c r="ZR17" s="11"/>
      <c r="ZS17" s="11"/>
      <c r="ZT17" s="11"/>
      <c r="ZU17" s="11"/>
      <c r="ZV17" s="11"/>
      <c r="ZW17" s="11"/>
      <c r="ZX17" s="11"/>
      <c r="ZY17" s="11"/>
      <c r="ZZ17" s="11"/>
      <c r="AAA17" s="11"/>
      <c r="AAB17" s="11"/>
      <c r="AAC17" s="11"/>
      <c r="AAD17" s="11"/>
      <c r="AAE17" s="11"/>
      <c r="AAF17" s="11"/>
      <c r="AAG17" s="11"/>
      <c r="AAH17" s="11"/>
      <c r="AAI17" s="11"/>
      <c r="AAJ17" s="11"/>
      <c r="AAK17" s="11"/>
      <c r="AAL17" s="11"/>
      <c r="AAM17" s="11"/>
      <c r="AAN17" s="11"/>
      <c r="AAO17" s="11"/>
      <c r="AAP17" s="11"/>
      <c r="AAQ17" s="11"/>
      <c r="AAR17" s="11"/>
      <c r="AAS17" s="11"/>
      <c r="AAT17" s="11"/>
      <c r="AAU17" s="11"/>
      <c r="AAV17" s="11"/>
      <c r="AAW17" s="11"/>
      <c r="AAX17" s="11"/>
      <c r="AAY17" s="11"/>
      <c r="AAZ17" s="11"/>
      <c r="ABA17" s="11"/>
      <c r="ABB17" s="11"/>
      <c r="ABC17" s="11"/>
      <c r="ABD17" s="11"/>
      <c r="ABE17" s="11"/>
      <c r="ABF17" s="11"/>
      <c r="ABG17" s="11"/>
      <c r="ABH17" s="11"/>
      <c r="ABI17" s="11"/>
      <c r="ABJ17" s="11"/>
      <c r="ABK17" s="11"/>
      <c r="ABL17" s="11"/>
      <c r="ABM17" s="11"/>
      <c r="ABN17" s="11"/>
      <c r="ABO17" s="11"/>
      <c r="ABP17" s="11"/>
      <c r="ABQ17" s="11"/>
      <c r="ABR17" s="11"/>
      <c r="ABS17" s="11"/>
      <c r="ABT17" s="11"/>
      <c r="ABU17" s="11"/>
      <c r="ABV17" s="11"/>
      <c r="ABW17" s="11"/>
      <c r="ABX17" s="11"/>
      <c r="ABY17" s="11"/>
      <c r="ABZ17" s="11"/>
      <c r="ACA17" s="11"/>
      <c r="ACB17" s="11"/>
      <c r="ACC17" s="11"/>
      <c r="ACD17" s="11"/>
      <c r="ACE17" s="11"/>
      <c r="ACF17" s="11"/>
      <c r="ACG17" s="11"/>
      <c r="ACH17" s="11"/>
      <c r="ACI17" s="11"/>
      <c r="ACJ17" s="11"/>
      <c r="ACK17" s="11"/>
      <c r="ACL17" s="11"/>
      <c r="ACM17" s="11"/>
      <c r="ACN17" s="11"/>
      <c r="ACO17" s="11"/>
      <c r="ACP17" s="11"/>
      <c r="ACQ17" s="11"/>
      <c r="ACR17" s="11"/>
      <c r="ACS17" s="11"/>
      <c r="ACT17" s="11"/>
      <c r="ACU17" s="11"/>
      <c r="ACV17" s="11"/>
      <c r="ACW17" s="11"/>
      <c r="ACX17" s="11"/>
      <c r="ACY17" s="11"/>
      <c r="ACZ17" s="11"/>
      <c r="ADA17" s="11"/>
      <c r="ADB17" s="11"/>
      <c r="ADC17" s="11"/>
      <c r="ADD17" s="11"/>
      <c r="ADE17" s="11"/>
      <c r="ADF17" s="11"/>
      <c r="ADG17" s="11"/>
      <c r="ADH17" s="11"/>
      <c r="ADI17" s="11"/>
      <c r="ADJ17" s="11"/>
      <c r="ADK17" s="11"/>
      <c r="ADL17" s="11"/>
      <c r="ADM17" s="11"/>
      <c r="ADN17" s="11"/>
      <c r="ADO17" s="11"/>
      <c r="ADP17" s="11"/>
      <c r="ADQ17" s="11"/>
      <c r="ADR17" s="11"/>
      <c r="ADS17" s="11"/>
      <c r="ADT17" s="11"/>
      <c r="ADU17" s="11"/>
      <c r="ADV17" s="11"/>
      <c r="ADW17" s="11"/>
      <c r="ADX17" s="11"/>
      <c r="ADY17" s="11"/>
      <c r="ADZ17" s="11"/>
      <c r="AEA17" s="11"/>
      <c r="AEB17" s="11"/>
      <c r="AEC17" s="11"/>
      <c r="AED17" s="11"/>
      <c r="AEE17" s="11"/>
      <c r="AEF17" s="11"/>
      <c r="AEG17" s="11"/>
      <c r="AEH17" s="11"/>
      <c r="AEI17" s="11"/>
      <c r="AEJ17" s="11"/>
      <c r="AEK17" s="11"/>
      <c r="AEL17" s="11"/>
      <c r="AEM17" s="11"/>
      <c r="AEN17" s="11"/>
      <c r="AEO17" s="11"/>
      <c r="AEP17" s="11"/>
      <c r="AEQ17" s="11"/>
      <c r="AER17" s="11"/>
      <c r="AES17" s="11"/>
      <c r="AET17" s="11"/>
      <c r="AEU17" s="11"/>
      <c r="AEV17" s="11"/>
      <c r="AEW17" s="11"/>
      <c r="AEX17" s="11"/>
      <c r="AEY17" s="11"/>
      <c r="AEZ17" s="11"/>
      <c r="AFA17" s="11"/>
      <c r="AFB17" s="11"/>
      <c r="AFC17" s="11"/>
      <c r="AFD17" s="11"/>
      <c r="AFE17" s="11"/>
      <c r="AFF17" s="11"/>
      <c r="AFG17" s="11"/>
      <c r="AFH17" s="11"/>
      <c r="AFI17" s="11"/>
      <c r="AFJ17" s="11"/>
      <c r="AFK17" s="11"/>
      <c r="AFL17" s="11"/>
      <c r="AFM17" s="11"/>
      <c r="AFN17" s="11"/>
      <c r="AFO17" s="11"/>
      <c r="AFP17" s="11"/>
      <c r="AFQ17" s="11"/>
      <c r="AFR17" s="11"/>
      <c r="AFS17" s="11"/>
      <c r="AFT17" s="11"/>
      <c r="AFU17" s="11"/>
      <c r="AFV17" s="11"/>
      <c r="AFW17" s="11"/>
      <c r="AFX17" s="11"/>
      <c r="AFY17" s="11"/>
      <c r="AFZ17" s="11"/>
      <c r="AGA17" s="11"/>
      <c r="AGB17" s="11"/>
      <c r="AGC17" s="11"/>
      <c r="AGD17" s="11"/>
      <c r="AGE17" s="11"/>
      <c r="AGF17" s="11"/>
      <c r="AGG17" s="11"/>
      <c r="AGH17" s="11"/>
      <c r="AGI17" s="11"/>
      <c r="AGJ17" s="11"/>
      <c r="AGK17" s="11"/>
      <c r="AGL17" s="11"/>
      <c r="AGM17" s="11"/>
      <c r="AGN17" s="11"/>
      <c r="AGO17" s="11"/>
      <c r="AGP17" s="11"/>
      <c r="AGQ17" s="11"/>
      <c r="AGR17" s="11"/>
      <c r="AGS17" s="11"/>
      <c r="AGT17" s="11"/>
      <c r="AGU17" s="11"/>
      <c r="AGV17" s="11"/>
      <c r="AGW17" s="11"/>
      <c r="AGX17" s="11"/>
      <c r="AGY17" s="11"/>
      <c r="AGZ17" s="11"/>
      <c r="AHA17" s="11"/>
      <c r="AHB17" s="11"/>
      <c r="AHC17" s="11"/>
      <c r="AHD17" s="11"/>
      <c r="AHE17" s="11"/>
      <c r="AHF17" s="11"/>
      <c r="AHG17" s="11"/>
      <c r="AHH17" s="11"/>
      <c r="AHI17" s="11"/>
      <c r="AHJ17" s="11"/>
      <c r="AHK17" s="11"/>
      <c r="AHL17" s="11"/>
      <c r="AHM17" s="11"/>
      <c r="AHN17" s="11"/>
      <c r="AHO17" s="11"/>
      <c r="AHP17" s="11"/>
      <c r="AHQ17" s="11"/>
      <c r="AHR17" s="11"/>
      <c r="AHS17" s="11"/>
      <c r="AHT17" s="11"/>
      <c r="AHU17" s="11"/>
      <c r="AHV17" s="11"/>
      <c r="AHW17" s="11"/>
      <c r="AHX17" s="11"/>
      <c r="AHY17" s="11"/>
      <c r="AHZ17" s="11"/>
      <c r="AIA17" s="11"/>
      <c r="AIB17" s="11"/>
      <c r="AIC17" s="11"/>
      <c r="AID17" s="11"/>
      <c r="AIE17" s="11"/>
      <c r="AIF17" s="11"/>
      <c r="AIG17" s="11"/>
      <c r="AIH17" s="11"/>
      <c r="AII17" s="11"/>
      <c r="AIJ17" s="11"/>
      <c r="AIK17" s="11"/>
      <c r="AIL17" s="11"/>
      <c r="AIM17" s="11"/>
      <c r="AIN17" s="11"/>
      <c r="AIO17" s="11"/>
      <c r="AIP17" s="11"/>
      <c r="AIQ17" s="11"/>
      <c r="AIR17" s="11"/>
      <c r="AIS17" s="11"/>
      <c r="AIT17" s="11"/>
      <c r="AIU17" s="11"/>
      <c r="AIV17" s="11"/>
      <c r="AIW17" s="11"/>
      <c r="AIX17" s="11"/>
      <c r="AIY17" s="11"/>
      <c r="AIZ17" s="11"/>
      <c r="AJA17" s="11"/>
      <c r="AJB17" s="11"/>
      <c r="AJC17" s="11"/>
      <c r="AJD17" s="11"/>
      <c r="AJE17" s="11"/>
      <c r="AJF17" s="11"/>
      <c r="AJG17" s="11"/>
      <c r="AJH17" s="11"/>
      <c r="AJI17" s="11"/>
      <c r="AJJ17" s="11"/>
      <c r="AJK17" s="11"/>
      <c r="AJL17" s="11"/>
      <c r="AJM17" s="11"/>
      <c r="AJN17" s="11"/>
      <c r="AJO17" s="11"/>
      <c r="AJP17" s="11"/>
      <c r="AJQ17" s="11"/>
      <c r="AJR17" s="11"/>
      <c r="AJS17" s="11"/>
      <c r="AJT17" s="11"/>
      <c r="AJU17" s="11"/>
      <c r="AJV17" s="11"/>
      <c r="AJW17" s="11"/>
      <c r="AJX17" s="11"/>
      <c r="AJY17" s="11"/>
      <c r="AJZ17" s="11"/>
      <c r="AKA17" s="11"/>
      <c r="AKB17" s="11"/>
      <c r="AKC17" s="11"/>
      <c r="AKD17" s="11"/>
      <c r="AKE17" s="11"/>
      <c r="AKF17" s="11"/>
      <c r="AKG17" s="11"/>
      <c r="AKH17" s="11"/>
      <c r="AKI17" s="11"/>
      <c r="AKJ17" s="11"/>
      <c r="AKK17" s="11"/>
      <c r="AKL17" s="11"/>
      <c r="AKM17" s="11"/>
      <c r="AKN17" s="11"/>
      <c r="AKO17" s="11"/>
      <c r="AKP17" s="11"/>
      <c r="AKQ17" s="11"/>
      <c r="AKR17" s="11"/>
      <c r="AKS17" s="11"/>
      <c r="AKT17" s="11"/>
      <c r="AKU17" s="11"/>
      <c r="AKV17" s="11"/>
      <c r="AKW17" s="11"/>
      <c r="AKX17" s="11"/>
      <c r="AKY17" s="11"/>
      <c r="AKZ17" s="11"/>
      <c r="ALA17" s="11"/>
      <c r="ALB17" s="11"/>
      <c r="ALC17" s="11"/>
      <c r="ALD17" s="11"/>
      <c r="ALE17" s="11"/>
      <c r="ALF17" s="11"/>
      <c r="ALG17" s="11"/>
      <c r="ALH17" s="11"/>
      <c r="ALI17" s="11"/>
      <c r="ALJ17" s="11"/>
      <c r="ALK17" s="11"/>
      <c r="ALL17" s="11"/>
      <c r="ALM17" s="11"/>
      <c r="ALN17" s="11"/>
      <c r="ALO17" s="11"/>
      <c r="ALP17" s="11"/>
      <c r="ALQ17" s="11"/>
      <c r="ALR17" s="11"/>
      <c r="ALS17" s="11"/>
      <c r="ALT17" s="11"/>
      <c r="ALU17" s="11"/>
      <c r="ALV17" s="11"/>
      <c r="ALW17" s="11"/>
      <c r="ALX17" s="11"/>
      <c r="ALY17" s="11"/>
      <c r="ALZ17" s="11"/>
      <c r="AMA17" s="11"/>
      <c r="AMB17" s="11"/>
      <c r="AMC17" s="11"/>
      <c r="AMD17" s="11"/>
      <c r="AME17" s="11"/>
      <c r="AMF17" s="11"/>
      <c r="AMG17" s="11"/>
      <c r="AMH17" s="11"/>
      <c r="AMI17" s="11"/>
      <c r="AMJ17" s="11"/>
      <c r="AMK17" s="11"/>
      <c r="AML17" s="11"/>
      <c r="AMM17" s="11"/>
      <c r="AMN17" s="11"/>
      <c r="AMO17" s="11"/>
      <c r="AMP17" s="11"/>
      <c r="AMQ17" s="11"/>
      <c r="AMR17" s="11"/>
      <c r="AMS17" s="11"/>
      <c r="AMT17" s="11"/>
      <c r="AMU17" s="11"/>
      <c r="AMV17" s="11"/>
      <c r="AMW17" s="11"/>
      <c r="AMX17" s="11"/>
      <c r="AMY17" s="11"/>
      <c r="AMZ17" s="11"/>
      <c r="ANA17" s="11"/>
      <c r="ANB17" s="11"/>
      <c r="ANC17" s="11"/>
      <c r="AND17" s="11"/>
      <c r="ANE17" s="11"/>
      <c r="ANF17" s="11"/>
      <c r="ANG17" s="11"/>
      <c r="ANH17" s="11"/>
      <c r="ANI17" s="11"/>
      <c r="ANJ17" s="11"/>
      <c r="ANK17" s="11"/>
      <c r="ANL17" s="11"/>
      <c r="ANM17" s="11"/>
      <c r="ANN17" s="11"/>
      <c r="ANO17" s="11"/>
      <c r="ANP17" s="11"/>
      <c r="ANQ17" s="11"/>
      <c r="ANR17" s="11"/>
      <c r="ANS17" s="11"/>
      <c r="ANT17" s="11"/>
      <c r="ANU17" s="11"/>
      <c r="ANV17" s="11"/>
      <c r="ANW17" s="11"/>
      <c r="ANX17" s="11"/>
      <c r="ANY17" s="11"/>
      <c r="ANZ17" s="11"/>
      <c r="AOA17" s="11"/>
      <c r="AOB17" s="11"/>
      <c r="AOC17" s="11"/>
      <c r="AOD17" s="11"/>
      <c r="AOE17" s="11"/>
      <c r="AOF17" s="11"/>
      <c r="AOG17" s="11"/>
      <c r="AOH17" s="11"/>
      <c r="AOI17" s="11"/>
      <c r="AOJ17" s="11"/>
      <c r="AOK17" s="11"/>
      <c r="AOL17" s="11"/>
      <c r="AOM17" s="11"/>
      <c r="AON17" s="11"/>
      <c r="AOO17" s="11"/>
      <c r="AOP17" s="11"/>
      <c r="AOQ17" s="11"/>
      <c r="AOR17" s="11"/>
      <c r="AOS17" s="11"/>
      <c r="AOT17" s="11"/>
      <c r="AOU17" s="11"/>
      <c r="AOV17" s="11"/>
      <c r="AOW17" s="11"/>
      <c r="AOX17" s="11"/>
      <c r="AOY17" s="11"/>
      <c r="AOZ17" s="11"/>
      <c r="APA17" s="11"/>
      <c r="APB17" s="11"/>
      <c r="APC17" s="11"/>
      <c r="APD17" s="11"/>
      <c r="APE17" s="11"/>
      <c r="APF17" s="11"/>
      <c r="APG17" s="11"/>
      <c r="APH17" s="11"/>
      <c r="API17" s="11"/>
      <c r="APJ17" s="11"/>
      <c r="APK17" s="11"/>
      <c r="APL17" s="11"/>
      <c r="APM17" s="11"/>
      <c r="APN17" s="11"/>
      <c r="APO17" s="11"/>
      <c r="APP17" s="11"/>
      <c r="APQ17" s="11"/>
      <c r="APR17" s="11"/>
      <c r="APS17" s="11"/>
      <c r="APT17" s="11"/>
      <c r="APU17" s="11"/>
      <c r="APV17" s="11"/>
      <c r="APW17" s="11"/>
      <c r="APX17" s="11"/>
      <c r="APY17" s="11"/>
      <c r="APZ17" s="11"/>
      <c r="AQA17" s="11"/>
      <c r="AQB17" s="11"/>
      <c r="AQC17" s="11"/>
      <c r="AQD17" s="11"/>
      <c r="AQE17" s="11"/>
      <c r="AQF17" s="11"/>
      <c r="AQG17" s="11"/>
      <c r="AQH17" s="11"/>
      <c r="AQI17" s="11"/>
      <c r="AQJ17" s="11"/>
      <c r="AQK17" s="11"/>
      <c r="AQL17" s="11"/>
      <c r="AQM17" s="11"/>
      <c r="AQN17" s="11"/>
      <c r="AQO17" s="11"/>
      <c r="AQP17" s="11"/>
      <c r="AQQ17" s="11"/>
      <c r="AQR17" s="11"/>
      <c r="AQS17" s="11"/>
      <c r="AQT17" s="11"/>
      <c r="AQU17" s="11"/>
      <c r="AQV17" s="11"/>
      <c r="AQW17" s="11"/>
      <c r="AQX17" s="11"/>
      <c r="AQY17" s="11"/>
      <c r="AQZ17" s="11"/>
      <c r="ARA17" s="11"/>
      <c r="ARB17" s="11"/>
      <c r="ARC17" s="11"/>
      <c r="ARD17" s="11"/>
      <c r="ARE17" s="11"/>
      <c r="ARF17" s="11"/>
      <c r="ARG17" s="11"/>
      <c r="ARH17" s="11"/>
      <c r="ARI17" s="11"/>
      <c r="ARJ17" s="11"/>
      <c r="ARK17" s="11"/>
      <c r="ARL17" s="11"/>
      <c r="ARM17" s="11"/>
      <c r="ARN17" s="11"/>
      <c r="ARO17" s="11"/>
      <c r="ARP17" s="11"/>
      <c r="ARQ17" s="11"/>
      <c r="ARR17" s="11"/>
      <c r="ARS17" s="11"/>
      <c r="ART17" s="11"/>
      <c r="ARU17" s="11"/>
      <c r="ARV17" s="11"/>
      <c r="ARW17" s="11"/>
      <c r="ARX17" s="11"/>
      <c r="ARY17" s="11"/>
      <c r="ARZ17" s="11"/>
      <c r="ASA17" s="11"/>
      <c r="ASB17" s="11"/>
      <c r="ASC17" s="11"/>
      <c r="ASD17" s="11"/>
      <c r="ASE17" s="11"/>
      <c r="ASF17" s="11"/>
      <c r="ASG17" s="11"/>
      <c r="ASH17" s="11"/>
      <c r="ASI17" s="11"/>
      <c r="ASJ17" s="11"/>
      <c r="ASK17" s="11"/>
      <c r="ASL17" s="11"/>
      <c r="ASM17" s="11"/>
      <c r="ASN17" s="11"/>
      <c r="ASO17" s="11"/>
      <c r="ASP17" s="11"/>
      <c r="ASQ17" s="11"/>
      <c r="ASR17" s="11"/>
      <c r="ASS17" s="11"/>
      <c r="AST17" s="11"/>
      <c r="ASU17" s="11"/>
      <c r="ASV17" s="11"/>
      <c r="ASW17" s="11"/>
      <c r="ASX17" s="11"/>
      <c r="ASY17" s="11"/>
      <c r="ASZ17" s="11"/>
      <c r="ATA17" s="11"/>
      <c r="ATB17" s="11"/>
      <c r="ATC17" s="11"/>
      <c r="ATD17" s="11"/>
      <c r="ATE17" s="11"/>
      <c r="ATF17" s="11"/>
      <c r="ATG17" s="11"/>
      <c r="ATH17" s="11"/>
      <c r="ATI17" s="11"/>
      <c r="ATJ17" s="11"/>
      <c r="ATK17" s="11"/>
      <c r="ATL17" s="11"/>
      <c r="ATM17" s="11"/>
      <c r="ATN17" s="11"/>
      <c r="ATO17" s="11"/>
      <c r="ATP17" s="11"/>
      <c r="ATQ17" s="11"/>
      <c r="ATR17" s="11"/>
      <c r="ATS17" s="11"/>
      <c r="ATT17" s="11"/>
      <c r="ATU17" s="11"/>
      <c r="ATV17" s="11"/>
      <c r="ATW17" s="11"/>
      <c r="ATX17" s="11"/>
      <c r="ATY17" s="11"/>
      <c r="ATZ17" s="11"/>
      <c r="AUA17" s="11"/>
      <c r="AUB17" s="11"/>
      <c r="AUC17" s="11"/>
      <c r="AUD17" s="11"/>
      <c r="AUE17" s="11"/>
      <c r="AUF17" s="11"/>
      <c r="AUG17" s="11"/>
      <c r="AUH17" s="11"/>
      <c r="AUI17" s="11"/>
      <c r="AUJ17" s="11"/>
      <c r="AUK17" s="11"/>
      <c r="AUL17" s="11"/>
      <c r="AUM17" s="11"/>
      <c r="AUN17" s="11"/>
      <c r="AUO17" s="11"/>
      <c r="AUP17" s="11"/>
      <c r="AUQ17" s="11"/>
      <c r="AUR17" s="11"/>
      <c r="AUS17" s="11"/>
      <c r="AUT17" s="11"/>
      <c r="AUU17" s="11"/>
      <c r="AUV17" s="11"/>
      <c r="AUW17" s="11"/>
      <c r="AUX17" s="11"/>
      <c r="AUY17" s="11"/>
      <c r="AUZ17" s="11"/>
      <c r="AVA17" s="11"/>
      <c r="AVB17" s="11"/>
      <c r="AVC17" s="11"/>
      <c r="AVD17" s="11"/>
      <c r="AVE17" s="11"/>
      <c r="AVF17" s="11"/>
      <c r="AVG17" s="11"/>
      <c r="AVH17" s="11"/>
      <c r="AVI17" s="11"/>
      <c r="AVJ17" s="11"/>
      <c r="AVK17" s="11"/>
      <c r="AVL17" s="11"/>
      <c r="AVM17" s="11"/>
      <c r="AVN17" s="11"/>
      <c r="AVO17" s="11"/>
      <c r="AVP17" s="11"/>
      <c r="AVQ17" s="11"/>
      <c r="AVR17" s="11"/>
      <c r="AVS17" s="11"/>
      <c r="AVT17" s="11"/>
      <c r="AVU17" s="11"/>
      <c r="AVV17" s="11"/>
      <c r="AVW17" s="11"/>
      <c r="AVX17" s="11"/>
      <c r="AVY17" s="11"/>
      <c r="AVZ17" s="11"/>
      <c r="AWA17" s="11"/>
      <c r="AWB17" s="11"/>
      <c r="AWC17" s="11"/>
      <c r="AWD17" s="11"/>
      <c r="AWE17" s="11"/>
      <c r="AWF17" s="11"/>
      <c r="AWG17" s="11"/>
      <c r="AWH17" s="11"/>
      <c r="AWI17" s="11"/>
      <c r="AWJ17" s="11"/>
      <c r="AWK17" s="11"/>
      <c r="AWL17" s="11"/>
      <c r="AWM17" s="11"/>
      <c r="AWN17" s="11"/>
      <c r="AWO17" s="11"/>
      <c r="AWP17" s="11"/>
      <c r="AWQ17" s="11"/>
      <c r="AWR17" s="11"/>
      <c r="AWS17" s="11"/>
      <c r="AWT17" s="11"/>
      <c r="AWU17" s="11"/>
      <c r="AWV17" s="11"/>
      <c r="AWW17" s="11"/>
      <c r="AWX17" s="11"/>
      <c r="AWY17" s="11"/>
      <c r="AWZ17" s="11"/>
      <c r="AXA17" s="11"/>
      <c r="AXB17" s="11"/>
      <c r="AXC17" s="11"/>
      <c r="AXD17" s="11"/>
      <c r="AXE17" s="11"/>
      <c r="AXF17" s="11"/>
      <c r="AXG17" s="11"/>
      <c r="AXH17" s="11"/>
      <c r="AXI17" s="11"/>
      <c r="AXJ17" s="11"/>
      <c r="AXK17" s="11"/>
      <c r="AXL17" s="11"/>
      <c r="AXM17" s="11"/>
      <c r="AXN17" s="11"/>
      <c r="AXO17" s="11"/>
      <c r="AXP17" s="11"/>
      <c r="AXQ17" s="11"/>
      <c r="AXR17" s="11"/>
      <c r="AXS17" s="11"/>
      <c r="AXT17" s="11"/>
      <c r="AXU17" s="11"/>
      <c r="AXV17" s="11"/>
      <c r="AXW17" s="11"/>
      <c r="AXX17" s="11"/>
      <c r="AXY17" s="11"/>
      <c r="AXZ17" s="11"/>
      <c r="AYA17" s="11"/>
      <c r="AYB17" s="11"/>
      <c r="AYC17" s="11"/>
      <c r="AYD17" s="11"/>
      <c r="AYE17" s="11"/>
      <c r="AYF17" s="11"/>
      <c r="AYG17" s="11"/>
      <c r="AYH17" s="11"/>
      <c r="AYI17" s="11"/>
      <c r="AYJ17" s="11"/>
      <c r="AYK17" s="11"/>
      <c r="AYL17" s="11"/>
      <c r="AYM17" s="11"/>
      <c r="AYN17" s="11"/>
      <c r="AYO17" s="11"/>
      <c r="AYP17" s="11"/>
      <c r="AYQ17" s="11"/>
      <c r="AYR17" s="11"/>
      <c r="AYS17" s="11"/>
      <c r="AYT17" s="11"/>
      <c r="AYU17" s="11"/>
      <c r="AYV17" s="11"/>
      <c r="AYW17" s="11"/>
      <c r="AYX17" s="11"/>
      <c r="AYY17" s="11"/>
      <c r="AYZ17" s="11"/>
      <c r="AZA17" s="11"/>
      <c r="AZB17" s="11"/>
      <c r="AZC17" s="11"/>
      <c r="AZD17" s="11"/>
      <c r="AZE17" s="11"/>
      <c r="AZF17" s="11"/>
      <c r="AZG17" s="11"/>
      <c r="AZH17" s="11"/>
      <c r="AZI17" s="11"/>
      <c r="AZJ17" s="11"/>
      <c r="AZK17" s="11"/>
      <c r="AZL17" s="11"/>
      <c r="AZM17" s="11"/>
      <c r="AZN17" s="11"/>
      <c r="AZO17" s="11"/>
      <c r="AZP17" s="11"/>
      <c r="AZQ17" s="11"/>
      <c r="AZR17" s="11"/>
      <c r="AZS17" s="11"/>
      <c r="AZT17" s="11"/>
      <c r="AZU17" s="11"/>
      <c r="AZV17" s="11"/>
      <c r="AZW17" s="11"/>
      <c r="AZX17" s="11"/>
      <c r="AZY17" s="11"/>
      <c r="AZZ17" s="11"/>
      <c r="BAA17" s="11"/>
      <c r="BAB17" s="11"/>
      <c r="BAC17" s="11"/>
      <c r="BAD17" s="11"/>
      <c r="BAE17" s="11"/>
      <c r="BAF17" s="11"/>
      <c r="BAG17" s="11"/>
      <c r="BAH17" s="11"/>
      <c r="BAI17" s="11"/>
      <c r="BAJ17" s="11"/>
      <c r="BAK17" s="11"/>
      <c r="BAL17" s="11"/>
      <c r="BAM17" s="11"/>
      <c r="BAN17" s="11"/>
      <c r="BAO17" s="11"/>
      <c r="BAP17" s="11"/>
      <c r="BAQ17" s="11"/>
      <c r="BAR17" s="11"/>
      <c r="BAS17" s="11"/>
      <c r="BAT17" s="11"/>
      <c r="BAU17" s="11"/>
      <c r="BAV17" s="11"/>
      <c r="BAW17" s="11"/>
      <c r="BAX17" s="11"/>
      <c r="BAY17" s="11"/>
      <c r="BAZ17" s="11"/>
      <c r="BBA17" s="11"/>
      <c r="BBB17" s="11"/>
      <c r="BBC17" s="11"/>
      <c r="BBD17" s="11"/>
      <c r="BBE17" s="11"/>
      <c r="BBF17" s="11"/>
      <c r="BBG17" s="11"/>
      <c r="BBH17" s="11"/>
      <c r="BBI17" s="11"/>
      <c r="BBJ17" s="11"/>
      <c r="BBK17" s="11"/>
      <c r="BBL17" s="11"/>
      <c r="BBM17" s="11"/>
      <c r="BBN17" s="11"/>
      <c r="BBO17" s="11"/>
      <c r="BBP17" s="11"/>
      <c r="BBQ17" s="11"/>
      <c r="BBR17" s="11"/>
      <c r="BBS17" s="11"/>
      <c r="BBT17" s="11"/>
      <c r="BBU17" s="11"/>
      <c r="BBV17" s="11"/>
      <c r="BBW17" s="11"/>
      <c r="BBX17" s="11"/>
      <c r="BBY17" s="11"/>
      <c r="BBZ17" s="11"/>
      <c r="BCA17" s="11"/>
      <c r="BCB17" s="11"/>
      <c r="BCC17" s="11"/>
      <c r="BCD17" s="11"/>
      <c r="BCE17" s="11"/>
      <c r="BCF17" s="11"/>
      <c r="BCG17" s="11"/>
      <c r="BCH17" s="11"/>
      <c r="BCI17" s="11"/>
      <c r="BCJ17" s="11"/>
      <c r="BCK17" s="11"/>
      <c r="BCL17" s="11"/>
      <c r="BCM17" s="11"/>
      <c r="BCN17" s="11"/>
      <c r="BCO17" s="11"/>
      <c r="BCP17" s="11"/>
      <c r="BCQ17" s="11"/>
      <c r="BCR17" s="11"/>
      <c r="BCS17" s="11"/>
      <c r="BCT17" s="11"/>
      <c r="BCU17" s="11"/>
      <c r="BCV17" s="11"/>
      <c r="BCW17" s="11"/>
      <c r="BCX17" s="11"/>
      <c r="BCY17" s="11"/>
      <c r="BCZ17" s="11"/>
      <c r="BDA17" s="11"/>
      <c r="BDB17" s="11"/>
      <c r="BDC17" s="11"/>
      <c r="BDD17" s="11"/>
      <c r="BDE17" s="11"/>
      <c r="BDF17" s="11"/>
      <c r="BDG17" s="11"/>
      <c r="BDH17" s="11"/>
      <c r="BDI17" s="11"/>
      <c r="BDJ17" s="11"/>
      <c r="BDK17" s="11"/>
      <c r="BDL17" s="11"/>
      <c r="BDM17" s="11"/>
      <c r="BDN17" s="11"/>
      <c r="BDO17" s="11"/>
      <c r="BDP17" s="11"/>
      <c r="BDQ17" s="11"/>
      <c r="BDR17" s="11"/>
      <c r="BDS17" s="11"/>
      <c r="BDT17" s="11"/>
      <c r="BDU17" s="11"/>
      <c r="BDV17" s="11"/>
      <c r="BDW17" s="11"/>
      <c r="BDX17" s="11"/>
      <c r="BDY17" s="11"/>
      <c r="BDZ17" s="11"/>
      <c r="BEA17" s="11"/>
      <c r="BEB17" s="11"/>
      <c r="BEC17" s="11"/>
      <c r="BED17" s="11"/>
      <c r="BEE17" s="11"/>
      <c r="BEF17" s="11"/>
      <c r="BEG17" s="11"/>
      <c r="BEH17" s="11"/>
      <c r="BEI17" s="11"/>
      <c r="BEJ17" s="11"/>
      <c r="BEK17" s="11"/>
      <c r="BEL17" s="11"/>
      <c r="BEM17" s="11"/>
      <c r="BEN17" s="11"/>
      <c r="BEO17" s="11"/>
      <c r="BEP17" s="11"/>
      <c r="BEQ17" s="11"/>
      <c r="BER17" s="11"/>
      <c r="BES17" s="11"/>
      <c r="BET17" s="11"/>
      <c r="BEU17" s="11"/>
      <c r="BEV17" s="11"/>
      <c r="BEW17" s="11"/>
      <c r="BEX17" s="11"/>
      <c r="BEY17" s="11"/>
      <c r="BEZ17" s="11"/>
      <c r="BFA17" s="11"/>
      <c r="BFB17" s="11"/>
      <c r="BFC17" s="11"/>
      <c r="BFD17" s="11"/>
      <c r="BFE17" s="11"/>
      <c r="BFF17" s="11"/>
      <c r="BFG17" s="11"/>
      <c r="BFH17" s="11"/>
      <c r="BFI17" s="11"/>
      <c r="BFJ17" s="11"/>
      <c r="BFK17" s="11"/>
      <c r="BFL17" s="11"/>
      <c r="BFM17" s="11"/>
      <c r="BFN17" s="11"/>
      <c r="BFO17" s="11"/>
      <c r="BFP17" s="11"/>
      <c r="BFQ17" s="11"/>
      <c r="BFR17" s="11"/>
      <c r="BFS17" s="11"/>
      <c r="BFT17" s="11"/>
      <c r="BFU17" s="11"/>
      <c r="BFV17" s="11"/>
      <c r="BFW17" s="11"/>
      <c r="BFX17" s="11"/>
      <c r="BFY17" s="11"/>
      <c r="BFZ17" s="11"/>
      <c r="BGA17" s="11"/>
      <c r="BGB17" s="11"/>
      <c r="BGC17" s="11"/>
      <c r="BGD17" s="11"/>
      <c r="BGE17" s="11"/>
      <c r="BGF17" s="11"/>
      <c r="BGG17" s="11"/>
      <c r="BGH17" s="11"/>
      <c r="BGI17" s="11"/>
      <c r="BGJ17" s="11"/>
      <c r="BGK17" s="11"/>
      <c r="BGL17" s="11"/>
      <c r="BGM17" s="11"/>
      <c r="BGN17" s="11"/>
      <c r="BGO17" s="11"/>
      <c r="BGP17" s="11"/>
      <c r="BGQ17" s="11"/>
      <c r="BGR17" s="11"/>
      <c r="BGS17" s="11"/>
      <c r="BGT17" s="11"/>
      <c r="BGU17" s="11"/>
      <c r="BGV17" s="11"/>
      <c r="BGW17" s="11"/>
      <c r="BGX17" s="11"/>
      <c r="BGY17" s="11"/>
      <c r="BGZ17" s="11"/>
      <c r="BHA17" s="11"/>
      <c r="BHB17" s="11"/>
      <c r="BHC17" s="11"/>
      <c r="BHD17" s="11"/>
      <c r="BHE17" s="11"/>
      <c r="BHF17" s="11"/>
      <c r="BHG17" s="11"/>
      <c r="BHH17" s="11"/>
      <c r="BHI17" s="11"/>
      <c r="BHJ17" s="11"/>
      <c r="BHK17" s="11"/>
      <c r="BHL17" s="11"/>
      <c r="BHM17" s="11"/>
      <c r="BHN17" s="11"/>
      <c r="BHO17" s="11"/>
      <c r="BHP17" s="11"/>
      <c r="BHQ17" s="11"/>
      <c r="BHR17" s="11"/>
      <c r="BHS17" s="11"/>
      <c r="BHT17" s="11"/>
      <c r="BHU17" s="11"/>
      <c r="BHV17" s="11"/>
      <c r="BHW17" s="11"/>
      <c r="BHX17" s="11"/>
      <c r="BHY17" s="11"/>
      <c r="BHZ17" s="11"/>
      <c r="BIA17" s="11"/>
      <c r="BIB17" s="11"/>
      <c r="BIC17" s="11"/>
      <c r="BID17" s="11"/>
      <c r="BIE17" s="11"/>
      <c r="BIF17" s="11"/>
      <c r="BIG17" s="11"/>
      <c r="BIH17" s="11"/>
      <c r="BII17" s="11"/>
      <c r="BIJ17" s="11"/>
      <c r="BIK17" s="11"/>
      <c r="BIL17" s="11"/>
      <c r="BIM17" s="11"/>
      <c r="BIN17" s="11"/>
      <c r="BIO17" s="11"/>
      <c r="BIP17" s="11"/>
      <c r="BIQ17" s="11"/>
      <c r="BIR17" s="11"/>
      <c r="BIS17" s="11"/>
      <c r="BIT17" s="11"/>
      <c r="BIU17" s="11"/>
      <c r="BIV17" s="11"/>
      <c r="BIW17" s="11"/>
      <c r="BIX17" s="11"/>
      <c r="BIY17" s="11"/>
      <c r="BIZ17" s="11"/>
      <c r="BJA17" s="11"/>
      <c r="BJB17" s="11"/>
      <c r="BJC17" s="11"/>
      <c r="BJD17" s="11"/>
      <c r="BJE17" s="11"/>
      <c r="BJF17" s="11"/>
      <c r="BJG17" s="11"/>
      <c r="BJH17" s="11"/>
      <c r="BJI17" s="11"/>
      <c r="BJJ17" s="11"/>
      <c r="BJK17" s="11"/>
      <c r="BJL17" s="11"/>
      <c r="BJM17" s="11"/>
      <c r="BJN17" s="11"/>
      <c r="BJO17" s="11"/>
      <c r="BJP17" s="11"/>
      <c r="BJQ17" s="11"/>
      <c r="BJR17" s="11"/>
      <c r="BJS17" s="11"/>
      <c r="BJT17" s="11"/>
      <c r="BJU17" s="11"/>
      <c r="BJV17" s="11"/>
      <c r="BJW17" s="11"/>
      <c r="BJX17" s="11"/>
      <c r="BJY17" s="11"/>
      <c r="BJZ17" s="11"/>
      <c r="BKA17" s="11"/>
      <c r="BKB17" s="11"/>
      <c r="BKC17" s="11"/>
      <c r="BKD17" s="11"/>
      <c r="BKE17" s="11"/>
      <c r="BKF17" s="11"/>
      <c r="BKG17" s="11"/>
      <c r="BKH17" s="11"/>
      <c r="BKI17" s="11"/>
      <c r="BKJ17" s="11"/>
      <c r="BKK17" s="11"/>
      <c r="BKL17" s="11"/>
      <c r="BKM17" s="11"/>
      <c r="BKN17" s="11"/>
      <c r="BKO17" s="11"/>
      <c r="BKP17" s="11"/>
      <c r="BKQ17" s="11"/>
      <c r="BKR17" s="11"/>
      <c r="BKS17" s="11"/>
      <c r="BKT17" s="11"/>
      <c r="BKU17" s="11"/>
      <c r="BKV17" s="11"/>
      <c r="BKW17" s="11"/>
      <c r="BKX17" s="11"/>
      <c r="BKY17" s="11"/>
      <c r="BKZ17" s="11"/>
      <c r="BLA17" s="11"/>
      <c r="BLB17" s="11"/>
      <c r="BLC17" s="11"/>
      <c r="BLD17" s="11"/>
      <c r="BLE17" s="11"/>
      <c r="BLF17" s="11"/>
      <c r="BLG17" s="11"/>
      <c r="BLH17" s="11"/>
      <c r="BLI17" s="11"/>
      <c r="BLJ17" s="11"/>
      <c r="BLK17" s="11"/>
      <c r="BLL17" s="11"/>
      <c r="BLM17" s="11"/>
      <c r="BLN17" s="11"/>
      <c r="BLO17" s="11"/>
      <c r="BLP17" s="11"/>
      <c r="BLQ17" s="11"/>
      <c r="BLR17" s="11"/>
      <c r="BLS17" s="11"/>
      <c r="BLT17" s="11"/>
      <c r="BLU17" s="11"/>
      <c r="BLV17" s="11"/>
      <c r="BLW17" s="11"/>
      <c r="BLX17" s="11"/>
      <c r="BLY17" s="11"/>
      <c r="BLZ17" s="11"/>
      <c r="BMA17" s="11"/>
      <c r="BMB17" s="11"/>
      <c r="BMC17" s="11"/>
      <c r="BMD17" s="11"/>
      <c r="BME17" s="11"/>
      <c r="BMF17" s="11"/>
      <c r="BMG17" s="11"/>
      <c r="BMH17" s="11"/>
      <c r="BMI17" s="11"/>
      <c r="BMJ17" s="11"/>
      <c r="BMK17" s="11"/>
      <c r="BML17" s="11"/>
      <c r="BMM17" s="11"/>
      <c r="BMN17" s="11"/>
      <c r="BMO17" s="11"/>
      <c r="BMP17" s="11"/>
      <c r="BMQ17" s="11"/>
      <c r="BMR17" s="11"/>
      <c r="BMS17" s="11"/>
      <c r="BMT17" s="11"/>
      <c r="BMU17" s="11"/>
      <c r="BMV17" s="11"/>
      <c r="BMW17" s="11"/>
      <c r="BMX17" s="11"/>
      <c r="BMY17" s="11"/>
      <c r="BMZ17" s="11"/>
      <c r="BNA17" s="11"/>
      <c r="BNB17" s="11"/>
      <c r="BNC17" s="11"/>
      <c r="BND17" s="11"/>
      <c r="BNE17" s="11"/>
      <c r="BNF17" s="11"/>
      <c r="BNG17" s="11"/>
      <c r="BNH17" s="11"/>
      <c r="BNI17" s="11"/>
      <c r="BNJ17" s="11"/>
      <c r="BNK17" s="11"/>
      <c r="BNL17" s="11"/>
      <c r="BNM17" s="11"/>
      <c r="BNN17" s="11"/>
      <c r="BNO17" s="11"/>
      <c r="BNP17" s="11"/>
      <c r="BNQ17" s="11"/>
      <c r="BNR17" s="11"/>
      <c r="BNS17" s="11"/>
      <c r="BNT17" s="11"/>
      <c r="BNU17" s="11"/>
      <c r="BNV17" s="11"/>
      <c r="BNW17" s="11"/>
      <c r="BNX17" s="11"/>
      <c r="BNY17" s="11"/>
      <c r="BNZ17" s="11"/>
      <c r="BOA17" s="11"/>
      <c r="BOB17" s="11"/>
      <c r="BOC17" s="11"/>
      <c r="BOD17" s="11"/>
      <c r="BOE17" s="11"/>
      <c r="BOF17" s="11"/>
      <c r="BOG17" s="11"/>
      <c r="BOH17" s="11"/>
      <c r="BOI17" s="11"/>
      <c r="BOJ17" s="11"/>
      <c r="BOK17" s="11"/>
      <c r="BOL17" s="11"/>
      <c r="BOM17" s="11"/>
      <c r="BON17" s="11"/>
      <c r="BOO17" s="11"/>
      <c r="BOP17" s="11"/>
      <c r="BOQ17" s="11"/>
      <c r="BOR17" s="11"/>
      <c r="BOS17" s="11"/>
      <c r="BOT17" s="11"/>
      <c r="BOU17" s="11"/>
      <c r="BOV17" s="11"/>
      <c r="BOW17" s="11"/>
      <c r="BOX17" s="11"/>
      <c r="BOY17" s="11"/>
      <c r="BOZ17" s="11"/>
      <c r="BPA17" s="11"/>
      <c r="BPB17" s="11"/>
      <c r="BPC17" s="11"/>
      <c r="BPD17" s="11"/>
      <c r="BPE17" s="11"/>
      <c r="BPF17" s="11"/>
      <c r="BPG17" s="11"/>
      <c r="BPH17" s="11"/>
      <c r="BPI17" s="11"/>
      <c r="BPJ17" s="11"/>
      <c r="BPK17" s="11"/>
      <c r="BPL17" s="11"/>
      <c r="BPM17" s="11"/>
      <c r="BPN17" s="11"/>
      <c r="BPO17" s="11"/>
      <c r="BPP17" s="11"/>
      <c r="BPQ17" s="11"/>
      <c r="BPR17" s="11"/>
      <c r="BPS17" s="11"/>
      <c r="BPT17" s="11"/>
      <c r="BPU17" s="11"/>
      <c r="BPV17" s="11"/>
      <c r="BPW17" s="11"/>
      <c r="BPX17" s="11"/>
      <c r="BPY17" s="11"/>
      <c r="BPZ17" s="11"/>
      <c r="BQA17" s="11"/>
      <c r="BQB17" s="11"/>
      <c r="BQC17" s="11"/>
      <c r="BQD17" s="11"/>
      <c r="BQE17" s="11"/>
      <c r="BQF17" s="11"/>
      <c r="BQG17" s="11"/>
      <c r="BQH17" s="11"/>
      <c r="BQI17" s="11"/>
      <c r="BQJ17" s="11"/>
      <c r="BQK17" s="11"/>
      <c r="BQL17" s="11"/>
      <c r="BQM17" s="11"/>
      <c r="BQN17" s="11"/>
      <c r="BQO17" s="11"/>
      <c r="BQP17" s="11"/>
      <c r="BQQ17" s="11"/>
      <c r="BQR17" s="11"/>
      <c r="BQS17" s="11"/>
      <c r="BQT17" s="11"/>
      <c r="BQU17" s="11"/>
      <c r="BQV17" s="11"/>
      <c r="BQW17" s="11"/>
      <c r="BQX17" s="11"/>
      <c r="BQY17" s="11"/>
      <c r="BQZ17" s="11"/>
      <c r="BRA17" s="11"/>
      <c r="BRB17" s="11"/>
      <c r="BRC17" s="11"/>
      <c r="BRD17" s="11"/>
      <c r="BRE17" s="11"/>
      <c r="BRF17" s="11"/>
      <c r="BRG17" s="11"/>
      <c r="BRH17" s="11"/>
      <c r="BRI17" s="11"/>
      <c r="BRJ17" s="11"/>
      <c r="BRK17" s="11"/>
      <c r="BRL17" s="11"/>
      <c r="BRM17" s="11"/>
      <c r="BRN17" s="11"/>
      <c r="BRO17" s="11"/>
      <c r="BRP17" s="11"/>
      <c r="BRQ17" s="11"/>
      <c r="BRR17" s="11"/>
      <c r="BRS17" s="11"/>
      <c r="BRT17" s="11"/>
      <c r="BRU17" s="11"/>
      <c r="BRV17" s="11"/>
      <c r="BRW17" s="11"/>
      <c r="BRX17" s="11"/>
      <c r="BRY17" s="11"/>
      <c r="BRZ17" s="11"/>
      <c r="BSA17" s="11"/>
      <c r="BSB17" s="11"/>
      <c r="BSC17" s="11"/>
      <c r="BSD17" s="11"/>
      <c r="BSE17" s="11"/>
      <c r="BSF17" s="11"/>
      <c r="BSG17" s="11"/>
      <c r="BSH17" s="11"/>
      <c r="BSI17" s="11"/>
      <c r="BSJ17" s="11"/>
      <c r="BSK17" s="11"/>
      <c r="BSL17" s="11"/>
      <c r="BSM17" s="11"/>
      <c r="BSN17" s="11"/>
      <c r="BSO17" s="11"/>
      <c r="BSP17" s="11"/>
      <c r="BSQ17" s="11"/>
      <c r="BSR17" s="11"/>
      <c r="BSS17" s="11"/>
      <c r="BST17" s="11"/>
      <c r="BSU17" s="11"/>
      <c r="BSV17" s="11"/>
      <c r="BSW17" s="11"/>
      <c r="BSX17" s="11"/>
      <c r="BSY17" s="11"/>
      <c r="BSZ17" s="11"/>
      <c r="BTA17" s="11"/>
      <c r="BTB17" s="11"/>
      <c r="BTC17" s="11"/>
      <c r="BTD17" s="11"/>
      <c r="BTE17" s="11"/>
      <c r="BTF17" s="11"/>
      <c r="BTG17" s="11"/>
      <c r="BTH17" s="11"/>
      <c r="BTI17" s="11"/>
      <c r="BTJ17" s="11"/>
      <c r="BTK17" s="11"/>
      <c r="BTL17" s="11"/>
      <c r="BTM17" s="11"/>
      <c r="BTN17" s="11"/>
      <c r="BTO17" s="11"/>
      <c r="BTP17" s="11"/>
      <c r="BTQ17" s="11"/>
      <c r="BTR17" s="11"/>
      <c r="BTS17" s="11"/>
      <c r="BTT17" s="11"/>
      <c r="BTU17" s="11"/>
      <c r="BTV17" s="11"/>
      <c r="BTW17" s="11"/>
      <c r="BTX17" s="11"/>
      <c r="BTY17" s="11"/>
      <c r="BTZ17" s="11"/>
      <c r="BUA17" s="11"/>
      <c r="BUB17" s="11"/>
      <c r="BUC17" s="11"/>
      <c r="BUD17" s="11"/>
      <c r="BUE17" s="11"/>
      <c r="BUF17" s="11"/>
      <c r="BUG17" s="11"/>
      <c r="BUH17" s="11"/>
      <c r="BUI17" s="11"/>
      <c r="BUJ17" s="11"/>
      <c r="BUK17" s="11"/>
      <c r="BUL17" s="11"/>
      <c r="BUM17" s="11"/>
      <c r="BUN17" s="11"/>
      <c r="BUO17" s="11"/>
      <c r="BUP17" s="11"/>
      <c r="BUQ17" s="11"/>
      <c r="BUR17" s="11"/>
      <c r="BUS17" s="11"/>
      <c r="BUT17" s="11"/>
      <c r="BUU17" s="11"/>
      <c r="BUV17" s="11"/>
      <c r="BUW17" s="11"/>
      <c r="BUX17" s="11"/>
      <c r="BUY17" s="11"/>
      <c r="BUZ17" s="11"/>
      <c r="BVA17" s="11"/>
      <c r="BVB17" s="11"/>
      <c r="BVC17" s="11"/>
      <c r="BVD17" s="11"/>
      <c r="BVE17" s="11"/>
      <c r="BVF17" s="11"/>
      <c r="BVG17" s="11"/>
      <c r="BVH17" s="11"/>
      <c r="BVI17" s="11"/>
      <c r="BVJ17" s="11"/>
      <c r="BVK17" s="11"/>
      <c r="BVL17" s="11"/>
      <c r="BVM17" s="11"/>
      <c r="BVN17" s="11"/>
      <c r="BVO17" s="11"/>
      <c r="BVP17" s="11"/>
      <c r="BVQ17" s="11"/>
      <c r="BVR17" s="11"/>
      <c r="BVS17" s="11"/>
      <c r="BVT17" s="11"/>
      <c r="BVU17" s="11"/>
      <c r="BVV17" s="11"/>
      <c r="BVW17" s="11"/>
      <c r="BVX17" s="11"/>
      <c r="BVY17" s="11"/>
      <c r="BVZ17" s="11"/>
      <c r="BWA17" s="11"/>
      <c r="BWB17" s="11"/>
      <c r="BWC17" s="11"/>
      <c r="BWD17" s="11"/>
      <c r="BWE17" s="11"/>
      <c r="BWF17" s="11"/>
      <c r="BWG17" s="11"/>
      <c r="BWH17" s="11"/>
      <c r="BWI17" s="11"/>
      <c r="BWJ17" s="11"/>
      <c r="BWK17" s="11"/>
      <c r="BWL17" s="11"/>
      <c r="BWM17" s="11"/>
      <c r="BWN17" s="11"/>
      <c r="BWO17" s="11"/>
      <c r="BWP17" s="11"/>
      <c r="BWQ17" s="11"/>
      <c r="BWR17" s="11"/>
      <c r="BWS17" s="11"/>
      <c r="BWT17" s="11"/>
      <c r="BWU17" s="11"/>
      <c r="BWV17" s="11"/>
      <c r="BWW17" s="11"/>
      <c r="BWX17" s="11"/>
      <c r="BWY17" s="11"/>
      <c r="BWZ17" s="11"/>
      <c r="BXA17" s="11"/>
      <c r="BXB17" s="11"/>
      <c r="BXC17" s="11"/>
      <c r="BXD17" s="11"/>
      <c r="BXE17" s="11"/>
      <c r="BXF17" s="11"/>
      <c r="BXG17" s="11"/>
      <c r="BXH17" s="11"/>
      <c r="BXI17" s="11"/>
      <c r="BXJ17" s="11"/>
      <c r="BXK17" s="11"/>
      <c r="BXL17" s="11"/>
      <c r="BXM17" s="11"/>
      <c r="BXN17" s="11"/>
      <c r="BXO17" s="11"/>
      <c r="BXP17" s="11"/>
      <c r="BXQ17" s="11"/>
      <c r="BXR17" s="11"/>
      <c r="BXS17" s="11"/>
      <c r="BXT17" s="11"/>
      <c r="BXU17" s="11"/>
      <c r="BXV17" s="11"/>
      <c r="BXW17" s="11"/>
      <c r="BXX17" s="11"/>
      <c r="BXY17" s="11"/>
      <c r="BXZ17" s="11"/>
      <c r="BYA17" s="11"/>
      <c r="BYB17" s="11"/>
      <c r="BYC17" s="11"/>
      <c r="BYD17" s="11"/>
      <c r="BYE17" s="11"/>
      <c r="BYF17" s="11"/>
      <c r="BYG17" s="11"/>
      <c r="BYH17" s="11"/>
      <c r="BYI17" s="11"/>
      <c r="BYJ17" s="11"/>
      <c r="BYK17" s="11"/>
      <c r="BYL17" s="11"/>
      <c r="BYM17" s="11"/>
      <c r="BYN17" s="11"/>
      <c r="BYO17" s="11"/>
      <c r="BYP17" s="11"/>
      <c r="BYQ17" s="11"/>
      <c r="BYR17" s="11"/>
      <c r="BYS17" s="11"/>
      <c r="BYT17" s="11"/>
      <c r="BYU17" s="11"/>
      <c r="BYV17" s="11"/>
      <c r="BYW17" s="11"/>
      <c r="BYX17" s="11"/>
      <c r="BYY17" s="11"/>
      <c r="BYZ17" s="11"/>
      <c r="BZA17" s="11"/>
      <c r="BZB17" s="11"/>
      <c r="BZC17" s="11"/>
      <c r="BZD17" s="11"/>
      <c r="BZE17" s="11"/>
      <c r="BZF17" s="11"/>
      <c r="BZG17" s="11"/>
      <c r="BZH17" s="11"/>
      <c r="BZI17" s="11"/>
      <c r="BZJ17" s="11"/>
      <c r="BZK17" s="11"/>
      <c r="BZL17" s="11"/>
      <c r="BZM17" s="11"/>
      <c r="BZN17" s="11"/>
      <c r="BZO17" s="11"/>
      <c r="BZP17" s="11"/>
      <c r="BZQ17" s="11"/>
      <c r="BZR17" s="11"/>
      <c r="BZS17" s="11"/>
      <c r="BZT17" s="11"/>
      <c r="BZU17" s="11"/>
      <c r="BZV17" s="11"/>
      <c r="BZW17" s="11"/>
      <c r="BZX17" s="11"/>
      <c r="BZY17" s="11"/>
      <c r="BZZ17" s="11"/>
      <c r="CAA17" s="11"/>
      <c r="CAB17" s="11"/>
      <c r="CAC17" s="11"/>
      <c r="CAD17" s="11"/>
      <c r="CAE17" s="11"/>
      <c r="CAF17" s="11"/>
      <c r="CAG17" s="11"/>
      <c r="CAH17" s="11"/>
      <c r="CAI17" s="11"/>
      <c r="CAJ17" s="11"/>
      <c r="CAK17" s="11"/>
      <c r="CAL17" s="11"/>
      <c r="CAM17" s="11"/>
      <c r="CAN17" s="11"/>
      <c r="CAO17" s="11"/>
      <c r="CAP17" s="11"/>
      <c r="CAQ17" s="11"/>
      <c r="CAR17" s="11"/>
      <c r="CAS17" s="11"/>
      <c r="CAT17" s="11"/>
      <c r="CAU17" s="11"/>
      <c r="CAV17" s="11"/>
      <c r="CAW17" s="11"/>
      <c r="CAX17" s="11"/>
      <c r="CAY17" s="11"/>
      <c r="CAZ17" s="11"/>
      <c r="CBA17" s="11"/>
      <c r="CBB17" s="11"/>
      <c r="CBC17" s="11"/>
      <c r="CBD17" s="11"/>
      <c r="CBE17" s="11"/>
      <c r="CBF17" s="11"/>
      <c r="CBG17" s="11"/>
      <c r="CBH17" s="11"/>
      <c r="CBI17" s="11"/>
      <c r="CBJ17" s="11"/>
      <c r="CBK17" s="11"/>
      <c r="CBL17" s="11"/>
      <c r="CBM17" s="11"/>
      <c r="CBN17" s="11"/>
      <c r="CBO17" s="11"/>
      <c r="CBP17" s="11"/>
      <c r="CBQ17" s="11"/>
      <c r="CBR17" s="11"/>
      <c r="CBS17" s="11"/>
      <c r="CBT17" s="11"/>
      <c r="CBU17" s="11"/>
      <c r="CBV17" s="11"/>
      <c r="CBW17" s="11"/>
      <c r="CBX17" s="11"/>
      <c r="CBY17" s="11"/>
      <c r="CBZ17" s="11"/>
      <c r="CCA17" s="11"/>
      <c r="CCB17" s="11"/>
      <c r="CCC17" s="11"/>
      <c r="CCD17" s="11"/>
      <c r="CCE17" s="11"/>
      <c r="CCF17" s="11"/>
      <c r="CCG17" s="11"/>
      <c r="CCH17" s="11"/>
      <c r="CCI17" s="11"/>
      <c r="CCJ17" s="11"/>
      <c r="CCK17" s="11"/>
      <c r="CCL17" s="11"/>
      <c r="CCM17" s="11"/>
      <c r="CCN17" s="11"/>
      <c r="CCO17" s="11"/>
      <c r="CCP17" s="11"/>
      <c r="CCQ17" s="11"/>
      <c r="CCR17" s="11"/>
      <c r="CCS17" s="11"/>
      <c r="CCT17" s="11"/>
      <c r="CCU17" s="11"/>
      <c r="CCV17" s="11"/>
      <c r="CCW17" s="11"/>
      <c r="CCX17" s="11"/>
      <c r="CCY17" s="11"/>
      <c r="CCZ17" s="11"/>
      <c r="CDA17" s="11"/>
      <c r="CDB17" s="11"/>
      <c r="CDC17" s="11"/>
      <c r="CDD17" s="11"/>
      <c r="CDE17" s="11"/>
      <c r="CDF17" s="11"/>
      <c r="CDG17" s="11"/>
      <c r="CDH17" s="11"/>
      <c r="CDI17" s="11"/>
      <c r="CDJ17" s="11"/>
      <c r="CDK17" s="11"/>
      <c r="CDL17" s="11"/>
      <c r="CDM17" s="11"/>
      <c r="CDN17" s="11"/>
      <c r="CDO17" s="11"/>
      <c r="CDP17" s="11"/>
      <c r="CDQ17" s="11"/>
      <c r="CDR17" s="11"/>
      <c r="CDS17" s="11"/>
      <c r="CDT17" s="11"/>
      <c r="CDU17" s="11"/>
      <c r="CDV17" s="11"/>
      <c r="CDW17" s="11"/>
      <c r="CDX17" s="11"/>
      <c r="CDY17" s="11"/>
      <c r="CDZ17" s="11"/>
      <c r="CEA17" s="11"/>
      <c r="CEB17" s="11"/>
      <c r="CEC17" s="11"/>
      <c r="CED17" s="11"/>
      <c r="CEE17" s="11"/>
      <c r="CEF17" s="11"/>
      <c r="CEG17" s="11"/>
      <c r="CEH17" s="11"/>
      <c r="CEI17" s="11"/>
      <c r="CEJ17" s="11"/>
      <c r="CEK17" s="11"/>
      <c r="CEL17" s="11"/>
      <c r="CEM17" s="11"/>
      <c r="CEN17" s="11"/>
      <c r="CEO17" s="11"/>
      <c r="CEP17" s="11"/>
      <c r="CEQ17" s="11"/>
      <c r="CER17" s="11"/>
      <c r="CES17" s="11"/>
      <c r="CET17" s="11"/>
      <c r="CEU17" s="11"/>
      <c r="CEV17" s="11"/>
      <c r="CEW17" s="11"/>
      <c r="CEX17" s="11"/>
      <c r="CEY17" s="11"/>
      <c r="CEZ17" s="11"/>
      <c r="CFA17" s="11"/>
      <c r="CFB17" s="11"/>
      <c r="CFC17" s="11"/>
      <c r="CFD17" s="11"/>
      <c r="CFE17" s="11"/>
      <c r="CFF17" s="11"/>
      <c r="CFG17" s="11"/>
      <c r="CFH17" s="11"/>
      <c r="CFI17" s="11"/>
      <c r="CFJ17" s="11"/>
      <c r="CFK17" s="11"/>
      <c r="CFL17" s="11"/>
      <c r="CFM17" s="11"/>
      <c r="CFN17" s="11"/>
      <c r="CFO17" s="11"/>
      <c r="CFP17" s="11"/>
      <c r="CFQ17" s="11"/>
      <c r="CFR17" s="11"/>
      <c r="CFS17" s="11"/>
      <c r="CFT17" s="11"/>
      <c r="CFU17" s="11"/>
      <c r="CFV17" s="11"/>
      <c r="CFW17" s="11"/>
      <c r="CFX17" s="11"/>
      <c r="CFY17" s="11"/>
      <c r="CFZ17" s="11"/>
      <c r="CGA17" s="11"/>
      <c r="CGB17" s="11"/>
      <c r="CGC17" s="11"/>
      <c r="CGD17" s="11"/>
      <c r="CGE17" s="11"/>
      <c r="CGF17" s="11"/>
      <c r="CGG17" s="11"/>
      <c r="CGH17" s="11"/>
      <c r="CGI17" s="11"/>
      <c r="CGJ17" s="11"/>
      <c r="CGK17" s="11"/>
      <c r="CGL17" s="11"/>
      <c r="CGM17" s="11"/>
      <c r="CGN17" s="11"/>
      <c r="CGO17" s="11"/>
      <c r="CGP17" s="11"/>
      <c r="CGQ17" s="11"/>
      <c r="CGR17" s="11"/>
      <c r="CGS17" s="11"/>
      <c r="CGT17" s="11"/>
      <c r="CGU17" s="11"/>
      <c r="CGV17" s="11"/>
      <c r="CGW17" s="11"/>
      <c r="CGX17" s="11"/>
      <c r="CGY17" s="11"/>
      <c r="CGZ17" s="11"/>
      <c r="CHA17" s="11"/>
      <c r="CHB17" s="11"/>
      <c r="CHC17" s="11"/>
      <c r="CHD17" s="11"/>
      <c r="CHE17" s="11"/>
      <c r="CHF17" s="11"/>
      <c r="CHG17" s="11"/>
      <c r="CHH17" s="11"/>
      <c r="CHI17" s="11"/>
      <c r="CHJ17" s="11"/>
      <c r="CHK17" s="11"/>
      <c r="CHL17" s="11"/>
      <c r="CHM17" s="11"/>
      <c r="CHN17" s="11"/>
      <c r="CHO17" s="11"/>
      <c r="CHP17" s="11"/>
      <c r="CHQ17" s="11"/>
      <c r="CHR17" s="11"/>
      <c r="CHS17" s="11"/>
      <c r="CHT17" s="11"/>
      <c r="CHU17" s="11"/>
      <c r="CHV17" s="11"/>
      <c r="CHW17" s="11"/>
      <c r="CHX17" s="11"/>
      <c r="CHY17" s="11"/>
      <c r="CHZ17" s="11"/>
      <c r="CIA17" s="11"/>
      <c r="CIB17" s="11"/>
      <c r="CIC17" s="11"/>
      <c r="CID17" s="11"/>
      <c r="CIE17" s="11"/>
      <c r="CIF17" s="11"/>
      <c r="CIG17" s="11"/>
      <c r="CIH17" s="11"/>
      <c r="CII17" s="11"/>
      <c r="CIJ17" s="11"/>
      <c r="CIK17" s="11"/>
      <c r="CIL17" s="11"/>
      <c r="CIM17" s="11"/>
      <c r="CIN17" s="11"/>
      <c r="CIO17" s="11"/>
      <c r="CIP17" s="11"/>
      <c r="CIQ17" s="11"/>
      <c r="CIR17" s="11"/>
      <c r="CIS17" s="11"/>
      <c r="CIT17" s="11"/>
      <c r="CIU17" s="11"/>
      <c r="CIV17" s="11"/>
      <c r="CIW17" s="11"/>
      <c r="CIX17" s="11"/>
      <c r="CIY17" s="11"/>
      <c r="CIZ17" s="11"/>
      <c r="CJA17" s="11"/>
      <c r="CJB17" s="11"/>
      <c r="CJC17" s="11"/>
      <c r="CJD17" s="11"/>
      <c r="CJE17" s="11"/>
      <c r="CJF17" s="11"/>
      <c r="CJG17" s="11"/>
      <c r="CJH17" s="11"/>
      <c r="CJI17" s="11"/>
      <c r="CJJ17" s="11"/>
      <c r="CJK17" s="11"/>
      <c r="CJL17" s="11"/>
      <c r="CJM17" s="11"/>
      <c r="CJN17" s="11"/>
      <c r="CJO17" s="11"/>
      <c r="CJP17" s="11"/>
      <c r="CJQ17" s="11"/>
      <c r="CJR17" s="11"/>
      <c r="CJS17" s="11"/>
      <c r="CJT17" s="11"/>
      <c r="CJU17" s="11"/>
      <c r="CJV17" s="11"/>
      <c r="CJW17" s="11"/>
      <c r="CJX17" s="11"/>
      <c r="CJY17" s="11"/>
      <c r="CJZ17" s="11"/>
      <c r="CKA17" s="11"/>
      <c r="CKB17" s="11"/>
      <c r="CKC17" s="11"/>
      <c r="CKD17" s="11"/>
      <c r="CKE17" s="11"/>
      <c r="CKF17" s="11"/>
      <c r="CKG17" s="11"/>
      <c r="CKH17" s="11"/>
      <c r="CKI17" s="11"/>
      <c r="CKJ17" s="11"/>
      <c r="CKK17" s="11"/>
      <c r="CKL17" s="11"/>
      <c r="CKM17" s="11"/>
      <c r="CKN17" s="11"/>
      <c r="CKO17" s="11"/>
      <c r="CKP17" s="11"/>
      <c r="CKQ17" s="11"/>
      <c r="CKR17" s="11"/>
      <c r="CKS17" s="11"/>
      <c r="CKT17" s="11"/>
      <c r="CKU17" s="11"/>
      <c r="CKV17" s="11"/>
      <c r="CKW17" s="11"/>
      <c r="CKX17" s="11"/>
      <c r="CKY17" s="11"/>
      <c r="CKZ17" s="11"/>
      <c r="CLA17" s="11"/>
      <c r="CLB17" s="11"/>
      <c r="CLC17" s="11"/>
      <c r="CLD17" s="11"/>
      <c r="CLE17" s="11"/>
      <c r="CLF17" s="11"/>
      <c r="CLG17" s="11"/>
      <c r="CLH17" s="11"/>
      <c r="CLI17" s="11"/>
      <c r="CLJ17" s="11"/>
      <c r="CLK17" s="11"/>
      <c r="CLL17" s="11"/>
      <c r="CLM17" s="11"/>
      <c r="CLN17" s="11"/>
      <c r="CLO17" s="11"/>
      <c r="CLP17" s="11"/>
      <c r="CLQ17" s="11"/>
      <c r="CLR17" s="11"/>
      <c r="CLS17" s="11"/>
      <c r="CLT17" s="11"/>
      <c r="CLU17" s="11"/>
      <c r="CLV17" s="11"/>
      <c r="CLW17" s="11"/>
      <c r="CLX17" s="11"/>
      <c r="CLY17" s="11"/>
      <c r="CLZ17" s="11"/>
      <c r="CMA17" s="11"/>
      <c r="CMB17" s="11"/>
      <c r="CMC17" s="11"/>
      <c r="CMD17" s="11"/>
      <c r="CME17" s="11"/>
      <c r="CMF17" s="11"/>
      <c r="CMG17" s="11"/>
      <c r="CMH17" s="11"/>
      <c r="CMI17" s="11"/>
      <c r="CMJ17" s="11"/>
      <c r="CMK17" s="11"/>
      <c r="CML17" s="11"/>
      <c r="CMM17" s="11"/>
      <c r="CMN17" s="11"/>
      <c r="CMO17" s="11"/>
      <c r="CMP17" s="11"/>
      <c r="CMQ17" s="11"/>
      <c r="CMR17" s="11"/>
      <c r="CMS17" s="11"/>
      <c r="CMT17" s="11"/>
      <c r="CMU17" s="11"/>
      <c r="CMV17" s="11"/>
      <c r="CMW17" s="11"/>
      <c r="CMX17" s="11"/>
      <c r="CMY17" s="11"/>
      <c r="CMZ17" s="11"/>
      <c r="CNA17" s="11"/>
      <c r="CNB17" s="11"/>
      <c r="CNC17" s="11"/>
      <c r="CND17" s="11"/>
      <c r="CNE17" s="11"/>
      <c r="CNF17" s="11"/>
      <c r="CNG17" s="11"/>
      <c r="CNH17" s="11"/>
      <c r="CNI17" s="11"/>
      <c r="CNJ17" s="11"/>
      <c r="CNK17" s="11"/>
      <c r="CNL17" s="11"/>
      <c r="CNM17" s="11"/>
      <c r="CNN17" s="11"/>
      <c r="CNO17" s="11"/>
      <c r="CNP17" s="11"/>
      <c r="CNQ17" s="11"/>
      <c r="CNR17" s="11"/>
      <c r="CNS17" s="11"/>
      <c r="CNT17" s="11"/>
      <c r="CNU17" s="11"/>
      <c r="CNV17" s="11"/>
      <c r="CNW17" s="11"/>
      <c r="CNX17" s="11"/>
      <c r="CNY17" s="11"/>
      <c r="CNZ17" s="11"/>
      <c r="COA17" s="11"/>
      <c r="COB17" s="11"/>
      <c r="COC17" s="11"/>
      <c r="COD17" s="11"/>
      <c r="COE17" s="11"/>
      <c r="COF17" s="11"/>
      <c r="COG17" s="11"/>
      <c r="COH17" s="11"/>
      <c r="COI17" s="11"/>
      <c r="COJ17" s="11"/>
      <c r="COK17" s="11"/>
      <c r="COL17" s="11"/>
      <c r="COM17" s="11"/>
      <c r="CON17" s="11"/>
      <c r="COO17" s="11"/>
      <c r="COP17" s="11"/>
      <c r="COQ17" s="11"/>
      <c r="COR17" s="11"/>
      <c r="COS17" s="11"/>
      <c r="COT17" s="11"/>
      <c r="COU17" s="11"/>
      <c r="COV17" s="11"/>
      <c r="COW17" s="11"/>
      <c r="COX17" s="11"/>
      <c r="COY17" s="11"/>
      <c r="COZ17" s="11"/>
      <c r="CPA17" s="11"/>
      <c r="CPB17" s="11"/>
      <c r="CPC17" s="11"/>
      <c r="CPD17" s="11"/>
      <c r="CPE17" s="11"/>
      <c r="CPF17" s="11"/>
      <c r="CPG17" s="11"/>
      <c r="CPH17" s="11"/>
      <c r="CPI17" s="11"/>
      <c r="CPJ17" s="11"/>
      <c r="CPK17" s="11"/>
      <c r="CPL17" s="11"/>
      <c r="CPM17" s="11"/>
      <c r="CPN17" s="11"/>
      <c r="CPO17" s="11"/>
      <c r="CPP17" s="11"/>
      <c r="CPQ17" s="11"/>
      <c r="CPR17" s="11"/>
      <c r="CPS17" s="11"/>
      <c r="CPT17" s="11"/>
      <c r="CPU17" s="11"/>
      <c r="CPV17" s="11"/>
      <c r="CPW17" s="11"/>
      <c r="CPX17" s="11"/>
      <c r="CPY17" s="11"/>
      <c r="CPZ17" s="11"/>
      <c r="CQA17" s="11"/>
      <c r="CQB17" s="11"/>
      <c r="CQC17" s="11"/>
      <c r="CQD17" s="11"/>
      <c r="CQE17" s="11"/>
      <c r="CQF17" s="11"/>
      <c r="CQG17" s="11"/>
      <c r="CQH17" s="11"/>
      <c r="CQI17" s="11"/>
      <c r="CQJ17" s="11"/>
      <c r="CQK17" s="11"/>
      <c r="CQL17" s="11"/>
      <c r="CQM17" s="11"/>
      <c r="CQN17" s="11"/>
      <c r="CQO17" s="11"/>
      <c r="CQP17" s="11"/>
      <c r="CQQ17" s="11"/>
      <c r="CQR17" s="11"/>
      <c r="CQS17" s="11"/>
      <c r="CQT17" s="11"/>
      <c r="CQU17" s="11"/>
      <c r="CQV17" s="11"/>
      <c r="CQW17" s="11"/>
      <c r="CQX17" s="11"/>
      <c r="CQY17" s="11"/>
      <c r="CQZ17" s="11"/>
      <c r="CRA17" s="11"/>
      <c r="CRB17" s="11"/>
      <c r="CRC17" s="11"/>
      <c r="CRD17" s="11"/>
      <c r="CRE17" s="11"/>
      <c r="CRF17" s="11"/>
      <c r="CRG17" s="11"/>
      <c r="CRH17" s="11"/>
      <c r="CRI17" s="11"/>
      <c r="CRJ17" s="11"/>
      <c r="CRK17" s="11"/>
      <c r="CRL17" s="11"/>
      <c r="CRM17" s="11"/>
      <c r="CRN17" s="11"/>
      <c r="CRO17" s="11"/>
      <c r="CRP17" s="11"/>
      <c r="CRQ17" s="11"/>
      <c r="CRR17" s="11"/>
      <c r="CRS17" s="11"/>
      <c r="CRT17" s="11"/>
      <c r="CRU17" s="11"/>
      <c r="CRV17" s="11"/>
      <c r="CRW17" s="11"/>
      <c r="CRX17" s="11"/>
      <c r="CRY17" s="11"/>
      <c r="CRZ17" s="11"/>
      <c r="CSA17" s="11"/>
      <c r="CSB17" s="11"/>
      <c r="CSC17" s="11"/>
      <c r="CSD17" s="11"/>
      <c r="CSE17" s="11"/>
      <c r="CSF17" s="11"/>
      <c r="CSG17" s="11"/>
      <c r="CSH17" s="11"/>
      <c r="CSI17" s="11"/>
      <c r="CSJ17" s="11"/>
      <c r="CSK17" s="11"/>
      <c r="CSL17" s="11"/>
      <c r="CSM17" s="11"/>
      <c r="CSN17" s="11"/>
      <c r="CSO17" s="11"/>
      <c r="CSP17" s="11"/>
      <c r="CSQ17" s="11"/>
      <c r="CSR17" s="11"/>
      <c r="CSS17" s="11"/>
      <c r="CST17" s="11"/>
      <c r="CSU17" s="11"/>
      <c r="CSV17" s="11"/>
      <c r="CSW17" s="11"/>
      <c r="CSX17" s="11"/>
      <c r="CSY17" s="11"/>
      <c r="CSZ17" s="11"/>
      <c r="CTA17" s="11"/>
      <c r="CTB17" s="11"/>
      <c r="CTC17" s="11"/>
      <c r="CTD17" s="11"/>
      <c r="CTE17" s="11"/>
      <c r="CTF17" s="11"/>
      <c r="CTG17" s="11"/>
      <c r="CTH17" s="11"/>
      <c r="CTI17" s="11"/>
      <c r="CTJ17" s="11"/>
      <c r="CTK17" s="11"/>
      <c r="CTL17" s="11"/>
      <c r="CTM17" s="11"/>
      <c r="CTN17" s="11"/>
      <c r="CTO17" s="11"/>
      <c r="CTP17" s="11"/>
      <c r="CTQ17" s="11"/>
      <c r="CTR17" s="11"/>
      <c r="CTS17" s="11"/>
      <c r="CTT17" s="11"/>
      <c r="CTU17" s="11"/>
      <c r="CTV17" s="11"/>
      <c r="CTW17" s="11"/>
      <c r="CTX17" s="11"/>
      <c r="CTY17" s="11"/>
      <c r="CTZ17" s="11"/>
      <c r="CUA17" s="11"/>
      <c r="CUB17" s="11"/>
      <c r="CUC17" s="11"/>
      <c r="CUD17" s="11"/>
      <c r="CUE17" s="11"/>
      <c r="CUF17" s="11"/>
      <c r="CUG17" s="11"/>
      <c r="CUH17" s="11"/>
      <c r="CUI17" s="11"/>
      <c r="CUJ17" s="11"/>
      <c r="CUK17" s="11"/>
      <c r="CUL17" s="11"/>
      <c r="CUM17" s="11"/>
      <c r="CUN17" s="11"/>
      <c r="CUO17" s="11"/>
      <c r="CUP17" s="11"/>
      <c r="CUQ17" s="11"/>
      <c r="CUR17" s="11"/>
      <c r="CUS17" s="11"/>
      <c r="CUT17" s="11"/>
      <c r="CUU17" s="11"/>
      <c r="CUV17" s="11"/>
      <c r="CUW17" s="11"/>
      <c r="CUX17" s="11"/>
      <c r="CUY17" s="11"/>
      <c r="CUZ17" s="11"/>
      <c r="CVA17" s="11"/>
      <c r="CVB17" s="11"/>
      <c r="CVC17" s="11"/>
      <c r="CVD17" s="11"/>
      <c r="CVE17" s="11"/>
      <c r="CVF17" s="11"/>
      <c r="CVG17" s="11"/>
      <c r="CVH17" s="11"/>
      <c r="CVI17" s="11"/>
      <c r="CVJ17" s="11"/>
      <c r="CVK17" s="11"/>
      <c r="CVL17" s="11"/>
      <c r="CVM17" s="11"/>
      <c r="CVN17" s="11"/>
      <c r="CVO17" s="11"/>
      <c r="CVP17" s="11"/>
      <c r="CVQ17" s="11"/>
      <c r="CVR17" s="11"/>
      <c r="CVS17" s="11"/>
      <c r="CVT17" s="11"/>
      <c r="CVU17" s="11"/>
      <c r="CVV17" s="11"/>
      <c r="CVW17" s="11"/>
      <c r="CVX17" s="11"/>
      <c r="CVY17" s="11"/>
      <c r="CVZ17" s="11"/>
      <c r="CWA17" s="11"/>
      <c r="CWB17" s="11"/>
      <c r="CWC17" s="11"/>
      <c r="CWD17" s="11"/>
      <c r="CWE17" s="11"/>
      <c r="CWF17" s="11"/>
      <c r="CWG17" s="11"/>
      <c r="CWH17" s="11"/>
      <c r="CWI17" s="11"/>
      <c r="CWJ17" s="11"/>
      <c r="CWK17" s="11"/>
      <c r="CWL17" s="11"/>
      <c r="CWM17" s="11"/>
      <c r="CWN17" s="11"/>
      <c r="CWO17" s="11"/>
      <c r="CWP17" s="11"/>
      <c r="CWQ17" s="11"/>
      <c r="CWR17" s="11"/>
      <c r="CWS17" s="11"/>
      <c r="CWT17" s="11"/>
      <c r="CWU17" s="11"/>
      <c r="CWV17" s="11"/>
      <c r="CWW17" s="11"/>
      <c r="CWX17" s="11"/>
      <c r="CWY17" s="11"/>
      <c r="CWZ17" s="11"/>
      <c r="CXA17" s="11"/>
      <c r="CXB17" s="11"/>
      <c r="CXC17" s="11"/>
      <c r="CXD17" s="11"/>
      <c r="CXE17" s="11"/>
      <c r="CXF17" s="11"/>
      <c r="CXG17" s="11"/>
      <c r="CXH17" s="11"/>
      <c r="CXI17" s="11"/>
      <c r="CXJ17" s="11"/>
      <c r="CXK17" s="11"/>
      <c r="CXL17" s="11"/>
      <c r="CXM17" s="11"/>
      <c r="CXN17" s="11"/>
      <c r="CXO17" s="11"/>
      <c r="CXP17" s="11"/>
      <c r="CXQ17" s="11"/>
      <c r="CXR17" s="11"/>
      <c r="CXS17" s="11"/>
      <c r="CXT17" s="11"/>
      <c r="CXU17" s="11"/>
      <c r="CXV17" s="11"/>
      <c r="CXW17" s="11"/>
      <c r="CXX17" s="11"/>
      <c r="CXY17" s="11"/>
      <c r="CXZ17" s="11"/>
      <c r="CYA17" s="11"/>
      <c r="CYB17" s="11"/>
      <c r="CYC17" s="11"/>
      <c r="CYD17" s="11"/>
      <c r="CYE17" s="11"/>
      <c r="CYF17" s="11"/>
      <c r="CYG17" s="11"/>
      <c r="CYH17" s="11"/>
      <c r="CYI17" s="11"/>
      <c r="CYJ17" s="11"/>
      <c r="CYK17" s="11"/>
      <c r="CYL17" s="11"/>
      <c r="CYM17" s="11"/>
      <c r="CYN17" s="11"/>
      <c r="CYO17" s="11"/>
      <c r="CYP17" s="11"/>
      <c r="CYQ17" s="11"/>
      <c r="CYR17" s="11"/>
      <c r="CYS17" s="11"/>
      <c r="CYT17" s="11"/>
      <c r="CYU17" s="11"/>
      <c r="CYV17" s="11"/>
      <c r="CYW17" s="11"/>
      <c r="CYX17" s="11"/>
      <c r="CYY17" s="11"/>
      <c r="CYZ17" s="11"/>
      <c r="CZA17" s="11"/>
      <c r="CZB17" s="11"/>
      <c r="CZC17" s="11"/>
      <c r="CZD17" s="11"/>
      <c r="CZE17" s="11"/>
      <c r="CZF17" s="11"/>
      <c r="CZG17" s="11"/>
      <c r="CZH17" s="11"/>
      <c r="CZI17" s="11"/>
      <c r="CZJ17" s="11"/>
      <c r="CZK17" s="11"/>
      <c r="CZL17" s="11"/>
      <c r="CZM17" s="11"/>
      <c r="CZN17" s="11"/>
      <c r="CZO17" s="11"/>
      <c r="CZP17" s="11"/>
      <c r="CZQ17" s="11"/>
      <c r="CZR17" s="11"/>
      <c r="CZS17" s="11"/>
      <c r="CZT17" s="11"/>
      <c r="CZU17" s="11"/>
      <c r="CZV17" s="11"/>
      <c r="CZW17" s="11"/>
      <c r="CZX17" s="11"/>
      <c r="CZY17" s="11"/>
      <c r="CZZ17" s="11"/>
      <c r="DAA17" s="11"/>
      <c r="DAB17" s="11"/>
      <c r="DAC17" s="11"/>
      <c r="DAD17" s="11"/>
      <c r="DAE17" s="11"/>
      <c r="DAF17" s="11"/>
      <c r="DAG17" s="11"/>
      <c r="DAH17" s="11"/>
      <c r="DAI17" s="11"/>
      <c r="DAJ17" s="11"/>
      <c r="DAK17" s="11"/>
      <c r="DAL17" s="11"/>
      <c r="DAM17" s="11"/>
      <c r="DAN17" s="11"/>
      <c r="DAO17" s="11"/>
      <c r="DAP17" s="11"/>
      <c r="DAQ17" s="11"/>
      <c r="DAR17" s="11"/>
      <c r="DAS17" s="11"/>
      <c r="DAT17" s="11"/>
      <c r="DAU17" s="11"/>
      <c r="DAV17" s="11"/>
      <c r="DAW17" s="11"/>
      <c r="DAX17" s="11"/>
      <c r="DAY17" s="11"/>
      <c r="DAZ17" s="11"/>
      <c r="DBA17" s="11"/>
      <c r="DBB17" s="11"/>
      <c r="DBC17" s="11"/>
      <c r="DBD17" s="11"/>
      <c r="DBE17" s="11"/>
      <c r="DBF17" s="11"/>
      <c r="DBG17" s="11"/>
      <c r="DBH17" s="11"/>
      <c r="DBI17" s="11"/>
      <c r="DBJ17" s="11"/>
      <c r="DBK17" s="11"/>
      <c r="DBL17" s="11"/>
      <c r="DBM17" s="11"/>
      <c r="DBN17" s="11"/>
      <c r="DBO17" s="11"/>
      <c r="DBP17" s="11"/>
      <c r="DBQ17" s="11"/>
      <c r="DBR17" s="11"/>
      <c r="DBS17" s="11"/>
      <c r="DBT17" s="11"/>
      <c r="DBU17" s="11"/>
      <c r="DBV17" s="11"/>
      <c r="DBW17" s="11"/>
      <c r="DBX17" s="11"/>
      <c r="DBY17" s="11"/>
      <c r="DBZ17" s="11"/>
      <c r="DCA17" s="11"/>
      <c r="DCB17" s="11"/>
      <c r="DCC17" s="11"/>
      <c r="DCD17" s="11"/>
      <c r="DCE17" s="11"/>
      <c r="DCF17" s="11"/>
      <c r="DCG17" s="11"/>
      <c r="DCH17" s="11"/>
      <c r="DCI17" s="11"/>
      <c r="DCJ17" s="11"/>
      <c r="DCK17" s="11"/>
      <c r="DCL17" s="11"/>
      <c r="DCM17" s="11"/>
      <c r="DCN17" s="11"/>
      <c r="DCO17" s="11"/>
      <c r="DCP17" s="11"/>
      <c r="DCQ17" s="11"/>
      <c r="DCR17" s="11"/>
      <c r="DCS17" s="11"/>
      <c r="DCT17" s="11"/>
      <c r="DCU17" s="11"/>
      <c r="DCV17" s="11"/>
      <c r="DCW17" s="11"/>
      <c r="DCX17" s="11"/>
      <c r="DCY17" s="11"/>
      <c r="DCZ17" s="11"/>
      <c r="DDA17" s="11"/>
      <c r="DDB17" s="11"/>
      <c r="DDC17" s="11"/>
      <c r="DDD17" s="11"/>
      <c r="DDE17" s="11"/>
      <c r="DDF17" s="11"/>
      <c r="DDG17" s="11"/>
      <c r="DDH17" s="11"/>
      <c r="DDI17" s="11"/>
      <c r="DDJ17" s="11"/>
      <c r="DDK17" s="11"/>
      <c r="DDL17" s="11"/>
      <c r="DDM17" s="11"/>
      <c r="DDN17" s="11"/>
      <c r="DDO17" s="11"/>
      <c r="DDP17" s="11"/>
      <c r="DDQ17" s="11"/>
      <c r="DDR17" s="11"/>
      <c r="DDS17" s="11"/>
      <c r="DDT17" s="11"/>
      <c r="DDU17" s="11"/>
      <c r="DDV17" s="11"/>
      <c r="DDW17" s="11"/>
      <c r="DDX17" s="11"/>
      <c r="DDY17" s="11"/>
      <c r="DDZ17" s="11"/>
      <c r="DEA17" s="11"/>
      <c r="DEB17" s="11"/>
      <c r="DEC17" s="11"/>
      <c r="DED17" s="11"/>
      <c r="DEE17" s="11"/>
      <c r="DEF17" s="11"/>
      <c r="DEG17" s="11"/>
      <c r="DEH17" s="11"/>
      <c r="DEI17" s="11"/>
      <c r="DEJ17" s="11"/>
      <c r="DEK17" s="11"/>
      <c r="DEL17" s="11"/>
      <c r="DEM17" s="11"/>
      <c r="DEN17" s="11"/>
      <c r="DEO17" s="11"/>
      <c r="DEP17" s="11"/>
      <c r="DEQ17" s="11"/>
      <c r="DER17" s="11"/>
      <c r="DES17" s="11"/>
      <c r="DET17" s="11"/>
      <c r="DEU17" s="11"/>
      <c r="DEV17" s="11"/>
      <c r="DEW17" s="11"/>
      <c r="DEX17" s="11"/>
      <c r="DEY17" s="11"/>
      <c r="DEZ17" s="11"/>
      <c r="DFA17" s="11"/>
      <c r="DFB17" s="11"/>
      <c r="DFC17" s="11"/>
      <c r="DFD17" s="11"/>
      <c r="DFE17" s="11"/>
      <c r="DFF17" s="11"/>
      <c r="DFG17" s="11"/>
      <c r="DFH17" s="11"/>
      <c r="DFI17" s="11"/>
      <c r="DFJ17" s="11"/>
      <c r="DFK17" s="11"/>
      <c r="DFL17" s="11"/>
      <c r="DFM17" s="11"/>
      <c r="DFN17" s="11"/>
      <c r="DFO17" s="11"/>
      <c r="DFP17" s="11"/>
      <c r="DFQ17" s="11"/>
      <c r="DFR17" s="11"/>
      <c r="DFS17" s="11"/>
      <c r="DFT17" s="11"/>
      <c r="DFU17" s="11"/>
      <c r="DFV17" s="11"/>
      <c r="DFW17" s="11"/>
      <c r="DFX17" s="11"/>
      <c r="DFY17" s="11"/>
      <c r="DFZ17" s="11"/>
      <c r="DGA17" s="11"/>
      <c r="DGB17" s="11"/>
      <c r="DGC17" s="11"/>
      <c r="DGD17" s="11"/>
      <c r="DGE17" s="11"/>
      <c r="DGF17" s="11"/>
      <c r="DGG17" s="11"/>
      <c r="DGH17" s="11"/>
      <c r="DGI17" s="11"/>
      <c r="DGJ17" s="11"/>
      <c r="DGK17" s="11"/>
      <c r="DGL17" s="11"/>
      <c r="DGM17" s="11"/>
      <c r="DGN17" s="11"/>
      <c r="DGO17" s="11"/>
      <c r="DGP17" s="11"/>
      <c r="DGQ17" s="11"/>
      <c r="DGR17" s="11"/>
      <c r="DGS17" s="11"/>
      <c r="DGT17" s="11"/>
      <c r="DGU17" s="11"/>
      <c r="DGV17" s="11"/>
      <c r="DGW17" s="11"/>
      <c r="DGX17" s="11"/>
      <c r="DGY17" s="11"/>
      <c r="DGZ17" s="11"/>
      <c r="DHA17" s="11"/>
      <c r="DHB17" s="11"/>
      <c r="DHC17" s="11"/>
      <c r="DHD17" s="11"/>
      <c r="DHE17" s="11"/>
      <c r="DHF17" s="11"/>
      <c r="DHG17" s="11"/>
      <c r="DHH17" s="11"/>
      <c r="DHI17" s="11"/>
      <c r="DHJ17" s="11"/>
      <c r="DHK17" s="11"/>
      <c r="DHL17" s="11"/>
      <c r="DHM17" s="11"/>
      <c r="DHN17" s="11"/>
      <c r="DHO17" s="11"/>
      <c r="DHP17" s="11"/>
      <c r="DHQ17" s="11"/>
      <c r="DHR17" s="11"/>
      <c r="DHS17" s="11"/>
      <c r="DHT17" s="11"/>
      <c r="DHU17" s="11"/>
      <c r="DHV17" s="11"/>
      <c r="DHW17" s="11"/>
      <c r="DHX17" s="11"/>
      <c r="DHY17" s="11"/>
      <c r="DHZ17" s="11"/>
      <c r="DIA17" s="11"/>
      <c r="DIB17" s="11"/>
      <c r="DIC17" s="11"/>
      <c r="DID17" s="11"/>
      <c r="DIE17" s="11"/>
      <c r="DIF17" s="11"/>
      <c r="DIG17" s="11"/>
      <c r="DIH17" s="11"/>
      <c r="DII17" s="11"/>
      <c r="DIJ17" s="11"/>
      <c r="DIK17" s="11"/>
      <c r="DIL17" s="11"/>
      <c r="DIM17" s="11"/>
      <c r="DIN17" s="11"/>
      <c r="DIO17" s="11"/>
      <c r="DIP17" s="11"/>
      <c r="DIQ17" s="11"/>
      <c r="DIR17" s="11"/>
      <c r="DIS17" s="11"/>
      <c r="DIT17" s="11"/>
      <c r="DIU17" s="11"/>
      <c r="DIV17" s="11"/>
      <c r="DIW17" s="11"/>
      <c r="DIX17" s="11"/>
      <c r="DIY17" s="11"/>
      <c r="DIZ17" s="11"/>
      <c r="DJA17" s="11"/>
      <c r="DJB17" s="11"/>
      <c r="DJC17" s="11"/>
      <c r="DJD17" s="11"/>
      <c r="DJE17" s="11"/>
      <c r="DJF17" s="11"/>
      <c r="DJG17" s="11"/>
      <c r="DJH17" s="11"/>
      <c r="DJI17" s="11"/>
      <c r="DJJ17" s="11"/>
      <c r="DJK17" s="11"/>
      <c r="DJL17" s="11"/>
      <c r="DJM17" s="11"/>
      <c r="DJN17" s="11"/>
      <c r="DJO17" s="11"/>
      <c r="DJP17" s="11"/>
      <c r="DJQ17" s="11"/>
      <c r="DJR17" s="11"/>
      <c r="DJS17" s="11"/>
      <c r="DJT17" s="11"/>
      <c r="DJU17" s="11"/>
      <c r="DJV17" s="11"/>
      <c r="DJW17" s="11"/>
      <c r="DJX17" s="11"/>
      <c r="DJY17" s="11"/>
      <c r="DJZ17" s="11"/>
      <c r="DKA17" s="11"/>
      <c r="DKB17" s="11"/>
      <c r="DKC17" s="11"/>
      <c r="DKD17" s="11"/>
      <c r="DKE17" s="11"/>
      <c r="DKF17" s="11"/>
      <c r="DKG17" s="11"/>
      <c r="DKH17" s="11"/>
      <c r="DKI17" s="11"/>
      <c r="DKJ17" s="11"/>
      <c r="DKK17" s="11"/>
      <c r="DKL17" s="11"/>
      <c r="DKM17" s="11"/>
      <c r="DKN17" s="11"/>
      <c r="DKO17" s="11"/>
      <c r="DKP17" s="11"/>
      <c r="DKQ17" s="11"/>
      <c r="DKR17" s="11"/>
      <c r="DKS17" s="11"/>
      <c r="DKT17" s="11"/>
      <c r="DKU17" s="11"/>
      <c r="DKV17" s="11"/>
      <c r="DKW17" s="11"/>
      <c r="DKX17" s="11"/>
      <c r="DKY17" s="11"/>
      <c r="DKZ17" s="11"/>
      <c r="DLA17" s="11"/>
      <c r="DLB17" s="11"/>
      <c r="DLC17" s="11"/>
      <c r="DLD17" s="11"/>
      <c r="DLE17" s="11"/>
      <c r="DLF17" s="11"/>
      <c r="DLG17" s="11"/>
      <c r="DLH17" s="11"/>
      <c r="DLI17" s="11"/>
      <c r="DLJ17" s="11"/>
      <c r="DLK17" s="11"/>
      <c r="DLL17" s="11"/>
      <c r="DLM17" s="11"/>
      <c r="DLN17" s="11"/>
      <c r="DLO17" s="11"/>
      <c r="DLP17" s="11"/>
      <c r="DLQ17" s="11"/>
      <c r="DLR17" s="11"/>
      <c r="DLS17" s="11"/>
      <c r="DLT17" s="11"/>
      <c r="DLU17" s="11"/>
      <c r="DLV17" s="11"/>
      <c r="DLW17" s="11"/>
      <c r="DLX17" s="11"/>
      <c r="DLY17" s="11"/>
      <c r="DLZ17" s="11"/>
      <c r="DMA17" s="11"/>
      <c r="DMB17" s="11"/>
      <c r="DMC17" s="11"/>
      <c r="DMD17" s="11"/>
      <c r="DME17" s="11"/>
      <c r="DMF17" s="11"/>
      <c r="DMG17" s="11"/>
      <c r="DMH17" s="11"/>
      <c r="DMI17" s="11"/>
      <c r="DMJ17" s="11"/>
      <c r="DMK17" s="11"/>
      <c r="DML17" s="11"/>
      <c r="DMM17" s="11"/>
      <c r="DMN17" s="11"/>
      <c r="DMO17" s="11"/>
      <c r="DMP17" s="11"/>
      <c r="DMQ17" s="11"/>
      <c r="DMR17" s="11"/>
      <c r="DMS17" s="11"/>
      <c r="DMT17" s="11"/>
      <c r="DMU17" s="11"/>
      <c r="DMV17" s="11"/>
      <c r="DMW17" s="11"/>
      <c r="DMX17" s="11"/>
      <c r="DMY17" s="11"/>
      <c r="DMZ17" s="11"/>
      <c r="DNA17" s="11"/>
      <c r="DNB17" s="11"/>
      <c r="DNC17" s="11"/>
      <c r="DND17" s="11"/>
      <c r="DNE17" s="11"/>
      <c r="DNF17" s="11"/>
      <c r="DNG17" s="11"/>
      <c r="DNH17" s="11"/>
      <c r="DNI17" s="11"/>
      <c r="DNJ17" s="11"/>
      <c r="DNK17" s="11"/>
      <c r="DNL17" s="11"/>
      <c r="DNM17" s="11"/>
      <c r="DNN17" s="11"/>
      <c r="DNO17" s="11"/>
      <c r="DNP17" s="11"/>
      <c r="DNQ17" s="11"/>
      <c r="DNR17" s="11"/>
      <c r="DNS17" s="11"/>
      <c r="DNT17" s="11"/>
      <c r="DNU17" s="11"/>
      <c r="DNV17" s="11"/>
      <c r="DNW17" s="11"/>
      <c r="DNX17" s="11"/>
      <c r="DNY17" s="11"/>
      <c r="DNZ17" s="11"/>
      <c r="DOA17" s="11"/>
      <c r="DOB17" s="11"/>
      <c r="DOC17" s="11"/>
      <c r="DOD17" s="11"/>
      <c r="DOE17" s="11"/>
      <c r="DOF17" s="11"/>
      <c r="DOG17" s="11"/>
      <c r="DOH17" s="11"/>
      <c r="DOI17" s="11"/>
      <c r="DOJ17" s="11"/>
      <c r="DOK17" s="11"/>
      <c r="DOL17" s="11"/>
      <c r="DOM17" s="11"/>
      <c r="DON17" s="11"/>
      <c r="DOO17" s="11"/>
      <c r="DOP17" s="11"/>
      <c r="DOQ17" s="11"/>
      <c r="DOR17" s="11"/>
      <c r="DOS17" s="11"/>
      <c r="DOT17" s="11"/>
      <c r="DOU17" s="11"/>
      <c r="DOV17" s="11"/>
      <c r="DOW17" s="11"/>
      <c r="DOX17" s="11"/>
      <c r="DOY17" s="11"/>
      <c r="DOZ17" s="11"/>
      <c r="DPA17" s="11"/>
      <c r="DPB17" s="11"/>
      <c r="DPC17" s="11"/>
      <c r="DPD17" s="11"/>
      <c r="DPE17" s="11"/>
      <c r="DPF17" s="11"/>
      <c r="DPG17" s="11"/>
      <c r="DPH17" s="11"/>
      <c r="DPI17" s="11"/>
      <c r="DPJ17" s="11"/>
      <c r="DPK17" s="11"/>
      <c r="DPL17" s="11"/>
      <c r="DPM17" s="11"/>
      <c r="DPN17" s="11"/>
      <c r="DPO17" s="11"/>
      <c r="DPP17" s="11"/>
      <c r="DPQ17" s="11"/>
      <c r="DPR17" s="11"/>
      <c r="DPS17" s="11"/>
      <c r="DPT17" s="11"/>
      <c r="DPU17" s="11"/>
      <c r="DPV17" s="11"/>
      <c r="DPW17" s="11"/>
      <c r="DPX17" s="11"/>
      <c r="DPY17" s="11"/>
      <c r="DPZ17" s="11"/>
      <c r="DQA17" s="11"/>
      <c r="DQB17" s="11"/>
      <c r="DQC17" s="11"/>
      <c r="DQD17" s="11"/>
      <c r="DQE17" s="11"/>
      <c r="DQF17" s="11"/>
      <c r="DQG17" s="11"/>
      <c r="DQH17" s="11"/>
      <c r="DQI17" s="11"/>
      <c r="DQJ17" s="11"/>
      <c r="DQK17" s="11"/>
      <c r="DQL17" s="11"/>
      <c r="DQM17" s="11"/>
      <c r="DQN17" s="11"/>
      <c r="DQO17" s="11"/>
      <c r="DQP17" s="11"/>
      <c r="DQQ17" s="11"/>
      <c r="DQR17" s="11"/>
      <c r="DQS17" s="11"/>
      <c r="DQT17" s="11"/>
      <c r="DQU17" s="11"/>
      <c r="DQV17" s="11"/>
      <c r="DQW17" s="11"/>
      <c r="DQX17" s="11"/>
      <c r="DQY17" s="11"/>
      <c r="DQZ17" s="11"/>
      <c r="DRA17" s="11"/>
      <c r="DRB17" s="11"/>
      <c r="DRC17" s="11"/>
      <c r="DRD17" s="11"/>
      <c r="DRE17" s="11"/>
      <c r="DRF17" s="11"/>
      <c r="DRG17" s="11"/>
      <c r="DRH17" s="11"/>
      <c r="DRI17" s="11"/>
      <c r="DRJ17" s="11"/>
      <c r="DRK17" s="11"/>
      <c r="DRL17" s="11"/>
      <c r="DRM17" s="11"/>
      <c r="DRN17" s="11"/>
      <c r="DRO17" s="11"/>
      <c r="DRP17" s="11"/>
      <c r="DRQ17" s="11"/>
      <c r="DRR17" s="11"/>
      <c r="DRS17" s="11"/>
      <c r="DRT17" s="11"/>
      <c r="DRU17" s="11"/>
      <c r="DRV17" s="11"/>
      <c r="DRW17" s="11"/>
      <c r="DRX17" s="11"/>
      <c r="DRY17" s="11"/>
      <c r="DRZ17" s="11"/>
      <c r="DSA17" s="11"/>
      <c r="DSB17" s="11"/>
      <c r="DSC17" s="11"/>
      <c r="DSD17" s="11"/>
      <c r="DSE17" s="11"/>
      <c r="DSF17" s="11"/>
      <c r="DSG17" s="11"/>
      <c r="DSH17" s="11"/>
      <c r="DSI17" s="11"/>
      <c r="DSJ17" s="11"/>
      <c r="DSK17" s="11"/>
      <c r="DSL17" s="11"/>
      <c r="DSM17" s="11"/>
      <c r="DSN17" s="11"/>
      <c r="DSO17" s="11"/>
      <c r="DSP17" s="11"/>
      <c r="DSQ17" s="11"/>
      <c r="DSR17" s="11"/>
      <c r="DSS17" s="11"/>
      <c r="DST17" s="11"/>
      <c r="DSU17" s="11"/>
      <c r="DSV17" s="11"/>
      <c r="DSW17" s="11"/>
      <c r="DSX17" s="11"/>
      <c r="DSY17" s="11"/>
      <c r="DSZ17" s="11"/>
      <c r="DTA17" s="11"/>
      <c r="DTB17" s="11"/>
      <c r="DTC17" s="11"/>
      <c r="DTD17" s="11"/>
      <c r="DTE17" s="11"/>
      <c r="DTF17" s="11"/>
      <c r="DTG17" s="11"/>
      <c r="DTH17" s="11"/>
      <c r="DTI17" s="11"/>
      <c r="DTJ17" s="11"/>
      <c r="DTK17" s="11"/>
      <c r="DTL17" s="11"/>
      <c r="DTM17" s="11"/>
      <c r="DTN17" s="11"/>
      <c r="DTO17" s="11"/>
      <c r="DTP17" s="11"/>
      <c r="DTQ17" s="11"/>
      <c r="DTR17" s="11"/>
      <c r="DTS17" s="11"/>
      <c r="DTT17" s="11"/>
      <c r="DTU17" s="11"/>
      <c r="DTV17" s="11"/>
      <c r="DTW17" s="11"/>
      <c r="DTX17" s="11"/>
      <c r="DTY17" s="11"/>
      <c r="DTZ17" s="11"/>
      <c r="DUA17" s="11"/>
      <c r="DUB17" s="11"/>
      <c r="DUC17" s="11"/>
      <c r="DUD17" s="11"/>
      <c r="DUE17" s="11"/>
      <c r="DUF17" s="11"/>
      <c r="DUG17" s="11"/>
      <c r="DUH17" s="11"/>
      <c r="DUI17" s="11"/>
      <c r="DUJ17" s="11"/>
      <c r="DUK17" s="11"/>
      <c r="DUL17" s="11"/>
      <c r="DUM17" s="11"/>
      <c r="DUN17" s="11"/>
      <c r="DUO17" s="11"/>
      <c r="DUP17" s="11"/>
      <c r="DUQ17" s="11"/>
      <c r="DUR17" s="11"/>
      <c r="DUS17" s="11"/>
      <c r="DUT17" s="11"/>
      <c r="DUU17" s="11"/>
      <c r="DUV17" s="11"/>
      <c r="DUW17" s="11"/>
      <c r="DUX17" s="11"/>
      <c r="DUY17" s="11"/>
      <c r="DUZ17" s="11"/>
      <c r="DVA17" s="11"/>
      <c r="DVB17" s="11"/>
      <c r="DVC17" s="11"/>
      <c r="DVD17" s="11"/>
      <c r="DVE17" s="11"/>
      <c r="DVF17" s="11"/>
      <c r="DVG17" s="11"/>
      <c r="DVH17" s="11"/>
      <c r="DVI17" s="11"/>
      <c r="DVJ17" s="11"/>
      <c r="DVK17" s="11"/>
      <c r="DVL17" s="11"/>
      <c r="DVM17" s="11"/>
      <c r="DVN17" s="11"/>
      <c r="DVO17" s="11"/>
      <c r="DVP17" s="11"/>
      <c r="DVQ17" s="11"/>
      <c r="DVR17" s="11"/>
      <c r="DVS17" s="11"/>
      <c r="DVT17" s="11"/>
      <c r="DVU17" s="11"/>
      <c r="DVV17" s="11"/>
      <c r="DVW17" s="11"/>
      <c r="DVX17" s="11"/>
      <c r="DVY17" s="11"/>
      <c r="DVZ17" s="11"/>
      <c r="DWA17" s="11"/>
      <c r="DWB17" s="11"/>
      <c r="DWC17" s="11"/>
      <c r="DWD17" s="11"/>
      <c r="DWE17" s="11"/>
      <c r="DWF17" s="11"/>
      <c r="DWG17" s="11"/>
      <c r="DWH17" s="11"/>
      <c r="DWI17" s="11"/>
      <c r="DWJ17" s="11"/>
      <c r="DWK17" s="11"/>
      <c r="DWL17" s="11"/>
      <c r="DWM17" s="11"/>
      <c r="DWN17" s="11"/>
      <c r="DWO17" s="11"/>
      <c r="DWP17" s="11"/>
      <c r="DWQ17" s="11"/>
      <c r="DWR17" s="11"/>
      <c r="DWS17" s="11"/>
      <c r="DWT17" s="11"/>
      <c r="DWU17" s="11"/>
      <c r="DWV17" s="11"/>
      <c r="DWW17" s="11"/>
      <c r="DWX17" s="11"/>
      <c r="DWY17" s="11"/>
      <c r="DWZ17" s="11"/>
      <c r="DXA17" s="11"/>
      <c r="DXB17" s="11"/>
      <c r="DXC17" s="11"/>
      <c r="DXD17" s="11"/>
      <c r="DXE17" s="11"/>
      <c r="DXF17" s="11"/>
      <c r="DXG17" s="11"/>
      <c r="DXH17" s="11"/>
      <c r="DXI17" s="11"/>
      <c r="DXJ17" s="11"/>
      <c r="DXK17" s="11"/>
      <c r="DXL17" s="11"/>
      <c r="DXM17" s="11"/>
      <c r="DXN17" s="11"/>
      <c r="DXO17" s="11"/>
      <c r="DXP17" s="11"/>
      <c r="DXQ17" s="11"/>
      <c r="DXR17" s="11"/>
      <c r="DXS17" s="11"/>
      <c r="DXT17" s="11"/>
      <c r="DXU17" s="11"/>
      <c r="DXV17" s="11"/>
      <c r="DXW17" s="11"/>
      <c r="DXX17" s="11"/>
      <c r="DXY17" s="11"/>
      <c r="DXZ17" s="11"/>
      <c r="DYA17" s="11"/>
      <c r="DYB17" s="11"/>
      <c r="DYC17" s="11"/>
      <c r="DYD17" s="11"/>
      <c r="DYE17" s="11"/>
      <c r="DYF17" s="11"/>
      <c r="DYG17" s="11"/>
      <c r="DYH17" s="11"/>
      <c r="DYI17" s="11"/>
      <c r="DYJ17" s="11"/>
      <c r="DYK17" s="11"/>
      <c r="DYL17" s="11"/>
      <c r="DYM17" s="11"/>
      <c r="DYN17" s="11"/>
      <c r="DYO17" s="11"/>
      <c r="DYP17" s="11"/>
      <c r="DYQ17" s="11"/>
      <c r="DYR17" s="11"/>
      <c r="DYS17" s="11"/>
      <c r="DYT17" s="11"/>
      <c r="DYU17" s="11"/>
      <c r="DYV17" s="11"/>
      <c r="DYW17" s="11"/>
      <c r="DYX17" s="11"/>
      <c r="DYY17" s="11"/>
      <c r="DYZ17" s="11"/>
      <c r="DZA17" s="11"/>
      <c r="DZB17" s="11"/>
      <c r="DZC17" s="11"/>
      <c r="DZD17" s="11"/>
      <c r="DZE17" s="11"/>
      <c r="DZF17" s="11"/>
      <c r="DZG17" s="11"/>
      <c r="DZH17" s="11"/>
      <c r="DZI17" s="11"/>
      <c r="DZJ17" s="11"/>
      <c r="DZK17" s="11"/>
      <c r="DZL17" s="11"/>
      <c r="DZM17" s="11"/>
      <c r="DZN17" s="11"/>
      <c r="DZO17" s="11"/>
      <c r="DZP17" s="11"/>
      <c r="DZQ17" s="11"/>
      <c r="DZR17" s="11"/>
      <c r="DZS17" s="11"/>
      <c r="DZT17" s="11"/>
      <c r="DZU17" s="11"/>
      <c r="DZV17" s="11"/>
      <c r="DZW17" s="11"/>
      <c r="DZX17" s="11"/>
      <c r="DZY17" s="11"/>
      <c r="DZZ17" s="11"/>
      <c r="EAA17" s="11"/>
      <c r="EAB17" s="11"/>
      <c r="EAC17" s="11"/>
      <c r="EAD17" s="11"/>
      <c r="EAE17" s="11"/>
      <c r="EAF17" s="11"/>
      <c r="EAG17" s="11"/>
      <c r="EAH17" s="11"/>
      <c r="EAI17" s="11"/>
      <c r="EAJ17" s="11"/>
      <c r="EAK17" s="11"/>
      <c r="EAL17" s="11"/>
      <c r="EAM17" s="11"/>
      <c r="EAN17" s="11"/>
      <c r="EAO17" s="11"/>
      <c r="EAP17" s="11"/>
      <c r="EAQ17" s="11"/>
      <c r="EAR17" s="11"/>
      <c r="EAS17" s="11"/>
      <c r="EAT17" s="11"/>
      <c r="EAU17" s="11"/>
      <c r="EAV17" s="11"/>
      <c r="EAW17" s="11"/>
      <c r="EAX17" s="11"/>
      <c r="EAY17" s="11"/>
      <c r="EAZ17" s="11"/>
      <c r="EBA17" s="11"/>
      <c r="EBB17" s="11"/>
      <c r="EBC17" s="11"/>
      <c r="EBD17" s="11"/>
      <c r="EBE17" s="11"/>
      <c r="EBF17" s="11"/>
      <c r="EBG17" s="11"/>
      <c r="EBH17" s="11"/>
      <c r="EBI17" s="11"/>
      <c r="EBJ17" s="11"/>
      <c r="EBK17" s="11"/>
      <c r="EBL17" s="11"/>
      <c r="EBM17" s="11"/>
      <c r="EBN17" s="11"/>
      <c r="EBO17" s="11"/>
      <c r="EBP17" s="11"/>
      <c r="EBQ17" s="11"/>
      <c r="EBR17" s="11"/>
      <c r="EBS17" s="11"/>
      <c r="EBT17" s="11"/>
      <c r="EBU17" s="11"/>
      <c r="EBV17" s="11"/>
      <c r="EBW17" s="11"/>
      <c r="EBX17" s="11"/>
      <c r="EBY17" s="11"/>
      <c r="EBZ17" s="11"/>
      <c r="ECA17" s="11"/>
      <c r="ECB17" s="11"/>
      <c r="ECC17" s="11"/>
      <c r="ECD17" s="11"/>
      <c r="ECE17" s="11"/>
      <c r="ECF17" s="11"/>
      <c r="ECG17" s="11"/>
      <c r="ECH17" s="11"/>
      <c r="ECI17" s="11"/>
      <c r="ECJ17" s="11"/>
      <c r="ECK17" s="11"/>
      <c r="ECL17" s="11"/>
      <c r="ECM17" s="11"/>
      <c r="ECN17" s="11"/>
      <c r="ECO17" s="11"/>
      <c r="ECP17" s="11"/>
      <c r="ECQ17" s="11"/>
      <c r="ECR17" s="11"/>
      <c r="ECS17" s="11"/>
      <c r="ECT17" s="11"/>
      <c r="ECU17" s="11"/>
      <c r="ECV17" s="11"/>
      <c r="ECW17" s="11"/>
      <c r="ECX17" s="11"/>
      <c r="ECY17" s="11"/>
      <c r="ECZ17" s="11"/>
      <c r="EDA17" s="11"/>
      <c r="EDB17" s="11"/>
      <c r="EDC17" s="11"/>
      <c r="EDD17" s="11"/>
      <c r="EDE17" s="11"/>
      <c r="EDF17" s="11"/>
      <c r="EDG17" s="11"/>
      <c r="EDH17" s="11"/>
      <c r="EDI17" s="11"/>
      <c r="EDJ17" s="11"/>
      <c r="EDK17" s="11"/>
      <c r="EDL17" s="11"/>
      <c r="EDM17" s="11"/>
      <c r="EDN17" s="11"/>
      <c r="EDO17" s="11"/>
      <c r="EDP17" s="11"/>
      <c r="EDQ17" s="11"/>
      <c r="EDR17" s="11"/>
      <c r="EDS17" s="11"/>
      <c r="EDT17" s="11"/>
      <c r="EDU17" s="11"/>
      <c r="EDV17" s="11"/>
      <c r="EDW17" s="11"/>
      <c r="EDX17" s="11"/>
      <c r="EDY17" s="11"/>
      <c r="EDZ17" s="11"/>
      <c r="EEA17" s="11"/>
      <c r="EEB17" s="11"/>
      <c r="EEC17" s="11"/>
      <c r="EED17" s="11"/>
      <c r="EEE17" s="11"/>
      <c r="EEF17" s="11"/>
      <c r="EEG17" s="11"/>
      <c r="EEH17" s="11"/>
      <c r="EEI17" s="11"/>
      <c r="EEJ17" s="11"/>
      <c r="EEK17" s="11"/>
      <c r="EEL17" s="11"/>
      <c r="EEM17" s="11"/>
      <c r="EEN17" s="11"/>
      <c r="EEO17" s="11"/>
      <c r="EEP17" s="11"/>
      <c r="EEQ17" s="11"/>
      <c r="EER17" s="11"/>
      <c r="EES17" s="11"/>
      <c r="EET17" s="11"/>
      <c r="EEU17" s="11"/>
      <c r="EEV17" s="11"/>
      <c r="EEW17" s="11"/>
      <c r="EEX17" s="11"/>
      <c r="EEY17" s="11"/>
      <c r="EEZ17" s="11"/>
      <c r="EFA17" s="11"/>
      <c r="EFB17" s="11"/>
      <c r="EFC17" s="11"/>
      <c r="EFD17" s="11"/>
      <c r="EFE17" s="11"/>
      <c r="EFF17" s="11"/>
      <c r="EFG17" s="11"/>
      <c r="EFH17" s="11"/>
      <c r="EFI17" s="11"/>
      <c r="EFJ17" s="11"/>
      <c r="EFK17" s="11"/>
      <c r="EFL17" s="11"/>
      <c r="EFM17" s="11"/>
      <c r="EFN17" s="11"/>
      <c r="EFO17" s="11"/>
      <c r="EFP17" s="11"/>
      <c r="EFQ17" s="11"/>
      <c r="EFR17" s="11"/>
      <c r="EFS17" s="11"/>
      <c r="EFT17" s="11"/>
      <c r="EFU17" s="11"/>
      <c r="EFV17" s="11"/>
      <c r="EFW17" s="11"/>
      <c r="EFX17" s="11"/>
      <c r="EFY17" s="11"/>
      <c r="EFZ17" s="11"/>
      <c r="EGA17" s="11"/>
      <c r="EGB17" s="11"/>
      <c r="EGC17" s="11"/>
      <c r="EGD17" s="11"/>
      <c r="EGE17" s="11"/>
      <c r="EGF17" s="11"/>
      <c r="EGG17" s="11"/>
      <c r="EGH17" s="11"/>
      <c r="EGI17" s="11"/>
      <c r="EGJ17" s="11"/>
      <c r="EGK17" s="11"/>
      <c r="EGL17" s="11"/>
      <c r="EGM17" s="11"/>
      <c r="EGN17" s="11"/>
      <c r="EGO17" s="11"/>
      <c r="EGP17" s="11"/>
      <c r="EGQ17" s="11"/>
      <c r="EGR17" s="11"/>
      <c r="EGS17" s="11"/>
      <c r="EGT17" s="11"/>
      <c r="EGU17" s="11"/>
      <c r="EGV17" s="11"/>
      <c r="EGW17" s="11"/>
      <c r="EGX17" s="11"/>
      <c r="EGY17" s="11"/>
      <c r="EGZ17" s="11"/>
      <c r="EHA17" s="11"/>
      <c r="EHB17" s="11"/>
      <c r="EHC17" s="11"/>
      <c r="EHD17" s="11"/>
      <c r="EHE17" s="11"/>
      <c r="EHF17" s="11"/>
      <c r="EHG17" s="11"/>
      <c r="EHH17" s="11"/>
      <c r="EHI17" s="11"/>
      <c r="EHJ17" s="11"/>
      <c r="EHK17" s="11"/>
      <c r="EHL17" s="11"/>
      <c r="EHM17" s="11"/>
      <c r="EHN17" s="11"/>
      <c r="EHO17" s="11"/>
      <c r="EHP17" s="11"/>
      <c r="EHQ17" s="11"/>
      <c r="EHR17" s="11"/>
      <c r="EHS17" s="11"/>
      <c r="EHT17" s="11"/>
      <c r="EHU17" s="11"/>
      <c r="EHV17" s="11"/>
      <c r="EHW17" s="11"/>
      <c r="EHX17" s="11"/>
      <c r="EHY17" s="11"/>
      <c r="EHZ17" s="11"/>
      <c r="EIA17" s="11"/>
      <c r="EIB17" s="11"/>
      <c r="EIC17" s="11"/>
      <c r="EID17" s="11"/>
      <c r="EIE17" s="11"/>
      <c r="EIF17" s="11"/>
      <c r="EIG17" s="11"/>
      <c r="EIH17" s="11"/>
      <c r="EII17" s="11"/>
      <c r="EIJ17" s="11"/>
      <c r="EIK17" s="11"/>
      <c r="EIL17" s="11"/>
      <c r="EIM17" s="11"/>
      <c r="EIN17" s="11"/>
      <c r="EIO17" s="11"/>
      <c r="EIP17" s="11"/>
      <c r="EIQ17" s="11"/>
      <c r="EIR17" s="11"/>
      <c r="EIS17" s="11"/>
      <c r="EIT17" s="11"/>
      <c r="EIU17" s="11"/>
      <c r="EIV17" s="11"/>
      <c r="EIW17" s="11"/>
      <c r="EIX17" s="11"/>
      <c r="EIY17" s="11"/>
      <c r="EIZ17" s="11"/>
      <c r="EJA17" s="11"/>
      <c r="EJB17" s="11"/>
      <c r="EJC17" s="11"/>
      <c r="EJD17" s="11"/>
      <c r="EJE17" s="11"/>
      <c r="EJF17" s="11"/>
      <c r="EJG17" s="11"/>
      <c r="EJH17" s="11"/>
      <c r="EJI17" s="11"/>
      <c r="EJJ17" s="11"/>
      <c r="EJK17" s="11"/>
      <c r="EJL17" s="11"/>
      <c r="EJM17" s="11"/>
      <c r="EJN17" s="11"/>
      <c r="EJO17" s="11"/>
      <c r="EJP17" s="11"/>
      <c r="EJQ17" s="11"/>
      <c r="EJR17" s="11"/>
      <c r="EJS17" s="11"/>
      <c r="EJT17" s="11"/>
      <c r="EJU17" s="11"/>
      <c r="EJV17" s="11"/>
      <c r="EJW17" s="11"/>
      <c r="EJX17" s="11"/>
      <c r="EJY17" s="11"/>
      <c r="EJZ17" s="11"/>
      <c r="EKA17" s="11"/>
      <c r="EKB17" s="11"/>
      <c r="EKC17" s="11"/>
      <c r="EKD17" s="11"/>
      <c r="EKE17" s="11"/>
      <c r="EKF17" s="11"/>
      <c r="EKG17" s="11"/>
      <c r="EKH17" s="11"/>
      <c r="EKI17" s="11"/>
      <c r="EKJ17" s="11"/>
      <c r="EKK17" s="11"/>
      <c r="EKL17" s="11"/>
      <c r="EKM17" s="11"/>
      <c r="EKN17" s="11"/>
      <c r="EKO17" s="11"/>
      <c r="EKP17" s="11"/>
      <c r="EKQ17" s="11"/>
      <c r="EKR17" s="11"/>
      <c r="EKS17" s="11"/>
      <c r="EKT17" s="11"/>
      <c r="EKU17" s="11"/>
      <c r="EKV17" s="11"/>
      <c r="EKW17" s="11"/>
      <c r="EKX17" s="11"/>
      <c r="EKY17" s="11"/>
      <c r="EKZ17" s="11"/>
      <c r="ELA17" s="11"/>
      <c r="ELB17" s="11"/>
      <c r="ELC17" s="11"/>
      <c r="ELD17" s="11"/>
      <c r="ELE17" s="11"/>
      <c r="ELF17" s="11"/>
      <c r="ELG17" s="11"/>
      <c r="ELH17" s="11"/>
      <c r="ELI17" s="11"/>
      <c r="ELJ17" s="11"/>
      <c r="ELK17" s="11"/>
      <c r="ELL17" s="11"/>
      <c r="ELM17" s="11"/>
      <c r="ELN17" s="11"/>
      <c r="ELO17" s="11"/>
      <c r="ELP17" s="11"/>
      <c r="ELQ17" s="11"/>
      <c r="ELR17" s="11"/>
      <c r="ELS17" s="11"/>
      <c r="ELT17" s="11"/>
      <c r="ELU17" s="11"/>
      <c r="ELV17" s="11"/>
      <c r="ELW17" s="11"/>
      <c r="ELX17" s="11"/>
      <c r="ELY17" s="11"/>
      <c r="ELZ17" s="11"/>
      <c r="EMA17" s="11"/>
      <c r="EMB17" s="11"/>
      <c r="EMC17" s="11"/>
      <c r="EMD17" s="11"/>
      <c r="EME17" s="11"/>
      <c r="EMF17" s="11"/>
      <c r="EMG17" s="11"/>
      <c r="EMH17" s="11"/>
      <c r="EMI17" s="11"/>
      <c r="EMJ17" s="11"/>
      <c r="EMK17" s="11"/>
      <c r="EML17" s="11"/>
      <c r="EMM17" s="11"/>
      <c r="EMN17" s="11"/>
      <c r="EMO17" s="11"/>
      <c r="EMP17" s="11"/>
      <c r="EMQ17" s="11"/>
      <c r="EMR17" s="11"/>
      <c r="EMS17" s="11"/>
      <c r="EMT17" s="11"/>
      <c r="EMU17" s="11"/>
      <c r="EMV17" s="11"/>
      <c r="EMW17" s="11"/>
      <c r="EMX17" s="11"/>
      <c r="EMY17" s="11"/>
      <c r="EMZ17" s="11"/>
      <c r="ENA17" s="11"/>
      <c r="ENB17" s="11"/>
      <c r="ENC17" s="11"/>
      <c r="END17" s="11"/>
      <c r="ENE17" s="11"/>
      <c r="ENF17" s="11"/>
      <c r="ENG17" s="11"/>
      <c r="ENH17" s="11"/>
      <c r="ENI17" s="11"/>
      <c r="ENJ17" s="11"/>
      <c r="ENK17" s="11"/>
      <c r="ENL17" s="11"/>
      <c r="ENM17" s="11"/>
      <c r="ENN17" s="11"/>
      <c r="ENO17" s="11"/>
      <c r="ENP17" s="11"/>
      <c r="ENQ17" s="11"/>
      <c r="ENR17" s="11"/>
      <c r="ENS17" s="11"/>
      <c r="ENT17" s="11"/>
      <c r="ENU17" s="11"/>
      <c r="ENV17" s="11"/>
      <c r="ENW17" s="11"/>
      <c r="ENX17" s="11"/>
      <c r="ENY17" s="11"/>
      <c r="ENZ17" s="11"/>
      <c r="EOA17" s="11"/>
      <c r="EOB17" s="11"/>
      <c r="EOC17" s="11"/>
      <c r="EOD17" s="11"/>
      <c r="EOE17" s="11"/>
      <c r="EOF17" s="11"/>
      <c r="EOG17" s="11"/>
      <c r="EOH17" s="11"/>
      <c r="EOI17" s="11"/>
      <c r="EOJ17" s="11"/>
      <c r="EOK17" s="11"/>
      <c r="EOL17" s="11"/>
      <c r="EOM17" s="11"/>
      <c r="EON17" s="11"/>
      <c r="EOO17" s="11"/>
      <c r="EOP17" s="11"/>
      <c r="EOQ17" s="11"/>
      <c r="EOR17" s="11"/>
      <c r="EOS17" s="11"/>
      <c r="EOT17" s="11"/>
      <c r="EOU17" s="11"/>
      <c r="EOV17" s="11"/>
      <c r="EOW17" s="11"/>
      <c r="EOX17" s="11"/>
      <c r="EOY17" s="11"/>
      <c r="EOZ17" s="11"/>
      <c r="EPA17" s="11"/>
      <c r="EPB17" s="11"/>
      <c r="EPC17" s="11"/>
      <c r="EPD17" s="11"/>
      <c r="EPE17" s="11"/>
      <c r="EPF17" s="11"/>
      <c r="EPG17" s="11"/>
      <c r="EPH17" s="11"/>
      <c r="EPI17" s="11"/>
      <c r="EPJ17" s="11"/>
      <c r="EPK17" s="11"/>
      <c r="EPL17" s="11"/>
      <c r="EPM17" s="11"/>
      <c r="EPN17" s="11"/>
      <c r="EPO17" s="11"/>
      <c r="EPP17" s="11"/>
      <c r="EPQ17" s="11"/>
      <c r="EPR17" s="11"/>
      <c r="EPS17" s="11"/>
      <c r="EPT17" s="11"/>
      <c r="EPU17" s="11"/>
      <c r="EPV17" s="11"/>
      <c r="EPW17" s="11"/>
      <c r="EPX17" s="11"/>
      <c r="EPY17" s="11"/>
      <c r="EPZ17" s="11"/>
      <c r="EQA17" s="11"/>
      <c r="EQB17" s="11"/>
      <c r="EQC17" s="11"/>
      <c r="EQD17" s="11"/>
      <c r="EQE17" s="11"/>
      <c r="EQF17" s="11"/>
      <c r="EQG17" s="11"/>
      <c r="EQH17" s="11"/>
      <c r="EQI17" s="11"/>
      <c r="EQJ17" s="11"/>
      <c r="EQK17" s="11"/>
      <c r="EQL17" s="11"/>
      <c r="EQM17" s="11"/>
      <c r="EQN17" s="11"/>
      <c r="EQO17" s="11"/>
      <c r="EQP17" s="11"/>
      <c r="EQQ17" s="11"/>
      <c r="EQR17" s="11"/>
      <c r="EQS17" s="11"/>
      <c r="EQT17" s="11"/>
      <c r="EQU17" s="11"/>
      <c r="EQV17" s="11"/>
      <c r="EQW17" s="11"/>
      <c r="EQX17" s="11"/>
      <c r="EQY17" s="11"/>
      <c r="EQZ17" s="11"/>
      <c r="ERA17" s="11"/>
      <c r="ERB17" s="11"/>
      <c r="ERC17" s="11"/>
      <c r="ERD17" s="11"/>
      <c r="ERE17" s="11"/>
      <c r="ERF17" s="11"/>
      <c r="ERG17" s="11"/>
      <c r="ERH17" s="11"/>
      <c r="ERI17" s="11"/>
      <c r="ERJ17" s="11"/>
      <c r="ERK17" s="11"/>
      <c r="ERL17" s="11"/>
      <c r="ERM17" s="11"/>
      <c r="ERN17" s="11"/>
      <c r="ERO17" s="11"/>
      <c r="ERP17" s="11"/>
      <c r="ERQ17" s="11"/>
      <c r="ERR17" s="11"/>
      <c r="ERS17" s="11"/>
      <c r="ERT17" s="11"/>
      <c r="ERU17" s="11"/>
      <c r="ERV17" s="11"/>
      <c r="ERW17" s="11"/>
      <c r="ERX17" s="11"/>
      <c r="ERY17" s="11"/>
      <c r="ERZ17" s="11"/>
      <c r="ESA17" s="11"/>
      <c r="ESB17" s="11"/>
      <c r="ESC17" s="11"/>
      <c r="ESD17" s="11"/>
      <c r="ESE17" s="11"/>
      <c r="ESF17" s="11"/>
      <c r="ESG17" s="11"/>
      <c r="ESH17" s="11"/>
      <c r="ESI17" s="11"/>
      <c r="ESJ17" s="11"/>
      <c r="ESK17" s="11"/>
      <c r="ESL17" s="11"/>
      <c r="ESM17" s="11"/>
      <c r="ESN17" s="11"/>
      <c r="ESO17" s="11"/>
      <c r="ESP17" s="11"/>
      <c r="ESQ17" s="11"/>
      <c r="ESR17" s="11"/>
      <c r="ESS17" s="11"/>
      <c r="EST17" s="11"/>
      <c r="ESU17" s="11"/>
      <c r="ESV17" s="11"/>
      <c r="ESW17" s="11"/>
      <c r="ESX17" s="11"/>
      <c r="ESY17" s="11"/>
      <c r="ESZ17" s="11"/>
      <c r="ETA17" s="11"/>
      <c r="ETB17" s="11"/>
      <c r="ETC17" s="11"/>
      <c r="ETD17" s="11"/>
      <c r="ETE17" s="11"/>
      <c r="ETF17" s="11"/>
      <c r="ETG17" s="11"/>
      <c r="ETH17" s="11"/>
      <c r="ETI17" s="11"/>
      <c r="ETJ17" s="11"/>
      <c r="ETK17" s="11"/>
      <c r="ETL17" s="11"/>
      <c r="ETM17" s="11"/>
      <c r="ETN17" s="11"/>
      <c r="ETO17" s="11"/>
      <c r="ETP17" s="11"/>
      <c r="ETQ17" s="11"/>
      <c r="ETR17" s="11"/>
      <c r="ETS17" s="11"/>
      <c r="ETT17" s="11"/>
      <c r="ETU17" s="11"/>
      <c r="ETV17" s="11"/>
      <c r="ETW17" s="11"/>
      <c r="ETX17" s="11"/>
      <c r="ETY17" s="11"/>
      <c r="ETZ17" s="11"/>
      <c r="EUA17" s="11"/>
      <c r="EUB17" s="11"/>
      <c r="EUC17" s="11"/>
      <c r="EUD17" s="11"/>
      <c r="EUE17" s="11"/>
      <c r="EUF17" s="11"/>
      <c r="EUG17" s="11"/>
      <c r="EUH17" s="11"/>
      <c r="EUI17" s="11"/>
      <c r="EUJ17" s="11"/>
      <c r="EUK17" s="11"/>
      <c r="EUL17" s="11"/>
      <c r="EUM17" s="11"/>
      <c r="EUN17" s="11"/>
      <c r="EUO17" s="11"/>
      <c r="EUP17" s="11"/>
      <c r="EUQ17" s="11"/>
      <c r="EUR17" s="11"/>
      <c r="EUS17" s="11"/>
      <c r="EUT17" s="11"/>
      <c r="EUU17" s="11"/>
      <c r="EUV17" s="11"/>
      <c r="EUW17" s="11"/>
      <c r="EUX17" s="11"/>
      <c r="EUY17" s="11"/>
      <c r="EUZ17" s="11"/>
      <c r="EVA17" s="11"/>
      <c r="EVB17" s="11"/>
      <c r="EVC17" s="11"/>
      <c r="EVD17" s="11"/>
      <c r="EVE17" s="11"/>
      <c r="EVF17" s="11"/>
      <c r="EVG17" s="11"/>
      <c r="EVH17" s="11"/>
      <c r="EVI17" s="11"/>
      <c r="EVJ17" s="11"/>
      <c r="EVK17" s="11"/>
      <c r="EVL17" s="11"/>
      <c r="EVM17" s="11"/>
      <c r="EVN17" s="11"/>
      <c r="EVO17" s="11"/>
      <c r="EVP17" s="11"/>
      <c r="EVQ17" s="11"/>
      <c r="EVR17" s="11"/>
      <c r="EVS17" s="11"/>
      <c r="EVT17" s="11"/>
      <c r="EVU17" s="11"/>
      <c r="EVV17" s="11"/>
      <c r="EVW17" s="11"/>
      <c r="EVX17" s="11"/>
      <c r="EVY17" s="11"/>
      <c r="EVZ17" s="11"/>
      <c r="EWA17" s="11"/>
      <c r="EWB17" s="11"/>
      <c r="EWC17" s="11"/>
      <c r="EWD17" s="11"/>
      <c r="EWE17" s="11"/>
      <c r="EWF17" s="11"/>
      <c r="EWG17" s="11"/>
      <c r="EWH17" s="11"/>
      <c r="EWI17" s="11"/>
      <c r="EWJ17" s="11"/>
      <c r="EWK17" s="11"/>
      <c r="EWL17" s="11"/>
      <c r="EWM17" s="11"/>
      <c r="EWN17" s="11"/>
      <c r="EWO17" s="11"/>
      <c r="EWP17" s="11"/>
      <c r="EWQ17" s="11"/>
      <c r="EWR17" s="11"/>
      <c r="EWS17" s="11"/>
      <c r="EWT17" s="11"/>
      <c r="EWU17" s="11"/>
      <c r="EWV17" s="11"/>
      <c r="EWW17" s="11"/>
      <c r="EWX17" s="11"/>
      <c r="EWY17" s="11"/>
      <c r="EWZ17" s="11"/>
      <c r="EXA17" s="11"/>
      <c r="EXB17" s="11"/>
      <c r="EXC17" s="11"/>
      <c r="EXD17" s="11"/>
      <c r="EXE17" s="11"/>
      <c r="EXF17" s="11"/>
      <c r="EXG17" s="11"/>
      <c r="EXH17" s="11"/>
      <c r="EXI17" s="11"/>
      <c r="EXJ17" s="11"/>
      <c r="EXK17" s="11"/>
      <c r="EXL17" s="11"/>
      <c r="EXM17" s="11"/>
      <c r="EXN17" s="11"/>
      <c r="EXO17" s="11"/>
      <c r="EXP17" s="11"/>
      <c r="EXQ17" s="11"/>
      <c r="EXR17" s="11"/>
      <c r="EXS17" s="11"/>
      <c r="EXT17" s="11"/>
      <c r="EXU17" s="11"/>
      <c r="EXV17" s="11"/>
      <c r="EXW17" s="11"/>
      <c r="EXX17" s="11"/>
      <c r="EXY17" s="11"/>
      <c r="EXZ17" s="11"/>
      <c r="EYA17" s="11"/>
      <c r="EYB17" s="11"/>
      <c r="EYC17" s="11"/>
      <c r="EYD17" s="11"/>
      <c r="EYE17" s="11"/>
      <c r="EYF17" s="11"/>
      <c r="EYG17" s="11"/>
      <c r="EYH17" s="11"/>
      <c r="EYI17" s="11"/>
      <c r="EYJ17" s="11"/>
      <c r="EYK17" s="11"/>
      <c r="EYL17" s="11"/>
      <c r="EYM17" s="11"/>
      <c r="EYN17" s="11"/>
      <c r="EYO17" s="11"/>
      <c r="EYP17" s="11"/>
      <c r="EYQ17" s="11"/>
      <c r="EYR17" s="11"/>
      <c r="EYS17" s="11"/>
      <c r="EYT17" s="11"/>
      <c r="EYU17" s="11"/>
      <c r="EYV17" s="11"/>
      <c r="EYW17" s="11"/>
      <c r="EYX17" s="11"/>
      <c r="EYY17" s="11"/>
      <c r="EYZ17" s="11"/>
      <c r="EZA17" s="11"/>
      <c r="EZB17" s="11"/>
      <c r="EZC17" s="11"/>
      <c r="EZD17" s="11"/>
      <c r="EZE17" s="11"/>
      <c r="EZF17" s="11"/>
      <c r="EZG17" s="11"/>
      <c r="EZH17" s="11"/>
      <c r="EZI17" s="11"/>
      <c r="EZJ17" s="11"/>
      <c r="EZK17" s="11"/>
      <c r="EZL17" s="11"/>
      <c r="EZM17" s="11"/>
      <c r="EZN17" s="11"/>
      <c r="EZO17" s="11"/>
      <c r="EZP17" s="11"/>
      <c r="EZQ17" s="11"/>
      <c r="EZR17" s="11"/>
      <c r="EZS17" s="11"/>
      <c r="EZT17" s="11"/>
      <c r="EZU17" s="11"/>
      <c r="EZV17" s="11"/>
      <c r="EZW17" s="11"/>
      <c r="EZX17" s="11"/>
      <c r="EZY17" s="11"/>
      <c r="EZZ17" s="11"/>
      <c r="FAA17" s="11"/>
      <c r="FAB17" s="11"/>
      <c r="FAC17" s="11"/>
      <c r="FAD17" s="11"/>
      <c r="FAE17" s="11"/>
      <c r="FAF17" s="11"/>
      <c r="FAG17" s="11"/>
      <c r="FAH17" s="11"/>
      <c r="FAI17" s="11"/>
      <c r="FAJ17" s="11"/>
      <c r="FAK17" s="11"/>
      <c r="FAL17" s="11"/>
      <c r="FAM17" s="11"/>
      <c r="FAN17" s="11"/>
      <c r="FAO17" s="11"/>
      <c r="FAP17" s="11"/>
      <c r="FAQ17" s="11"/>
      <c r="FAR17" s="11"/>
      <c r="FAS17" s="11"/>
      <c r="FAT17" s="11"/>
      <c r="FAU17" s="11"/>
      <c r="FAV17" s="11"/>
      <c r="FAW17" s="11"/>
      <c r="FAX17" s="11"/>
      <c r="FAY17" s="11"/>
      <c r="FAZ17" s="11"/>
      <c r="FBA17" s="11"/>
      <c r="FBB17" s="11"/>
      <c r="FBC17" s="11"/>
      <c r="FBD17" s="11"/>
      <c r="FBE17" s="11"/>
      <c r="FBF17" s="11"/>
      <c r="FBG17" s="11"/>
      <c r="FBH17" s="11"/>
      <c r="FBI17" s="11"/>
      <c r="FBJ17" s="11"/>
      <c r="FBK17" s="11"/>
      <c r="FBL17" s="11"/>
      <c r="FBM17" s="11"/>
      <c r="FBN17" s="11"/>
      <c r="FBO17" s="11"/>
      <c r="FBP17" s="11"/>
      <c r="FBQ17" s="11"/>
      <c r="FBR17" s="11"/>
      <c r="FBS17" s="11"/>
      <c r="FBT17" s="11"/>
      <c r="FBU17" s="11"/>
      <c r="FBV17" s="11"/>
      <c r="FBW17" s="11"/>
      <c r="FBX17" s="11"/>
      <c r="FBY17" s="11"/>
      <c r="FBZ17" s="11"/>
      <c r="FCA17" s="11"/>
      <c r="FCB17" s="11"/>
      <c r="FCC17" s="11"/>
      <c r="FCD17" s="11"/>
      <c r="FCE17" s="11"/>
      <c r="FCF17" s="11"/>
      <c r="FCG17" s="11"/>
      <c r="FCH17" s="11"/>
      <c r="FCI17" s="11"/>
      <c r="FCJ17" s="11"/>
      <c r="FCK17" s="11"/>
      <c r="FCL17" s="11"/>
      <c r="FCM17" s="11"/>
      <c r="FCN17" s="11"/>
      <c r="FCO17" s="11"/>
      <c r="FCP17" s="11"/>
      <c r="FCQ17" s="11"/>
      <c r="FCR17" s="11"/>
      <c r="FCS17" s="11"/>
      <c r="FCT17" s="11"/>
      <c r="FCU17" s="11"/>
      <c r="FCV17" s="11"/>
      <c r="FCW17" s="11"/>
      <c r="FCX17" s="11"/>
      <c r="FCY17" s="11"/>
      <c r="FCZ17" s="11"/>
      <c r="FDA17" s="11"/>
      <c r="FDB17" s="11"/>
      <c r="FDC17" s="11"/>
      <c r="FDD17" s="11"/>
      <c r="FDE17" s="11"/>
      <c r="FDF17" s="11"/>
      <c r="FDG17" s="11"/>
      <c r="FDH17" s="11"/>
      <c r="FDI17" s="11"/>
      <c r="FDJ17" s="11"/>
      <c r="FDK17" s="11"/>
      <c r="FDL17" s="11"/>
      <c r="FDM17" s="11"/>
      <c r="FDN17" s="11"/>
      <c r="FDO17" s="11"/>
      <c r="FDP17" s="11"/>
      <c r="FDQ17" s="11"/>
      <c r="FDR17" s="11"/>
      <c r="FDS17" s="11"/>
      <c r="FDT17" s="11"/>
      <c r="FDU17" s="11"/>
      <c r="FDV17" s="11"/>
      <c r="FDW17" s="11"/>
      <c r="FDX17" s="11"/>
      <c r="FDY17" s="11"/>
      <c r="FDZ17" s="11"/>
      <c r="FEA17" s="11"/>
      <c r="FEB17" s="11"/>
      <c r="FEC17" s="11"/>
      <c r="FED17" s="11"/>
      <c r="FEE17" s="11"/>
      <c r="FEF17" s="11"/>
      <c r="FEG17" s="11"/>
      <c r="FEH17" s="11"/>
      <c r="FEI17" s="11"/>
      <c r="FEJ17" s="11"/>
      <c r="FEK17" s="11"/>
      <c r="FEL17" s="11"/>
      <c r="FEM17" s="11"/>
      <c r="FEN17" s="11"/>
      <c r="FEO17" s="11"/>
      <c r="FEP17" s="11"/>
      <c r="FEQ17" s="11"/>
      <c r="FER17" s="11"/>
      <c r="FES17" s="11"/>
      <c r="FET17" s="11"/>
      <c r="FEU17" s="11"/>
      <c r="FEV17" s="11"/>
      <c r="FEW17" s="11"/>
      <c r="FEX17" s="11"/>
      <c r="FEY17" s="11"/>
      <c r="FEZ17" s="11"/>
      <c r="FFA17" s="11"/>
      <c r="FFB17" s="11"/>
      <c r="FFC17" s="11"/>
      <c r="FFD17" s="11"/>
      <c r="FFE17" s="11"/>
      <c r="FFF17" s="11"/>
      <c r="FFG17" s="11"/>
      <c r="FFH17" s="11"/>
      <c r="FFI17" s="11"/>
      <c r="FFJ17" s="11"/>
      <c r="FFK17" s="11"/>
      <c r="FFL17" s="11"/>
      <c r="FFM17" s="11"/>
      <c r="FFN17" s="11"/>
      <c r="FFO17" s="11"/>
      <c r="FFP17" s="11"/>
      <c r="FFQ17" s="11"/>
      <c r="FFR17" s="11"/>
      <c r="FFS17" s="11"/>
      <c r="FFT17" s="11"/>
      <c r="FFU17" s="11"/>
      <c r="FFV17" s="11"/>
      <c r="FFW17" s="11"/>
      <c r="FFX17" s="11"/>
      <c r="FFY17" s="11"/>
      <c r="FFZ17" s="11"/>
      <c r="FGA17" s="11"/>
      <c r="FGB17" s="11"/>
      <c r="FGC17" s="11"/>
      <c r="FGD17" s="11"/>
      <c r="FGE17" s="11"/>
      <c r="FGF17" s="11"/>
      <c r="FGG17" s="11"/>
      <c r="FGH17" s="11"/>
      <c r="FGI17" s="11"/>
      <c r="FGJ17" s="11"/>
      <c r="FGK17" s="11"/>
      <c r="FGL17" s="11"/>
      <c r="FGM17" s="11"/>
      <c r="FGN17" s="11"/>
      <c r="FGO17" s="11"/>
      <c r="FGP17" s="11"/>
      <c r="FGQ17" s="11"/>
      <c r="FGR17" s="11"/>
      <c r="FGS17" s="11"/>
      <c r="FGT17" s="11"/>
      <c r="FGU17" s="11"/>
      <c r="FGV17" s="11"/>
      <c r="FGW17" s="11"/>
      <c r="FGX17" s="11"/>
      <c r="FGY17" s="11"/>
      <c r="FGZ17" s="11"/>
      <c r="FHA17" s="11"/>
      <c r="FHB17" s="11"/>
      <c r="FHC17" s="11"/>
      <c r="FHD17" s="11"/>
      <c r="FHE17" s="11"/>
      <c r="FHF17" s="11"/>
      <c r="FHG17" s="11"/>
      <c r="FHH17" s="11"/>
      <c r="FHI17" s="11"/>
      <c r="FHJ17" s="11"/>
      <c r="FHK17" s="11"/>
      <c r="FHL17" s="11"/>
      <c r="FHM17" s="11"/>
      <c r="FHN17" s="11"/>
      <c r="FHO17" s="11"/>
      <c r="FHP17" s="11"/>
      <c r="FHQ17" s="11"/>
      <c r="FHR17" s="11"/>
      <c r="FHS17" s="11"/>
      <c r="FHT17" s="11"/>
      <c r="FHU17" s="11"/>
      <c r="FHV17" s="11"/>
      <c r="FHW17" s="11"/>
      <c r="FHX17" s="11"/>
      <c r="FHY17" s="11"/>
      <c r="FHZ17" s="11"/>
      <c r="FIA17" s="11"/>
      <c r="FIB17" s="11"/>
      <c r="FIC17" s="11"/>
      <c r="FID17" s="11"/>
      <c r="FIE17" s="11"/>
      <c r="FIF17" s="11"/>
      <c r="FIG17" s="11"/>
      <c r="FIH17" s="11"/>
      <c r="FII17" s="11"/>
      <c r="FIJ17" s="11"/>
      <c r="FIK17" s="11"/>
      <c r="FIL17" s="11"/>
      <c r="FIM17" s="11"/>
      <c r="FIN17" s="11"/>
      <c r="FIO17" s="11"/>
      <c r="FIP17" s="11"/>
      <c r="FIQ17" s="11"/>
      <c r="FIR17" s="11"/>
      <c r="FIS17" s="11"/>
      <c r="FIT17" s="11"/>
      <c r="FIU17" s="11"/>
      <c r="FIV17" s="11"/>
      <c r="FIW17" s="11"/>
      <c r="FIX17" s="11"/>
      <c r="FIY17" s="11"/>
      <c r="FIZ17" s="11"/>
      <c r="FJA17" s="11"/>
      <c r="FJB17" s="11"/>
      <c r="FJC17" s="11"/>
      <c r="FJD17" s="11"/>
      <c r="FJE17" s="11"/>
      <c r="FJF17" s="11"/>
      <c r="FJG17" s="11"/>
      <c r="FJH17" s="11"/>
      <c r="FJI17" s="11"/>
      <c r="FJJ17" s="11"/>
      <c r="FJK17" s="11"/>
      <c r="FJL17" s="11"/>
      <c r="FJM17" s="11"/>
      <c r="FJN17" s="11"/>
      <c r="FJO17" s="11"/>
      <c r="FJP17" s="11"/>
      <c r="FJQ17" s="11"/>
      <c r="FJR17" s="11"/>
      <c r="FJS17" s="11"/>
      <c r="FJT17" s="11"/>
      <c r="FJU17" s="11"/>
      <c r="FJV17" s="11"/>
      <c r="FJW17" s="11"/>
      <c r="FJX17" s="11"/>
      <c r="FJY17" s="11"/>
      <c r="FJZ17" s="11"/>
      <c r="FKA17" s="11"/>
      <c r="FKB17" s="11"/>
      <c r="FKC17" s="11"/>
      <c r="FKD17" s="11"/>
      <c r="FKE17" s="11"/>
      <c r="FKF17" s="11"/>
      <c r="FKG17" s="11"/>
      <c r="FKH17" s="11"/>
      <c r="FKI17" s="11"/>
      <c r="FKJ17" s="11"/>
      <c r="FKK17" s="11"/>
      <c r="FKL17" s="11"/>
      <c r="FKM17" s="11"/>
      <c r="FKN17" s="11"/>
      <c r="FKO17" s="11"/>
      <c r="FKP17" s="11"/>
      <c r="FKQ17" s="11"/>
      <c r="FKR17" s="11"/>
      <c r="FKS17" s="11"/>
      <c r="FKT17" s="11"/>
      <c r="FKU17" s="11"/>
      <c r="FKV17" s="11"/>
      <c r="FKW17" s="11"/>
      <c r="FKX17" s="11"/>
      <c r="FKY17" s="11"/>
      <c r="FKZ17" s="11"/>
      <c r="FLA17" s="11"/>
      <c r="FLB17" s="11"/>
      <c r="FLC17" s="11"/>
      <c r="FLD17" s="11"/>
      <c r="FLE17" s="11"/>
      <c r="FLF17" s="11"/>
      <c r="FLG17" s="11"/>
      <c r="FLH17" s="11"/>
      <c r="FLI17" s="11"/>
      <c r="FLJ17" s="11"/>
      <c r="FLK17" s="11"/>
      <c r="FLL17" s="11"/>
      <c r="FLM17" s="11"/>
      <c r="FLN17" s="11"/>
      <c r="FLO17" s="11"/>
      <c r="FLP17" s="11"/>
      <c r="FLQ17" s="11"/>
      <c r="FLR17" s="11"/>
      <c r="FLS17" s="11"/>
      <c r="FLT17" s="11"/>
      <c r="FLU17" s="11"/>
      <c r="FLV17" s="11"/>
      <c r="FLW17" s="11"/>
      <c r="FLX17" s="11"/>
      <c r="FLY17" s="11"/>
      <c r="FLZ17" s="11"/>
      <c r="FMA17" s="11"/>
      <c r="FMB17" s="11"/>
      <c r="FMC17" s="11"/>
      <c r="FMD17" s="11"/>
      <c r="FME17" s="11"/>
      <c r="FMF17" s="11"/>
      <c r="FMG17" s="11"/>
      <c r="FMH17" s="11"/>
      <c r="FMI17" s="11"/>
      <c r="FMJ17" s="11"/>
      <c r="FMK17" s="11"/>
      <c r="FML17" s="11"/>
      <c r="FMM17" s="11"/>
      <c r="FMN17" s="11"/>
      <c r="FMO17" s="11"/>
      <c r="FMP17" s="11"/>
      <c r="FMQ17" s="11"/>
      <c r="FMR17" s="11"/>
      <c r="FMS17" s="11"/>
      <c r="FMT17" s="11"/>
      <c r="FMU17" s="11"/>
      <c r="FMV17" s="11"/>
      <c r="FMW17" s="11"/>
      <c r="FMX17" s="11"/>
      <c r="FMY17" s="11"/>
      <c r="FMZ17" s="11"/>
      <c r="FNA17" s="11"/>
      <c r="FNB17" s="11"/>
      <c r="FNC17" s="11"/>
      <c r="FND17" s="11"/>
      <c r="FNE17" s="11"/>
      <c r="FNF17" s="11"/>
      <c r="FNG17" s="11"/>
      <c r="FNH17" s="11"/>
      <c r="FNI17" s="11"/>
      <c r="FNJ17" s="11"/>
      <c r="FNK17" s="11"/>
      <c r="FNL17" s="11"/>
      <c r="FNM17" s="11"/>
      <c r="FNN17" s="11"/>
      <c r="FNO17" s="11"/>
      <c r="FNP17" s="11"/>
      <c r="FNQ17" s="11"/>
      <c r="FNR17" s="11"/>
      <c r="FNS17" s="11"/>
      <c r="FNT17" s="11"/>
      <c r="FNU17" s="11"/>
      <c r="FNV17" s="11"/>
      <c r="FNW17" s="11"/>
      <c r="FNX17" s="11"/>
      <c r="FNY17" s="11"/>
      <c r="FNZ17" s="11"/>
      <c r="FOA17" s="11"/>
      <c r="FOB17" s="11"/>
      <c r="FOC17" s="11"/>
      <c r="FOD17" s="11"/>
      <c r="FOE17" s="11"/>
      <c r="FOF17" s="11"/>
      <c r="FOG17" s="11"/>
      <c r="FOH17" s="11"/>
      <c r="FOI17" s="11"/>
      <c r="FOJ17" s="11"/>
      <c r="FOK17" s="11"/>
      <c r="FOL17" s="11"/>
      <c r="FOM17" s="11"/>
      <c r="FON17" s="11"/>
      <c r="FOO17" s="11"/>
      <c r="FOP17" s="11"/>
      <c r="FOQ17" s="11"/>
      <c r="FOR17" s="11"/>
      <c r="FOS17" s="11"/>
      <c r="FOT17" s="11"/>
      <c r="FOU17" s="11"/>
      <c r="FOV17" s="11"/>
      <c r="FOW17" s="11"/>
      <c r="FOX17" s="11"/>
      <c r="FOY17" s="11"/>
      <c r="FOZ17" s="11"/>
      <c r="FPA17" s="11"/>
      <c r="FPB17" s="11"/>
      <c r="FPC17" s="11"/>
      <c r="FPD17" s="11"/>
      <c r="FPE17" s="11"/>
      <c r="FPF17" s="11"/>
      <c r="FPG17" s="11"/>
      <c r="FPH17" s="11"/>
      <c r="FPI17" s="11"/>
      <c r="FPJ17" s="11"/>
      <c r="FPK17" s="11"/>
      <c r="FPL17" s="11"/>
      <c r="FPM17" s="11"/>
      <c r="FPN17" s="11"/>
      <c r="FPO17" s="11"/>
      <c r="FPP17" s="11"/>
      <c r="FPQ17" s="11"/>
      <c r="FPR17" s="11"/>
      <c r="FPS17" s="11"/>
      <c r="FPT17" s="11"/>
      <c r="FPU17" s="11"/>
      <c r="FPV17" s="11"/>
      <c r="FPW17" s="11"/>
      <c r="FPX17" s="11"/>
      <c r="FPY17" s="11"/>
      <c r="FPZ17" s="11"/>
      <c r="FQA17" s="11"/>
      <c r="FQB17" s="11"/>
      <c r="FQC17" s="11"/>
      <c r="FQD17" s="11"/>
      <c r="FQE17" s="11"/>
      <c r="FQF17" s="11"/>
      <c r="FQG17" s="11"/>
      <c r="FQH17" s="11"/>
      <c r="FQI17" s="11"/>
      <c r="FQJ17" s="11"/>
      <c r="FQK17" s="11"/>
      <c r="FQL17" s="11"/>
      <c r="FQM17" s="11"/>
      <c r="FQN17" s="11"/>
      <c r="FQO17" s="11"/>
      <c r="FQP17" s="11"/>
      <c r="FQQ17" s="11"/>
      <c r="FQR17" s="11"/>
      <c r="FQS17" s="11"/>
      <c r="FQT17" s="11"/>
      <c r="FQU17" s="11"/>
      <c r="FQV17" s="11"/>
      <c r="FQW17" s="11"/>
      <c r="FQX17" s="11"/>
      <c r="FQY17" s="11"/>
      <c r="FQZ17" s="11"/>
      <c r="FRA17" s="11"/>
      <c r="FRB17" s="11"/>
      <c r="FRC17" s="11"/>
      <c r="FRD17" s="11"/>
      <c r="FRE17" s="11"/>
      <c r="FRF17" s="11"/>
      <c r="FRG17" s="11"/>
      <c r="FRH17" s="11"/>
      <c r="FRI17" s="11"/>
      <c r="FRJ17" s="11"/>
      <c r="FRK17" s="11"/>
      <c r="FRL17" s="11"/>
      <c r="FRM17" s="11"/>
      <c r="FRN17" s="11"/>
      <c r="FRO17" s="11"/>
      <c r="FRP17" s="11"/>
      <c r="FRQ17" s="11"/>
      <c r="FRR17" s="11"/>
      <c r="FRS17" s="11"/>
      <c r="FRT17" s="11"/>
      <c r="FRU17" s="11"/>
      <c r="FRV17" s="11"/>
      <c r="FRW17" s="11"/>
      <c r="FRX17" s="11"/>
      <c r="FRY17" s="11"/>
      <c r="FRZ17" s="11"/>
      <c r="FSA17" s="11"/>
      <c r="FSB17" s="11"/>
      <c r="FSC17" s="11"/>
      <c r="FSD17" s="11"/>
      <c r="FSE17" s="11"/>
      <c r="FSF17" s="11"/>
      <c r="FSG17" s="11"/>
      <c r="FSH17" s="11"/>
      <c r="FSI17" s="11"/>
      <c r="FSJ17" s="11"/>
      <c r="FSK17" s="11"/>
      <c r="FSL17" s="11"/>
      <c r="FSM17" s="11"/>
      <c r="FSN17" s="11"/>
      <c r="FSO17" s="11"/>
      <c r="FSP17" s="11"/>
      <c r="FSQ17" s="11"/>
      <c r="FSR17" s="11"/>
      <c r="FSS17" s="11"/>
      <c r="FST17" s="11"/>
      <c r="FSU17" s="11"/>
      <c r="FSV17" s="11"/>
      <c r="FSW17" s="11"/>
      <c r="FSX17" s="11"/>
      <c r="FSY17" s="11"/>
      <c r="FSZ17" s="11"/>
      <c r="FTA17" s="11"/>
      <c r="FTB17" s="11"/>
      <c r="FTC17" s="11"/>
      <c r="FTD17" s="11"/>
      <c r="FTE17" s="11"/>
      <c r="FTF17" s="11"/>
      <c r="FTG17" s="11"/>
      <c r="FTH17" s="11"/>
      <c r="FTI17" s="11"/>
      <c r="FTJ17" s="11"/>
      <c r="FTK17" s="11"/>
      <c r="FTL17" s="11"/>
      <c r="FTM17" s="11"/>
      <c r="FTN17" s="11"/>
      <c r="FTO17" s="11"/>
      <c r="FTP17" s="11"/>
      <c r="FTQ17" s="11"/>
      <c r="FTR17" s="11"/>
      <c r="FTS17" s="11"/>
      <c r="FTT17" s="11"/>
      <c r="FTU17" s="11"/>
      <c r="FTV17" s="11"/>
      <c r="FTW17" s="11"/>
      <c r="FTX17" s="11"/>
      <c r="FTY17" s="11"/>
      <c r="FTZ17" s="11"/>
      <c r="FUA17" s="11"/>
      <c r="FUB17" s="11"/>
      <c r="FUC17" s="11"/>
      <c r="FUD17" s="11"/>
      <c r="FUE17" s="11"/>
      <c r="FUF17" s="11"/>
      <c r="FUG17" s="11"/>
      <c r="FUH17" s="11"/>
      <c r="FUI17" s="11"/>
      <c r="FUJ17" s="11"/>
      <c r="FUK17" s="11"/>
      <c r="FUL17" s="11"/>
      <c r="FUM17" s="11"/>
      <c r="FUN17" s="11"/>
      <c r="FUO17" s="11"/>
      <c r="FUP17" s="11"/>
      <c r="FUQ17" s="11"/>
      <c r="FUR17" s="11"/>
      <c r="FUS17" s="11"/>
      <c r="FUT17" s="11"/>
      <c r="FUU17" s="11"/>
      <c r="FUV17" s="11"/>
      <c r="FUW17" s="11"/>
      <c r="FUX17" s="11"/>
      <c r="FUY17" s="11"/>
      <c r="FUZ17" s="11"/>
      <c r="FVA17" s="11"/>
      <c r="FVB17" s="11"/>
      <c r="FVC17" s="11"/>
      <c r="FVD17" s="11"/>
      <c r="FVE17" s="11"/>
      <c r="FVF17" s="11"/>
      <c r="FVG17" s="11"/>
      <c r="FVH17" s="11"/>
      <c r="FVI17" s="11"/>
      <c r="FVJ17" s="11"/>
      <c r="FVK17" s="11"/>
      <c r="FVL17" s="11"/>
      <c r="FVM17" s="11"/>
      <c r="FVN17" s="11"/>
      <c r="FVO17" s="11"/>
      <c r="FVP17" s="11"/>
      <c r="FVQ17" s="11"/>
      <c r="FVR17" s="11"/>
      <c r="FVS17" s="11"/>
      <c r="FVT17" s="11"/>
      <c r="FVU17" s="11"/>
      <c r="FVV17" s="11"/>
      <c r="FVW17" s="11"/>
      <c r="FVX17" s="11"/>
      <c r="FVY17" s="11"/>
      <c r="FVZ17" s="11"/>
      <c r="FWA17" s="11"/>
      <c r="FWB17" s="11"/>
      <c r="FWC17" s="11"/>
      <c r="FWD17" s="11"/>
      <c r="FWE17" s="11"/>
      <c r="FWF17" s="11"/>
      <c r="FWG17" s="11"/>
      <c r="FWH17" s="11"/>
      <c r="FWI17" s="11"/>
      <c r="FWJ17" s="11"/>
      <c r="FWK17" s="11"/>
      <c r="FWL17" s="11"/>
      <c r="FWM17" s="11"/>
      <c r="FWN17" s="11"/>
      <c r="FWO17" s="11"/>
      <c r="FWP17" s="11"/>
      <c r="FWQ17" s="11"/>
      <c r="FWR17" s="11"/>
      <c r="FWS17" s="11"/>
      <c r="FWT17" s="11"/>
      <c r="FWU17" s="11"/>
      <c r="FWV17" s="11"/>
      <c r="FWW17" s="11"/>
      <c r="FWX17" s="11"/>
      <c r="FWY17" s="11"/>
      <c r="FWZ17" s="11"/>
      <c r="FXA17" s="11"/>
      <c r="FXB17" s="11"/>
      <c r="FXC17" s="11"/>
      <c r="FXD17" s="11"/>
      <c r="FXE17" s="11"/>
      <c r="FXF17" s="11"/>
      <c r="FXG17" s="11"/>
      <c r="FXH17" s="11"/>
      <c r="FXI17" s="11"/>
      <c r="FXJ17" s="11"/>
      <c r="FXK17" s="11"/>
      <c r="FXL17" s="11"/>
      <c r="FXM17" s="11"/>
      <c r="FXN17" s="11"/>
      <c r="FXO17" s="11"/>
      <c r="FXP17" s="11"/>
      <c r="FXQ17" s="11"/>
      <c r="FXR17" s="11"/>
      <c r="FXS17" s="11"/>
      <c r="FXT17" s="11"/>
      <c r="FXU17" s="11"/>
      <c r="FXV17" s="11"/>
      <c r="FXW17" s="11"/>
      <c r="FXX17" s="11"/>
      <c r="FXY17" s="11"/>
      <c r="FXZ17" s="11"/>
      <c r="FYA17" s="11"/>
      <c r="FYB17" s="11"/>
      <c r="FYC17" s="11"/>
      <c r="FYD17" s="11"/>
      <c r="FYE17" s="11"/>
      <c r="FYF17" s="11"/>
      <c r="FYG17" s="11"/>
      <c r="FYH17" s="11"/>
      <c r="FYI17" s="11"/>
      <c r="FYJ17" s="11"/>
      <c r="FYK17" s="11"/>
      <c r="FYL17" s="11"/>
      <c r="FYM17" s="11"/>
      <c r="FYN17" s="11"/>
      <c r="FYO17" s="11"/>
      <c r="FYP17" s="11"/>
      <c r="FYQ17" s="11"/>
      <c r="FYR17" s="11"/>
      <c r="FYS17" s="11"/>
      <c r="FYT17" s="11"/>
      <c r="FYU17" s="11"/>
      <c r="FYV17" s="11"/>
      <c r="FYW17" s="11"/>
      <c r="FYX17" s="11"/>
      <c r="FYY17" s="11"/>
      <c r="FYZ17" s="11"/>
      <c r="FZA17" s="11"/>
      <c r="FZB17" s="11"/>
      <c r="FZC17" s="11"/>
      <c r="FZD17" s="11"/>
      <c r="FZE17" s="11"/>
      <c r="FZF17" s="11"/>
      <c r="FZG17" s="11"/>
      <c r="FZH17" s="11"/>
      <c r="FZI17" s="11"/>
      <c r="FZJ17" s="11"/>
      <c r="FZK17" s="11"/>
      <c r="FZL17" s="11"/>
      <c r="FZM17" s="11"/>
      <c r="FZN17" s="11"/>
      <c r="FZO17" s="11"/>
      <c r="FZP17" s="11"/>
      <c r="FZQ17" s="11"/>
      <c r="FZR17" s="11"/>
      <c r="FZS17" s="11"/>
      <c r="FZT17" s="11"/>
      <c r="FZU17" s="11"/>
      <c r="FZV17" s="11"/>
      <c r="FZW17" s="11"/>
      <c r="FZX17" s="11"/>
      <c r="FZY17" s="11"/>
      <c r="FZZ17" s="11"/>
      <c r="GAA17" s="11"/>
      <c r="GAB17" s="11"/>
      <c r="GAC17" s="11"/>
      <c r="GAD17" s="11"/>
      <c r="GAE17" s="11"/>
      <c r="GAF17" s="11"/>
      <c r="GAG17" s="11"/>
      <c r="GAH17" s="11"/>
      <c r="GAI17" s="11"/>
      <c r="GAJ17" s="11"/>
      <c r="GAK17" s="11"/>
      <c r="GAL17" s="11"/>
      <c r="GAM17" s="11"/>
      <c r="GAN17" s="11"/>
      <c r="GAO17" s="11"/>
      <c r="GAP17" s="11"/>
      <c r="GAQ17" s="11"/>
      <c r="GAR17" s="11"/>
      <c r="GAS17" s="11"/>
      <c r="GAT17" s="11"/>
      <c r="GAU17" s="11"/>
      <c r="GAV17" s="11"/>
      <c r="GAW17" s="11"/>
      <c r="GAX17" s="11"/>
      <c r="GAY17" s="11"/>
      <c r="GAZ17" s="11"/>
      <c r="GBA17" s="11"/>
      <c r="GBB17" s="11"/>
      <c r="GBC17" s="11"/>
      <c r="GBD17" s="11"/>
      <c r="GBE17" s="11"/>
      <c r="GBF17" s="11"/>
      <c r="GBG17" s="11"/>
      <c r="GBH17" s="11"/>
      <c r="GBI17" s="11"/>
      <c r="GBJ17" s="11"/>
      <c r="GBK17" s="11"/>
      <c r="GBL17" s="11"/>
      <c r="GBM17" s="11"/>
      <c r="GBN17" s="11"/>
      <c r="GBO17" s="11"/>
      <c r="GBP17" s="11"/>
      <c r="GBQ17" s="11"/>
      <c r="GBR17" s="11"/>
      <c r="GBS17" s="11"/>
      <c r="GBT17" s="11"/>
      <c r="GBU17" s="11"/>
      <c r="GBV17" s="11"/>
      <c r="GBW17" s="11"/>
      <c r="GBX17" s="11"/>
      <c r="GBY17" s="11"/>
      <c r="GBZ17" s="11"/>
      <c r="GCA17" s="11"/>
      <c r="GCB17" s="11"/>
      <c r="GCC17" s="11"/>
      <c r="GCD17" s="11"/>
      <c r="GCE17" s="11"/>
      <c r="GCF17" s="11"/>
      <c r="GCG17" s="11"/>
      <c r="GCH17" s="11"/>
      <c r="GCI17" s="11"/>
      <c r="GCJ17" s="11"/>
      <c r="GCK17" s="11"/>
      <c r="GCL17" s="11"/>
      <c r="GCM17" s="11"/>
      <c r="GCN17" s="11"/>
      <c r="GCO17" s="11"/>
      <c r="GCP17" s="11"/>
      <c r="GCQ17" s="11"/>
      <c r="GCR17" s="11"/>
      <c r="GCS17" s="11"/>
      <c r="GCT17" s="11"/>
      <c r="GCU17" s="11"/>
      <c r="GCV17" s="11"/>
      <c r="GCW17" s="11"/>
      <c r="GCX17" s="11"/>
      <c r="GCY17" s="11"/>
      <c r="GCZ17" s="11"/>
      <c r="GDA17" s="11"/>
      <c r="GDB17" s="11"/>
      <c r="GDC17" s="11"/>
      <c r="GDD17" s="11"/>
      <c r="GDE17" s="11"/>
      <c r="GDF17" s="11"/>
      <c r="GDG17" s="11"/>
      <c r="GDH17" s="11"/>
      <c r="GDI17" s="11"/>
      <c r="GDJ17" s="11"/>
      <c r="GDK17" s="11"/>
      <c r="GDL17" s="11"/>
      <c r="GDM17" s="11"/>
      <c r="GDN17" s="11"/>
      <c r="GDO17" s="11"/>
      <c r="GDP17" s="11"/>
      <c r="GDQ17" s="11"/>
      <c r="GDR17" s="11"/>
      <c r="GDS17" s="11"/>
      <c r="GDT17" s="11"/>
      <c r="GDU17" s="11"/>
      <c r="GDV17" s="11"/>
      <c r="GDW17" s="11"/>
      <c r="GDX17" s="11"/>
      <c r="GDY17" s="11"/>
      <c r="GDZ17" s="11"/>
      <c r="GEA17" s="11"/>
      <c r="GEB17" s="11"/>
      <c r="GEC17" s="11"/>
      <c r="GED17" s="11"/>
      <c r="GEE17" s="11"/>
      <c r="GEF17" s="11"/>
      <c r="GEG17" s="11"/>
      <c r="GEH17" s="11"/>
      <c r="GEI17" s="11"/>
      <c r="GEJ17" s="11"/>
      <c r="GEK17" s="11"/>
      <c r="GEL17" s="11"/>
      <c r="GEM17" s="11"/>
      <c r="GEN17" s="11"/>
      <c r="GEO17" s="11"/>
      <c r="GEP17" s="11"/>
      <c r="GEQ17" s="11"/>
      <c r="GER17" s="11"/>
      <c r="GES17" s="11"/>
      <c r="GET17" s="11"/>
      <c r="GEU17" s="11"/>
      <c r="GEV17" s="11"/>
      <c r="GEW17" s="11"/>
      <c r="GEX17" s="11"/>
      <c r="GEY17" s="11"/>
      <c r="GEZ17" s="11"/>
      <c r="GFA17" s="11"/>
      <c r="GFB17" s="11"/>
      <c r="GFC17" s="11"/>
      <c r="GFD17" s="11"/>
      <c r="GFE17" s="11"/>
      <c r="GFF17" s="11"/>
      <c r="GFG17" s="11"/>
      <c r="GFH17" s="11"/>
      <c r="GFI17" s="11"/>
      <c r="GFJ17" s="11"/>
      <c r="GFK17" s="11"/>
      <c r="GFL17" s="11"/>
      <c r="GFM17" s="11"/>
      <c r="GFN17" s="11"/>
      <c r="GFO17" s="11"/>
      <c r="GFP17" s="11"/>
      <c r="GFQ17" s="11"/>
      <c r="GFR17" s="11"/>
      <c r="GFS17" s="11"/>
      <c r="GFT17" s="11"/>
      <c r="GFU17" s="11"/>
      <c r="GFV17" s="11"/>
      <c r="GFW17" s="11"/>
      <c r="GFX17" s="11"/>
      <c r="GFY17" s="11"/>
      <c r="GFZ17" s="11"/>
      <c r="GGA17" s="11"/>
      <c r="GGB17" s="11"/>
      <c r="GGC17" s="11"/>
      <c r="GGD17" s="11"/>
      <c r="GGE17" s="11"/>
      <c r="GGF17" s="11"/>
      <c r="GGG17" s="11"/>
      <c r="GGH17" s="11"/>
      <c r="GGI17" s="11"/>
      <c r="GGJ17" s="11"/>
      <c r="GGK17" s="11"/>
      <c r="GGL17" s="11"/>
      <c r="GGM17" s="11"/>
      <c r="GGN17" s="11"/>
      <c r="GGO17" s="11"/>
      <c r="GGP17" s="11"/>
      <c r="GGQ17" s="11"/>
      <c r="GGR17" s="11"/>
      <c r="GGS17" s="11"/>
      <c r="GGT17" s="11"/>
      <c r="GGU17" s="11"/>
      <c r="GGV17" s="11"/>
      <c r="GGW17" s="11"/>
      <c r="GGX17" s="11"/>
      <c r="GGY17" s="11"/>
      <c r="GGZ17" s="11"/>
      <c r="GHA17" s="11"/>
      <c r="GHB17" s="11"/>
      <c r="GHC17" s="11"/>
      <c r="GHD17" s="11"/>
      <c r="GHE17" s="11"/>
      <c r="GHF17" s="11"/>
      <c r="GHG17" s="11"/>
      <c r="GHH17" s="11"/>
      <c r="GHI17" s="11"/>
      <c r="GHJ17" s="11"/>
      <c r="GHK17" s="11"/>
      <c r="GHL17" s="11"/>
      <c r="GHM17" s="11"/>
      <c r="GHN17" s="11"/>
      <c r="GHO17" s="11"/>
      <c r="GHP17" s="11"/>
      <c r="GHQ17" s="11"/>
      <c r="GHR17" s="11"/>
      <c r="GHS17" s="11"/>
      <c r="GHT17" s="11"/>
      <c r="GHU17" s="11"/>
      <c r="GHV17" s="11"/>
      <c r="GHW17" s="11"/>
      <c r="GHX17" s="11"/>
      <c r="GHY17" s="11"/>
      <c r="GHZ17" s="11"/>
      <c r="GIA17" s="11"/>
      <c r="GIB17" s="11"/>
      <c r="GIC17" s="11"/>
      <c r="GID17" s="11"/>
      <c r="GIE17" s="11"/>
      <c r="GIF17" s="11"/>
      <c r="GIG17" s="11"/>
      <c r="GIH17" s="11"/>
      <c r="GII17" s="11"/>
      <c r="GIJ17" s="11"/>
      <c r="GIK17" s="11"/>
      <c r="GIL17" s="11"/>
      <c r="GIM17" s="11"/>
      <c r="GIN17" s="11"/>
      <c r="GIO17" s="11"/>
      <c r="GIP17" s="11"/>
      <c r="GIQ17" s="11"/>
      <c r="GIR17" s="11"/>
      <c r="GIS17" s="11"/>
      <c r="GIT17" s="11"/>
      <c r="GIU17" s="11"/>
      <c r="GIV17" s="11"/>
      <c r="GIW17" s="11"/>
      <c r="GIX17" s="11"/>
      <c r="GIY17" s="11"/>
      <c r="GIZ17" s="11"/>
      <c r="GJA17" s="11"/>
      <c r="GJB17" s="11"/>
      <c r="GJC17" s="11"/>
      <c r="GJD17" s="11"/>
      <c r="GJE17" s="11"/>
      <c r="GJF17" s="11"/>
      <c r="GJG17" s="11"/>
      <c r="GJH17" s="11"/>
      <c r="GJI17" s="11"/>
      <c r="GJJ17" s="11"/>
      <c r="GJK17" s="11"/>
      <c r="GJL17" s="11"/>
      <c r="GJM17" s="11"/>
      <c r="GJN17" s="11"/>
      <c r="GJO17" s="11"/>
      <c r="GJP17" s="11"/>
      <c r="GJQ17" s="11"/>
      <c r="GJR17" s="11"/>
      <c r="GJS17" s="11"/>
      <c r="GJT17" s="11"/>
      <c r="GJU17" s="11"/>
      <c r="GJV17" s="11"/>
      <c r="GJW17" s="11"/>
      <c r="GJX17" s="11"/>
      <c r="GJY17" s="11"/>
      <c r="GJZ17" s="11"/>
      <c r="GKA17" s="11"/>
      <c r="GKB17" s="11"/>
      <c r="GKC17" s="11"/>
      <c r="GKD17" s="11"/>
      <c r="GKE17" s="11"/>
      <c r="GKF17" s="11"/>
      <c r="GKG17" s="11"/>
      <c r="GKH17" s="11"/>
      <c r="GKI17" s="11"/>
      <c r="GKJ17" s="11"/>
      <c r="GKK17" s="11"/>
      <c r="GKL17" s="11"/>
      <c r="GKM17" s="11"/>
      <c r="GKN17" s="11"/>
      <c r="GKO17" s="11"/>
      <c r="GKP17" s="11"/>
      <c r="GKQ17" s="11"/>
      <c r="GKR17" s="11"/>
      <c r="GKS17" s="11"/>
      <c r="GKT17" s="11"/>
      <c r="GKU17" s="11"/>
      <c r="GKV17" s="11"/>
      <c r="GKW17" s="11"/>
      <c r="GKX17" s="11"/>
      <c r="GKY17" s="11"/>
      <c r="GKZ17" s="11"/>
      <c r="GLA17" s="11"/>
      <c r="GLB17" s="11"/>
      <c r="GLC17" s="11"/>
      <c r="GLD17" s="11"/>
      <c r="GLE17" s="11"/>
      <c r="GLF17" s="11"/>
      <c r="GLG17" s="11"/>
      <c r="GLH17" s="11"/>
      <c r="GLI17" s="11"/>
      <c r="GLJ17" s="11"/>
      <c r="GLK17" s="11"/>
      <c r="GLL17" s="11"/>
      <c r="GLM17" s="11"/>
      <c r="GLN17" s="11"/>
      <c r="GLO17" s="11"/>
      <c r="GLP17" s="11"/>
      <c r="GLQ17" s="11"/>
      <c r="GLR17" s="11"/>
      <c r="GLS17" s="11"/>
      <c r="GLT17" s="11"/>
      <c r="GLU17" s="11"/>
      <c r="GLV17" s="11"/>
      <c r="GLW17" s="11"/>
      <c r="GLX17" s="11"/>
      <c r="GLY17" s="11"/>
      <c r="GLZ17" s="11"/>
      <c r="GMA17" s="11"/>
      <c r="GMB17" s="11"/>
      <c r="GMC17" s="11"/>
      <c r="GMD17" s="11"/>
      <c r="GME17" s="11"/>
      <c r="GMF17" s="11"/>
      <c r="GMG17" s="11"/>
      <c r="GMH17" s="11"/>
      <c r="GMI17" s="11"/>
      <c r="GMJ17" s="11"/>
      <c r="GMK17" s="11"/>
      <c r="GML17" s="11"/>
      <c r="GMM17" s="11"/>
      <c r="GMN17" s="11"/>
      <c r="GMO17" s="11"/>
      <c r="GMP17" s="11"/>
      <c r="GMQ17" s="11"/>
      <c r="GMR17" s="11"/>
      <c r="GMS17" s="11"/>
      <c r="GMT17" s="11"/>
      <c r="GMU17" s="11"/>
      <c r="GMV17" s="11"/>
      <c r="GMW17" s="11"/>
      <c r="GMX17" s="11"/>
      <c r="GMY17" s="11"/>
      <c r="GMZ17" s="11"/>
      <c r="GNA17" s="11"/>
      <c r="GNB17" s="11"/>
      <c r="GNC17" s="11"/>
      <c r="GND17" s="11"/>
      <c r="GNE17" s="11"/>
      <c r="GNF17" s="11"/>
      <c r="GNG17" s="11"/>
      <c r="GNH17" s="11"/>
      <c r="GNI17" s="11"/>
      <c r="GNJ17" s="11"/>
      <c r="GNK17" s="11"/>
      <c r="GNL17" s="11"/>
      <c r="GNM17" s="11"/>
      <c r="GNN17" s="11"/>
      <c r="GNO17" s="11"/>
      <c r="GNP17" s="11"/>
      <c r="GNQ17" s="11"/>
      <c r="GNR17" s="11"/>
      <c r="GNS17" s="11"/>
      <c r="GNT17" s="11"/>
      <c r="GNU17" s="11"/>
      <c r="GNV17" s="11"/>
      <c r="GNW17" s="11"/>
      <c r="GNX17" s="11"/>
      <c r="GNY17" s="11"/>
      <c r="GNZ17" s="11"/>
      <c r="GOA17" s="11"/>
      <c r="GOB17" s="11"/>
      <c r="GOC17" s="11"/>
      <c r="GOD17" s="11"/>
      <c r="GOE17" s="11"/>
      <c r="GOF17" s="11"/>
      <c r="GOG17" s="11"/>
      <c r="GOH17" s="11"/>
      <c r="GOI17" s="11"/>
      <c r="GOJ17" s="11"/>
      <c r="GOK17" s="11"/>
      <c r="GOL17" s="11"/>
      <c r="GOM17" s="11"/>
      <c r="GON17" s="11"/>
      <c r="GOO17" s="11"/>
      <c r="GOP17" s="11"/>
      <c r="GOQ17" s="11"/>
      <c r="GOR17" s="11"/>
      <c r="GOS17" s="11"/>
      <c r="GOT17" s="11"/>
      <c r="GOU17" s="11"/>
      <c r="GOV17" s="11"/>
      <c r="GOW17" s="11"/>
      <c r="GOX17" s="11"/>
      <c r="GOY17" s="11"/>
      <c r="GOZ17" s="11"/>
      <c r="GPA17" s="11"/>
      <c r="GPB17" s="11"/>
      <c r="GPC17" s="11"/>
      <c r="GPD17" s="11"/>
      <c r="GPE17" s="11"/>
      <c r="GPF17" s="11"/>
      <c r="GPG17" s="11"/>
      <c r="GPH17" s="11"/>
      <c r="GPI17" s="11"/>
      <c r="GPJ17" s="11"/>
      <c r="GPK17" s="11"/>
      <c r="GPL17" s="11"/>
      <c r="GPM17" s="11"/>
      <c r="GPN17" s="11"/>
      <c r="GPO17" s="11"/>
      <c r="GPP17" s="11"/>
      <c r="GPQ17" s="11"/>
      <c r="GPR17" s="11"/>
      <c r="GPS17" s="11"/>
      <c r="GPT17" s="11"/>
      <c r="GPU17" s="11"/>
      <c r="GPV17" s="11"/>
      <c r="GPW17" s="11"/>
      <c r="GPX17" s="11"/>
      <c r="GPY17" s="11"/>
      <c r="GPZ17" s="11"/>
      <c r="GQA17" s="11"/>
      <c r="GQB17" s="11"/>
      <c r="GQC17" s="11"/>
      <c r="GQD17" s="11"/>
      <c r="GQE17" s="11"/>
      <c r="GQF17" s="11"/>
      <c r="GQG17" s="11"/>
      <c r="GQH17" s="11"/>
      <c r="GQI17" s="11"/>
      <c r="GQJ17" s="11"/>
      <c r="GQK17" s="11"/>
      <c r="GQL17" s="11"/>
      <c r="GQM17" s="11"/>
      <c r="GQN17" s="11"/>
      <c r="GQO17" s="11"/>
      <c r="GQP17" s="11"/>
      <c r="GQQ17" s="11"/>
      <c r="GQR17" s="11"/>
      <c r="GQS17" s="11"/>
      <c r="GQT17" s="11"/>
      <c r="GQU17" s="11"/>
      <c r="GQV17" s="11"/>
      <c r="GQW17" s="11"/>
      <c r="GQX17" s="11"/>
      <c r="GQY17" s="11"/>
      <c r="GQZ17" s="11"/>
      <c r="GRA17" s="11"/>
      <c r="GRB17" s="11"/>
      <c r="GRC17" s="11"/>
      <c r="GRD17" s="11"/>
      <c r="GRE17" s="11"/>
      <c r="GRF17" s="11"/>
      <c r="GRG17" s="11"/>
      <c r="GRH17" s="11"/>
      <c r="GRI17" s="11"/>
      <c r="GRJ17" s="11"/>
      <c r="GRK17" s="11"/>
      <c r="GRL17" s="11"/>
      <c r="GRM17" s="11"/>
      <c r="GRN17" s="11"/>
      <c r="GRO17" s="11"/>
      <c r="GRP17" s="11"/>
      <c r="GRQ17" s="11"/>
      <c r="GRR17" s="11"/>
      <c r="GRS17" s="11"/>
      <c r="GRT17" s="11"/>
      <c r="GRU17" s="11"/>
      <c r="GRV17" s="11"/>
      <c r="GRW17" s="11"/>
      <c r="GRX17" s="11"/>
      <c r="GRY17" s="11"/>
      <c r="GRZ17" s="11"/>
      <c r="GSA17" s="11"/>
      <c r="GSB17" s="11"/>
      <c r="GSC17" s="11"/>
      <c r="GSD17" s="11"/>
      <c r="GSE17" s="11"/>
      <c r="GSF17" s="11"/>
      <c r="GSG17" s="11"/>
      <c r="GSH17" s="11"/>
      <c r="GSI17" s="11"/>
      <c r="GSJ17" s="11"/>
      <c r="GSK17" s="11"/>
      <c r="GSL17" s="11"/>
      <c r="GSM17" s="11"/>
      <c r="GSN17" s="11"/>
      <c r="GSO17" s="11"/>
      <c r="GSP17" s="11"/>
      <c r="GSQ17" s="11"/>
      <c r="GSR17" s="11"/>
      <c r="GSS17" s="11"/>
      <c r="GST17" s="11"/>
      <c r="GSU17" s="11"/>
      <c r="GSV17" s="11"/>
      <c r="GSW17" s="11"/>
      <c r="GSX17" s="11"/>
      <c r="GSY17" s="11"/>
      <c r="GSZ17" s="11"/>
      <c r="GTA17" s="11"/>
      <c r="GTB17" s="11"/>
      <c r="GTC17" s="11"/>
      <c r="GTD17" s="11"/>
      <c r="GTE17" s="11"/>
      <c r="GTF17" s="11"/>
      <c r="GTG17" s="11"/>
      <c r="GTH17" s="11"/>
      <c r="GTI17" s="11"/>
      <c r="GTJ17" s="11"/>
      <c r="GTK17" s="11"/>
      <c r="GTL17" s="11"/>
      <c r="GTM17" s="11"/>
      <c r="GTN17" s="11"/>
      <c r="GTO17" s="11"/>
      <c r="GTP17" s="11"/>
      <c r="GTQ17" s="11"/>
      <c r="GTR17" s="11"/>
      <c r="GTS17" s="11"/>
      <c r="GTT17" s="11"/>
      <c r="GTU17" s="11"/>
      <c r="GTV17" s="11"/>
      <c r="GTW17" s="11"/>
      <c r="GTX17" s="11"/>
      <c r="GTY17" s="11"/>
      <c r="GTZ17" s="11"/>
      <c r="GUA17" s="11"/>
      <c r="GUB17" s="11"/>
      <c r="GUC17" s="11"/>
      <c r="GUD17" s="11"/>
      <c r="GUE17" s="11"/>
      <c r="GUF17" s="11"/>
      <c r="GUG17" s="11"/>
      <c r="GUH17" s="11"/>
      <c r="GUI17" s="11"/>
      <c r="GUJ17" s="11"/>
      <c r="GUK17" s="11"/>
      <c r="GUL17" s="11"/>
      <c r="GUM17" s="11"/>
      <c r="GUN17" s="11"/>
      <c r="GUO17" s="11"/>
      <c r="GUP17" s="11"/>
      <c r="GUQ17" s="11"/>
      <c r="GUR17" s="11"/>
      <c r="GUS17" s="11"/>
      <c r="GUT17" s="11"/>
      <c r="GUU17" s="11"/>
      <c r="GUV17" s="11"/>
      <c r="GUW17" s="11"/>
      <c r="GUX17" s="11"/>
      <c r="GUY17" s="11"/>
      <c r="GUZ17" s="11"/>
      <c r="GVA17" s="11"/>
      <c r="GVB17" s="11"/>
      <c r="GVC17" s="11"/>
      <c r="GVD17" s="11"/>
      <c r="GVE17" s="11"/>
      <c r="GVF17" s="11"/>
      <c r="GVG17" s="11"/>
      <c r="GVH17" s="11"/>
      <c r="GVI17" s="11"/>
      <c r="GVJ17" s="11"/>
      <c r="GVK17" s="11"/>
      <c r="GVL17" s="11"/>
      <c r="GVM17" s="11"/>
      <c r="GVN17" s="11"/>
      <c r="GVO17" s="11"/>
      <c r="GVP17" s="11"/>
      <c r="GVQ17" s="11"/>
      <c r="GVR17" s="11"/>
      <c r="GVS17" s="11"/>
      <c r="GVT17" s="11"/>
      <c r="GVU17" s="11"/>
      <c r="GVV17" s="11"/>
      <c r="GVW17" s="11"/>
      <c r="GVX17" s="11"/>
      <c r="GVY17" s="11"/>
      <c r="GVZ17" s="11"/>
      <c r="GWA17" s="11"/>
      <c r="GWB17" s="11"/>
      <c r="GWC17" s="11"/>
      <c r="GWD17" s="11"/>
      <c r="GWE17" s="11"/>
      <c r="GWF17" s="11"/>
      <c r="GWG17" s="11"/>
      <c r="GWH17" s="11"/>
      <c r="GWI17" s="11"/>
      <c r="GWJ17" s="11"/>
      <c r="GWK17" s="11"/>
      <c r="GWL17" s="11"/>
      <c r="GWM17" s="11"/>
      <c r="GWN17" s="11"/>
      <c r="GWO17" s="11"/>
      <c r="GWP17" s="11"/>
      <c r="GWQ17" s="11"/>
      <c r="GWR17" s="11"/>
      <c r="GWS17" s="11"/>
      <c r="GWT17" s="11"/>
      <c r="GWU17" s="11"/>
      <c r="GWV17" s="11"/>
      <c r="GWW17" s="11"/>
      <c r="GWX17" s="11"/>
      <c r="GWY17" s="11"/>
      <c r="GWZ17" s="11"/>
      <c r="GXA17" s="11"/>
      <c r="GXB17" s="11"/>
      <c r="GXC17" s="11"/>
      <c r="GXD17" s="11"/>
      <c r="GXE17" s="11"/>
      <c r="GXF17" s="11"/>
      <c r="GXG17" s="11"/>
      <c r="GXH17" s="11"/>
      <c r="GXI17" s="11"/>
      <c r="GXJ17" s="11"/>
      <c r="GXK17" s="11"/>
      <c r="GXL17" s="11"/>
      <c r="GXM17" s="11"/>
      <c r="GXN17" s="11"/>
      <c r="GXO17" s="11"/>
      <c r="GXP17" s="11"/>
      <c r="GXQ17" s="11"/>
      <c r="GXR17" s="11"/>
      <c r="GXS17" s="11"/>
      <c r="GXT17" s="11"/>
      <c r="GXU17" s="11"/>
      <c r="GXV17" s="11"/>
      <c r="GXW17" s="11"/>
      <c r="GXX17" s="11"/>
      <c r="GXY17" s="11"/>
      <c r="GXZ17" s="11"/>
      <c r="GYA17" s="11"/>
      <c r="GYB17" s="11"/>
      <c r="GYC17" s="11"/>
      <c r="GYD17" s="11"/>
      <c r="GYE17" s="11"/>
      <c r="GYF17" s="11"/>
      <c r="GYG17" s="11"/>
      <c r="GYH17" s="11"/>
      <c r="GYI17" s="11"/>
      <c r="GYJ17" s="11"/>
      <c r="GYK17" s="11"/>
      <c r="GYL17" s="11"/>
      <c r="GYM17" s="11"/>
      <c r="GYN17" s="11"/>
      <c r="GYO17" s="11"/>
      <c r="GYP17" s="11"/>
      <c r="GYQ17" s="11"/>
      <c r="GYR17" s="11"/>
      <c r="GYS17" s="11"/>
      <c r="GYT17" s="11"/>
      <c r="GYU17" s="11"/>
      <c r="GYV17" s="11"/>
      <c r="GYW17" s="11"/>
      <c r="GYX17" s="11"/>
      <c r="GYY17" s="11"/>
      <c r="GYZ17" s="11"/>
      <c r="GZA17" s="11"/>
      <c r="GZB17" s="11"/>
      <c r="GZC17" s="11"/>
      <c r="GZD17" s="11"/>
      <c r="GZE17" s="11"/>
      <c r="GZF17" s="11"/>
      <c r="GZG17" s="11"/>
      <c r="GZH17" s="11"/>
      <c r="GZI17" s="11"/>
      <c r="GZJ17" s="11"/>
      <c r="GZK17" s="11"/>
      <c r="GZL17" s="11"/>
      <c r="GZM17" s="11"/>
      <c r="GZN17" s="11"/>
      <c r="GZO17" s="11"/>
      <c r="GZP17" s="11"/>
      <c r="GZQ17" s="11"/>
      <c r="GZR17" s="11"/>
      <c r="GZS17" s="11"/>
      <c r="GZT17" s="11"/>
      <c r="GZU17" s="11"/>
      <c r="GZV17" s="11"/>
      <c r="GZW17" s="11"/>
      <c r="GZX17" s="11"/>
      <c r="GZY17" s="11"/>
      <c r="GZZ17" s="11"/>
      <c r="HAA17" s="11"/>
      <c r="HAB17" s="11"/>
      <c r="HAC17" s="11"/>
      <c r="HAD17" s="11"/>
      <c r="HAE17" s="11"/>
      <c r="HAF17" s="11"/>
      <c r="HAG17" s="11"/>
      <c r="HAH17" s="11"/>
      <c r="HAI17" s="11"/>
      <c r="HAJ17" s="11"/>
      <c r="HAK17" s="11"/>
      <c r="HAL17" s="11"/>
      <c r="HAM17" s="11"/>
      <c r="HAN17" s="11"/>
      <c r="HAO17" s="11"/>
      <c r="HAP17" s="11"/>
      <c r="HAQ17" s="11"/>
      <c r="HAR17" s="11"/>
      <c r="HAS17" s="11"/>
      <c r="HAT17" s="11"/>
      <c r="HAU17" s="11"/>
      <c r="HAV17" s="11"/>
      <c r="HAW17" s="11"/>
      <c r="HAX17" s="11"/>
      <c r="HAY17" s="11"/>
      <c r="HAZ17" s="11"/>
      <c r="HBA17" s="11"/>
      <c r="HBB17" s="11"/>
      <c r="HBC17" s="11"/>
      <c r="HBD17" s="11"/>
      <c r="HBE17" s="11"/>
      <c r="HBF17" s="11"/>
      <c r="HBG17" s="11"/>
      <c r="HBH17" s="11"/>
      <c r="HBI17" s="11"/>
      <c r="HBJ17" s="11"/>
      <c r="HBK17" s="11"/>
      <c r="HBL17" s="11"/>
      <c r="HBM17" s="11"/>
      <c r="HBN17" s="11"/>
      <c r="HBO17" s="11"/>
      <c r="HBP17" s="11"/>
      <c r="HBQ17" s="11"/>
      <c r="HBR17" s="11"/>
      <c r="HBS17" s="11"/>
      <c r="HBT17" s="11"/>
      <c r="HBU17" s="11"/>
      <c r="HBV17" s="11"/>
      <c r="HBW17" s="11"/>
      <c r="HBX17" s="11"/>
      <c r="HBY17" s="11"/>
      <c r="HBZ17" s="11"/>
      <c r="HCA17" s="11"/>
      <c r="HCB17" s="11"/>
      <c r="HCC17" s="11"/>
      <c r="HCD17" s="11"/>
      <c r="HCE17" s="11"/>
      <c r="HCF17" s="11"/>
      <c r="HCG17" s="11"/>
      <c r="HCH17" s="11"/>
      <c r="HCI17" s="11"/>
      <c r="HCJ17" s="11"/>
      <c r="HCK17" s="11"/>
      <c r="HCL17" s="11"/>
      <c r="HCM17" s="11"/>
      <c r="HCN17" s="11"/>
      <c r="HCO17" s="11"/>
      <c r="HCP17" s="11"/>
      <c r="HCQ17" s="11"/>
      <c r="HCR17" s="11"/>
      <c r="HCS17" s="11"/>
      <c r="HCT17" s="11"/>
      <c r="HCU17" s="11"/>
      <c r="HCV17" s="11"/>
      <c r="HCW17" s="11"/>
      <c r="HCX17" s="11"/>
      <c r="HCY17" s="11"/>
      <c r="HCZ17" s="11"/>
      <c r="HDA17" s="11"/>
      <c r="HDB17" s="11"/>
      <c r="HDC17" s="11"/>
      <c r="HDD17" s="11"/>
      <c r="HDE17" s="11"/>
      <c r="HDF17" s="11"/>
      <c r="HDG17" s="11"/>
      <c r="HDH17" s="11"/>
      <c r="HDI17" s="11"/>
      <c r="HDJ17" s="11"/>
      <c r="HDK17" s="11"/>
      <c r="HDL17" s="11"/>
      <c r="HDM17" s="11"/>
      <c r="HDN17" s="11"/>
      <c r="HDO17" s="11"/>
      <c r="HDP17" s="11"/>
      <c r="HDQ17" s="11"/>
      <c r="HDR17" s="11"/>
      <c r="HDS17" s="11"/>
      <c r="HDT17" s="11"/>
      <c r="HDU17" s="11"/>
      <c r="HDV17" s="11"/>
      <c r="HDW17" s="11"/>
      <c r="HDX17" s="11"/>
      <c r="HDY17" s="11"/>
      <c r="HDZ17" s="11"/>
      <c r="HEA17" s="11"/>
      <c r="HEB17" s="11"/>
      <c r="HEC17" s="11"/>
      <c r="HED17" s="11"/>
      <c r="HEE17" s="11"/>
      <c r="HEF17" s="11"/>
      <c r="HEG17" s="11"/>
      <c r="HEH17" s="11"/>
      <c r="HEI17" s="11"/>
      <c r="HEJ17" s="11"/>
      <c r="HEK17" s="11"/>
      <c r="HEL17" s="11"/>
      <c r="HEM17" s="11"/>
      <c r="HEN17" s="11"/>
      <c r="HEO17" s="11"/>
      <c r="HEP17" s="11"/>
      <c r="HEQ17" s="11"/>
      <c r="HER17" s="11"/>
      <c r="HES17" s="11"/>
      <c r="HET17" s="11"/>
      <c r="HEU17" s="11"/>
      <c r="HEV17" s="11"/>
      <c r="HEW17" s="11"/>
      <c r="HEX17" s="11"/>
      <c r="HEY17" s="11"/>
      <c r="HEZ17" s="11"/>
      <c r="HFA17" s="11"/>
      <c r="HFB17" s="11"/>
      <c r="HFC17" s="11"/>
      <c r="HFD17" s="11"/>
      <c r="HFE17" s="11"/>
      <c r="HFF17" s="11"/>
      <c r="HFG17" s="11"/>
      <c r="HFH17" s="11"/>
      <c r="HFI17" s="11"/>
      <c r="HFJ17" s="11"/>
      <c r="HFK17" s="11"/>
      <c r="HFL17" s="11"/>
      <c r="HFM17" s="11"/>
      <c r="HFN17" s="11"/>
      <c r="HFO17" s="11"/>
      <c r="HFP17" s="11"/>
      <c r="HFQ17" s="11"/>
      <c r="HFR17" s="11"/>
      <c r="HFS17" s="11"/>
      <c r="HFT17" s="11"/>
      <c r="HFU17" s="11"/>
      <c r="HFV17" s="11"/>
      <c r="HFW17" s="11"/>
      <c r="HFX17" s="11"/>
      <c r="HFY17" s="11"/>
      <c r="HFZ17" s="11"/>
      <c r="HGA17" s="11"/>
      <c r="HGB17" s="11"/>
      <c r="HGC17" s="11"/>
      <c r="HGD17" s="11"/>
      <c r="HGE17" s="11"/>
      <c r="HGF17" s="11"/>
      <c r="HGG17" s="11"/>
      <c r="HGH17" s="11"/>
      <c r="HGI17" s="11"/>
      <c r="HGJ17" s="11"/>
      <c r="HGK17" s="11"/>
      <c r="HGL17" s="11"/>
      <c r="HGM17" s="11"/>
      <c r="HGN17" s="11"/>
      <c r="HGO17" s="11"/>
      <c r="HGP17" s="11"/>
      <c r="HGQ17" s="11"/>
      <c r="HGR17" s="11"/>
      <c r="HGS17" s="11"/>
      <c r="HGT17" s="11"/>
      <c r="HGU17" s="11"/>
      <c r="HGV17" s="11"/>
      <c r="HGW17" s="11"/>
      <c r="HGX17" s="11"/>
      <c r="HGY17" s="11"/>
      <c r="HGZ17" s="11"/>
      <c r="HHA17" s="11"/>
      <c r="HHB17" s="11"/>
      <c r="HHC17" s="11"/>
      <c r="HHD17" s="11"/>
      <c r="HHE17" s="11"/>
      <c r="HHF17" s="11"/>
      <c r="HHG17" s="11"/>
      <c r="HHH17" s="11"/>
      <c r="HHI17" s="11"/>
      <c r="HHJ17" s="11"/>
      <c r="HHK17" s="11"/>
      <c r="HHL17" s="11"/>
      <c r="HHM17" s="11"/>
      <c r="HHN17" s="11"/>
      <c r="HHO17" s="11"/>
      <c r="HHP17" s="11"/>
      <c r="HHQ17" s="11"/>
      <c r="HHR17" s="11"/>
      <c r="HHS17" s="11"/>
      <c r="HHT17" s="11"/>
      <c r="HHU17" s="11"/>
      <c r="HHV17" s="11"/>
      <c r="HHW17" s="11"/>
      <c r="HHX17" s="11"/>
      <c r="HHY17" s="11"/>
      <c r="HHZ17" s="11"/>
      <c r="HIA17" s="11"/>
      <c r="HIB17" s="11"/>
      <c r="HIC17" s="11"/>
      <c r="HID17" s="11"/>
      <c r="HIE17" s="11"/>
      <c r="HIF17" s="11"/>
      <c r="HIG17" s="11"/>
      <c r="HIH17" s="11"/>
      <c r="HII17" s="11"/>
      <c r="HIJ17" s="11"/>
      <c r="HIK17" s="11"/>
      <c r="HIL17" s="11"/>
      <c r="HIM17" s="11"/>
      <c r="HIN17" s="11"/>
      <c r="HIO17" s="11"/>
      <c r="HIP17" s="11"/>
      <c r="HIQ17" s="11"/>
      <c r="HIR17" s="11"/>
      <c r="HIS17" s="11"/>
      <c r="HIT17" s="11"/>
      <c r="HIU17" s="11"/>
      <c r="HIV17" s="11"/>
      <c r="HIW17" s="11"/>
      <c r="HIX17" s="11"/>
      <c r="HIY17" s="11"/>
      <c r="HIZ17" s="11"/>
      <c r="HJA17" s="11"/>
      <c r="HJB17" s="11"/>
      <c r="HJC17" s="11"/>
      <c r="HJD17" s="11"/>
      <c r="HJE17" s="11"/>
      <c r="HJF17" s="11"/>
      <c r="HJG17" s="11"/>
      <c r="HJH17" s="11"/>
      <c r="HJI17" s="11"/>
      <c r="HJJ17" s="11"/>
      <c r="HJK17" s="11"/>
      <c r="HJL17" s="11"/>
      <c r="HJM17" s="11"/>
      <c r="HJN17" s="11"/>
      <c r="HJO17" s="11"/>
      <c r="HJP17" s="11"/>
      <c r="HJQ17" s="11"/>
      <c r="HJR17" s="11"/>
      <c r="HJS17" s="11"/>
      <c r="HJT17" s="11"/>
      <c r="HJU17" s="11"/>
      <c r="HJV17" s="11"/>
      <c r="HJW17" s="11"/>
      <c r="HJX17" s="11"/>
      <c r="HJY17" s="11"/>
      <c r="HJZ17" s="11"/>
      <c r="HKA17" s="11"/>
      <c r="HKB17" s="11"/>
      <c r="HKC17" s="11"/>
      <c r="HKD17" s="11"/>
      <c r="HKE17" s="11"/>
      <c r="HKF17" s="11"/>
      <c r="HKG17" s="11"/>
      <c r="HKH17" s="11"/>
      <c r="HKI17" s="11"/>
      <c r="HKJ17" s="11"/>
      <c r="HKK17" s="11"/>
      <c r="HKL17" s="11"/>
      <c r="HKM17" s="11"/>
      <c r="HKN17" s="11"/>
      <c r="HKO17" s="11"/>
      <c r="HKP17" s="11"/>
      <c r="HKQ17" s="11"/>
      <c r="HKR17" s="11"/>
      <c r="HKS17" s="11"/>
      <c r="HKT17" s="11"/>
      <c r="HKU17" s="11"/>
      <c r="HKV17" s="11"/>
      <c r="HKW17" s="11"/>
      <c r="HKX17" s="11"/>
      <c r="HKY17" s="11"/>
      <c r="HKZ17" s="11"/>
      <c r="HLA17" s="11"/>
      <c r="HLB17" s="11"/>
      <c r="HLC17" s="11"/>
      <c r="HLD17" s="11"/>
      <c r="HLE17" s="11"/>
      <c r="HLF17" s="11"/>
      <c r="HLG17" s="11"/>
      <c r="HLH17" s="11"/>
      <c r="HLI17" s="11"/>
      <c r="HLJ17" s="11"/>
      <c r="HLK17" s="11"/>
      <c r="HLL17" s="11"/>
      <c r="HLM17" s="11"/>
      <c r="HLN17" s="11"/>
      <c r="HLO17" s="11"/>
      <c r="HLP17" s="11"/>
      <c r="HLQ17" s="11"/>
      <c r="HLR17" s="11"/>
      <c r="HLS17" s="11"/>
      <c r="HLT17" s="11"/>
      <c r="HLU17" s="11"/>
      <c r="HLV17" s="11"/>
      <c r="HLW17" s="11"/>
      <c r="HLX17" s="11"/>
      <c r="HLY17" s="11"/>
      <c r="HLZ17" s="11"/>
      <c r="HMA17" s="11"/>
      <c r="HMB17" s="11"/>
      <c r="HMC17" s="11"/>
      <c r="HMD17" s="11"/>
      <c r="HME17" s="11"/>
      <c r="HMF17" s="11"/>
      <c r="HMG17" s="11"/>
      <c r="HMH17" s="11"/>
      <c r="HMI17" s="11"/>
      <c r="HMJ17" s="11"/>
      <c r="HMK17" s="11"/>
      <c r="HML17" s="11"/>
      <c r="HMM17" s="11"/>
      <c r="HMN17" s="11"/>
      <c r="HMO17" s="11"/>
      <c r="HMP17" s="11"/>
      <c r="HMQ17" s="11"/>
      <c r="HMR17" s="11"/>
      <c r="HMS17" s="11"/>
      <c r="HMT17" s="11"/>
      <c r="HMU17" s="11"/>
      <c r="HMV17" s="11"/>
      <c r="HMW17" s="11"/>
      <c r="HMX17" s="11"/>
      <c r="HMY17" s="11"/>
      <c r="HMZ17" s="11"/>
      <c r="HNA17" s="11"/>
      <c r="HNB17" s="11"/>
      <c r="HNC17" s="11"/>
      <c r="HND17" s="11"/>
      <c r="HNE17" s="11"/>
      <c r="HNF17" s="11"/>
      <c r="HNG17" s="11"/>
      <c r="HNH17" s="11"/>
      <c r="HNI17" s="11"/>
      <c r="HNJ17" s="11"/>
      <c r="HNK17" s="11"/>
      <c r="HNL17" s="11"/>
      <c r="HNM17" s="11"/>
      <c r="HNN17" s="11"/>
      <c r="HNO17" s="11"/>
      <c r="HNP17" s="11"/>
      <c r="HNQ17" s="11"/>
      <c r="HNR17" s="11"/>
      <c r="HNS17" s="11"/>
      <c r="HNT17" s="11"/>
      <c r="HNU17" s="11"/>
      <c r="HNV17" s="11"/>
      <c r="HNW17" s="11"/>
      <c r="HNX17" s="11"/>
      <c r="HNY17" s="11"/>
      <c r="HNZ17" s="11"/>
      <c r="HOA17" s="11"/>
      <c r="HOB17" s="11"/>
      <c r="HOC17" s="11"/>
      <c r="HOD17" s="11"/>
      <c r="HOE17" s="11"/>
      <c r="HOF17" s="11"/>
      <c r="HOG17" s="11"/>
      <c r="HOH17" s="11"/>
      <c r="HOI17" s="11"/>
      <c r="HOJ17" s="11"/>
      <c r="HOK17" s="11"/>
      <c r="HOL17" s="11"/>
      <c r="HOM17" s="11"/>
      <c r="HON17" s="11"/>
      <c r="HOO17" s="11"/>
      <c r="HOP17" s="11"/>
      <c r="HOQ17" s="11"/>
      <c r="HOR17" s="11"/>
      <c r="HOS17" s="11"/>
      <c r="HOT17" s="11"/>
      <c r="HOU17" s="11"/>
      <c r="HOV17" s="11"/>
      <c r="HOW17" s="11"/>
      <c r="HOX17" s="11"/>
      <c r="HOY17" s="11"/>
      <c r="HOZ17" s="11"/>
      <c r="HPA17" s="11"/>
      <c r="HPB17" s="11"/>
      <c r="HPC17" s="11"/>
      <c r="HPD17" s="11"/>
      <c r="HPE17" s="11"/>
      <c r="HPF17" s="11"/>
      <c r="HPG17" s="11"/>
      <c r="HPH17" s="11"/>
      <c r="HPI17" s="11"/>
      <c r="HPJ17" s="11"/>
      <c r="HPK17" s="11"/>
      <c r="HPL17" s="11"/>
      <c r="HPM17" s="11"/>
      <c r="HPN17" s="11"/>
      <c r="HPO17" s="11"/>
      <c r="HPP17" s="11"/>
      <c r="HPQ17" s="11"/>
      <c r="HPR17" s="11"/>
      <c r="HPS17" s="11"/>
      <c r="HPT17" s="11"/>
      <c r="HPU17" s="11"/>
      <c r="HPV17" s="11"/>
      <c r="HPW17" s="11"/>
      <c r="HPX17" s="11"/>
      <c r="HPY17" s="11"/>
      <c r="HPZ17" s="11"/>
      <c r="HQA17" s="11"/>
      <c r="HQB17" s="11"/>
      <c r="HQC17" s="11"/>
      <c r="HQD17" s="11"/>
      <c r="HQE17" s="11"/>
      <c r="HQF17" s="11"/>
      <c r="HQG17" s="11"/>
      <c r="HQH17" s="11"/>
      <c r="HQI17" s="11"/>
      <c r="HQJ17" s="11"/>
      <c r="HQK17" s="11"/>
      <c r="HQL17" s="11"/>
      <c r="HQM17" s="11"/>
      <c r="HQN17" s="11"/>
      <c r="HQO17" s="11"/>
      <c r="HQP17" s="11"/>
      <c r="HQQ17" s="11"/>
      <c r="HQR17" s="11"/>
      <c r="HQS17" s="11"/>
      <c r="HQT17" s="11"/>
      <c r="HQU17" s="11"/>
      <c r="HQV17" s="11"/>
      <c r="HQW17" s="11"/>
      <c r="HQX17" s="11"/>
      <c r="HQY17" s="11"/>
      <c r="HQZ17" s="11"/>
      <c r="HRA17" s="11"/>
      <c r="HRB17" s="11"/>
      <c r="HRC17" s="11"/>
      <c r="HRD17" s="11"/>
      <c r="HRE17" s="11"/>
      <c r="HRF17" s="11"/>
      <c r="HRG17" s="11"/>
      <c r="HRH17" s="11"/>
      <c r="HRI17" s="11"/>
      <c r="HRJ17" s="11"/>
      <c r="HRK17" s="11"/>
      <c r="HRL17" s="11"/>
      <c r="HRM17" s="11"/>
      <c r="HRN17" s="11"/>
      <c r="HRO17" s="11"/>
      <c r="HRP17" s="11"/>
      <c r="HRQ17" s="11"/>
      <c r="HRR17" s="11"/>
      <c r="HRS17" s="11"/>
      <c r="HRT17" s="11"/>
      <c r="HRU17" s="11"/>
      <c r="HRV17" s="11"/>
      <c r="HRW17" s="11"/>
      <c r="HRX17" s="11"/>
      <c r="HRY17" s="11"/>
      <c r="HRZ17" s="11"/>
      <c r="HSA17" s="11"/>
      <c r="HSB17" s="11"/>
      <c r="HSC17" s="11"/>
      <c r="HSD17" s="11"/>
      <c r="HSE17" s="11"/>
      <c r="HSF17" s="11"/>
      <c r="HSG17" s="11"/>
      <c r="HSH17" s="11"/>
      <c r="HSI17" s="11"/>
      <c r="HSJ17" s="11"/>
      <c r="HSK17" s="11"/>
      <c r="HSL17" s="11"/>
      <c r="HSM17" s="11"/>
      <c r="HSN17" s="11"/>
      <c r="HSO17" s="11"/>
      <c r="HSP17" s="11"/>
      <c r="HSQ17" s="11"/>
      <c r="HSR17" s="11"/>
      <c r="HSS17" s="11"/>
      <c r="HST17" s="11"/>
      <c r="HSU17" s="11"/>
      <c r="HSV17" s="11"/>
      <c r="HSW17" s="11"/>
      <c r="HSX17" s="11"/>
      <c r="HSY17" s="11"/>
      <c r="HSZ17" s="11"/>
      <c r="HTA17" s="11"/>
      <c r="HTB17" s="11"/>
      <c r="HTC17" s="11"/>
      <c r="HTD17" s="11"/>
      <c r="HTE17" s="11"/>
      <c r="HTF17" s="11"/>
      <c r="HTG17" s="11"/>
      <c r="HTH17" s="11"/>
      <c r="HTI17" s="11"/>
      <c r="HTJ17" s="11"/>
      <c r="HTK17" s="11"/>
      <c r="HTL17" s="11"/>
      <c r="HTM17" s="11"/>
      <c r="HTN17" s="11"/>
      <c r="HTO17" s="11"/>
      <c r="HTP17" s="11"/>
      <c r="HTQ17" s="11"/>
      <c r="HTR17" s="11"/>
      <c r="HTS17" s="11"/>
      <c r="HTT17" s="11"/>
      <c r="HTU17" s="11"/>
      <c r="HTV17" s="11"/>
      <c r="HTW17" s="11"/>
      <c r="HTX17" s="11"/>
      <c r="HTY17" s="11"/>
      <c r="HTZ17" s="11"/>
      <c r="HUA17" s="11"/>
      <c r="HUB17" s="11"/>
      <c r="HUC17" s="11"/>
      <c r="HUD17" s="11"/>
      <c r="HUE17" s="11"/>
      <c r="HUF17" s="11"/>
      <c r="HUG17" s="11"/>
      <c r="HUH17" s="11"/>
      <c r="HUI17" s="11"/>
      <c r="HUJ17" s="11"/>
      <c r="HUK17" s="11"/>
      <c r="HUL17" s="11"/>
      <c r="HUM17" s="11"/>
      <c r="HUN17" s="11"/>
      <c r="HUO17" s="11"/>
      <c r="HUP17" s="11"/>
      <c r="HUQ17" s="11"/>
      <c r="HUR17" s="11"/>
      <c r="HUS17" s="11"/>
      <c r="HUT17" s="11"/>
      <c r="HUU17" s="11"/>
      <c r="HUV17" s="11"/>
      <c r="HUW17" s="11"/>
      <c r="HUX17" s="11"/>
      <c r="HUY17" s="11"/>
      <c r="HUZ17" s="11"/>
      <c r="HVA17" s="11"/>
      <c r="HVB17" s="11"/>
      <c r="HVC17" s="11"/>
      <c r="HVD17" s="11"/>
      <c r="HVE17" s="11"/>
      <c r="HVF17" s="11"/>
      <c r="HVG17" s="11"/>
      <c r="HVH17" s="11"/>
      <c r="HVI17" s="11"/>
      <c r="HVJ17" s="11"/>
      <c r="HVK17" s="11"/>
      <c r="HVL17" s="11"/>
      <c r="HVM17" s="11"/>
      <c r="HVN17" s="11"/>
      <c r="HVO17" s="11"/>
      <c r="HVP17" s="11"/>
      <c r="HVQ17" s="11"/>
      <c r="HVR17" s="11"/>
      <c r="HVS17" s="11"/>
      <c r="HVT17" s="11"/>
      <c r="HVU17" s="11"/>
      <c r="HVV17" s="11"/>
      <c r="HVW17" s="11"/>
      <c r="HVX17" s="11"/>
      <c r="HVY17" s="11"/>
      <c r="HVZ17" s="11"/>
      <c r="HWA17" s="11"/>
      <c r="HWB17" s="11"/>
      <c r="HWC17" s="11"/>
      <c r="HWD17" s="11"/>
      <c r="HWE17" s="11"/>
      <c r="HWF17" s="11"/>
      <c r="HWG17" s="11"/>
      <c r="HWH17" s="11"/>
      <c r="HWI17" s="11"/>
      <c r="HWJ17" s="11"/>
      <c r="HWK17" s="11"/>
      <c r="HWL17" s="11"/>
      <c r="HWM17" s="11"/>
      <c r="HWN17" s="11"/>
      <c r="HWO17" s="11"/>
      <c r="HWP17" s="11"/>
      <c r="HWQ17" s="11"/>
      <c r="HWR17" s="11"/>
      <c r="HWS17" s="11"/>
      <c r="HWT17" s="11"/>
      <c r="HWU17" s="11"/>
      <c r="HWV17" s="11"/>
      <c r="HWW17" s="11"/>
      <c r="HWX17" s="11"/>
      <c r="HWY17" s="11"/>
      <c r="HWZ17" s="11"/>
      <c r="HXA17" s="11"/>
      <c r="HXB17" s="11"/>
      <c r="HXC17" s="11"/>
      <c r="HXD17" s="11"/>
      <c r="HXE17" s="11"/>
      <c r="HXF17" s="11"/>
      <c r="HXG17" s="11"/>
      <c r="HXH17" s="11"/>
      <c r="HXI17" s="11"/>
      <c r="HXJ17" s="11"/>
      <c r="HXK17" s="11"/>
      <c r="HXL17" s="11"/>
      <c r="HXM17" s="11"/>
      <c r="HXN17" s="11"/>
      <c r="HXO17" s="11"/>
      <c r="HXP17" s="11"/>
      <c r="HXQ17" s="11"/>
      <c r="HXR17" s="11"/>
      <c r="HXS17" s="11"/>
      <c r="HXT17" s="11"/>
      <c r="HXU17" s="11"/>
      <c r="HXV17" s="11"/>
      <c r="HXW17" s="11"/>
      <c r="HXX17" s="11"/>
      <c r="HXY17" s="11"/>
      <c r="HXZ17" s="11"/>
      <c r="HYA17" s="11"/>
      <c r="HYB17" s="11"/>
      <c r="HYC17" s="11"/>
      <c r="HYD17" s="11"/>
      <c r="HYE17" s="11"/>
      <c r="HYF17" s="11"/>
      <c r="HYG17" s="11"/>
      <c r="HYH17" s="11"/>
      <c r="HYI17" s="11"/>
      <c r="HYJ17" s="11"/>
      <c r="HYK17" s="11"/>
      <c r="HYL17" s="11"/>
      <c r="HYM17" s="11"/>
      <c r="HYN17" s="11"/>
      <c r="HYO17" s="11"/>
      <c r="HYP17" s="11"/>
      <c r="HYQ17" s="11"/>
      <c r="HYR17" s="11"/>
      <c r="HYS17" s="11"/>
      <c r="HYT17" s="11"/>
      <c r="HYU17" s="11"/>
      <c r="HYV17" s="11"/>
      <c r="HYW17" s="11"/>
      <c r="HYX17" s="11"/>
      <c r="HYY17" s="11"/>
      <c r="HYZ17" s="11"/>
      <c r="HZA17" s="11"/>
      <c r="HZB17" s="11"/>
      <c r="HZC17" s="11"/>
      <c r="HZD17" s="11"/>
      <c r="HZE17" s="11"/>
      <c r="HZF17" s="11"/>
      <c r="HZG17" s="11"/>
      <c r="HZH17" s="11"/>
      <c r="HZI17" s="11"/>
      <c r="HZJ17" s="11"/>
      <c r="HZK17" s="11"/>
      <c r="HZL17" s="11"/>
      <c r="HZM17" s="11"/>
      <c r="HZN17" s="11"/>
      <c r="HZO17" s="11"/>
      <c r="HZP17" s="11"/>
      <c r="HZQ17" s="11"/>
      <c r="HZR17" s="11"/>
      <c r="HZS17" s="11"/>
      <c r="HZT17" s="11"/>
      <c r="HZU17" s="11"/>
      <c r="HZV17" s="11"/>
      <c r="HZW17" s="11"/>
      <c r="HZX17" s="11"/>
      <c r="HZY17" s="11"/>
      <c r="HZZ17" s="11"/>
      <c r="IAA17" s="11"/>
      <c r="IAB17" s="11"/>
      <c r="IAC17" s="11"/>
      <c r="IAD17" s="11"/>
      <c r="IAE17" s="11"/>
      <c r="IAF17" s="11"/>
      <c r="IAG17" s="11"/>
      <c r="IAH17" s="11"/>
      <c r="IAI17" s="11"/>
      <c r="IAJ17" s="11"/>
      <c r="IAK17" s="11"/>
      <c r="IAL17" s="11"/>
      <c r="IAM17" s="11"/>
      <c r="IAN17" s="11"/>
      <c r="IAO17" s="11"/>
      <c r="IAP17" s="11"/>
      <c r="IAQ17" s="11"/>
      <c r="IAR17" s="11"/>
      <c r="IAS17" s="11"/>
      <c r="IAT17" s="11"/>
      <c r="IAU17" s="11"/>
      <c r="IAV17" s="11"/>
      <c r="IAW17" s="11"/>
      <c r="IAX17" s="11"/>
      <c r="IAY17" s="11"/>
      <c r="IAZ17" s="11"/>
      <c r="IBA17" s="11"/>
      <c r="IBB17" s="11"/>
      <c r="IBC17" s="11"/>
      <c r="IBD17" s="11"/>
      <c r="IBE17" s="11"/>
      <c r="IBF17" s="11"/>
      <c r="IBG17" s="11"/>
      <c r="IBH17" s="11"/>
      <c r="IBI17" s="11"/>
      <c r="IBJ17" s="11"/>
      <c r="IBK17" s="11"/>
      <c r="IBL17" s="11"/>
      <c r="IBM17" s="11"/>
      <c r="IBN17" s="11"/>
      <c r="IBO17" s="11"/>
      <c r="IBP17" s="11"/>
      <c r="IBQ17" s="11"/>
      <c r="IBR17" s="11"/>
      <c r="IBS17" s="11"/>
      <c r="IBT17" s="11"/>
      <c r="IBU17" s="11"/>
      <c r="IBV17" s="11"/>
      <c r="IBW17" s="11"/>
      <c r="IBX17" s="11"/>
      <c r="IBY17" s="11"/>
      <c r="IBZ17" s="11"/>
      <c r="ICA17" s="11"/>
      <c r="ICB17" s="11"/>
      <c r="ICC17" s="11"/>
      <c r="ICD17" s="11"/>
      <c r="ICE17" s="11"/>
      <c r="ICF17" s="11"/>
      <c r="ICG17" s="11"/>
      <c r="ICH17" s="11"/>
      <c r="ICI17" s="11"/>
      <c r="ICJ17" s="11"/>
      <c r="ICK17" s="11"/>
      <c r="ICL17" s="11"/>
      <c r="ICM17" s="11"/>
      <c r="ICN17" s="11"/>
      <c r="ICO17" s="11"/>
      <c r="ICP17" s="11"/>
      <c r="ICQ17" s="11"/>
      <c r="ICR17" s="11"/>
      <c r="ICS17" s="11"/>
      <c r="ICT17" s="11"/>
      <c r="ICU17" s="11"/>
      <c r="ICV17" s="11"/>
      <c r="ICW17" s="11"/>
      <c r="ICX17" s="11"/>
      <c r="ICY17" s="11"/>
      <c r="ICZ17" s="11"/>
      <c r="IDA17" s="11"/>
      <c r="IDB17" s="11"/>
      <c r="IDC17" s="11"/>
      <c r="IDD17" s="11"/>
      <c r="IDE17" s="11"/>
      <c r="IDF17" s="11"/>
      <c r="IDG17" s="11"/>
      <c r="IDH17" s="11"/>
      <c r="IDI17" s="11"/>
      <c r="IDJ17" s="11"/>
      <c r="IDK17" s="11"/>
      <c r="IDL17" s="11"/>
      <c r="IDM17" s="11"/>
      <c r="IDN17" s="11"/>
      <c r="IDO17" s="11"/>
      <c r="IDP17" s="11"/>
      <c r="IDQ17" s="11"/>
      <c r="IDR17" s="11"/>
      <c r="IDS17" s="11"/>
      <c r="IDT17" s="11"/>
      <c r="IDU17" s="11"/>
      <c r="IDV17" s="11"/>
      <c r="IDW17" s="11"/>
      <c r="IDX17" s="11"/>
      <c r="IDY17" s="11"/>
      <c r="IDZ17" s="11"/>
      <c r="IEA17" s="11"/>
      <c r="IEB17" s="11"/>
      <c r="IEC17" s="11"/>
      <c r="IED17" s="11"/>
      <c r="IEE17" s="11"/>
      <c r="IEF17" s="11"/>
      <c r="IEG17" s="11"/>
      <c r="IEH17" s="11"/>
      <c r="IEI17" s="11"/>
      <c r="IEJ17" s="11"/>
      <c r="IEK17" s="11"/>
      <c r="IEL17" s="11"/>
      <c r="IEM17" s="11"/>
      <c r="IEN17" s="11"/>
      <c r="IEO17" s="11"/>
      <c r="IEP17" s="11"/>
      <c r="IEQ17" s="11"/>
      <c r="IER17" s="11"/>
      <c r="IES17" s="11"/>
      <c r="IET17" s="11"/>
      <c r="IEU17" s="11"/>
      <c r="IEV17" s="11"/>
      <c r="IEW17" s="11"/>
      <c r="IEX17" s="11"/>
      <c r="IEY17" s="11"/>
      <c r="IEZ17" s="11"/>
      <c r="IFA17" s="11"/>
      <c r="IFB17" s="11"/>
      <c r="IFC17" s="11"/>
      <c r="IFD17" s="11"/>
      <c r="IFE17" s="11"/>
      <c r="IFF17" s="11"/>
      <c r="IFG17" s="11"/>
      <c r="IFH17" s="11"/>
      <c r="IFI17" s="11"/>
      <c r="IFJ17" s="11"/>
      <c r="IFK17" s="11"/>
      <c r="IFL17" s="11"/>
      <c r="IFM17" s="11"/>
      <c r="IFN17" s="11"/>
      <c r="IFO17" s="11"/>
      <c r="IFP17" s="11"/>
      <c r="IFQ17" s="11"/>
      <c r="IFR17" s="11"/>
      <c r="IFS17" s="11"/>
      <c r="IFT17" s="11"/>
      <c r="IFU17" s="11"/>
      <c r="IFV17" s="11"/>
      <c r="IFW17" s="11"/>
      <c r="IFX17" s="11"/>
      <c r="IFY17" s="11"/>
      <c r="IFZ17" s="11"/>
      <c r="IGA17" s="11"/>
      <c r="IGB17" s="11"/>
      <c r="IGC17" s="11"/>
      <c r="IGD17" s="11"/>
      <c r="IGE17" s="11"/>
      <c r="IGF17" s="11"/>
      <c r="IGG17" s="11"/>
      <c r="IGH17" s="11"/>
      <c r="IGI17" s="11"/>
      <c r="IGJ17" s="11"/>
      <c r="IGK17" s="11"/>
      <c r="IGL17" s="11"/>
      <c r="IGM17" s="11"/>
      <c r="IGN17" s="11"/>
      <c r="IGO17" s="11"/>
      <c r="IGP17" s="11"/>
      <c r="IGQ17" s="11"/>
      <c r="IGR17" s="11"/>
      <c r="IGS17" s="11"/>
      <c r="IGT17" s="11"/>
      <c r="IGU17" s="11"/>
      <c r="IGV17" s="11"/>
      <c r="IGW17" s="11"/>
      <c r="IGX17" s="11"/>
      <c r="IGY17" s="11"/>
      <c r="IGZ17" s="11"/>
      <c r="IHA17" s="11"/>
      <c r="IHB17" s="11"/>
      <c r="IHC17" s="11"/>
      <c r="IHD17" s="11"/>
      <c r="IHE17" s="11"/>
      <c r="IHF17" s="11"/>
      <c r="IHG17" s="11"/>
      <c r="IHH17" s="11"/>
      <c r="IHI17" s="11"/>
      <c r="IHJ17" s="11"/>
      <c r="IHK17" s="11"/>
      <c r="IHL17" s="11"/>
      <c r="IHM17" s="11"/>
      <c r="IHN17" s="11"/>
      <c r="IHO17" s="11"/>
      <c r="IHP17" s="11"/>
      <c r="IHQ17" s="11"/>
      <c r="IHR17" s="11"/>
      <c r="IHS17" s="11"/>
      <c r="IHT17" s="11"/>
      <c r="IHU17" s="11"/>
      <c r="IHV17" s="11"/>
      <c r="IHW17" s="11"/>
      <c r="IHX17" s="11"/>
      <c r="IHY17" s="11"/>
      <c r="IHZ17" s="11"/>
      <c r="IIA17" s="11"/>
      <c r="IIB17" s="11"/>
      <c r="IIC17" s="11"/>
      <c r="IID17" s="11"/>
      <c r="IIE17" s="11"/>
      <c r="IIF17" s="11"/>
      <c r="IIG17" s="11"/>
      <c r="IIH17" s="11"/>
      <c r="III17" s="11"/>
      <c r="IIJ17" s="11"/>
      <c r="IIK17" s="11"/>
      <c r="IIL17" s="11"/>
      <c r="IIM17" s="11"/>
      <c r="IIN17" s="11"/>
      <c r="IIO17" s="11"/>
      <c r="IIP17" s="11"/>
      <c r="IIQ17" s="11"/>
      <c r="IIR17" s="11"/>
      <c r="IIS17" s="11"/>
      <c r="IIT17" s="11"/>
      <c r="IIU17" s="11"/>
      <c r="IIV17" s="11"/>
      <c r="IIW17" s="11"/>
      <c r="IIX17" s="11"/>
      <c r="IIY17" s="11"/>
      <c r="IIZ17" s="11"/>
      <c r="IJA17" s="11"/>
      <c r="IJB17" s="11"/>
      <c r="IJC17" s="11"/>
      <c r="IJD17" s="11"/>
      <c r="IJE17" s="11"/>
      <c r="IJF17" s="11"/>
      <c r="IJG17" s="11"/>
      <c r="IJH17" s="11"/>
      <c r="IJI17" s="11"/>
      <c r="IJJ17" s="11"/>
      <c r="IJK17" s="11"/>
      <c r="IJL17" s="11"/>
      <c r="IJM17" s="11"/>
      <c r="IJN17" s="11"/>
      <c r="IJO17" s="11"/>
      <c r="IJP17" s="11"/>
      <c r="IJQ17" s="11"/>
      <c r="IJR17" s="11"/>
      <c r="IJS17" s="11"/>
      <c r="IJT17" s="11"/>
      <c r="IJU17" s="11"/>
      <c r="IJV17" s="11"/>
      <c r="IJW17" s="11"/>
      <c r="IJX17" s="11"/>
      <c r="IJY17" s="11"/>
      <c r="IJZ17" s="11"/>
      <c r="IKA17" s="11"/>
      <c r="IKB17" s="11"/>
      <c r="IKC17" s="11"/>
      <c r="IKD17" s="11"/>
      <c r="IKE17" s="11"/>
      <c r="IKF17" s="11"/>
      <c r="IKG17" s="11"/>
      <c r="IKH17" s="11"/>
      <c r="IKI17" s="11"/>
      <c r="IKJ17" s="11"/>
      <c r="IKK17" s="11"/>
      <c r="IKL17" s="11"/>
      <c r="IKM17" s="11"/>
      <c r="IKN17" s="11"/>
      <c r="IKO17" s="11"/>
      <c r="IKP17" s="11"/>
      <c r="IKQ17" s="11"/>
      <c r="IKR17" s="11"/>
      <c r="IKS17" s="11"/>
      <c r="IKT17" s="11"/>
      <c r="IKU17" s="11"/>
      <c r="IKV17" s="11"/>
      <c r="IKW17" s="11"/>
      <c r="IKX17" s="11"/>
      <c r="IKY17" s="11"/>
      <c r="IKZ17" s="11"/>
      <c r="ILA17" s="11"/>
      <c r="ILB17" s="11"/>
      <c r="ILC17" s="11"/>
      <c r="ILD17" s="11"/>
      <c r="ILE17" s="11"/>
      <c r="ILF17" s="11"/>
      <c r="ILG17" s="11"/>
      <c r="ILH17" s="11"/>
      <c r="ILI17" s="11"/>
      <c r="ILJ17" s="11"/>
      <c r="ILK17" s="11"/>
      <c r="ILL17" s="11"/>
      <c r="ILM17" s="11"/>
      <c r="ILN17" s="11"/>
      <c r="ILO17" s="11"/>
      <c r="ILP17" s="11"/>
      <c r="ILQ17" s="11"/>
      <c r="ILR17" s="11"/>
      <c r="ILS17" s="11"/>
      <c r="ILT17" s="11"/>
      <c r="ILU17" s="11"/>
      <c r="ILV17" s="11"/>
      <c r="ILW17" s="11"/>
      <c r="ILX17" s="11"/>
      <c r="ILY17" s="11"/>
      <c r="ILZ17" s="11"/>
      <c r="IMA17" s="11"/>
      <c r="IMB17" s="11"/>
      <c r="IMC17" s="11"/>
      <c r="IMD17" s="11"/>
      <c r="IME17" s="11"/>
      <c r="IMF17" s="11"/>
      <c r="IMG17" s="11"/>
      <c r="IMH17" s="11"/>
      <c r="IMI17" s="11"/>
      <c r="IMJ17" s="11"/>
      <c r="IMK17" s="11"/>
      <c r="IML17" s="11"/>
      <c r="IMM17" s="11"/>
      <c r="IMN17" s="11"/>
      <c r="IMO17" s="11"/>
      <c r="IMP17" s="11"/>
      <c r="IMQ17" s="11"/>
      <c r="IMR17" s="11"/>
      <c r="IMS17" s="11"/>
      <c r="IMT17" s="11"/>
      <c r="IMU17" s="11"/>
      <c r="IMV17" s="11"/>
      <c r="IMW17" s="11"/>
      <c r="IMX17" s="11"/>
      <c r="IMY17" s="11"/>
      <c r="IMZ17" s="11"/>
      <c r="INA17" s="11"/>
      <c r="INB17" s="11"/>
      <c r="INC17" s="11"/>
      <c r="IND17" s="11"/>
      <c r="INE17" s="11"/>
      <c r="INF17" s="11"/>
      <c r="ING17" s="11"/>
      <c r="INH17" s="11"/>
      <c r="INI17" s="11"/>
      <c r="INJ17" s="11"/>
      <c r="INK17" s="11"/>
      <c r="INL17" s="11"/>
      <c r="INM17" s="11"/>
      <c r="INN17" s="11"/>
      <c r="INO17" s="11"/>
      <c r="INP17" s="11"/>
      <c r="INQ17" s="11"/>
      <c r="INR17" s="11"/>
      <c r="INS17" s="11"/>
      <c r="INT17" s="11"/>
      <c r="INU17" s="11"/>
      <c r="INV17" s="11"/>
      <c r="INW17" s="11"/>
      <c r="INX17" s="11"/>
      <c r="INY17" s="11"/>
      <c r="INZ17" s="11"/>
      <c r="IOA17" s="11"/>
      <c r="IOB17" s="11"/>
      <c r="IOC17" s="11"/>
      <c r="IOD17" s="11"/>
      <c r="IOE17" s="11"/>
      <c r="IOF17" s="11"/>
      <c r="IOG17" s="11"/>
      <c r="IOH17" s="11"/>
      <c r="IOI17" s="11"/>
      <c r="IOJ17" s="11"/>
      <c r="IOK17" s="11"/>
      <c r="IOL17" s="11"/>
      <c r="IOM17" s="11"/>
      <c r="ION17" s="11"/>
      <c r="IOO17" s="11"/>
      <c r="IOP17" s="11"/>
      <c r="IOQ17" s="11"/>
      <c r="IOR17" s="11"/>
      <c r="IOS17" s="11"/>
      <c r="IOT17" s="11"/>
      <c r="IOU17" s="11"/>
      <c r="IOV17" s="11"/>
      <c r="IOW17" s="11"/>
      <c r="IOX17" s="11"/>
      <c r="IOY17" s="11"/>
      <c r="IOZ17" s="11"/>
      <c r="IPA17" s="11"/>
      <c r="IPB17" s="11"/>
      <c r="IPC17" s="11"/>
      <c r="IPD17" s="11"/>
      <c r="IPE17" s="11"/>
      <c r="IPF17" s="11"/>
      <c r="IPG17" s="11"/>
      <c r="IPH17" s="11"/>
      <c r="IPI17" s="11"/>
      <c r="IPJ17" s="11"/>
      <c r="IPK17" s="11"/>
      <c r="IPL17" s="11"/>
      <c r="IPM17" s="11"/>
      <c r="IPN17" s="11"/>
      <c r="IPO17" s="11"/>
      <c r="IPP17" s="11"/>
      <c r="IPQ17" s="11"/>
      <c r="IPR17" s="11"/>
      <c r="IPS17" s="11"/>
      <c r="IPT17" s="11"/>
      <c r="IPU17" s="11"/>
      <c r="IPV17" s="11"/>
      <c r="IPW17" s="11"/>
      <c r="IPX17" s="11"/>
      <c r="IPY17" s="11"/>
      <c r="IPZ17" s="11"/>
      <c r="IQA17" s="11"/>
      <c r="IQB17" s="11"/>
      <c r="IQC17" s="11"/>
      <c r="IQD17" s="11"/>
      <c r="IQE17" s="11"/>
      <c r="IQF17" s="11"/>
      <c r="IQG17" s="11"/>
      <c r="IQH17" s="11"/>
      <c r="IQI17" s="11"/>
      <c r="IQJ17" s="11"/>
      <c r="IQK17" s="11"/>
      <c r="IQL17" s="11"/>
      <c r="IQM17" s="11"/>
      <c r="IQN17" s="11"/>
      <c r="IQO17" s="11"/>
      <c r="IQP17" s="11"/>
      <c r="IQQ17" s="11"/>
      <c r="IQR17" s="11"/>
      <c r="IQS17" s="11"/>
      <c r="IQT17" s="11"/>
      <c r="IQU17" s="11"/>
      <c r="IQV17" s="11"/>
      <c r="IQW17" s="11"/>
      <c r="IQX17" s="11"/>
      <c r="IQY17" s="11"/>
      <c r="IQZ17" s="11"/>
      <c r="IRA17" s="11"/>
      <c r="IRB17" s="11"/>
      <c r="IRC17" s="11"/>
      <c r="IRD17" s="11"/>
      <c r="IRE17" s="11"/>
      <c r="IRF17" s="11"/>
      <c r="IRG17" s="11"/>
      <c r="IRH17" s="11"/>
      <c r="IRI17" s="11"/>
      <c r="IRJ17" s="11"/>
      <c r="IRK17" s="11"/>
      <c r="IRL17" s="11"/>
      <c r="IRM17" s="11"/>
      <c r="IRN17" s="11"/>
      <c r="IRO17" s="11"/>
      <c r="IRP17" s="11"/>
      <c r="IRQ17" s="11"/>
      <c r="IRR17" s="11"/>
      <c r="IRS17" s="11"/>
      <c r="IRT17" s="11"/>
      <c r="IRU17" s="11"/>
      <c r="IRV17" s="11"/>
      <c r="IRW17" s="11"/>
      <c r="IRX17" s="11"/>
      <c r="IRY17" s="11"/>
      <c r="IRZ17" s="11"/>
      <c r="ISA17" s="11"/>
      <c r="ISB17" s="11"/>
      <c r="ISC17" s="11"/>
      <c r="ISD17" s="11"/>
      <c r="ISE17" s="11"/>
      <c r="ISF17" s="11"/>
      <c r="ISG17" s="11"/>
      <c r="ISH17" s="11"/>
      <c r="ISI17" s="11"/>
      <c r="ISJ17" s="11"/>
      <c r="ISK17" s="11"/>
      <c r="ISL17" s="11"/>
      <c r="ISM17" s="11"/>
      <c r="ISN17" s="11"/>
      <c r="ISO17" s="11"/>
      <c r="ISP17" s="11"/>
      <c r="ISQ17" s="11"/>
      <c r="ISR17" s="11"/>
      <c r="ISS17" s="11"/>
      <c r="IST17" s="11"/>
      <c r="ISU17" s="11"/>
      <c r="ISV17" s="11"/>
      <c r="ISW17" s="11"/>
      <c r="ISX17" s="11"/>
      <c r="ISY17" s="11"/>
      <c r="ISZ17" s="11"/>
      <c r="ITA17" s="11"/>
      <c r="ITB17" s="11"/>
      <c r="ITC17" s="11"/>
      <c r="ITD17" s="11"/>
      <c r="ITE17" s="11"/>
      <c r="ITF17" s="11"/>
      <c r="ITG17" s="11"/>
      <c r="ITH17" s="11"/>
      <c r="ITI17" s="11"/>
      <c r="ITJ17" s="11"/>
      <c r="ITK17" s="11"/>
      <c r="ITL17" s="11"/>
      <c r="ITM17" s="11"/>
      <c r="ITN17" s="11"/>
      <c r="ITO17" s="11"/>
      <c r="ITP17" s="11"/>
      <c r="ITQ17" s="11"/>
      <c r="ITR17" s="11"/>
      <c r="ITS17" s="11"/>
      <c r="ITT17" s="11"/>
      <c r="ITU17" s="11"/>
      <c r="ITV17" s="11"/>
      <c r="ITW17" s="11"/>
      <c r="ITX17" s="11"/>
      <c r="ITY17" s="11"/>
      <c r="ITZ17" s="11"/>
      <c r="IUA17" s="11"/>
      <c r="IUB17" s="11"/>
      <c r="IUC17" s="11"/>
      <c r="IUD17" s="11"/>
      <c r="IUE17" s="11"/>
      <c r="IUF17" s="11"/>
      <c r="IUG17" s="11"/>
      <c r="IUH17" s="11"/>
      <c r="IUI17" s="11"/>
      <c r="IUJ17" s="11"/>
      <c r="IUK17" s="11"/>
      <c r="IUL17" s="11"/>
      <c r="IUM17" s="11"/>
      <c r="IUN17" s="11"/>
      <c r="IUO17" s="11"/>
      <c r="IUP17" s="11"/>
      <c r="IUQ17" s="11"/>
      <c r="IUR17" s="11"/>
      <c r="IUS17" s="11"/>
      <c r="IUT17" s="11"/>
      <c r="IUU17" s="11"/>
      <c r="IUV17" s="11"/>
      <c r="IUW17" s="11"/>
      <c r="IUX17" s="11"/>
      <c r="IUY17" s="11"/>
      <c r="IUZ17" s="11"/>
      <c r="IVA17" s="11"/>
      <c r="IVB17" s="11"/>
      <c r="IVC17" s="11"/>
      <c r="IVD17" s="11"/>
      <c r="IVE17" s="11"/>
      <c r="IVF17" s="11"/>
      <c r="IVG17" s="11"/>
      <c r="IVH17" s="11"/>
      <c r="IVI17" s="11"/>
      <c r="IVJ17" s="11"/>
      <c r="IVK17" s="11"/>
      <c r="IVL17" s="11"/>
      <c r="IVM17" s="11"/>
      <c r="IVN17" s="11"/>
      <c r="IVO17" s="11"/>
      <c r="IVP17" s="11"/>
      <c r="IVQ17" s="11"/>
      <c r="IVR17" s="11"/>
      <c r="IVS17" s="11"/>
      <c r="IVT17" s="11"/>
      <c r="IVU17" s="11"/>
      <c r="IVV17" s="11"/>
      <c r="IVW17" s="11"/>
      <c r="IVX17" s="11"/>
      <c r="IVY17" s="11"/>
      <c r="IVZ17" s="11"/>
      <c r="IWA17" s="11"/>
      <c r="IWB17" s="11"/>
      <c r="IWC17" s="11"/>
      <c r="IWD17" s="11"/>
      <c r="IWE17" s="11"/>
      <c r="IWF17" s="11"/>
      <c r="IWG17" s="11"/>
      <c r="IWH17" s="11"/>
      <c r="IWI17" s="11"/>
      <c r="IWJ17" s="11"/>
      <c r="IWK17" s="11"/>
      <c r="IWL17" s="11"/>
      <c r="IWM17" s="11"/>
      <c r="IWN17" s="11"/>
      <c r="IWO17" s="11"/>
      <c r="IWP17" s="11"/>
      <c r="IWQ17" s="11"/>
      <c r="IWR17" s="11"/>
      <c r="IWS17" s="11"/>
      <c r="IWT17" s="11"/>
      <c r="IWU17" s="11"/>
      <c r="IWV17" s="11"/>
      <c r="IWW17" s="11"/>
      <c r="IWX17" s="11"/>
      <c r="IWY17" s="11"/>
      <c r="IWZ17" s="11"/>
      <c r="IXA17" s="11"/>
      <c r="IXB17" s="11"/>
      <c r="IXC17" s="11"/>
      <c r="IXD17" s="11"/>
      <c r="IXE17" s="11"/>
      <c r="IXF17" s="11"/>
      <c r="IXG17" s="11"/>
      <c r="IXH17" s="11"/>
      <c r="IXI17" s="11"/>
      <c r="IXJ17" s="11"/>
      <c r="IXK17" s="11"/>
      <c r="IXL17" s="11"/>
      <c r="IXM17" s="11"/>
      <c r="IXN17" s="11"/>
      <c r="IXO17" s="11"/>
      <c r="IXP17" s="11"/>
      <c r="IXQ17" s="11"/>
      <c r="IXR17" s="11"/>
      <c r="IXS17" s="11"/>
      <c r="IXT17" s="11"/>
      <c r="IXU17" s="11"/>
      <c r="IXV17" s="11"/>
      <c r="IXW17" s="11"/>
      <c r="IXX17" s="11"/>
      <c r="IXY17" s="11"/>
      <c r="IXZ17" s="11"/>
      <c r="IYA17" s="11"/>
      <c r="IYB17" s="11"/>
      <c r="IYC17" s="11"/>
      <c r="IYD17" s="11"/>
      <c r="IYE17" s="11"/>
      <c r="IYF17" s="11"/>
      <c r="IYG17" s="11"/>
      <c r="IYH17" s="11"/>
      <c r="IYI17" s="11"/>
      <c r="IYJ17" s="11"/>
      <c r="IYK17" s="11"/>
      <c r="IYL17" s="11"/>
      <c r="IYM17" s="11"/>
      <c r="IYN17" s="11"/>
      <c r="IYO17" s="11"/>
      <c r="IYP17" s="11"/>
      <c r="IYQ17" s="11"/>
      <c r="IYR17" s="11"/>
      <c r="IYS17" s="11"/>
      <c r="IYT17" s="11"/>
      <c r="IYU17" s="11"/>
      <c r="IYV17" s="11"/>
      <c r="IYW17" s="11"/>
      <c r="IYX17" s="11"/>
      <c r="IYY17" s="11"/>
      <c r="IYZ17" s="11"/>
      <c r="IZA17" s="11"/>
      <c r="IZB17" s="11"/>
      <c r="IZC17" s="11"/>
      <c r="IZD17" s="11"/>
      <c r="IZE17" s="11"/>
      <c r="IZF17" s="11"/>
      <c r="IZG17" s="11"/>
      <c r="IZH17" s="11"/>
      <c r="IZI17" s="11"/>
      <c r="IZJ17" s="11"/>
      <c r="IZK17" s="11"/>
      <c r="IZL17" s="11"/>
      <c r="IZM17" s="11"/>
      <c r="IZN17" s="11"/>
      <c r="IZO17" s="11"/>
      <c r="IZP17" s="11"/>
      <c r="IZQ17" s="11"/>
      <c r="IZR17" s="11"/>
      <c r="IZS17" s="11"/>
      <c r="IZT17" s="11"/>
      <c r="IZU17" s="11"/>
      <c r="IZV17" s="11"/>
      <c r="IZW17" s="11"/>
      <c r="IZX17" s="11"/>
      <c r="IZY17" s="11"/>
      <c r="IZZ17" s="11"/>
      <c r="JAA17" s="11"/>
      <c r="JAB17" s="11"/>
      <c r="JAC17" s="11"/>
      <c r="JAD17" s="11"/>
      <c r="JAE17" s="11"/>
      <c r="JAF17" s="11"/>
      <c r="JAG17" s="11"/>
      <c r="JAH17" s="11"/>
      <c r="JAI17" s="11"/>
      <c r="JAJ17" s="11"/>
      <c r="JAK17" s="11"/>
      <c r="JAL17" s="11"/>
      <c r="JAM17" s="11"/>
      <c r="JAN17" s="11"/>
      <c r="JAO17" s="11"/>
      <c r="JAP17" s="11"/>
      <c r="JAQ17" s="11"/>
      <c r="JAR17" s="11"/>
      <c r="JAS17" s="11"/>
      <c r="JAT17" s="11"/>
      <c r="JAU17" s="11"/>
      <c r="JAV17" s="11"/>
      <c r="JAW17" s="11"/>
      <c r="JAX17" s="11"/>
      <c r="JAY17" s="11"/>
      <c r="JAZ17" s="11"/>
      <c r="JBA17" s="11"/>
      <c r="JBB17" s="11"/>
      <c r="JBC17" s="11"/>
      <c r="JBD17" s="11"/>
      <c r="JBE17" s="11"/>
      <c r="JBF17" s="11"/>
      <c r="JBG17" s="11"/>
      <c r="JBH17" s="11"/>
      <c r="JBI17" s="11"/>
      <c r="JBJ17" s="11"/>
      <c r="JBK17" s="11"/>
      <c r="JBL17" s="11"/>
      <c r="JBM17" s="11"/>
      <c r="JBN17" s="11"/>
      <c r="JBO17" s="11"/>
      <c r="JBP17" s="11"/>
      <c r="JBQ17" s="11"/>
      <c r="JBR17" s="11"/>
      <c r="JBS17" s="11"/>
      <c r="JBT17" s="11"/>
      <c r="JBU17" s="11"/>
      <c r="JBV17" s="11"/>
      <c r="JBW17" s="11"/>
      <c r="JBX17" s="11"/>
      <c r="JBY17" s="11"/>
      <c r="JBZ17" s="11"/>
      <c r="JCA17" s="11"/>
      <c r="JCB17" s="11"/>
      <c r="JCC17" s="11"/>
      <c r="JCD17" s="11"/>
      <c r="JCE17" s="11"/>
      <c r="JCF17" s="11"/>
      <c r="JCG17" s="11"/>
      <c r="JCH17" s="11"/>
      <c r="JCI17" s="11"/>
      <c r="JCJ17" s="11"/>
      <c r="JCK17" s="11"/>
      <c r="JCL17" s="11"/>
      <c r="JCM17" s="11"/>
      <c r="JCN17" s="11"/>
      <c r="JCO17" s="11"/>
      <c r="JCP17" s="11"/>
      <c r="JCQ17" s="11"/>
      <c r="JCR17" s="11"/>
      <c r="JCS17" s="11"/>
      <c r="JCT17" s="11"/>
      <c r="JCU17" s="11"/>
      <c r="JCV17" s="11"/>
      <c r="JCW17" s="11"/>
      <c r="JCX17" s="11"/>
      <c r="JCY17" s="11"/>
      <c r="JCZ17" s="11"/>
      <c r="JDA17" s="11"/>
      <c r="JDB17" s="11"/>
      <c r="JDC17" s="11"/>
      <c r="JDD17" s="11"/>
      <c r="JDE17" s="11"/>
      <c r="JDF17" s="11"/>
      <c r="JDG17" s="11"/>
      <c r="JDH17" s="11"/>
      <c r="JDI17" s="11"/>
      <c r="JDJ17" s="11"/>
      <c r="JDK17" s="11"/>
      <c r="JDL17" s="11"/>
      <c r="JDM17" s="11"/>
      <c r="JDN17" s="11"/>
      <c r="JDO17" s="11"/>
      <c r="JDP17" s="11"/>
      <c r="JDQ17" s="11"/>
      <c r="JDR17" s="11"/>
      <c r="JDS17" s="11"/>
      <c r="JDT17" s="11"/>
      <c r="JDU17" s="11"/>
      <c r="JDV17" s="11"/>
      <c r="JDW17" s="11"/>
      <c r="JDX17" s="11"/>
      <c r="JDY17" s="11"/>
      <c r="JDZ17" s="11"/>
      <c r="JEA17" s="11"/>
      <c r="JEB17" s="11"/>
      <c r="JEC17" s="11"/>
      <c r="JED17" s="11"/>
      <c r="JEE17" s="11"/>
      <c r="JEF17" s="11"/>
      <c r="JEG17" s="11"/>
      <c r="JEH17" s="11"/>
      <c r="JEI17" s="11"/>
      <c r="JEJ17" s="11"/>
      <c r="JEK17" s="11"/>
      <c r="JEL17" s="11"/>
      <c r="JEM17" s="11"/>
      <c r="JEN17" s="11"/>
      <c r="JEO17" s="11"/>
      <c r="JEP17" s="11"/>
      <c r="JEQ17" s="11"/>
      <c r="JER17" s="11"/>
      <c r="JES17" s="11"/>
      <c r="JET17" s="11"/>
      <c r="JEU17" s="11"/>
      <c r="JEV17" s="11"/>
      <c r="JEW17" s="11"/>
      <c r="JEX17" s="11"/>
      <c r="JEY17" s="11"/>
      <c r="JEZ17" s="11"/>
      <c r="JFA17" s="11"/>
      <c r="JFB17" s="11"/>
      <c r="JFC17" s="11"/>
      <c r="JFD17" s="11"/>
      <c r="JFE17" s="11"/>
      <c r="JFF17" s="11"/>
      <c r="JFG17" s="11"/>
      <c r="JFH17" s="11"/>
      <c r="JFI17" s="11"/>
      <c r="JFJ17" s="11"/>
      <c r="JFK17" s="11"/>
      <c r="JFL17" s="11"/>
      <c r="JFM17" s="11"/>
      <c r="JFN17" s="11"/>
      <c r="JFO17" s="11"/>
      <c r="JFP17" s="11"/>
      <c r="JFQ17" s="11"/>
      <c r="JFR17" s="11"/>
      <c r="JFS17" s="11"/>
      <c r="JFT17" s="11"/>
      <c r="JFU17" s="11"/>
      <c r="JFV17" s="11"/>
      <c r="JFW17" s="11"/>
      <c r="JFX17" s="11"/>
      <c r="JFY17" s="11"/>
      <c r="JFZ17" s="11"/>
      <c r="JGA17" s="11"/>
      <c r="JGB17" s="11"/>
      <c r="JGC17" s="11"/>
      <c r="JGD17" s="11"/>
      <c r="JGE17" s="11"/>
      <c r="JGF17" s="11"/>
      <c r="JGG17" s="11"/>
      <c r="JGH17" s="11"/>
      <c r="JGI17" s="11"/>
      <c r="JGJ17" s="11"/>
      <c r="JGK17" s="11"/>
      <c r="JGL17" s="11"/>
      <c r="JGM17" s="11"/>
      <c r="JGN17" s="11"/>
      <c r="JGO17" s="11"/>
      <c r="JGP17" s="11"/>
      <c r="JGQ17" s="11"/>
      <c r="JGR17" s="11"/>
      <c r="JGS17" s="11"/>
      <c r="JGT17" s="11"/>
      <c r="JGU17" s="11"/>
      <c r="JGV17" s="11"/>
      <c r="JGW17" s="11"/>
      <c r="JGX17" s="11"/>
      <c r="JGY17" s="11"/>
      <c r="JGZ17" s="11"/>
      <c r="JHA17" s="11"/>
      <c r="JHB17" s="11"/>
      <c r="JHC17" s="11"/>
      <c r="JHD17" s="11"/>
      <c r="JHE17" s="11"/>
      <c r="JHF17" s="11"/>
      <c r="JHG17" s="11"/>
      <c r="JHH17" s="11"/>
      <c r="JHI17" s="11"/>
      <c r="JHJ17" s="11"/>
      <c r="JHK17" s="11"/>
      <c r="JHL17" s="11"/>
      <c r="JHM17" s="11"/>
      <c r="JHN17" s="11"/>
      <c r="JHO17" s="11"/>
      <c r="JHP17" s="11"/>
      <c r="JHQ17" s="11"/>
      <c r="JHR17" s="11"/>
      <c r="JHS17" s="11"/>
      <c r="JHT17" s="11"/>
      <c r="JHU17" s="11"/>
      <c r="JHV17" s="11"/>
      <c r="JHW17" s="11"/>
      <c r="JHX17" s="11"/>
      <c r="JHY17" s="11"/>
      <c r="JHZ17" s="11"/>
      <c r="JIA17" s="11"/>
      <c r="JIB17" s="11"/>
      <c r="JIC17" s="11"/>
      <c r="JID17" s="11"/>
      <c r="JIE17" s="11"/>
      <c r="JIF17" s="11"/>
      <c r="JIG17" s="11"/>
      <c r="JIH17" s="11"/>
      <c r="JII17" s="11"/>
      <c r="JIJ17" s="11"/>
      <c r="JIK17" s="11"/>
      <c r="JIL17" s="11"/>
      <c r="JIM17" s="11"/>
      <c r="JIN17" s="11"/>
      <c r="JIO17" s="11"/>
      <c r="JIP17" s="11"/>
      <c r="JIQ17" s="11"/>
      <c r="JIR17" s="11"/>
      <c r="JIS17" s="11"/>
      <c r="JIT17" s="11"/>
      <c r="JIU17" s="11"/>
      <c r="JIV17" s="11"/>
      <c r="JIW17" s="11"/>
      <c r="JIX17" s="11"/>
      <c r="JIY17" s="11"/>
      <c r="JIZ17" s="11"/>
      <c r="JJA17" s="11"/>
      <c r="JJB17" s="11"/>
      <c r="JJC17" s="11"/>
      <c r="JJD17" s="11"/>
      <c r="JJE17" s="11"/>
      <c r="JJF17" s="11"/>
      <c r="JJG17" s="11"/>
      <c r="JJH17" s="11"/>
      <c r="JJI17" s="11"/>
      <c r="JJJ17" s="11"/>
      <c r="JJK17" s="11"/>
      <c r="JJL17" s="11"/>
      <c r="JJM17" s="11"/>
      <c r="JJN17" s="11"/>
      <c r="JJO17" s="11"/>
      <c r="JJP17" s="11"/>
      <c r="JJQ17" s="11"/>
      <c r="JJR17" s="11"/>
      <c r="JJS17" s="11"/>
      <c r="JJT17" s="11"/>
      <c r="JJU17" s="11"/>
      <c r="JJV17" s="11"/>
      <c r="JJW17" s="11"/>
      <c r="JJX17" s="11"/>
      <c r="JJY17" s="11"/>
      <c r="JJZ17" s="11"/>
      <c r="JKA17" s="11"/>
      <c r="JKB17" s="11"/>
      <c r="JKC17" s="11"/>
      <c r="JKD17" s="11"/>
      <c r="JKE17" s="11"/>
      <c r="JKF17" s="11"/>
      <c r="JKG17" s="11"/>
      <c r="JKH17" s="11"/>
      <c r="JKI17" s="11"/>
      <c r="JKJ17" s="11"/>
      <c r="JKK17" s="11"/>
      <c r="JKL17" s="11"/>
      <c r="JKM17" s="11"/>
      <c r="JKN17" s="11"/>
      <c r="JKO17" s="11"/>
      <c r="JKP17" s="11"/>
      <c r="JKQ17" s="11"/>
      <c r="JKR17" s="11"/>
      <c r="JKS17" s="11"/>
      <c r="JKT17" s="11"/>
      <c r="JKU17" s="11"/>
      <c r="JKV17" s="11"/>
      <c r="JKW17" s="11"/>
      <c r="JKX17" s="11"/>
      <c r="JKY17" s="11"/>
      <c r="JKZ17" s="11"/>
      <c r="JLA17" s="11"/>
      <c r="JLB17" s="11"/>
      <c r="JLC17" s="11"/>
      <c r="JLD17" s="11"/>
      <c r="JLE17" s="11"/>
      <c r="JLF17" s="11"/>
      <c r="JLG17" s="11"/>
      <c r="JLH17" s="11"/>
      <c r="JLI17" s="11"/>
      <c r="JLJ17" s="11"/>
      <c r="JLK17" s="11"/>
      <c r="JLL17" s="11"/>
      <c r="JLM17" s="11"/>
      <c r="JLN17" s="11"/>
      <c r="JLO17" s="11"/>
      <c r="JLP17" s="11"/>
      <c r="JLQ17" s="11"/>
      <c r="JLR17" s="11"/>
      <c r="JLS17" s="11"/>
      <c r="JLT17" s="11"/>
      <c r="JLU17" s="11"/>
      <c r="JLV17" s="11"/>
      <c r="JLW17" s="11"/>
      <c r="JLX17" s="11"/>
      <c r="JLY17" s="11"/>
      <c r="JLZ17" s="11"/>
      <c r="JMA17" s="11"/>
      <c r="JMB17" s="11"/>
      <c r="JMC17" s="11"/>
      <c r="JMD17" s="11"/>
      <c r="JME17" s="11"/>
      <c r="JMF17" s="11"/>
      <c r="JMG17" s="11"/>
      <c r="JMH17" s="11"/>
      <c r="JMI17" s="11"/>
      <c r="JMJ17" s="11"/>
      <c r="JMK17" s="11"/>
      <c r="JML17" s="11"/>
      <c r="JMM17" s="11"/>
      <c r="JMN17" s="11"/>
      <c r="JMO17" s="11"/>
      <c r="JMP17" s="11"/>
      <c r="JMQ17" s="11"/>
      <c r="JMR17" s="11"/>
      <c r="JMS17" s="11"/>
      <c r="JMT17" s="11"/>
      <c r="JMU17" s="11"/>
      <c r="JMV17" s="11"/>
      <c r="JMW17" s="11"/>
      <c r="JMX17" s="11"/>
      <c r="JMY17" s="11"/>
      <c r="JMZ17" s="11"/>
      <c r="JNA17" s="11"/>
      <c r="JNB17" s="11"/>
      <c r="JNC17" s="11"/>
      <c r="JND17" s="11"/>
      <c r="JNE17" s="11"/>
      <c r="JNF17" s="11"/>
      <c r="JNG17" s="11"/>
      <c r="JNH17" s="11"/>
      <c r="JNI17" s="11"/>
      <c r="JNJ17" s="11"/>
      <c r="JNK17" s="11"/>
      <c r="JNL17" s="11"/>
      <c r="JNM17" s="11"/>
      <c r="JNN17" s="11"/>
      <c r="JNO17" s="11"/>
      <c r="JNP17" s="11"/>
      <c r="JNQ17" s="11"/>
      <c r="JNR17" s="11"/>
      <c r="JNS17" s="11"/>
      <c r="JNT17" s="11"/>
      <c r="JNU17" s="11"/>
      <c r="JNV17" s="11"/>
      <c r="JNW17" s="11"/>
      <c r="JNX17" s="11"/>
      <c r="JNY17" s="11"/>
      <c r="JNZ17" s="11"/>
      <c r="JOA17" s="11"/>
      <c r="JOB17" s="11"/>
      <c r="JOC17" s="11"/>
      <c r="JOD17" s="11"/>
      <c r="JOE17" s="11"/>
      <c r="JOF17" s="11"/>
      <c r="JOG17" s="11"/>
      <c r="JOH17" s="11"/>
      <c r="JOI17" s="11"/>
      <c r="JOJ17" s="11"/>
      <c r="JOK17" s="11"/>
      <c r="JOL17" s="11"/>
      <c r="JOM17" s="11"/>
      <c r="JON17" s="11"/>
      <c r="JOO17" s="11"/>
      <c r="JOP17" s="11"/>
      <c r="JOQ17" s="11"/>
      <c r="JOR17" s="11"/>
      <c r="JOS17" s="11"/>
      <c r="JOT17" s="11"/>
      <c r="JOU17" s="11"/>
      <c r="JOV17" s="11"/>
      <c r="JOW17" s="11"/>
      <c r="JOX17" s="11"/>
      <c r="JOY17" s="11"/>
      <c r="JOZ17" s="11"/>
      <c r="JPA17" s="11"/>
      <c r="JPB17" s="11"/>
      <c r="JPC17" s="11"/>
      <c r="JPD17" s="11"/>
      <c r="JPE17" s="11"/>
      <c r="JPF17" s="11"/>
      <c r="JPG17" s="11"/>
      <c r="JPH17" s="11"/>
      <c r="JPI17" s="11"/>
      <c r="JPJ17" s="11"/>
      <c r="JPK17" s="11"/>
      <c r="JPL17" s="11"/>
      <c r="JPM17" s="11"/>
      <c r="JPN17" s="11"/>
      <c r="JPO17" s="11"/>
      <c r="JPP17" s="11"/>
      <c r="JPQ17" s="11"/>
      <c r="JPR17" s="11"/>
      <c r="JPS17" s="11"/>
      <c r="JPT17" s="11"/>
      <c r="JPU17" s="11"/>
      <c r="JPV17" s="11"/>
      <c r="JPW17" s="11"/>
      <c r="JPX17" s="11"/>
      <c r="JPY17" s="11"/>
      <c r="JPZ17" s="11"/>
      <c r="JQA17" s="11"/>
      <c r="JQB17" s="11"/>
      <c r="JQC17" s="11"/>
      <c r="JQD17" s="11"/>
      <c r="JQE17" s="11"/>
      <c r="JQF17" s="11"/>
      <c r="JQG17" s="11"/>
      <c r="JQH17" s="11"/>
      <c r="JQI17" s="11"/>
      <c r="JQJ17" s="11"/>
      <c r="JQK17" s="11"/>
      <c r="JQL17" s="11"/>
      <c r="JQM17" s="11"/>
      <c r="JQN17" s="11"/>
      <c r="JQO17" s="11"/>
      <c r="JQP17" s="11"/>
      <c r="JQQ17" s="11"/>
      <c r="JQR17" s="11"/>
      <c r="JQS17" s="11"/>
      <c r="JQT17" s="11"/>
      <c r="JQU17" s="11"/>
      <c r="JQV17" s="11"/>
      <c r="JQW17" s="11"/>
      <c r="JQX17" s="11"/>
      <c r="JQY17" s="11"/>
      <c r="JQZ17" s="11"/>
      <c r="JRA17" s="11"/>
      <c r="JRB17" s="11"/>
      <c r="JRC17" s="11"/>
      <c r="JRD17" s="11"/>
      <c r="JRE17" s="11"/>
      <c r="JRF17" s="11"/>
      <c r="JRG17" s="11"/>
      <c r="JRH17" s="11"/>
      <c r="JRI17" s="11"/>
      <c r="JRJ17" s="11"/>
      <c r="JRK17" s="11"/>
      <c r="JRL17" s="11"/>
      <c r="JRM17" s="11"/>
      <c r="JRN17" s="11"/>
      <c r="JRO17" s="11"/>
      <c r="JRP17" s="11"/>
      <c r="JRQ17" s="11"/>
      <c r="JRR17" s="11"/>
      <c r="JRS17" s="11"/>
      <c r="JRT17" s="11"/>
      <c r="JRU17" s="11"/>
      <c r="JRV17" s="11"/>
      <c r="JRW17" s="11"/>
      <c r="JRX17" s="11"/>
      <c r="JRY17" s="11"/>
      <c r="JRZ17" s="11"/>
      <c r="JSA17" s="11"/>
      <c r="JSB17" s="11"/>
      <c r="JSC17" s="11"/>
      <c r="JSD17" s="11"/>
      <c r="JSE17" s="11"/>
      <c r="JSF17" s="11"/>
      <c r="JSG17" s="11"/>
      <c r="JSH17" s="11"/>
      <c r="JSI17" s="11"/>
      <c r="JSJ17" s="11"/>
      <c r="JSK17" s="11"/>
      <c r="JSL17" s="11"/>
      <c r="JSM17" s="11"/>
      <c r="JSN17" s="11"/>
      <c r="JSO17" s="11"/>
      <c r="JSP17" s="11"/>
      <c r="JSQ17" s="11"/>
      <c r="JSR17" s="11"/>
      <c r="JSS17" s="11"/>
      <c r="JST17" s="11"/>
      <c r="JSU17" s="11"/>
      <c r="JSV17" s="11"/>
      <c r="JSW17" s="11"/>
      <c r="JSX17" s="11"/>
      <c r="JSY17" s="11"/>
      <c r="JSZ17" s="11"/>
      <c r="JTA17" s="11"/>
      <c r="JTB17" s="11"/>
      <c r="JTC17" s="11"/>
      <c r="JTD17" s="11"/>
      <c r="JTE17" s="11"/>
      <c r="JTF17" s="11"/>
      <c r="JTG17" s="11"/>
      <c r="JTH17" s="11"/>
      <c r="JTI17" s="11"/>
      <c r="JTJ17" s="11"/>
      <c r="JTK17" s="11"/>
      <c r="JTL17" s="11"/>
      <c r="JTM17" s="11"/>
      <c r="JTN17" s="11"/>
      <c r="JTO17" s="11"/>
      <c r="JTP17" s="11"/>
      <c r="JTQ17" s="11"/>
      <c r="JTR17" s="11"/>
      <c r="JTS17" s="11"/>
      <c r="JTT17" s="11"/>
      <c r="JTU17" s="11"/>
      <c r="JTV17" s="11"/>
      <c r="JTW17" s="11"/>
      <c r="JTX17" s="11"/>
      <c r="JTY17" s="11"/>
      <c r="JTZ17" s="11"/>
      <c r="JUA17" s="11"/>
      <c r="JUB17" s="11"/>
      <c r="JUC17" s="11"/>
      <c r="JUD17" s="11"/>
      <c r="JUE17" s="11"/>
      <c r="JUF17" s="11"/>
      <c r="JUG17" s="11"/>
      <c r="JUH17" s="11"/>
      <c r="JUI17" s="11"/>
      <c r="JUJ17" s="11"/>
      <c r="JUK17" s="11"/>
      <c r="JUL17" s="11"/>
      <c r="JUM17" s="11"/>
      <c r="JUN17" s="11"/>
      <c r="JUO17" s="11"/>
      <c r="JUP17" s="11"/>
      <c r="JUQ17" s="11"/>
      <c r="JUR17" s="11"/>
      <c r="JUS17" s="11"/>
      <c r="JUT17" s="11"/>
      <c r="JUU17" s="11"/>
      <c r="JUV17" s="11"/>
      <c r="JUW17" s="11"/>
      <c r="JUX17" s="11"/>
      <c r="JUY17" s="11"/>
      <c r="JUZ17" s="11"/>
      <c r="JVA17" s="11"/>
      <c r="JVB17" s="11"/>
      <c r="JVC17" s="11"/>
      <c r="JVD17" s="11"/>
      <c r="JVE17" s="11"/>
      <c r="JVF17" s="11"/>
      <c r="JVG17" s="11"/>
      <c r="JVH17" s="11"/>
      <c r="JVI17" s="11"/>
      <c r="JVJ17" s="11"/>
      <c r="JVK17" s="11"/>
      <c r="JVL17" s="11"/>
      <c r="JVM17" s="11"/>
      <c r="JVN17" s="11"/>
      <c r="JVO17" s="11"/>
      <c r="JVP17" s="11"/>
      <c r="JVQ17" s="11"/>
      <c r="JVR17" s="11"/>
      <c r="JVS17" s="11"/>
      <c r="JVT17" s="11"/>
      <c r="JVU17" s="11"/>
      <c r="JVV17" s="11"/>
      <c r="JVW17" s="11"/>
      <c r="JVX17" s="11"/>
      <c r="JVY17" s="11"/>
      <c r="JVZ17" s="11"/>
      <c r="JWA17" s="11"/>
      <c r="JWB17" s="11"/>
      <c r="JWC17" s="11"/>
      <c r="JWD17" s="11"/>
      <c r="JWE17" s="11"/>
      <c r="JWF17" s="11"/>
      <c r="JWG17" s="11"/>
      <c r="JWH17" s="11"/>
      <c r="JWI17" s="11"/>
      <c r="JWJ17" s="11"/>
      <c r="JWK17" s="11"/>
      <c r="JWL17" s="11"/>
      <c r="JWM17" s="11"/>
      <c r="JWN17" s="11"/>
      <c r="JWO17" s="11"/>
      <c r="JWP17" s="11"/>
      <c r="JWQ17" s="11"/>
      <c r="JWR17" s="11"/>
      <c r="JWS17" s="11"/>
      <c r="JWT17" s="11"/>
      <c r="JWU17" s="11"/>
      <c r="JWV17" s="11"/>
      <c r="JWW17" s="11"/>
      <c r="JWX17" s="11"/>
      <c r="JWY17" s="11"/>
      <c r="JWZ17" s="11"/>
      <c r="JXA17" s="11"/>
      <c r="JXB17" s="11"/>
      <c r="JXC17" s="11"/>
      <c r="JXD17" s="11"/>
      <c r="JXE17" s="11"/>
      <c r="JXF17" s="11"/>
      <c r="JXG17" s="11"/>
      <c r="JXH17" s="11"/>
      <c r="JXI17" s="11"/>
      <c r="JXJ17" s="11"/>
      <c r="JXK17" s="11"/>
      <c r="JXL17" s="11"/>
      <c r="JXM17" s="11"/>
      <c r="JXN17" s="11"/>
      <c r="JXO17" s="11"/>
      <c r="JXP17" s="11"/>
      <c r="JXQ17" s="11"/>
      <c r="JXR17" s="11"/>
      <c r="JXS17" s="11"/>
      <c r="JXT17" s="11"/>
      <c r="JXU17" s="11"/>
      <c r="JXV17" s="11"/>
      <c r="JXW17" s="11"/>
      <c r="JXX17" s="11"/>
      <c r="JXY17" s="11"/>
      <c r="JXZ17" s="11"/>
      <c r="JYA17" s="11"/>
      <c r="JYB17" s="11"/>
      <c r="JYC17" s="11"/>
      <c r="JYD17" s="11"/>
      <c r="JYE17" s="11"/>
      <c r="JYF17" s="11"/>
      <c r="JYG17" s="11"/>
      <c r="JYH17" s="11"/>
      <c r="JYI17" s="11"/>
      <c r="JYJ17" s="11"/>
      <c r="JYK17" s="11"/>
      <c r="JYL17" s="11"/>
      <c r="JYM17" s="11"/>
      <c r="JYN17" s="11"/>
      <c r="JYO17" s="11"/>
      <c r="JYP17" s="11"/>
      <c r="JYQ17" s="11"/>
      <c r="JYR17" s="11"/>
      <c r="JYS17" s="11"/>
      <c r="JYT17" s="11"/>
      <c r="JYU17" s="11"/>
      <c r="JYV17" s="11"/>
      <c r="JYW17" s="11"/>
      <c r="JYX17" s="11"/>
      <c r="JYY17" s="11"/>
      <c r="JYZ17" s="11"/>
      <c r="JZA17" s="11"/>
      <c r="JZB17" s="11"/>
      <c r="JZC17" s="11"/>
      <c r="JZD17" s="11"/>
      <c r="JZE17" s="11"/>
      <c r="JZF17" s="11"/>
      <c r="JZG17" s="11"/>
      <c r="JZH17" s="11"/>
      <c r="JZI17" s="11"/>
      <c r="JZJ17" s="11"/>
      <c r="JZK17" s="11"/>
      <c r="JZL17" s="11"/>
      <c r="JZM17" s="11"/>
      <c r="JZN17" s="11"/>
      <c r="JZO17" s="11"/>
      <c r="JZP17" s="11"/>
      <c r="JZQ17" s="11"/>
      <c r="JZR17" s="11"/>
      <c r="JZS17" s="11"/>
      <c r="JZT17" s="11"/>
      <c r="JZU17" s="11"/>
      <c r="JZV17" s="11"/>
      <c r="JZW17" s="11"/>
      <c r="JZX17" s="11"/>
      <c r="JZY17" s="11"/>
      <c r="JZZ17" s="11"/>
      <c r="KAA17" s="11"/>
      <c r="KAB17" s="11"/>
      <c r="KAC17" s="11"/>
      <c r="KAD17" s="11"/>
      <c r="KAE17" s="11"/>
      <c r="KAF17" s="11"/>
      <c r="KAG17" s="11"/>
      <c r="KAH17" s="11"/>
      <c r="KAI17" s="11"/>
      <c r="KAJ17" s="11"/>
      <c r="KAK17" s="11"/>
      <c r="KAL17" s="11"/>
      <c r="KAM17" s="11"/>
      <c r="KAN17" s="11"/>
      <c r="KAO17" s="11"/>
      <c r="KAP17" s="11"/>
      <c r="KAQ17" s="11"/>
      <c r="KAR17" s="11"/>
      <c r="KAS17" s="11"/>
      <c r="KAT17" s="11"/>
      <c r="KAU17" s="11"/>
      <c r="KAV17" s="11"/>
      <c r="KAW17" s="11"/>
      <c r="KAX17" s="11"/>
      <c r="KAY17" s="11"/>
      <c r="KAZ17" s="11"/>
      <c r="KBA17" s="11"/>
      <c r="KBB17" s="11"/>
      <c r="KBC17" s="11"/>
      <c r="KBD17" s="11"/>
      <c r="KBE17" s="11"/>
      <c r="KBF17" s="11"/>
      <c r="KBG17" s="11"/>
      <c r="KBH17" s="11"/>
      <c r="KBI17" s="11"/>
      <c r="KBJ17" s="11"/>
      <c r="KBK17" s="11"/>
      <c r="KBL17" s="11"/>
      <c r="KBM17" s="11"/>
      <c r="KBN17" s="11"/>
      <c r="KBO17" s="11"/>
      <c r="KBP17" s="11"/>
      <c r="KBQ17" s="11"/>
      <c r="KBR17" s="11"/>
      <c r="KBS17" s="11"/>
      <c r="KBT17" s="11"/>
      <c r="KBU17" s="11"/>
      <c r="KBV17" s="11"/>
      <c r="KBW17" s="11"/>
      <c r="KBX17" s="11"/>
      <c r="KBY17" s="11"/>
      <c r="KBZ17" s="11"/>
      <c r="KCA17" s="11"/>
      <c r="KCB17" s="11"/>
      <c r="KCC17" s="11"/>
      <c r="KCD17" s="11"/>
      <c r="KCE17" s="11"/>
      <c r="KCF17" s="11"/>
      <c r="KCG17" s="11"/>
      <c r="KCH17" s="11"/>
      <c r="KCI17" s="11"/>
      <c r="KCJ17" s="11"/>
      <c r="KCK17" s="11"/>
      <c r="KCL17" s="11"/>
      <c r="KCM17" s="11"/>
      <c r="KCN17" s="11"/>
      <c r="KCO17" s="11"/>
      <c r="KCP17" s="11"/>
      <c r="KCQ17" s="11"/>
      <c r="KCR17" s="11"/>
      <c r="KCS17" s="11"/>
      <c r="KCT17" s="11"/>
      <c r="KCU17" s="11"/>
      <c r="KCV17" s="11"/>
      <c r="KCW17" s="11"/>
      <c r="KCX17" s="11"/>
      <c r="KCY17" s="11"/>
      <c r="KCZ17" s="11"/>
      <c r="KDA17" s="11"/>
      <c r="KDB17" s="11"/>
      <c r="KDC17" s="11"/>
      <c r="KDD17" s="11"/>
      <c r="KDE17" s="11"/>
      <c r="KDF17" s="11"/>
      <c r="KDG17" s="11"/>
      <c r="KDH17" s="11"/>
      <c r="KDI17" s="11"/>
      <c r="KDJ17" s="11"/>
      <c r="KDK17" s="11"/>
      <c r="KDL17" s="11"/>
      <c r="KDM17" s="11"/>
      <c r="KDN17" s="11"/>
      <c r="KDO17" s="11"/>
      <c r="KDP17" s="11"/>
      <c r="KDQ17" s="11"/>
      <c r="KDR17" s="11"/>
      <c r="KDS17" s="11"/>
      <c r="KDT17" s="11"/>
      <c r="KDU17" s="11"/>
      <c r="KDV17" s="11"/>
      <c r="KDW17" s="11"/>
      <c r="KDX17" s="11"/>
      <c r="KDY17" s="11"/>
      <c r="KDZ17" s="11"/>
      <c r="KEA17" s="11"/>
      <c r="KEB17" s="11"/>
      <c r="KEC17" s="11"/>
      <c r="KED17" s="11"/>
      <c r="KEE17" s="11"/>
      <c r="KEF17" s="11"/>
      <c r="KEG17" s="11"/>
      <c r="KEH17" s="11"/>
      <c r="KEI17" s="11"/>
      <c r="KEJ17" s="11"/>
      <c r="KEK17" s="11"/>
      <c r="KEL17" s="11"/>
      <c r="KEM17" s="11"/>
      <c r="KEN17" s="11"/>
      <c r="KEO17" s="11"/>
      <c r="KEP17" s="11"/>
      <c r="KEQ17" s="11"/>
      <c r="KER17" s="11"/>
      <c r="KES17" s="11"/>
      <c r="KET17" s="11"/>
      <c r="KEU17" s="11"/>
      <c r="KEV17" s="11"/>
      <c r="KEW17" s="11"/>
      <c r="KEX17" s="11"/>
      <c r="KEY17" s="11"/>
      <c r="KEZ17" s="11"/>
      <c r="KFA17" s="11"/>
      <c r="KFB17" s="11"/>
      <c r="KFC17" s="11"/>
      <c r="KFD17" s="11"/>
      <c r="KFE17" s="11"/>
      <c r="KFF17" s="11"/>
      <c r="KFG17" s="11"/>
      <c r="KFH17" s="11"/>
      <c r="KFI17" s="11"/>
      <c r="KFJ17" s="11"/>
      <c r="KFK17" s="11"/>
      <c r="KFL17" s="11"/>
      <c r="KFM17" s="11"/>
      <c r="KFN17" s="11"/>
      <c r="KFO17" s="11"/>
      <c r="KFP17" s="11"/>
      <c r="KFQ17" s="11"/>
      <c r="KFR17" s="11"/>
      <c r="KFS17" s="11"/>
      <c r="KFT17" s="11"/>
      <c r="KFU17" s="11"/>
      <c r="KFV17" s="11"/>
      <c r="KFW17" s="11"/>
      <c r="KFX17" s="11"/>
      <c r="KFY17" s="11"/>
      <c r="KFZ17" s="11"/>
      <c r="KGA17" s="11"/>
      <c r="KGB17" s="11"/>
      <c r="KGC17" s="11"/>
      <c r="KGD17" s="11"/>
      <c r="KGE17" s="11"/>
      <c r="KGF17" s="11"/>
      <c r="KGG17" s="11"/>
      <c r="KGH17" s="11"/>
      <c r="KGI17" s="11"/>
      <c r="KGJ17" s="11"/>
      <c r="KGK17" s="11"/>
      <c r="KGL17" s="11"/>
      <c r="KGM17" s="11"/>
      <c r="KGN17" s="11"/>
      <c r="KGO17" s="11"/>
      <c r="KGP17" s="11"/>
      <c r="KGQ17" s="11"/>
      <c r="KGR17" s="11"/>
      <c r="KGS17" s="11"/>
      <c r="KGT17" s="11"/>
      <c r="KGU17" s="11"/>
      <c r="KGV17" s="11"/>
      <c r="KGW17" s="11"/>
      <c r="KGX17" s="11"/>
      <c r="KGY17" s="11"/>
      <c r="KGZ17" s="11"/>
      <c r="KHA17" s="11"/>
      <c r="KHB17" s="11"/>
      <c r="KHC17" s="11"/>
      <c r="KHD17" s="11"/>
      <c r="KHE17" s="11"/>
      <c r="KHF17" s="11"/>
      <c r="KHG17" s="11"/>
      <c r="KHH17" s="11"/>
      <c r="KHI17" s="11"/>
      <c r="KHJ17" s="11"/>
      <c r="KHK17" s="11"/>
      <c r="KHL17" s="11"/>
      <c r="KHM17" s="11"/>
      <c r="KHN17" s="11"/>
      <c r="KHO17" s="11"/>
      <c r="KHP17" s="11"/>
      <c r="KHQ17" s="11"/>
      <c r="KHR17" s="11"/>
      <c r="KHS17" s="11"/>
      <c r="KHT17" s="11"/>
      <c r="KHU17" s="11"/>
      <c r="KHV17" s="11"/>
      <c r="KHW17" s="11"/>
      <c r="KHX17" s="11"/>
      <c r="KHY17" s="11"/>
      <c r="KHZ17" s="11"/>
      <c r="KIA17" s="11"/>
      <c r="KIB17" s="11"/>
      <c r="KIC17" s="11"/>
      <c r="KID17" s="11"/>
      <c r="KIE17" s="11"/>
      <c r="KIF17" s="11"/>
      <c r="KIG17" s="11"/>
      <c r="KIH17" s="11"/>
      <c r="KII17" s="11"/>
      <c r="KIJ17" s="11"/>
      <c r="KIK17" s="11"/>
      <c r="KIL17" s="11"/>
      <c r="KIM17" s="11"/>
      <c r="KIN17" s="11"/>
      <c r="KIO17" s="11"/>
      <c r="KIP17" s="11"/>
      <c r="KIQ17" s="11"/>
      <c r="KIR17" s="11"/>
      <c r="KIS17" s="11"/>
      <c r="KIT17" s="11"/>
      <c r="KIU17" s="11"/>
      <c r="KIV17" s="11"/>
      <c r="KIW17" s="11"/>
      <c r="KIX17" s="11"/>
      <c r="KIY17" s="11"/>
      <c r="KIZ17" s="11"/>
      <c r="KJA17" s="11"/>
      <c r="KJB17" s="11"/>
      <c r="KJC17" s="11"/>
      <c r="KJD17" s="11"/>
      <c r="KJE17" s="11"/>
      <c r="KJF17" s="11"/>
      <c r="KJG17" s="11"/>
      <c r="KJH17" s="11"/>
      <c r="KJI17" s="11"/>
      <c r="KJJ17" s="11"/>
      <c r="KJK17" s="11"/>
      <c r="KJL17" s="11"/>
      <c r="KJM17" s="11"/>
      <c r="KJN17" s="11"/>
      <c r="KJO17" s="11"/>
      <c r="KJP17" s="11"/>
      <c r="KJQ17" s="11"/>
      <c r="KJR17" s="11"/>
      <c r="KJS17" s="11"/>
      <c r="KJT17" s="11"/>
      <c r="KJU17" s="11"/>
      <c r="KJV17" s="11"/>
      <c r="KJW17" s="11"/>
      <c r="KJX17" s="11"/>
      <c r="KJY17" s="11"/>
      <c r="KJZ17" s="11"/>
      <c r="KKA17" s="11"/>
      <c r="KKB17" s="11"/>
      <c r="KKC17" s="11"/>
      <c r="KKD17" s="11"/>
      <c r="KKE17" s="11"/>
      <c r="KKF17" s="11"/>
      <c r="KKG17" s="11"/>
      <c r="KKH17" s="11"/>
      <c r="KKI17" s="11"/>
      <c r="KKJ17" s="11"/>
      <c r="KKK17" s="11"/>
      <c r="KKL17" s="11"/>
      <c r="KKM17" s="11"/>
      <c r="KKN17" s="11"/>
      <c r="KKO17" s="11"/>
      <c r="KKP17" s="11"/>
      <c r="KKQ17" s="11"/>
      <c r="KKR17" s="11"/>
      <c r="KKS17" s="11"/>
      <c r="KKT17" s="11"/>
      <c r="KKU17" s="11"/>
      <c r="KKV17" s="11"/>
      <c r="KKW17" s="11"/>
      <c r="KKX17" s="11"/>
      <c r="KKY17" s="11"/>
      <c r="KKZ17" s="11"/>
      <c r="KLA17" s="11"/>
      <c r="KLB17" s="11"/>
      <c r="KLC17" s="11"/>
      <c r="KLD17" s="11"/>
      <c r="KLE17" s="11"/>
      <c r="KLF17" s="11"/>
      <c r="KLG17" s="11"/>
      <c r="KLH17" s="11"/>
      <c r="KLI17" s="11"/>
      <c r="KLJ17" s="11"/>
      <c r="KLK17" s="11"/>
      <c r="KLL17" s="11"/>
      <c r="KLM17" s="11"/>
      <c r="KLN17" s="11"/>
      <c r="KLO17" s="11"/>
      <c r="KLP17" s="11"/>
      <c r="KLQ17" s="11"/>
      <c r="KLR17" s="11"/>
      <c r="KLS17" s="11"/>
      <c r="KLT17" s="11"/>
      <c r="KLU17" s="11"/>
      <c r="KLV17" s="11"/>
      <c r="KLW17" s="11"/>
      <c r="KLX17" s="11"/>
      <c r="KLY17" s="11"/>
      <c r="KLZ17" s="11"/>
      <c r="KMA17" s="11"/>
      <c r="KMB17" s="11"/>
      <c r="KMC17" s="11"/>
      <c r="KMD17" s="11"/>
      <c r="KME17" s="11"/>
      <c r="KMF17" s="11"/>
      <c r="KMG17" s="11"/>
      <c r="KMH17" s="11"/>
      <c r="KMI17" s="11"/>
      <c r="KMJ17" s="11"/>
      <c r="KMK17" s="11"/>
      <c r="KML17" s="11"/>
      <c r="KMM17" s="11"/>
      <c r="KMN17" s="11"/>
      <c r="KMO17" s="11"/>
      <c r="KMP17" s="11"/>
      <c r="KMQ17" s="11"/>
      <c r="KMR17" s="11"/>
      <c r="KMS17" s="11"/>
      <c r="KMT17" s="11"/>
      <c r="KMU17" s="11"/>
      <c r="KMV17" s="11"/>
      <c r="KMW17" s="11"/>
      <c r="KMX17" s="11"/>
      <c r="KMY17" s="11"/>
      <c r="KMZ17" s="11"/>
      <c r="KNA17" s="11"/>
      <c r="KNB17" s="11"/>
      <c r="KNC17" s="11"/>
      <c r="KND17" s="11"/>
      <c r="KNE17" s="11"/>
      <c r="KNF17" s="11"/>
      <c r="KNG17" s="11"/>
      <c r="KNH17" s="11"/>
      <c r="KNI17" s="11"/>
      <c r="KNJ17" s="11"/>
      <c r="KNK17" s="11"/>
      <c r="KNL17" s="11"/>
      <c r="KNM17" s="11"/>
      <c r="KNN17" s="11"/>
      <c r="KNO17" s="11"/>
      <c r="KNP17" s="11"/>
      <c r="KNQ17" s="11"/>
      <c r="KNR17" s="11"/>
      <c r="KNS17" s="11"/>
      <c r="KNT17" s="11"/>
      <c r="KNU17" s="11"/>
      <c r="KNV17" s="11"/>
      <c r="KNW17" s="11"/>
      <c r="KNX17" s="11"/>
      <c r="KNY17" s="11"/>
      <c r="KNZ17" s="11"/>
      <c r="KOA17" s="11"/>
      <c r="KOB17" s="11"/>
      <c r="KOC17" s="11"/>
      <c r="KOD17" s="11"/>
      <c r="KOE17" s="11"/>
      <c r="KOF17" s="11"/>
      <c r="KOG17" s="11"/>
      <c r="KOH17" s="11"/>
      <c r="KOI17" s="11"/>
      <c r="KOJ17" s="11"/>
      <c r="KOK17" s="11"/>
      <c r="KOL17" s="11"/>
      <c r="KOM17" s="11"/>
      <c r="KON17" s="11"/>
      <c r="KOO17" s="11"/>
      <c r="KOP17" s="11"/>
      <c r="KOQ17" s="11"/>
      <c r="KOR17" s="11"/>
      <c r="KOS17" s="11"/>
      <c r="KOT17" s="11"/>
      <c r="KOU17" s="11"/>
      <c r="KOV17" s="11"/>
      <c r="KOW17" s="11"/>
      <c r="KOX17" s="11"/>
      <c r="KOY17" s="11"/>
      <c r="KOZ17" s="11"/>
      <c r="KPA17" s="11"/>
      <c r="KPB17" s="11"/>
      <c r="KPC17" s="11"/>
      <c r="KPD17" s="11"/>
      <c r="KPE17" s="11"/>
      <c r="KPF17" s="11"/>
      <c r="KPG17" s="11"/>
      <c r="KPH17" s="11"/>
      <c r="KPI17" s="11"/>
      <c r="KPJ17" s="11"/>
      <c r="KPK17" s="11"/>
      <c r="KPL17" s="11"/>
      <c r="KPM17" s="11"/>
      <c r="KPN17" s="11"/>
      <c r="KPO17" s="11"/>
      <c r="KPP17" s="11"/>
      <c r="KPQ17" s="11"/>
      <c r="KPR17" s="11"/>
      <c r="KPS17" s="11"/>
      <c r="KPT17" s="11"/>
      <c r="KPU17" s="11"/>
      <c r="KPV17" s="11"/>
      <c r="KPW17" s="11"/>
      <c r="KPX17" s="11"/>
      <c r="KPY17" s="11"/>
      <c r="KPZ17" s="11"/>
      <c r="KQA17" s="11"/>
      <c r="KQB17" s="11"/>
      <c r="KQC17" s="11"/>
      <c r="KQD17" s="11"/>
      <c r="KQE17" s="11"/>
      <c r="KQF17" s="11"/>
      <c r="KQG17" s="11"/>
      <c r="KQH17" s="11"/>
      <c r="KQI17" s="11"/>
      <c r="KQJ17" s="11"/>
      <c r="KQK17" s="11"/>
      <c r="KQL17" s="11"/>
      <c r="KQM17" s="11"/>
      <c r="KQN17" s="11"/>
      <c r="KQO17" s="11"/>
      <c r="KQP17" s="11"/>
      <c r="KQQ17" s="11"/>
      <c r="KQR17" s="11"/>
      <c r="KQS17" s="11"/>
      <c r="KQT17" s="11"/>
      <c r="KQU17" s="11"/>
      <c r="KQV17" s="11"/>
      <c r="KQW17" s="11"/>
      <c r="KQX17" s="11"/>
      <c r="KQY17" s="11"/>
      <c r="KQZ17" s="11"/>
      <c r="KRA17" s="11"/>
      <c r="KRB17" s="11"/>
      <c r="KRC17" s="11"/>
      <c r="KRD17" s="11"/>
      <c r="KRE17" s="11"/>
      <c r="KRF17" s="11"/>
      <c r="KRG17" s="11"/>
      <c r="KRH17" s="11"/>
      <c r="KRI17" s="11"/>
      <c r="KRJ17" s="11"/>
      <c r="KRK17" s="11"/>
      <c r="KRL17" s="11"/>
      <c r="KRM17" s="11"/>
      <c r="KRN17" s="11"/>
      <c r="KRO17" s="11"/>
      <c r="KRP17" s="11"/>
      <c r="KRQ17" s="11"/>
      <c r="KRR17" s="11"/>
      <c r="KRS17" s="11"/>
      <c r="KRT17" s="11"/>
      <c r="KRU17" s="11"/>
      <c r="KRV17" s="11"/>
      <c r="KRW17" s="11"/>
      <c r="KRX17" s="11"/>
      <c r="KRY17" s="11"/>
      <c r="KRZ17" s="11"/>
      <c r="KSA17" s="11"/>
      <c r="KSB17" s="11"/>
      <c r="KSC17" s="11"/>
      <c r="KSD17" s="11"/>
      <c r="KSE17" s="11"/>
      <c r="KSF17" s="11"/>
      <c r="KSG17" s="11"/>
      <c r="KSH17" s="11"/>
      <c r="KSI17" s="11"/>
      <c r="KSJ17" s="11"/>
      <c r="KSK17" s="11"/>
      <c r="KSL17" s="11"/>
      <c r="KSM17" s="11"/>
      <c r="KSN17" s="11"/>
      <c r="KSO17" s="11"/>
      <c r="KSP17" s="11"/>
      <c r="KSQ17" s="11"/>
      <c r="KSR17" s="11"/>
      <c r="KSS17" s="11"/>
      <c r="KST17" s="11"/>
      <c r="KSU17" s="11"/>
      <c r="KSV17" s="11"/>
      <c r="KSW17" s="11"/>
      <c r="KSX17" s="11"/>
      <c r="KSY17" s="11"/>
      <c r="KSZ17" s="11"/>
      <c r="KTA17" s="11"/>
      <c r="KTB17" s="11"/>
      <c r="KTC17" s="11"/>
      <c r="KTD17" s="11"/>
      <c r="KTE17" s="11"/>
      <c r="KTF17" s="11"/>
      <c r="KTG17" s="11"/>
      <c r="KTH17" s="11"/>
      <c r="KTI17" s="11"/>
      <c r="KTJ17" s="11"/>
      <c r="KTK17" s="11"/>
      <c r="KTL17" s="11"/>
      <c r="KTM17" s="11"/>
      <c r="KTN17" s="11"/>
      <c r="KTO17" s="11"/>
      <c r="KTP17" s="11"/>
      <c r="KTQ17" s="11"/>
      <c r="KTR17" s="11"/>
      <c r="KTS17" s="11"/>
      <c r="KTT17" s="11"/>
      <c r="KTU17" s="11"/>
      <c r="KTV17" s="11"/>
      <c r="KTW17" s="11"/>
      <c r="KTX17" s="11"/>
      <c r="KTY17" s="11"/>
      <c r="KTZ17" s="11"/>
      <c r="KUA17" s="11"/>
      <c r="KUB17" s="11"/>
      <c r="KUC17" s="11"/>
      <c r="KUD17" s="11"/>
      <c r="KUE17" s="11"/>
      <c r="KUF17" s="11"/>
      <c r="KUG17" s="11"/>
      <c r="KUH17" s="11"/>
      <c r="KUI17" s="11"/>
      <c r="KUJ17" s="11"/>
      <c r="KUK17" s="11"/>
      <c r="KUL17" s="11"/>
      <c r="KUM17" s="11"/>
      <c r="KUN17" s="11"/>
      <c r="KUO17" s="11"/>
      <c r="KUP17" s="11"/>
      <c r="KUQ17" s="11"/>
      <c r="KUR17" s="11"/>
      <c r="KUS17" s="11"/>
      <c r="KUT17" s="11"/>
      <c r="KUU17" s="11"/>
      <c r="KUV17" s="11"/>
      <c r="KUW17" s="11"/>
      <c r="KUX17" s="11"/>
      <c r="KUY17" s="11"/>
      <c r="KUZ17" s="11"/>
      <c r="KVA17" s="11"/>
      <c r="KVB17" s="11"/>
      <c r="KVC17" s="11"/>
      <c r="KVD17" s="11"/>
      <c r="KVE17" s="11"/>
      <c r="KVF17" s="11"/>
      <c r="KVG17" s="11"/>
      <c r="KVH17" s="11"/>
      <c r="KVI17" s="11"/>
      <c r="KVJ17" s="11"/>
      <c r="KVK17" s="11"/>
      <c r="KVL17" s="11"/>
      <c r="KVM17" s="11"/>
      <c r="KVN17" s="11"/>
      <c r="KVO17" s="11"/>
      <c r="KVP17" s="11"/>
      <c r="KVQ17" s="11"/>
      <c r="KVR17" s="11"/>
      <c r="KVS17" s="11"/>
      <c r="KVT17" s="11"/>
      <c r="KVU17" s="11"/>
      <c r="KVV17" s="11"/>
      <c r="KVW17" s="11"/>
      <c r="KVX17" s="11"/>
      <c r="KVY17" s="11"/>
      <c r="KVZ17" s="11"/>
      <c r="KWA17" s="11"/>
      <c r="KWB17" s="11"/>
      <c r="KWC17" s="11"/>
      <c r="KWD17" s="11"/>
      <c r="KWE17" s="11"/>
      <c r="KWF17" s="11"/>
      <c r="KWG17" s="11"/>
      <c r="KWH17" s="11"/>
      <c r="KWI17" s="11"/>
      <c r="KWJ17" s="11"/>
      <c r="KWK17" s="11"/>
      <c r="KWL17" s="11"/>
      <c r="KWM17" s="11"/>
      <c r="KWN17" s="11"/>
      <c r="KWO17" s="11"/>
      <c r="KWP17" s="11"/>
      <c r="KWQ17" s="11"/>
      <c r="KWR17" s="11"/>
      <c r="KWS17" s="11"/>
      <c r="KWT17" s="11"/>
      <c r="KWU17" s="11"/>
      <c r="KWV17" s="11"/>
      <c r="KWW17" s="11"/>
      <c r="KWX17" s="11"/>
      <c r="KWY17" s="11"/>
      <c r="KWZ17" s="11"/>
      <c r="KXA17" s="11"/>
      <c r="KXB17" s="11"/>
      <c r="KXC17" s="11"/>
      <c r="KXD17" s="11"/>
      <c r="KXE17" s="11"/>
      <c r="KXF17" s="11"/>
      <c r="KXG17" s="11"/>
      <c r="KXH17" s="11"/>
      <c r="KXI17" s="11"/>
      <c r="KXJ17" s="11"/>
      <c r="KXK17" s="11"/>
      <c r="KXL17" s="11"/>
      <c r="KXM17" s="11"/>
      <c r="KXN17" s="11"/>
      <c r="KXO17" s="11"/>
      <c r="KXP17" s="11"/>
      <c r="KXQ17" s="11"/>
      <c r="KXR17" s="11"/>
      <c r="KXS17" s="11"/>
      <c r="KXT17" s="11"/>
      <c r="KXU17" s="11"/>
      <c r="KXV17" s="11"/>
      <c r="KXW17" s="11"/>
      <c r="KXX17" s="11"/>
      <c r="KXY17" s="11"/>
      <c r="KXZ17" s="11"/>
      <c r="KYA17" s="11"/>
      <c r="KYB17" s="11"/>
      <c r="KYC17" s="11"/>
      <c r="KYD17" s="11"/>
      <c r="KYE17" s="11"/>
      <c r="KYF17" s="11"/>
      <c r="KYG17" s="11"/>
      <c r="KYH17" s="11"/>
      <c r="KYI17" s="11"/>
      <c r="KYJ17" s="11"/>
      <c r="KYK17" s="11"/>
      <c r="KYL17" s="11"/>
      <c r="KYM17" s="11"/>
      <c r="KYN17" s="11"/>
      <c r="KYO17" s="11"/>
      <c r="KYP17" s="11"/>
      <c r="KYQ17" s="11"/>
      <c r="KYR17" s="11"/>
      <c r="KYS17" s="11"/>
      <c r="KYT17" s="11"/>
      <c r="KYU17" s="11"/>
      <c r="KYV17" s="11"/>
      <c r="KYW17" s="11"/>
      <c r="KYX17" s="11"/>
      <c r="KYY17" s="11"/>
      <c r="KYZ17" s="11"/>
      <c r="KZA17" s="11"/>
      <c r="KZB17" s="11"/>
      <c r="KZC17" s="11"/>
      <c r="KZD17" s="11"/>
      <c r="KZE17" s="11"/>
      <c r="KZF17" s="11"/>
      <c r="KZG17" s="11"/>
      <c r="KZH17" s="11"/>
      <c r="KZI17" s="11"/>
      <c r="KZJ17" s="11"/>
      <c r="KZK17" s="11"/>
      <c r="KZL17" s="11"/>
      <c r="KZM17" s="11"/>
      <c r="KZN17" s="11"/>
      <c r="KZO17" s="11"/>
      <c r="KZP17" s="11"/>
      <c r="KZQ17" s="11"/>
      <c r="KZR17" s="11"/>
      <c r="KZS17" s="11"/>
      <c r="KZT17" s="11"/>
      <c r="KZU17" s="11"/>
      <c r="KZV17" s="11"/>
      <c r="KZW17" s="11"/>
      <c r="KZX17" s="11"/>
      <c r="KZY17" s="11"/>
      <c r="KZZ17" s="11"/>
      <c r="LAA17" s="11"/>
      <c r="LAB17" s="11"/>
      <c r="LAC17" s="11"/>
      <c r="LAD17" s="11"/>
      <c r="LAE17" s="11"/>
      <c r="LAF17" s="11"/>
      <c r="LAG17" s="11"/>
      <c r="LAH17" s="11"/>
      <c r="LAI17" s="11"/>
      <c r="LAJ17" s="11"/>
      <c r="LAK17" s="11"/>
      <c r="LAL17" s="11"/>
      <c r="LAM17" s="11"/>
      <c r="LAN17" s="11"/>
      <c r="LAO17" s="11"/>
      <c r="LAP17" s="11"/>
      <c r="LAQ17" s="11"/>
      <c r="LAR17" s="11"/>
      <c r="LAS17" s="11"/>
      <c r="LAT17" s="11"/>
      <c r="LAU17" s="11"/>
      <c r="LAV17" s="11"/>
      <c r="LAW17" s="11"/>
      <c r="LAX17" s="11"/>
      <c r="LAY17" s="11"/>
      <c r="LAZ17" s="11"/>
      <c r="LBA17" s="11"/>
      <c r="LBB17" s="11"/>
      <c r="LBC17" s="11"/>
      <c r="LBD17" s="11"/>
      <c r="LBE17" s="11"/>
      <c r="LBF17" s="11"/>
      <c r="LBG17" s="11"/>
      <c r="LBH17" s="11"/>
      <c r="LBI17" s="11"/>
      <c r="LBJ17" s="11"/>
      <c r="LBK17" s="11"/>
      <c r="LBL17" s="11"/>
      <c r="LBM17" s="11"/>
      <c r="LBN17" s="11"/>
      <c r="LBO17" s="11"/>
      <c r="LBP17" s="11"/>
      <c r="LBQ17" s="11"/>
      <c r="LBR17" s="11"/>
      <c r="LBS17" s="11"/>
      <c r="LBT17" s="11"/>
      <c r="LBU17" s="11"/>
      <c r="LBV17" s="11"/>
      <c r="LBW17" s="11"/>
      <c r="LBX17" s="11"/>
      <c r="LBY17" s="11"/>
      <c r="LBZ17" s="11"/>
      <c r="LCA17" s="11"/>
      <c r="LCB17" s="11"/>
      <c r="LCC17" s="11"/>
      <c r="LCD17" s="11"/>
      <c r="LCE17" s="11"/>
      <c r="LCF17" s="11"/>
      <c r="LCG17" s="11"/>
      <c r="LCH17" s="11"/>
      <c r="LCI17" s="11"/>
      <c r="LCJ17" s="11"/>
      <c r="LCK17" s="11"/>
      <c r="LCL17" s="11"/>
      <c r="LCM17" s="11"/>
      <c r="LCN17" s="11"/>
      <c r="LCO17" s="11"/>
      <c r="LCP17" s="11"/>
      <c r="LCQ17" s="11"/>
      <c r="LCR17" s="11"/>
      <c r="LCS17" s="11"/>
      <c r="LCT17" s="11"/>
      <c r="LCU17" s="11"/>
      <c r="LCV17" s="11"/>
      <c r="LCW17" s="11"/>
      <c r="LCX17" s="11"/>
      <c r="LCY17" s="11"/>
      <c r="LCZ17" s="11"/>
      <c r="LDA17" s="11"/>
      <c r="LDB17" s="11"/>
      <c r="LDC17" s="11"/>
      <c r="LDD17" s="11"/>
      <c r="LDE17" s="11"/>
      <c r="LDF17" s="11"/>
      <c r="LDG17" s="11"/>
      <c r="LDH17" s="11"/>
      <c r="LDI17" s="11"/>
      <c r="LDJ17" s="11"/>
      <c r="LDK17" s="11"/>
      <c r="LDL17" s="11"/>
      <c r="LDM17" s="11"/>
      <c r="LDN17" s="11"/>
      <c r="LDO17" s="11"/>
      <c r="LDP17" s="11"/>
      <c r="LDQ17" s="11"/>
      <c r="LDR17" s="11"/>
      <c r="LDS17" s="11"/>
      <c r="LDT17" s="11"/>
      <c r="LDU17" s="11"/>
      <c r="LDV17" s="11"/>
      <c r="LDW17" s="11"/>
      <c r="LDX17" s="11"/>
      <c r="LDY17" s="11"/>
      <c r="LDZ17" s="11"/>
      <c r="LEA17" s="11"/>
      <c r="LEB17" s="11"/>
      <c r="LEC17" s="11"/>
      <c r="LED17" s="11"/>
      <c r="LEE17" s="11"/>
      <c r="LEF17" s="11"/>
      <c r="LEG17" s="11"/>
      <c r="LEH17" s="11"/>
      <c r="LEI17" s="11"/>
      <c r="LEJ17" s="11"/>
      <c r="LEK17" s="11"/>
      <c r="LEL17" s="11"/>
      <c r="LEM17" s="11"/>
      <c r="LEN17" s="11"/>
      <c r="LEO17" s="11"/>
      <c r="LEP17" s="11"/>
      <c r="LEQ17" s="11"/>
      <c r="LER17" s="11"/>
      <c r="LES17" s="11"/>
      <c r="LET17" s="11"/>
      <c r="LEU17" s="11"/>
      <c r="LEV17" s="11"/>
      <c r="LEW17" s="11"/>
      <c r="LEX17" s="11"/>
      <c r="LEY17" s="11"/>
      <c r="LEZ17" s="11"/>
      <c r="LFA17" s="11"/>
      <c r="LFB17" s="11"/>
      <c r="LFC17" s="11"/>
      <c r="LFD17" s="11"/>
      <c r="LFE17" s="11"/>
      <c r="LFF17" s="11"/>
      <c r="LFG17" s="11"/>
      <c r="LFH17" s="11"/>
      <c r="LFI17" s="11"/>
      <c r="LFJ17" s="11"/>
      <c r="LFK17" s="11"/>
      <c r="LFL17" s="11"/>
      <c r="LFM17" s="11"/>
      <c r="LFN17" s="11"/>
      <c r="LFO17" s="11"/>
      <c r="LFP17" s="11"/>
      <c r="LFQ17" s="11"/>
      <c r="LFR17" s="11"/>
      <c r="LFS17" s="11"/>
      <c r="LFT17" s="11"/>
      <c r="LFU17" s="11"/>
      <c r="LFV17" s="11"/>
      <c r="LFW17" s="11"/>
      <c r="LFX17" s="11"/>
      <c r="LFY17" s="11"/>
      <c r="LFZ17" s="11"/>
      <c r="LGA17" s="11"/>
      <c r="LGB17" s="11"/>
      <c r="LGC17" s="11"/>
      <c r="LGD17" s="11"/>
      <c r="LGE17" s="11"/>
      <c r="LGF17" s="11"/>
      <c r="LGG17" s="11"/>
      <c r="LGH17" s="11"/>
      <c r="LGI17" s="11"/>
      <c r="LGJ17" s="11"/>
      <c r="LGK17" s="11"/>
      <c r="LGL17" s="11"/>
      <c r="LGM17" s="11"/>
      <c r="LGN17" s="11"/>
      <c r="LGO17" s="11"/>
      <c r="LGP17" s="11"/>
      <c r="LGQ17" s="11"/>
      <c r="LGR17" s="11"/>
      <c r="LGS17" s="11"/>
      <c r="LGT17" s="11"/>
      <c r="LGU17" s="11"/>
      <c r="LGV17" s="11"/>
      <c r="LGW17" s="11"/>
      <c r="LGX17" s="11"/>
      <c r="LGY17" s="11"/>
      <c r="LGZ17" s="11"/>
      <c r="LHA17" s="11"/>
      <c r="LHB17" s="11"/>
      <c r="LHC17" s="11"/>
      <c r="LHD17" s="11"/>
      <c r="LHE17" s="11"/>
      <c r="LHF17" s="11"/>
      <c r="LHG17" s="11"/>
      <c r="LHH17" s="11"/>
      <c r="LHI17" s="11"/>
      <c r="LHJ17" s="11"/>
      <c r="LHK17" s="11"/>
      <c r="LHL17" s="11"/>
      <c r="LHM17" s="11"/>
      <c r="LHN17" s="11"/>
      <c r="LHO17" s="11"/>
      <c r="LHP17" s="11"/>
      <c r="LHQ17" s="11"/>
      <c r="LHR17" s="11"/>
      <c r="LHS17" s="11"/>
      <c r="LHT17" s="11"/>
      <c r="LHU17" s="11"/>
      <c r="LHV17" s="11"/>
      <c r="LHW17" s="11"/>
      <c r="LHX17" s="11"/>
      <c r="LHY17" s="11"/>
      <c r="LHZ17" s="11"/>
      <c r="LIA17" s="11"/>
      <c r="LIB17" s="11"/>
      <c r="LIC17" s="11"/>
      <c r="LID17" s="11"/>
      <c r="LIE17" s="11"/>
      <c r="LIF17" s="11"/>
      <c r="LIG17" s="11"/>
      <c r="LIH17" s="11"/>
      <c r="LII17" s="11"/>
      <c r="LIJ17" s="11"/>
      <c r="LIK17" s="11"/>
      <c r="LIL17" s="11"/>
      <c r="LIM17" s="11"/>
      <c r="LIN17" s="11"/>
      <c r="LIO17" s="11"/>
      <c r="LIP17" s="11"/>
      <c r="LIQ17" s="11"/>
      <c r="LIR17" s="11"/>
      <c r="LIS17" s="11"/>
      <c r="LIT17" s="11"/>
      <c r="LIU17" s="11"/>
      <c r="LIV17" s="11"/>
      <c r="LIW17" s="11"/>
      <c r="LIX17" s="11"/>
      <c r="LIY17" s="11"/>
      <c r="LIZ17" s="11"/>
      <c r="LJA17" s="11"/>
      <c r="LJB17" s="11"/>
      <c r="LJC17" s="11"/>
      <c r="LJD17" s="11"/>
      <c r="LJE17" s="11"/>
      <c r="LJF17" s="11"/>
      <c r="LJG17" s="11"/>
      <c r="LJH17" s="11"/>
      <c r="LJI17" s="11"/>
      <c r="LJJ17" s="11"/>
      <c r="LJK17" s="11"/>
      <c r="LJL17" s="11"/>
      <c r="LJM17" s="11"/>
      <c r="LJN17" s="11"/>
      <c r="LJO17" s="11"/>
      <c r="LJP17" s="11"/>
      <c r="LJQ17" s="11"/>
      <c r="LJR17" s="11"/>
      <c r="LJS17" s="11"/>
      <c r="LJT17" s="11"/>
      <c r="LJU17" s="11"/>
      <c r="LJV17" s="11"/>
      <c r="LJW17" s="11"/>
      <c r="LJX17" s="11"/>
      <c r="LJY17" s="11"/>
      <c r="LJZ17" s="11"/>
      <c r="LKA17" s="11"/>
      <c r="LKB17" s="11"/>
      <c r="LKC17" s="11"/>
      <c r="LKD17" s="11"/>
      <c r="LKE17" s="11"/>
      <c r="LKF17" s="11"/>
      <c r="LKG17" s="11"/>
      <c r="LKH17" s="11"/>
      <c r="LKI17" s="11"/>
      <c r="LKJ17" s="11"/>
      <c r="LKK17" s="11"/>
      <c r="LKL17" s="11"/>
      <c r="LKM17" s="11"/>
      <c r="LKN17" s="11"/>
      <c r="LKO17" s="11"/>
      <c r="LKP17" s="11"/>
      <c r="LKQ17" s="11"/>
      <c r="LKR17" s="11"/>
      <c r="LKS17" s="11"/>
      <c r="LKT17" s="11"/>
      <c r="LKU17" s="11"/>
      <c r="LKV17" s="11"/>
      <c r="LKW17" s="11"/>
      <c r="LKX17" s="11"/>
      <c r="LKY17" s="11"/>
      <c r="LKZ17" s="11"/>
      <c r="LLA17" s="11"/>
      <c r="LLB17" s="11"/>
      <c r="LLC17" s="11"/>
      <c r="LLD17" s="11"/>
      <c r="LLE17" s="11"/>
      <c r="LLF17" s="11"/>
      <c r="LLG17" s="11"/>
      <c r="LLH17" s="11"/>
      <c r="LLI17" s="11"/>
      <c r="LLJ17" s="11"/>
      <c r="LLK17" s="11"/>
      <c r="LLL17" s="11"/>
      <c r="LLM17" s="11"/>
      <c r="LLN17" s="11"/>
      <c r="LLO17" s="11"/>
      <c r="LLP17" s="11"/>
      <c r="LLQ17" s="11"/>
      <c r="LLR17" s="11"/>
      <c r="LLS17" s="11"/>
      <c r="LLT17" s="11"/>
      <c r="LLU17" s="11"/>
      <c r="LLV17" s="11"/>
      <c r="LLW17" s="11"/>
      <c r="LLX17" s="11"/>
      <c r="LLY17" s="11"/>
      <c r="LLZ17" s="11"/>
      <c r="LMA17" s="11"/>
      <c r="LMB17" s="11"/>
      <c r="LMC17" s="11"/>
      <c r="LMD17" s="11"/>
      <c r="LME17" s="11"/>
      <c r="LMF17" s="11"/>
      <c r="LMG17" s="11"/>
      <c r="LMH17" s="11"/>
      <c r="LMI17" s="11"/>
      <c r="LMJ17" s="11"/>
      <c r="LMK17" s="11"/>
      <c r="LML17" s="11"/>
      <c r="LMM17" s="11"/>
      <c r="LMN17" s="11"/>
      <c r="LMO17" s="11"/>
      <c r="LMP17" s="11"/>
      <c r="LMQ17" s="11"/>
      <c r="LMR17" s="11"/>
      <c r="LMS17" s="11"/>
      <c r="LMT17" s="11"/>
      <c r="LMU17" s="11"/>
      <c r="LMV17" s="11"/>
      <c r="LMW17" s="11"/>
      <c r="LMX17" s="11"/>
      <c r="LMY17" s="11"/>
      <c r="LMZ17" s="11"/>
      <c r="LNA17" s="11"/>
      <c r="LNB17" s="11"/>
      <c r="LNC17" s="11"/>
      <c r="LND17" s="11"/>
      <c r="LNE17" s="11"/>
      <c r="LNF17" s="11"/>
      <c r="LNG17" s="11"/>
      <c r="LNH17" s="11"/>
      <c r="LNI17" s="11"/>
      <c r="LNJ17" s="11"/>
      <c r="LNK17" s="11"/>
      <c r="LNL17" s="11"/>
      <c r="LNM17" s="11"/>
      <c r="LNN17" s="11"/>
      <c r="LNO17" s="11"/>
      <c r="LNP17" s="11"/>
      <c r="LNQ17" s="11"/>
      <c r="LNR17" s="11"/>
      <c r="LNS17" s="11"/>
      <c r="LNT17" s="11"/>
      <c r="LNU17" s="11"/>
      <c r="LNV17" s="11"/>
      <c r="LNW17" s="11"/>
      <c r="LNX17" s="11"/>
      <c r="LNY17" s="11"/>
      <c r="LNZ17" s="11"/>
      <c r="LOA17" s="11"/>
      <c r="LOB17" s="11"/>
      <c r="LOC17" s="11"/>
      <c r="LOD17" s="11"/>
      <c r="LOE17" s="11"/>
      <c r="LOF17" s="11"/>
      <c r="LOG17" s="11"/>
      <c r="LOH17" s="11"/>
      <c r="LOI17" s="11"/>
      <c r="LOJ17" s="11"/>
      <c r="LOK17" s="11"/>
      <c r="LOL17" s="11"/>
      <c r="LOM17" s="11"/>
      <c r="LON17" s="11"/>
      <c r="LOO17" s="11"/>
      <c r="LOP17" s="11"/>
      <c r="LOQ17" s="11"/>
      <c r="LOR17" s="11"/>
      <c r="LOS17" s="11"/>
      <c r="LOT17" s="11"/>
      <c r="LOU17" s="11"/>
      <c r="LOV17" s="11"/>
      <c r="LOW17" s="11"/>
      <c r="LOX17" s="11"/>
      <c r="LOY17" s="11"/>
      <c r="LOZ17" s="11"/>
      <c r="LPA17" s="11"/>
      <c r="LPB17" s="11"/>
      <c r="LPC17" s="11"/>
      <c r="LPD17" s="11"/>
      <c r="LPE17" s="11"/>
      <c r="LPF17" s="11"/>
      <c r="LPG17" s="11"/>
      <c r="LPH17" s="11"/>
      <c r="LPI17" s="11"/>
      <c r="LPJ17" s="11"/>
      <c r="LPK17" s="11"/>
      <c r="LPL17" s="11"/>
      <c r="LPM17" s="11"/>
      <c r="LPN17" s="11"/>
      <c r="LPO17" s="11"/>
      <c r="LPP17" s="11"/>
      <c r="LPQ17" s="11"/>
      <c r="LPR17" s="11"/>
      <c r="LPS17" s="11"/>
      <c r="LPT17" s="11"/>
      <c r="LPU17" s="11"/>
      <c r="LPV17" s="11"/>
      <c r="LPW17" s="11"/>
      <c r="LPX17" s="11"/>
      <c r="LPY17" s="11"/>
      <c r="LPZ17" s="11"/>
      <c r="LQA17" s="11"/>
      <c r="LQB17" s="11"/>
      <c r="LQC17" s="11"/>
      <c r="LQD17" s="11"/>
      <c r="LQE17" s="11"/>
      <c r="LQF17" s="11"/>
      <c r="LQG17" s="11"/>
      <c r="LQH17" s="11"/>
      <c r="LQI17" s="11"/>
      <c r="LQJ17" s="11"/>
      <c r="LQK17" s="11"/>
      <c r="LQL17" s="11"/>
      <c r="LQM17" s="11"/>
      <c r="LQN17" s="11"/>
      <c r="LQO17" s="11"/>
      <c r="LQP17" s="11"/>
      <c r="LQQ17" s="11"/>
      <c r="LQR17" s="11"/>
      <c r="LQS17" s="11"/>
      <c r="LQT17" s="11"/>
      <c r="LQU17" s="11"/>
      <c r="LQV17" s="11"/>
      <c r="LQW17" s="11"/>
      <c r="LQX17" s="11"/>
      <c r="LQY17" s="11"/>
      <c r="LQZ17" s="11"/>
      <c r="LRA17" s="11"/>
      <c r="LRB17" s="11"/>
      <c r="LRC17" s="11"/>
      <c r="LRD17" s="11"/>
      <c r="LRE17" s="11"/>
      <c r="LRF17" s="11"/>
      <c r="LRG17" s="11"/>
      <c r="LRH17" s="11"/>
      <c r="LRI17" s="11"/>
      <c r="LRJ17" s="11"/>
      <c r="LRK17" s="11"/>
      <c r="LRL17" s="11"/>
      <c r="LRM17" s="11"/>
      <c r="LRN17" s="11"/>
      <c r="LRO17" s="11"/>
      <c r="LRP17" s="11"/>
      <c r="LRQ17" s="11"/>
      <c r="LRR17" s="11"/>
      <c r="LRS17" s="11"/>
      <c r="LRT17" s="11"/>
      <c r="LRU17" s="11"/>
      <c r="LRV17" s="11"/>
      <c r="LRW17" s="11"/>
      <c r="LRX17" s="11"/>
      <c r="LRY17" s="11"/>
      <c r="LRZ17" s="11"/>
      <c r="LSA17" s="11"/>
      <c r="LSB17" s="11"/>
      <c r="LSC17" s="11"/>
      <c r="LSD17" s="11"/>
      <c r="LSE17" s="11"/>
      <c r="LSF17" s="11"/>
      <c r="LSG17" s="11"/>
      <c r="LSH17" s="11"/>
      <c r="LSI17" s="11"/>
      <c r="LSJ17" s="11"/>
      <c r="LSK17" s="11"/>
      <c r="LSL17" s="11"/>
      <c r="LSM17" s="11"/>
      <c r="LSN17" s="11"/>
      <c r="LSO17" s="11"/>
      <c r="LSP17" s="11"/>
      <c r="LSQ17" s="11"/>
      <c r="LSR17" s="11"/>
      <c r="LSS17" s="11"/>
      <c r="LST17" s="11"/>
      <c r="LSU17" s="11"/>
      <c r="LSV17" s="11"/>
      <c r="LSW17" s="11"/>
      <c r="LSX17" s="11"/>
      <c r="LSY17" s="11"/>
      <c r="LSZ17" s="11"/>
      <c r="LTA17" s="11"/>
      <c r="LTB17" s="11"/>
      <c r="LTC17" s="11"/>
      <c r="LTD17" s="11"/>
      <c r="LTE17" s="11"/>
      <c r="LTF17" s="11"/>
      <c r="LTG17" s="11"/>
      <c r="LTH17" s="11"/>
      <c r="LTI17" s="11"/>
      <c r="LTJ17" s="11"/>
      <c r="LTK17" s="11"/>
      <c r="LTL17" s="11"/>
      <c r="LTM17" s="11"/>
      <c r="LTN17" s="11"/>
      <c r="LTO17" s="11"/>
      <c r="LTP17" s="11"/>
      <c r="LTQ17" s="11"/>
      <c r="LTR17" s="11"/>
      <c r="LTS17" s="11"/>
      <c r="LTT17" s="11"/>
      <c r="LTU17" s="11"/>
      <c r="LTV17" s="11"/>
      <c r="LTW17" s="11"/>
      <c r="LTX17" s="11"/>
      <c r="LTY17" s="11"/>
      <c r="LTZ17" s="11"/>
      <c r="LUA17" s="11"/>
      <c r="LUB17" s="11"/>
      <c r="LUC17" s="11"/>
      <c r="LUD17" s="11"/>
      <c r="LUE17" s="11"/>
      <c r="LUF17" s="11"/>
      <c r="LUG17" s="11"/>
      <c r="LUH17" s="11"/>
      <c r="LUI17" s="11"/>
      <c r="LUJ17" s="11"/>
      <c r="LUK17" s="11"/>
      <c r="LUL17" s="11"/>
      <c r="LUM17" s="11"/>
      <c r="LUN17" s="11"/>
      <c r="LUO17" s="11"/>
      <c r="LUP17" s="11"/>
      <c r="LUQ17" s="11"/>
      <c r="LUR17" s="11"/>
      <c r="LUS17" s="11"/>
      <c r="LUT17" s="11"/>
      <c r="LUU17" s="11"/>
      <c r="LUV17" s="11"/>
      <c r="LUW17" s="11"/>
      <c r="LUX17" s="11"/>
      <c r="LUY17" s="11"/>
      <c r="LUZ17" s="11"/>
      <c r="LVA17" s="11"/>
      <c r="LVB17" s="11"/>
      <c r="LVC17" s="11"/>
      <c r="LVD17" s="11"/>
      <c r="LVE17" s="11"/>
      <c r="LVF17" s="11"/>
      <c r="LVG17" s="11"/>
      <c r="LVH17" s="11"/>
      <c r="LVI17" s="11"/>
      <c r="LVJ17" s="11"/>
      <c r="LVK17" s="11"/>
      <c r="LVL17" s="11"/>
      <c r="LVM17" s="11"/>
      <c r="LVN17" s="11"/>
      <c r="LVO17" s="11"/>
      <c r="LVP17" s="11"/>
      <c r="LVQ17" s="11"/>
      <c r="LVR17" s="11"/>
      <c r="LVS17" s="11"/>
      <c r="LVT17" s="11"/>
      <c r="LVU17" s="11"/>
      <c r="LVV17" s="11"/>
      <c r="LVW17" s="11"/>
      <c r="LVX17" s="11"/>
      <c r="LVY17" s="11"/>
      <c r="LVZ17" s="11"/>
      <c r="LWA17" s="11"/>
      <c r="LWB17" s="11"/>
      <c r="LWC17" s="11"/>
      <c r="LWD17" s="11"/>
      <c r="LWE17" s="11"/>
      <c r="LWF17" s="11"/>
      <c r="LWG17" s="11"/>
      <c r="LWH17" s="11"/>
      <c r="LWI17" s="11"/>
      <c r="LWJ17" s="11"/>
      <c r="LWK17" s="11"/>
      <c r="LWL17" s="11"/>
      <c r="LWM17" s="11"/>
      <c r="LWN17" s="11"/>
      <c r="LWO17" s="11"/>
      <c r="LWP17" s="11"/>
      <c r="LWQ17" s="11"/>
      <c r="LWR17" s="11"/>
      <c r="LWS17" s="11"/>
      <c r="LWT17" s="11"/>
      <c r="LWU17" s="11"/>
      <c r="LWV17" s="11"/>
      <c r="LWW17" s="11"/>
      <c r="LWX17" s="11"/>
      <c r="LWY17" s="11"/>
      <c r="LWZ17" s="11"/>
      <c r="LXA17" s="11"/>
      <c r="LXB17" s="11"/>
      <c r="LXC17" s="11"/>
      <c r="LXD17" s="11"/>
      <c r="LXE17" s="11"/>
      <c r="LXF17" s="11"/>
      <c r="LXG17" s="11"/>
      <c r="LXH17" s="11"/>
      <c r="LXI17" s="11"/>
      <c r="LXJ17" s="11"/>
      <c r="LXK17" s="11"/>
      <c r="LXL17" s="11"/>
      <c r="LXM17" s="11"/>
      <c r="LXN17" s="11"/>
      <c r="LXO17" s="11"/>
      <c r="LXP17" s="11"/>
      <c r="LXQ17" s="11"/>
      <c r="LXR17" s="11"/>
      <c r="LXS17" s="11"/>
      <c r="LXT17" s="11"/>
      <c r="LXU17" s="11"/>
      <c r="LXV17" s="11"/>
      <c r="LXW17" s="11"/>
      <c r="LXX17" s="11"/>
      <c r="LXY17" s="11"/>
      <c r="LXZ17" s="11"/>
      <c r="LYA17" s="11"/>
      <c r="LYB17" s="11"/>
      <c r="LYC17" s="11"/>
      <c r="LYD17" s="11"/>
      <c r="LYE17" s="11"/>
      <c r="LYF17" s="11"/>
      <c r="LYG17" s="11"/>
      <c r="LYH17" s="11"/>
      <c r="LYI17" s="11"/>
      <c r="LYJ17" s="11"/>
      <c r="LYK17" s="11"/>
      <c r="LYL17" s="11"/>
      <c r="LYM17" s="11"/>
      <c r="LYN17" s="11"/>
      <c r="LYO17" s="11"/>
      <c r="LYP17" s="11"/>
      <c r="LYQ17" s="11"/>
      <c r="LYR17" s="11"/>
      <c r="LYS17" s="11"/>
      <c r="LYT17" s="11"/>
      <c r="LYU17" s="11"/>
      <c r="LYV17" s="11"/>
      <c r="LYW17" s="11"/>
      <c r="LYX17" s="11"/>
      <c r="LYY17" s="11"/>
      <c r="LYZ17" s="11"/>
      <c r="LZA17" s="11"/>
      <c r="LZB17" s="11"/>
      <c r="LZC17" s="11"/>
      <c r="LZD17" s="11"/>
      <c r="LZE17" s="11"/>
      <c r="LZF17" s="11"/>
      <c r="LZG17" s="11"/>
      <c r="LZH17" s="11"/>
      <c r="LZI17" s="11"/>
      <c r="LZJ17" s="11"/>
      <c r="LZK17" s="11"/>
      <c r="LZL17" s="11"/>
      <c r="LZM17" s="11"/>
      <c r="LZN17" s="11"/>
      <c r="LZO17" s="11"/>
      <c r="LZP17" s="11"/>
      <c r="LZQ17" s="11"/>
      <c r="LZR17" s="11"/>
      <c r="LZS17" s="11"/>
      <c r="LZT17" s="11"/>
      <c r="LZU17" s="11"/>
      <c r="LZV17" s="11"/>
      <c r="LZW17" s="11"/>
      <c r="LZX17" s="11"/>
      <c r="LZY17" s="11"/>
      <c r="LZZ17" s="11"/>
      <c r="MAA17" s="11"/>
      <c r="MAB17" s="11"/>
      <c r="MAC17" s="11"/>
      <c r="MAD17" s="11"/>
      <c r="MAE17" s="11"/>
      <c r="MAF17" s="11"/>
      <c r="MAG17" s="11"/>
      <c r="MAH17" s="11"/>
      <c r="MAI17" s="11"/>
      <c r="MAJ17" s="11"/>
      <c r="MAK17" s="11"/>
      <c r="MAL17" s="11"/>
      <c r="MAM17" s="11"/>
      <c r="MAN17" s="11"/>
      <c r="MAO17" s="11"/>
      <c r="MAP17" s="11"/>
      <c r="MAQ17" s="11"/>
      <c r="MAR17" s="11"/>
      <c r="MAS17" s="11"/>
      <c r="MAT17" s="11"/>
      <c r="MAU17" s="11"/>
      <c r="MAV17" s="11"/>
      <c r="MAW17" s="11"/>
      <c r="MAX17" s="11"/>
      <c r="MAY17" s="11"/>
      <c r="MAZ17" s="11"/>
      <c r="MBA17" s="11"/>
      <c r="MBB17" s="11"/>
      <c r="MBC17" s="11"/>
      <c r="MBD17" s="11"/>
      <c r="MBE17" s="11"/>
      <c r="MBF17" s="11"/>
      <c r="MBG17" s="11"/>
      <c r="MBH17" s="11"/>
      <c r="MBI17" s="11"/>
      <c r="MBJ17" s="11"/>
      <c r="MBK17" s="11"/>
      <c r="MBL17" s="11"/>
      <c r="MBM17" s="11"/>
      <c r="MBN17" s="11"/>
      <c r="MBO17" s="11"/>
      <c r="MBP17" s="11"/>
      <c r="MBQ17" s="11"/>
      <c r="MBR17" s="11"/>
      <c r="MBS17" s="11"/>
      <c r="MBT17" s="11"/>
      <c r="MBU17" s="11"/>
      <c r="MBV17" s="11"/>
      <c r="MBW17" s="11"/>
      <c r="MBX17" s="11"/>
      <c r="MBY17" s="11"/>
      <c r="MBZ17" s="11"/>
      <c r="MCA17" s="11"/>
      <c r="MCB17" s="11"/>
      <c r="MCC17" s="11"/>
      <c r="MCD17" s="11"/>
      <c r="MCE17" s="11"/>
      <c r="MCF17" s="11"/>
      <c r="MCG17" s="11"/>
      <c r="MCH17" s="11"/>
      <c r="MCI17" s="11"/>
      <c r="MCJ17" s="11"/>
      <c r="MCK17" s="11"/>
      <c r="MCL17" s="11"/>
      <c r="MCM17" s="11"/>
      <c r="MCN17" s="11"/>
      <c r="MCO17" s="11"/>
      <c r="MCP17" s="11"/>
      <c r="MCQ17" s="11"/>
      <c r="MCR17" s="11"/>
      <c r="MCS17" s="11"/>
      <c r="MCT17" s="11"/>
      <c r="MCU17" s="11"/>
      <c r="MCV17" s="11"/>
      <c r="MCW17" s="11"/>
      <c r="MCX17" s="11"/>
      <c r="MCY17" s="11"/>
      <c r="MCZ17" s="11"/>
      <c r="MDA17" s="11"/>
      <c r="MDB17" s="11"/>
      <c r="MDC17" s="11"/>
      <c r="MDD17" s="11"/>
      <c r="MDE17" s="11"/>
      <c r="MDF17" s="11"/>
      <c r="MDG17" s="11"/>
      <c r="MDH17" s="11"/>
      <c r="MDI17" s="11"/>
      <c r="MDJ17" s="11"/>
      <c r="MDK17" s="11"/>
      <c r="MDL17" s="11"/>
      <c r="MDM17" s="11"/>
      <c r="MDN17" s="11"/>
      <c r="MDO17" s="11"/>
      <c r="MDP17" s="11"/>
      <c r="MDQ17" s="11"/>
      <c r="MDR17" s="11"/>
      <c r="MDS17" s="11"/>
      <c r="MDT17" s="11"/>
      <c r="MDU17" s="11"/>
      <c r="MDV17" s="11"/>
      <c r="MDW17" s="11"/>
      <c r="MDX17" s="11"/>
      <c r="MDY17" s="11"/>
      <c r="MDZ17" s="11"/>
      <c r="MEA17" s="11"/>
      <c r="MEB17" s="11"/>
      <c r="MEC17" s="11"/>
      <c r="MED17" s="11"/>
      <c r="MEE17" s="11"/>
      <c r="MEF17" s="11"/>
      <c r="MEG17" s="11"/>
      <c r="MEH17" s="11"/>
      <c r="MEI17" s="11"/>
      <c r="MEJ17" s="11"/>
      <c r="MEK17" s="11"/>
      <c r="MEL17" s="11"/>
      <c r="MEM17" s="11"/>
      <c r="MEN17" s="11"/>
      <c r="MEO17" s="11"/>
      <c r="MEP17" s="11"/>
      <c r="MEQ17" s="11"/>
      <c r="MER17" s="11"/>
      <c r="MES17" s="11"/>
      <c r="MET17" s="11"/>
      <c r="MEU17" s="11"/>
      <c r="MEV17" s="11"/>
      <c r="MEW17" s="11"/>
      <c r="MEX17" s="11"/>
      <c r="MEY17" s="11"/>
      <c r="MEZ17" s="11"/>
      <c r="MFA17" s="11"/>
      <c r="MFB17" s="11"/>
      <c r="MFC17" s="11"/>
      <c r="MFD17" s="11"/>
      <c r="MFE17" s="11"/>
      <c r="MFF17" s="11"/>
      <c r="MFG17" s="11"/>
      <c r="MFH17" s="11"/>
      <c r="MFI17" s="11"/>
      <c r="MFJ17" s="11"/>
      <c r="MFK17" s="11"/>
      <c r="MFL17" s="11"/>
      <c r="MFM17" s="11"/>
      <c r="MFN17" s="11"/>
      <c r="MFO17" s="11"/>
      <c r="MFP17" s="11"/>
      <c r="MFQ17" s="11"/>
      <c r="MFR17" s="11"/>
      <c r="MFS17" s="11"/>
      <c r="MFT17" s="11"/>
      <c r="MFU17" s="11"/>
      <c r="MFV17" s="11"/>
      <c r="MFW17" s="11"/>
      <c r="MFX17" s="11"/>
      <c r="MFY17" s="11"/>
      <c r="MFZ17" s="11"/>
      <c r="MGA17" s="11"/>
      <c r="MGB17" s="11"/>
      <c r="MGC17" s="11"/>
      <c r="MGD17" s="11"/>
      <c r="MGE17" s="11"/>
      <c r="MGF17" s="11"/>
      <c r="MGG17" s="11"/>
      <c r="MGH17" s="11"/>
      <c r="MGI17" s="11"/>
      <c r="MGJ17" s="11"/>
      <c r="MGK17" s="11"/>
      <c r="MGL17" s="11"/>
      <c r="MGM17" s="11"/>
      <c r="MGN17" s="11"/>
      <c r="MGO17" s="11"/>
      <c r="MGP17" s="11"/>
      <c r="MGQ17" s="11"/>
      <c r="MGR17" s="11"/>
      <c r="MGS17" s="11"/>
      <c r="MGT17" s="11"/>
      <c r="MGU17" s="11"/>
      <c r="MGV17" s="11"/>
      <c r="MGW17" s="11"/>
      <c r="MGX17" s="11"/>
      <c r="MGY17" s="11"/>
      <c r="MGZ17" s="11"/>
      <c r="MHA17" s="11"/>
      <c r="MHB17" s="11"/>
      <c r="MHC17" s="11"/>
      <c r="MHD17" s="11"/>
      <c r="MHE17" s="11"/>
      <c r="MHF17" s="11"/>
      <c r="MHG17" s="11"/>
      <c r="MHH17" s="11"/>
      <c r="MHI17" s="11"/>
      <c r="MHJ17" s="11"/>
      <c r="MHK17" s="11"/>
      <c r="MHL17" s="11"/>
      <c r="MHM17" s="11"/>
      <c r="MHN17" s="11"/>
      <c r="MHO17" s="11"/>
      <c r="MHP17" s="11"/>
      <c r="MHQ17" s="11"/>
      <c r="MHR17" s="11"/>
      <c r="MHS17" s="11"/>
      <c r="MHT17" s="11"/>
      <c r="MHU17" s="11"/>
      <c r="MHV17" s="11"/>
      <c r="MHW17" s="11"/>
      <c r="MHX17" s="11"/>
      <c r="MHY17" s="11"/>
      <c r="MHZ17" s="11"/>
      <c r="MIA17" s="11"/>
      <c r="MIB17" s="11"/>
      <c r="MIC17" s="11"/>
      <c r="MID17" s="11"/>
      <c r="MIE17" s="11"/>
      <c r="MIF17" s="11"/>
      <c r="MIG17" s="11"/>
      <c r="MIH17" s="11"/>
      <c r="MII17" s="11"/>
      <c r="MIJ17" s="11"/>
      <c r="MIK17" s="11"/>
      <c r="MIL17" s="11"/>
      <c r="MIM17" s="11"/>
      <c r="MIN17" s="11"/>
      <c r="MIO17" s="11"/>
      <c r="MIP17" s="11"/>
      <c r="MIQ17" s="11"/>
      <c r="MIR17" s="11"/>
      <c r="MIS17" s="11"/>
      <c r="MIT17" s="11"/>
      <c r="MIU17" s="11"/>
      <c r="MIV17" s="11"/>
      <c r="MIW17" s="11"/>
      <c r="MIX17" s="11"/>
      <c r="MIY17" s="11"/>
      <c r="MIZ17" s="11"/>
      <c r="MJA17" s="11"/>
      <c r="MJB17" s="11"/>
      <c r="MJC17" s="11"/>
      <c r="MJD17" s="11"/>
      <c r="MJE17" s="11"/>
      <c r="MJF17" s="11"/>
      <c r="MJG17" s="11"/>
      <c r="MJH17" s="11"/>
      <c r="MJI17" s="11"/>
      <c r="MJJ17" s="11"/>
      <c r="MJK17" s="11"/>
      <c r="MJL17" s="11"/>
      <c r="MJM17" s="11"/>
      <c r="MJN17" s="11"/>
      <c r="MJO17" s="11"/>
      <c r="MJP17" s="11"/>
      <c r="MJQ17" s="11"/>
      <c r="MJR17" s="11"/>
      <c r="MJS17" s="11"/>
      <c r="MJT17" s="11"/>
      <c r="MJU17" s="11"/>
      <c r="MJV17" s="11"/>
      <c r="MJW17" s="11"/>
      <c r="MJX17" s="11"/>
      <c r="MJY17" s="11"/>
      <c r="MJZ17" s="11"/>
      <c r="MKA17" s="11"/>
      <c r="MKB17" s="11"/>
      <c r="MKC17" s="11"/>
      <c r="MKD17" s="11"/>
      <c r="MKE17" s="11"/>
      <c r="MKF17" s="11"/>
      <c r="MKG17" s="11"/>
      <c r="MKH17" s="11"/>
      <c r="MKI17" s="11"/>
      <c r="MKJ17" s="11"/>
      <c r="MKK17" s="11"/>
      <c r="MKL17" s="11"/>
      <c r="MKM17" s="11"/>
      <c r="MKN17" s="11"/>
      <c r="MKO17" s="11"/>
      <c r="MKP17" s="11"/>
      <c r="MKQ17" s="11"/>
      <c r="MKR17" s="11"/>
      <c r="MKS17" s="11"/>
      <c r="MKT17" s="11"/>
      <c r="MKU17" s="11"/>
      <c r="MKV17" s="11"/>
      <c r="MKW17" s="11"/>
      <c r="MKX17" s="11"/>
      <c r="MKY17" s="11"/>
      <c r="MKZ17" s="11"/>
      <c r="MLA17" s="11"/>
      <c r="MLB17" s="11"/>
      <c r="MLC17" s="11"/>
      <c r="MLD17" s="11"/>
      <c r="MLE17" s="11"/>
      <c r="MLF17" s="11"/>
      <c r="MLG17" s="11"/>
      <c r="MLH17" s="11"/>
      <c r="MLI17" s="11"/>
      <c r="MLJ17" s="11"/>
      <c r="MLK17" s="11"/>
      <c r="MLL17" s="11"/>
      <c r="MLM17" s="11"/>
      <c r="MLN17" s="11"/>
      <c r="MLO17" s="11"/>
      <c r="MLP17" s="11"/>
      <c r="MLQ17" s="11"/>
      <c r="MLR17" s="11"/>
      <c r="MLS17" s="11"/>
      <c r="MLT17" s="11"/>
      <c r="MLU17" s="11"/>
      <c r="MLV17" s="11"/>
      <c r="MLW17" s="11"/>
      <c r="MLX17" s="11"/>
      <c r="MLY17" s="11"/>
      <c r="MLZ17" s="11"/>
      <c r="MMA17" s="11"/>
      <c r="MMB17" s="11"/>
      <c r="MMC17" s="11"/>
      <c r="MMD17" s="11"/>
      <c r="MME17" s="11"/>
      <c r="MMF17" s="11"/>
      <c r="MMG17" s="11"/>
      <c r="MMH17" s="11"/>
      <c r="MMI17" s="11"/>
      <c r="MMJ17" s="11"/>
      <c r="MMK17" s="11"/>
      <c r="MML17" s="11"/>
      <c r="MMM17" s="11"/>
      <c r="MMN17" s="11"/>
      <c r="MMO17" s="11"/>
      <c r="MMP17" s="11"/>
      <c r="MMQ17" s="11"/>
      <c r="MMR17" s="11"/>
      <c r="MMS17" s="11"/>
      <c r="MMT17" s="11"/>
      <c r="MMU17" s="11"/>
      <c r="MMV17" s="11"/>
      <c r="MMW17" s="11"/>
      <c r="MMX17" s="11"/>
      <c r="MMY17" s="11"/>
      <c r="MMZ17" s="11"/>
      <c r="MNA17" s="11"/>
      <c r="MNB17" s="11"/>
      <c r="MNC17" s="11"/>
      <c r="MND17" s="11"/>
      <c r="MNE17" s="11"/>
      <c r="MNF17" s="11"/>
      <c r="MNG17" s="11"/>
      <c r="MNH17" s="11"/>
      <c r="MNI17" s="11"/>
      <c r="MNJ17" s="11"/>
      <c r="MNK17" s="11"/>
      <c r="MNL17" s="11"/>
      <c r="MNM17" s="11"/>
      <c r="MNN17" s="11"/>
      <c r="MNO17" s="11"/>
      <c r="MNP17" s="11"/>
      <c r="MNQ17" s="11"/>
      <c r="MNR17" s="11"/>
      <c r="MNS17" s="11"/>
      <c r="MNT17" s="11"/>
      <c r="MNU17" s="11"/>
      <c r="MNV17" s="11"/>
      <c r="MNW17" s="11"/>
      <c r="MNX17" s="11"/>
      <c r="MNY17" s="11"/>
      <c r="MNZ17" s="11"/>
      <c r="MOA17" s="11"/>
      <c r="MOB17" s="11"/>
      <c r="MOC17" s="11"/>
      <c r="MOD17" s="11"/>
      <c r="MOE17" s="11"/>
      <c r="MOF17" s="11"/>
      <c r="MOG17" s="11"/>
      <c r="MOH17" s="11"/>
      <c r="MOI17" s="11"/>
      <c r="MOJ17" s="11"/>
      <c r="MOK17" s="11"/>
      <c r="MOL17" s="11"/>
      <c r="MOM17" s="11"/>
      <c r="MON17" s="11"/>
      <c r="MOO17" s="11"/>
      <c r="MOP17" s="11"/>
      <c r="MOQ17" s="11"/>
      <c r="MOR17" s="11"/>
      <c r="MOS17" s="11"/>
      <c r="MOT17" s="11"/>
      <c r="MOU17" s="11"/>
      <c r="MOV17" s="11"/>
      <c r="MOW17" s="11"/>
      <c r="MOX17" s="11"/>
      <c r="MOY17" s="11"/>
      <c r="MOZ17" s="11"/>
      <c r="MPA17" s="11"/>
      <c r="MPB17" s="11"/>
      <c r="MPC17" s="11"/>
      <c r="MPD17" s="11"/>
      <c r="MPE17" s="11"/>
      <c r="MPF17" s="11"/>
      <c r="MPG17" s="11"/>
      <c r="MPH17" s="11"/>
      <c r="MPI17" s="11"/>
      <c r="MPJ17" s="11"/>
      <c r="MPK17" s="11"/>
      <c r="MPL17" s="11"/>
      <c r="MPM17" s="11"/>
      <c r="MPN17" s="11"/>
      <c r="MPO17" s="11"/>
      <c r="MPP17" s="11"/>
      <c r="MPQ17" s="11"/>
      <c r="MPR17" s="11"/>
      <c r="MPS17" s="11"/>
      <c r="MPT17" s="11"/>
      <c r="MPU17" s="11"/>
      <c r="MPV17" s="11"/>
      <c r="MPW17" s="11"/>
      <c r="MPX17" s="11"/>
      <c r="MPY17" s="11"/>
      <c r="MPZ17" s="11"/>
      <c r="MQA17" s="11"/>
      <c r="MQB17" s="11"/>
      <c r="MQC17" s="11"/>
      <c r="MQD17" s="11"/>
      <c r="MQE17" s="11"/>
      <c r="MQF17" s="11"/>
      <c r="MQG17" s="11"/>
      <c r="MQH17" s="11"/>
      <c r="MQI17" s="11"/>
      <c r="MQJ17" s="11"/>
      <c r="MQK17" s="11"/>
      <c r="MQL17" s="11"/>
      <c r="MQM17" s="11"/>
      <c r="MQN17" s="11"/>
      <c r="MQO17" s="11"/>
      <c r="MQP17" s="11"/>
      <c r="MQQ17" s="11"/>
      <c r="MQR17" s="11"/>
      <c r="MQS17" s="11"/>
      <c r="MQT17" s="11"/>
      <c r="MQU17" s="11"/>
      <c r="MQV17" s="11"/>
      <c r="MQW17" s="11"/>
      <c r="MQX17" s="11"/>
      <c r="MQY17" s="11"/>
      <c r="MQZ17" s="11"/>
      <c r="MRA17" s="11"/>
      <c r="MRB17" s="11"/>
      <c r="MRC17" s="11"/>
      <c r="MRD17" s="11"/>
      <c r="MRE17" s="11"/>
      <c r="MRF17" s="11"/>
      <c r="MRG17" s="11"/>
      <c r="MRH17" s="11"/>
      <c r="MRI17" s="11"/>
      <c r="MRJ17" s="11"/>
      <c r="MRK17" s="11"/>
      <c r="MRL17" s="11"/>
      <c r="MRM17" s="11"/>
      <c r="MRN17" s="11"/>
      <c r="MRO17" s="11"/>
      <c r="MRP17" s="11"/>
      <c r="MRQ17" s="11"/>
      <c r="MRR17" s="11"/>
      <c r="MRS17" s="11"/>
      <c r="MRT17" s="11"/>
      <c r="MRU17" s="11"/>
      <c r="MRV17" s="11"/>
      <c r="MRW17" s="11"/>
      <c r="MRX17" s="11"/>
      <c r="MRY17" s="11"/>
      <c r="MRZ17" s="11"/>
      <c r="MSA17" s="11"/>
      <c r="MSB17" s="11"/>
      <c r="MSC17" s="11"/>
      <c r="MSD17" s="11"/>
      <c r="MSE17" s="11"/>
      <c r="MSF17" s="11"/>
      <c r="MSG17" s="11"/>
      <c r="MSH17" s="11"/>
      <c r="MSI17" s="11"/>
      <c r="MSJ17" s="11"/>
      <c r="MSK17" s="11"/>
      <c r="MSL17" s="11"/>
      <c r="MSM17" s="11"/>
      <c r="MSN17" s="11"/>
      <c r="MSO17" s="11"/>
      <c r="MSP17" s="11"/>
      <c r="MSQ17" s="11"/>
      <c r="MSR17" s="11"/>
      <c r="MSS17" s="11"/>
      <c r="MST17" s="11"/>
      <c r="MSU17" s="11"/>
      <c r="MSV17" s="11"/>
      <c r="MSW17" s="11"/>
      <c r="MSX17" s="11"/>
      <c r="MSY17" s="11"/>
      <c r="MSZ17" s="11"/>
      <c r="MTA17" s="11"/>
      <c r="MTB17" s="11"/>
      <c r="MTC17" s="11"/>
      <c r="MTD17" s="11"/>
      <c r="MTE17" s="11"/>
      <c r="MTF17" s="11"/>
      <c r="MTG17" s="11"/>
      <c r="MTH17" s="11"/>
      <c r="MTI17" s="11"/>
      <c r="MTJ17" s="11"/>
      <c r="MTK17" s="11"/>
      <c r="MTL17" s="11"/>
      <c r="MTM17" s="11"/>
      <c r="MTN17" s="11"/>
      <c r="MTO17" s="11"/>
      <c r="MTP17" s="11"/>
      <c r="MTQ17" s="11"/>
      <c r="MTR17" s="11"/>
      <c r="MTS17" s="11"/>
      <c r="MTT17" s="11"/>
      <c r="MTU17" s="11"/>
      <c r="MTV17" s="11"/>
      <c r="MTW17" s="11"/>
      <c r="MTX17" s="11"/>
      <c r="MTY17" s="11"/>
      <c r="MTZ17" s="11"/>
      <c r="MUA17" s="11"/>
      <c r="MUB17" s="11"/>
      <c r="MUC17" s="11"/>
      <c r="MUD17" s="11"/>
      <c r="MUE17" s="11"/>
      <c r="MUF17" s="11"/>
      <c r="MUG17" s="11"/>
      <c r="MUH17" s="11"/>
      <c r="MUI17" s="11"/>
      <c r="MUJ17" s="11"/>
      <c r="MUK17" s="11"/>
      <c r="MUL17" s="11"/>
      <c r="MUM17" s="11"/>
      <c r="MUN17" s="11"/>
      <c r="MUO17" s="11"/>
      <c r="MUP17" s="11"/>
      <c r="MUQ17" s="11"/>
      <c r="MUR17" s="11"/>
      <c r="MUS17" s="11"/>
      <c r="MUT17" s="11"/>
      <c r="MUU17" s="11"/>
      <c r="MUV17" s="11"/>
      <c r="MUW17" s="11"/>
      <c r="MUX17" s="11"/>
      <c r="MUY17" s="11"/>
      <c r="MUZ17" s="11"/>
      <c r="MVA17" s="11"/>
      <c r="MVB17" s="11"/>
      <c r="MVC17" s="11"/>
      <c r="MVD17" s="11"/>
      <c r="MVE17" s="11"/>
      <c r="MVF17" s="11"/>
      <c r="MVG17" s="11"/>
      <c r="MVH17" s="11"/>
      <c r="MVI17" s="11"/>
      <c r="MVJ17" s="11"/>
      <c r="MVK17" s="11"/>
      <c r="MVL17" s="11"/>
      <c r="MVM17" s="11"/>
      <c r="MVN17" s="11"/>
      <c r="MVO17" s="11"/>
      <c r="MVP17" s="11"/>
      <c r="MVQ17" s="11"/>
      <c r="MVR17" s="11"/>
      <c r="MVS17" s="11"/>
      <c r="MVT17" s="11"/>
      <c r="MVU17" s="11"/>
      <c r="MVV17" s="11"/>
      <c r="MVW17" s="11"/>
      <c r="MVX17" s="11"/>
      <c r="MVY17" s="11"/>
      <c r="MVZ17" s="11"/>
      <c r="MWA17" s="11"/>
      <c r="MWB17" s="11"/>
      <c r="MWC17" s="11"/>
      <c r="MWD17" s="11"/>
      <c r="MWE17" s="11"/>
      <c r="MWF17" s="11"/>
      <c r="MWG17" s="11"/>
      <c r="MWH17" s="11"/>
      <c r="MWI17" s="11"/>
      <c r="MWJ17" s="11"/>
      <c r="MWK17" s="11"/>
      <c r="MWL17" s="11"/>
      <c r="MWM17" s="11"/>
      <c r="MWN17" s="11"/>
      <c r="MWO17" s="11"/>
      <c r="MWP17" s="11"/>
      <c r="MWQ17" s="11"/>
      <c r="MWR17" s="11"/>
      <c r="MWS17" s="11"/>
      <c r="MWT17" s="11"/>
      <c r="MWU17" s="11"/>
      <c r="MWV17" s="11"/>
      <c r="MWW17" s="11"/>
      <c r="MWX17" s="11"/>
      <c r="MWY17" s="11"/>
      <c r="MWZ17" s="11"/>
      <c r="MXA17" s="11"/>
      <c r="MXB17" s="11"/>
      <c r="MXC17" s="11"/>
      <c r="MXD17" s="11"/>
      <c r="MXE17" s="11"/>
      <c r="MXF17" s="11"/>
      <c r="MXG17" s="11"/>
      <c r="MXH17" s="11"/>
      <c r="MXI17" s="11"/>
      <c r="MXJ17" s="11"/>
      <c r="MXK17" s="11"/>
      <c r="MXL17" s="11"/>
      <c r="MXM17" s="11"/>
      <c r="MXN17" s="11"/>
      <c r="MXO17" s="11"/>
      <c r="MXP17" s="11"/>
      <c r="MXQ17" s="11"/>
      <c r="MXR17" s="11"/>
      <c r="MXS17" s="11"/>
      <c r="MXT17" s="11"/>
      <c r="MXU17" s="11"/>
      <c r="MXV17" s="11"/>
      <c r="MXW17" s="11"/>
      <c r="MXX17" s="11"/>
      <c r="MXY17" s="11"/>
      <c r="MXZ17" s="11"/>
      <c r="MYA17" s="11"/>
      <c r="MYB17" s="11"/>
      <c r="MYC17" s="11"/>
      <c r="MYD17" s="11"/>
      <c r="MYE17" s="11"/>
      <c r="MYF17" s="11"/>
      <c r="MYG17" s="11"/>
      <c r="MYH17" s="11"/>
      <c r="MYI17" s="11"/>
      <c r="MYJ17" s="11"/>
      <c r="MYK17" s="11"/>
      <c r="MYL17" s="11"/>
      <c r="MYM17" s="11"/>
      <c r="MYN17" s="11"/>
      <c r="MYO17" s="11"/>
      <c r="MYP17" s="11"/>
      <c r="MYQ17" s="11"/>
      <c r="MYR17" s="11"/>
      <c r="MYS17" s="11"/>
      <c r="MYT17" s="11"/>
      <c r="MYU17" s="11"/>
      <c r="MYV17" s="11"/>
      <c r="MYW17" s="11"/>
      <c r="MYX17" s="11"/>
      <c r="MYY17" s="11"/>
      <c r="MYZ17" s="11"/>
      <c r="MZA17" s="11"/>
      <c r="MZB17" s="11"/>
      <c r="MZC17" s="11"/>
      <c r="MZD17" s="11"/>
      <c r="MZE17" s="11"/>
      <c r="MZF17" s="11"/>
      <c r="MZG17" s="11"/>
      <c r="MZH17" s="11"/>
      <c r="MZI17" s="11"/>
      <c r="MZJ17" s="11"/>
      <c r="MZK17" s="11"/>
      <c r="MZL17" s="11"/>
      <c r="MZM17" s="11"/>
      <c r="MZN17" s="11"/>
      <c r="MZO17" s="11"/>
      <c r="MZP17" s="11"/>
      <c r="MZQ17" s="11"/>
      <c r="MZR17" s="11"/>
      <c r="MZS17" s="11"/>
      <c r="MZT17" s="11"/>
      <c r="MZU17" s="11"/>
      <c r="MZV17" s="11"/>
      <c r="MZW17" s="11"/>
      <c r="MZX17" s="11"/>
      <c r="MZY17" s="11"/>
      <c r="MZZ17" s="11"/>
      <c r="NAA17" s="11"/>
      <c r="NAB17" s="11"/>
      <c r="NAC17" s="11"/>
      <c r="NAD17" s="11"/>
      <c r="NAE17" s="11"/>
      <c r="NAF17" s="11"/>
      <c r="NAG17" s="11"/>
      <c r="NAH17" s="11"/>
      <c r="NAI17" s="11"/>
      <c r="NAJ17" s="11"/>
      <c r="NAK17" s="11"/>
      <c r="NAL17" s="11"/>
      <c r="NAM17" s="11"/>
      <c r="NAN17" s="11"/>
      <c r="NAO17" s="11"/>
      <c r="NAP17" s="11"/>
      <c r="NAQ17" s="11"/>
      <c r="NAR17" s="11"/>
      <c r="NAS17" s="11"/>
      <c r="NAT17" s="11"/>
      <c r="NAU17" s="11"/>
      <c r="NAV17" s="11"/>
      <c r="NAW17" s="11"/>
      <c r="NAX17" s="11"/>
      <c r="NAY17" s="11"/>
      <c r="NAZ17" s="11"/>
      <c r="NBA17" s="11"/>
      <c r="NBB17" s="11"/>
      <c r="NBC17" s="11"/>
      <c r="NBD17" s="11"/>
      <c r="NBE17" s="11"/>
      <c r="NBF17" s="11"/>
      <c r="NBG17" s="11"/>
      <c r="NBH17" s="11"/>
      <c r="NBI17" s="11"/>
      <c r="NBJ17" s="11"/>
      <c r="NBK17" s="11"/>
      <c r="NBL17" s="11"/>
      <c r="NBM17" s="11"/>
      <c r="NBN17" s="11"/>
      <c r="NBO17" s="11"/>
      <c r="NBP17" s="11"/>
      <c r="NBQ17" s="11"/>
      <c r="NBR17" s="11"/>
      <c r="NBS17" s="11"/>
      <c r="NBT17" s="11"/>
      <c r="NBU17" s="11"/>
      <c r="NBV17" s="11"/>
      <c r="NBW17" s="11"/>
      <c r="NBX17" s="11"/>
      <c r="NBY17" s="11"/>
      <c r="NBZ17" s="11"/>
      <c r="NCA17" s="11"/>
      <c r="NCB17" s="11"/>
      <c r="NCC17" s="11"/>
      <c r="NCD17" s="11"/>
      <c r="NCE17" s="11"/>
      <c r="NCF17" s="11"/>
      <c r="NCG17" s="11"/>
      <c r="NCH17" s="11"/>
      <c r="NCI17" s="11"/>
      <c r="NCJ17" s="11"/>
      <c r="NCK17" s="11"/>
      <c r="NCL17" s="11"/>
      <c r="NCM17" s="11"/>
      <c r="NCN17" s="11"/>
      <c r="NCO17" s="11"/>
      <c r="NCP17" s="11"/>
      <c r="NCQ17" s="11"/>
      <c r="NCR17" s="11"/>
      <c r="NCS17" s="11"/>
      <c r="NCT17" s="11"/>
      <c r="NCU17" s="11"/>
      <c r="NCV17" s="11"/>
      <c r="NCW17" s="11"/>
      <c r="NCX17" s="11"/>
      <c r="NCY17" s="11"/>
      <c r="NCZ17" s="11"/>
      <c r="NDA17" s="11"/>
      <c r="NDB17" s="11"/>
      <c r="NDC17" s="11"/>
      <c r="NDD17" s="11"/>
      <c r="NDE17" s="11"/>
      <c r="NDF17" s="11"/>
      <c r="NDG17" s="11"/>
      <c r="NDH17" s="11"/>
      <c r="NDI17" s="11"/>
      <c r="NDJ17" s="11"/>
      <c r="NDK17" s="11"/>
      <c r="NDL17" s="11"/>
      <c r="NDM17" s="11"/>
      <c r="NDN17" s="11"/>
      <c r="NDO17" s="11"/>
      <c r="NDP17" s="11"/>
      <c r="NDQ17" s="11"/>
      <c r="NDR17" s="11"/>
      <c r="NDS17" s="11"/>
      <c r="NDT17" s="11"/>
      <c r="NDU17" s="11"/>
      <c r="NDV17" s="11"/>
      <c r="NDW17" s="11"/>
      <c r="NDX17" s="11"/>
      <c r="NDY17" s="11"/>
      <c r="NDZ17" s="11"/>
      <c r="NEA17" s="11"/>
      <c r="NEB17" s="11"/>
      <c r="NEC17" s="11"/>
      <c r="NED17" s="11"/>
      <c r="NEE17" s="11"/>
      <c r="NEF17" s="11"/>
      <c r="NEG17" s="11"/>
      <c r="NEH17" s="11"/>
      <c r="NEI17" s="11"/>
      <c r="NEJ17" s="11"/>
      <c r="NEK17" s="11"/>
      <c r="NEL17" s="11"/>
      <c r="NEM17" s="11"/>
      <c r="NEN17" s="11"/>
      <c r="NEO17" s="11"/>
      <c r="NEP17" s="11"/>
      <c r="NEQ17" s="11"/>
      <c r="NER17" s="11"/>
      <c r="NES17" s="11"/>
      <c r="NET17" s="11"/>
      <c r="NEU17" s="11"/>
      <c r="NEV17" s="11"/>
      <c r="NEW17" s="11"/>
      <c r="NEX17" s="11"/>
      <c r="NEY17" s="11"/>
      <c r="NEZ17" s="11"/>
      <c r="NFA17" s="11"/>
      <c r="NFB17" s="11"/>
      <c r="NFC17" s="11"/>
      <c r="NFD17" s="11"/>
      <c r="NFE17" s="11"/>
      <c r="NFF17" s="11"/>
      <c r="NFG17" s="11"/>
      <c r="NFH17" s="11"/>
      <c r="NFI17" s="11"/>
      <c r="NFJ17" s="11"/>
      <c r="NFK17" s="11"/>
      <c r="NFL17" s="11"/>
      <c r="NFM17" s="11"/>
      <c r="NFN17" s="11"/>
      <c r="NFO17" s="11"/>
      <c r="NFP17" s="11"/>
      <c r="NFQ17" s="11"/>
      <c r="NFR17" s="11"/>
      <c r="NFS17" s="11"/>
      <c r="NFT17" s="11"/>
      <c r="NFU17" s="11"/>
      <c r="NFV17" s="11"/>
      <c r="NFW17" s="11"/>
      <c r="NFX17" s="11"/>
      <c r="NFY17" s="11"/>
      <c r="NFZ17" s="11"/>
      <c r="NGA17" s="11"/>
      <c r="NGB17" s="11"/>
      <c r="NGC17" s="11"/>
      <c r="NGD17" s="11"/>
      <c r="NGE17" s="11"/>
      <c r="NGF17" s="11"/>
      <c r="NGG17" s="11"/>
      <c r="NGH17" s="11"/>
      <c r="NGI17" s="11"/>
      <c r="NGJ17" s="11"/>
      <c r="NGK17" s="11"/>
      <c r="NGL17" s="11"/>
      <c r="NGM17" s="11"/>
      <c r="NGN17" s="11"/>
      <c r="NGO17" s="11"/>
      <c r="NGP17" s="11"/>
      <c r="NGQ17" s="11"/>
      <c r="NGR17" s="11"/>
      <c r="NGS17" s="11"/>
      <c r="NGT17" s="11"/>
      <c r="NGU17" s="11"/>
      <c r="NGV17" s="11"/>
      <c r="NGW17" s="11"/>
      <c r="NGX17" s="11"/>
      <c r="NGY17" s="11"/>
      <c r="NGZ17" s="11"/>
      <c r="NHA17" s="11"/>
      <c r="NHB17" s="11"/>
      <c r="NHC17" s="11"/>
      <c r="NHD17" s="11"/>
      <c r="NHE17" s="11"/>
      <c r="NHF17" s="11"/>
      <c r="NHG17" s="11"/>
      <c r="NHH17" s="11"/>
      <c r="NHI17" s="11"/>
      <c r="NHJ17" s="11"/>
      <c r="NHK17" s="11"/>
      <c r="NHL17" s="11"/>
      <c r="NHM17" s="11"/>
      <c r="NHN17" s="11"/>
      <c r="NHO17" s="11"/>
      <c r="NHP17" s="11"/>
      <c r="NHQ17" s="11"/>
      <c r="NHR17" s="11"/>
      <c r="NHS17" s="11"/>
      <c r="NHT17" s="11"/>
      <c r="NHU17" s="11"/>
      <c r="NHV17" s="11"/>
      <c r="NHW17" s="11"/>
      <c r="NHX17" s="11"/>
      <c r="NHY17" s="11"/>
      <c r="NHZ17" s="11"/>
      <c r="NIA17" s="11"/>
      <c r="NIB17" s="11"/>
      <c r="NIC17" s="11"/>
      <c r="NID17" s="11"/>
      <c r="NIE17" s="11"/>
      <c r="NIF17" s="11"/>
      <c r="NIG17" s="11"/>
      <c r="NIH17" s="11"/>
      <c r="NII17" s="11"/>
      <c r="NIJ17" s="11"/>
      <c r="NIK17" s="11"/>
      <c r="NIL17" s="11"/>
      <c r="NIM17" s="11"/>
      <c r="NIN17" s="11"/>
      <c r="NIO17" s="11"/>
      <c r="NIP17" s="11"/>
      <c r="NIQ17" s="11"/>
      <c r="NIR17" s="11"/>
      <c r="NIS17" s="11"/>
      <c r="NIT17" s="11"/>
      <c r="NIU17" s="11"/>
      <c r="NIV17" s="11"/>
      <c r="NIW17" s="11"/>
      <c r="NIX17" s="11"/>
      <c r="NIY17" s="11"/>
      <c r="NIZ17" s="11"/>
      <c r="NJA17" s="11"/>
      <c r="NJB17" s="11"/>
      <c r="NJC17" s="11"/>
      <c r="NJD17" s="11"/>
      <c r="NJE17" s="11"/>
      <c r="NJF17" s="11"/>
      <c r="NJG17" s="11"/>
      <c r="NJH17" s="11"/>
      <c r="NJI17" s="11"/>
      <c r="NJJ17" s="11"/>
      <c r="NJK17" s="11"/>
      <c r="NJL17" s="11"/>
      <c r="NJM17" s="11"/>
      <c r="NJN17" s="11"/>
      <c r="NJO17" s="11"/>
      <c r="NJP17" s="11"/>
      <c r="NJQ17" s="11"/>
      <c r="NJR17" s="11"/>
      <c r="NJS17" s="11"/>
      <c r="NJT17" s="11"/>
      <c r="NJU17" s="11"/>
      <c r="NJV17" s="11"/>
      <c r="NJW17" s="11"/>
      <c r="NJX17" s="11"/>
      <c r="NJY17" s="11"/>
      <c r="NJZ17" s="11"/>
      <c r="NKA17" s="11"/>
      <c r="NKB17" s="11"/>
      <c r="NKC17" s="11"/>
      <c r="NKD17" s="11"/>
      <c r="NKE17" s="11"/>
      <c r="NKF17" s="11"/>
      <c r="NKG17" s="11"/>
      <c r="NKH17" s="11"/>
      <c r="NKI17" s="11"/>
      <c r="NKJ17" s="11"/>
      <c r="NKK17" s="11"/>
      <c r="NKL17" s="11"/>
      <c r="NKM17" s="11"/>
      <c r="NKN17" s="11"/>
      <c r="NKO17" s="11"/>
      <c r="NKP17" s="11"/>
      <c r="NKQ17" s="11"/>
      <c r="NKR17" s="11"/>
      <c r="NKS17" s="11"/>
      <c r="NKT17" s="11"/>
      <c r="NKU17" s="11"/>
      <c r="NKV17" s="11"/>
      <c r="NKW17" s="11"/>
      <c r="NKX17" s="11"/>
      <c r="NKY17" s="11"/>
      <c r="NKZ17" s="11"/>
      <c r="NLA17" s="11"/>
      <c r="NLB17" s="11"/>
      <c r="NLC17" s="11"/>
      <c r="NLD17" s="11"/>
      <c r="NLE17" s="11"/>
      <c r="NLF17" s="11"/>
      <c r="NLG17" s="11"/>
      <c r="NLH17" s="11"/>
      <c r="NLI17" s="11"/>
      <c r="NLJ17" s="11"/>
      <c r="NLK17" s="11"/>
      <c r="NLL17" s="11"/>
      <c r="NLM17" s="11"/>
      <c r="NLN17" s="11"/>
      <c r="NLO17" s="11"/>
      <c r="NLP17" s="11"/>
      <c r="NLQ17" s="11"/>
      <c r="NLR17" s="11"/>
      <c r="NLS17" s="11"/>
      <c r="NLT17" s="11"/>
      <c r="NLU17" s="11"/>
      <c r="NLV17" s="11"/>
      <c r="NLW17" s="11"/>
      <c r="NLX17" s="11"/>
      <c r="NLY17" s="11"/>
      <c r="NLZ17" s="11"/>
      <c r="NMA17" s="11"/>
      <c r="NMB17" s="11"/>
      <c r="NMC17" s="11"/>
      <c r="NMD17" s="11"/>
      <c r="NME17" s="11"/>
      <c r="NMF17" s="11"/>
      <c r="NMG17" s="11"/>
      <c r="NMH17" s="11"/>
      <c r="NMI17" s="11"/>
      <c r="NMJ17" s="11"/>
      <c r="NMK17" s="11"/>
      <c r="NML17" s="11"/>
      <c r="NMM17" s="11"/>
      <c r="NMN17" s="11"/>
      <c r="NMO17" s="11"/>
      <c r="NMP17" s="11"/>
      <c r="NMQ17" s="11"/>
      <c r="NMR17" s="11"/>
      <c r="NMS17" s="11"/>
      <c r="NMT17" s="11"/>
      <c r="NMU17" s="11"/>
      <c r="NMV17" s="11"/>
      <c r="NMW17" s="11"/>
      <c r="NMX17" s="11"/>
      <c r="NMY17" s="11"/>
      <c r="NMZ17" s="11"/>
      <c r="NNA17" s="11"/>
      <c r="NNB17" s="11"/>
      <c r="NNC17" s="11"/>
      <c r="NND17" s="11"/>
      <c r="NNE17" s="11"/>
      <c r="NNF17" s="11"/>
      <c r="NNG17" s="11"/>
      <c r="NNH17" s="11"/>
      <c r="NNI17" s="11"/>
      <c r="NNJ17" s="11"/>
      <c r="NNK17" s="11"/>
      <c r="NNL17" s="11"/>
      <c r="NNM17" s="11"/>
      <c r="NNN17" s="11"/>
      <c r="NNO17" s="11"/>
      <c r="NNP17" s="11"/>
      <c r="NNQ17" s="11"/>
      <c r="NNR17" s="11"/>
      <c r="NNS17" s="11"/>
      <c r="NNT17" s="11"/>
      <c r="NNU17" s="11"/>
      <c r="NNV17" s="11"/>
      <c r="NNW17" s="11"/>
      <c r="NNX17" s="11"/>
      <c r="NNY17" s="11"/>
      <c r="NNZ17" s="11"/>
      <c r="NOA17" s="11"/>
      <c r="NOB17" s="11"/>
      <c r="NOC17" s="11"/>
      <c r="NOD17" s="11"/>
      <c r="NOE17" s="11"/>
      <c r="NOF17" s="11"/>
      <c r="NOG17" s="11"/>
      <c r="NOH17" s="11"/>
      <c r="NOI17" s="11"/>
      <c r="NOJ17" s="11"/>
      <c r="NOK17" s="11"/>
      <c r="NOL17" s="11"/>
      <c r="NOM17" s="11"/>
      <c r="NON17" s="11"/>
      <c r="NOO17" s="11"/>
      <c r="NOP17" s="11"/>
      <c r="NOQ17" s="11"/>
      <c r="NOR17" s="11"/>
      <c r="NOS17" s="11"/>
      <c r="NOT17" s="11"/>
      <c r="NOU17" s="11"/>
      <c r="NOV17" s="11"/>
      <c r="NOW17" s="11"/>
      <c r="NOX17" s="11"/>
      <c r="NOY17" s="11"/>
      <c r="NOZ17" s="11"/>
      <c r="NPA17" s="11"/>
      <c r="NPB17" s="11"/>
      <c r="NPC17" s="11"/>
      <c r="NPD17" s="11"/>
      <c r="NPE17" s="11"/>
      <c r="NPF17" s="11"/>
      <c r="NPG17" s="11"/>
      <c r="NPH17" s="11"/>
      <c r="NPI17" s="11"/>
      <c r="NPJ17" s="11"/>
      <c r="NPK17" s="11"/>
      <c r="NPL17" s="11"/>
      <c r="NPM17" s="11"/>
      <c r="NPN17" s="11"/>
      <c r="NPO17" s="11"/>
      <c r="NPP17" s="11"/>
      <c r="NPQ17" s="11"/>
      <c r="NPR17" s="11"/>
      <c r="NPS17" s="11"/>
      <c r="NPT17" s="11"/>
      <c r="NPU17" s="11"/>
      <c r="NPV17" s="11"/>
      <c r="NPW17" s="11"/>
      <c r="NPX17" s="11"/>
      <c r="NPY17" s="11"/>
      <c r="NPZ17" s="11"/>
      <c r="NQA17" s="11"/>
      <c r="NQB17" s="11"/>
      <c r="NQC17" s="11"/>
      <c r="NQD17" s="11"/>
      <c r="NQE17" s="11"/>
      <c r="NQF17" s="11"/>
      <c r="NQG17" s="11"/>
      <c r="NQH17" s="11"/>
      <c r="NQI17" s="11"/>
      <c r="NQJ17" s="11"/>
      <c r="NQK17" s="11"/>
      <c r="NQL17" s="11"/>
      <c r="NQM17" s="11"/>
      <c r="NQN17" s="11"/>
      <c r="NQO17" s="11"/>
      <c r="NQP17" s="11"/>
      <c r="NQQ17" s="11"/>
      <c r="NQR17" s="11"/>
      <c r="NQS17" s="11"/>
      <c r="NQT17" s="11"/>
      <c r="NQU17" s="11"/>
      <c r="NQV17" s="11"/>
      <c r="NQW17" s="11"/>
      <c r="NQX17" s="11"/>
      <c r="NQY17" s="11"/>
      <c r="NQZ17" s="11"/>
      <c r="NRA17" s="11"/>
      <c r="NRB17" s="11"/>
      <c r="NRC17" s="11"/>
      <c r="NRD17" s="11"/>
      <c r="NRE17" s="11"/>
      <c r="NRF17" s="11"/>
      <c r="NRG17" s="11"/>
      <c r="NRH17" s="11"/>
      <c r="NRI17" s="11"/>
      <c r="NRJ17" s="11"/>
      <c r="NRK17" s="11"/>
      <c r="NRL17" s="11"/>
      <c r="NRM17" s="11"/>
      <c r="NRN17" s="11"/>
      <c r="NRO17" s="11"/>
      <c r="NRP17" s="11"/>
      <c r="NRQ17" s="11"/>
      <c r="NRR17" s="11"/>
      <c r="NRS17" s="11"/>
      <c r="NRT17" s="11"/>
      <c r="NRU17" s="11"/>
      <c r="NRV17" s="11"/>
      <c r="NRW17" s="11"/>
      <c r="NRX17" s="11"/>
      <c r="NRY17" s="11"/>
      <c r="NRZ17" s="11"/>
      <c r="NSA17" s="11"/>
      <c r="NSB17" s="11"/>
      <c r="NSC17" s="11"/>
      <c r="NSD17" s="11"/>
      <c r="NSE17" s="11"/>
      <c r="NSF17" s="11"/>
      <c r="NSG17" s="11"/>
      <c r="NSH17" s="11"/>
      <c r="NSI17" s="11"/>
      <c r="NSJ17" s="11"/>
      <c r="NSK17" s="11"/>
      <c r="NSL17" s="11"/>
      <c r="NSM17" s="11"/>
      <c r="NSN17" s="11"/>
      <c r="NSO17" s="11"/>
      <c r="NSP17" s="11"/>
      <c r="NSQ17" s="11"/>
      <c r="NSR17" s="11"/>
      <c r="NSS17" s="11"/>
      <c r="NST17" s="11"/>
      <c r="NSU17" s="11"/>
      <c r="NSV17" s="11"/>
      <c r="NSW17" s="11"/>
      <c r="NSX17" s="11"/>
      <c r="NSY17" s="11"/>
      <c r="NSZ17" s="11"/>
      <c r="NTA17" s="11"/>
      <c r="NTB17" s="11"/>
      <c r="NTC17" s="11"/>
      <c r="NTD17" s="11"/>
      <c r="NTE17" s="11"/>
      <c r="NTF17" s="11"/>
      <c r="NTG17" s="11"/>
      <c r="NTH17" s="11"/>
      <c r="NTI17" s="11"/>
      <c r="NTJ17" s="11"/>
      <c r="NTK17" s="11"/>
      <c r="NTL17" s="11"/>
      <c r="NTM17" s="11"/>
      <c r="NTN17" s="11"/>
      <c r="NTO17" s="11"/>
      <c r="NTP17" s="11"/>
      <c r="NTQ17" s="11"/>
      <c r="NTR17" s="11"/>
      <c r="NTS17" s="11"/>
      <c r="NTT17" s="11"/>
      <c r="NTU17" s="11"/>
      <c r="NTV17" s="11"/>
      <c r="NTW17" s="11"/>
      <c r="NTX17" s="11"/>
      <c r="NTY17" s="11"/>
      <c r="NTZ17" s="11"/>
      <c r="NUA17" s="11"/>
      <c r="NUB17" s="11"/>
      <c r="NUC17" s="11"/>
      <c r="NUD17" s="11"/>
      <c r="NUE17" s="11"/>
      <c r="NUF17" s="11"/>
      <c r="NUG17" s="11"/>
      <c r="NUH17" s="11"/>
      <c r="NUI17" s="11"/>
      <c r="NUJ17" s="11"/>
      <c r="NUK17" s="11"/>
      <c r="NUL17" s="11"/>
      <c r="NUM17" s="11"/>
      <c r="NUN17" s="11"/>
      <c r="NUO17" s="11"/>
      <c r="NUP17" s="11"/>
      <c r="NUQ17" s="11"/>
      <c r="NUR17" s="11"/>
      <c r="NUS17" s="11"/>
      <c r="NUT17" s="11"/>
      <c r="NUU17" s="11"/>
      <c r="NUV17" s="11"/>
      <c r="NUW17" s="11"/>
      <c r="NUX17" s="11"/>
      <c r="NUY17" s="11"/>
      <c r="NUZ17" s="11"/>
      <c r="NVA17" s="11"/>
      <c r="NVB17" s="11"/>
      <c r="NVC17" s="11"/>
      <c r="NVD17" s="11"/>
      <c r="NVE17" s="11"/>
      <c r="NVF17" s="11"/>
      <c r="NVG17" s="11"/>
      <c r="NVH17" s="11"/>
      <c r="NVI17" s="11"/>
      <c r="NVJ17" s="11"/>
      <c r="NVK17" s="11"/>
      <c r="NVL17" s="11"/>
      <c r="NVM17" s="11"/>
      <c r="NVN17" s="11"/>
      <c r="NVO17" s="11"/>
      <c r="NVP17" s="11"/>
      <c r="NVQ17" s="11"/>
      <c r="NVR17" s="11"/>
      <c r="NVS17" s="11"/>
      <c r="NVT17" s="11"/>
      <c r="NVU17" s="11"/>
      <c r="NVV17" s="11"/>
      <c r="NVW17" s="11"/>
      <c r="NVX17" s="11"/>
      <c r="NVY17" s="11"/>
      <c r="NVZ17" s="11"/>
      <c r="NWA17" s="11"/>
      <c r="NWB17" s="11"/>
      <c r="NWC17" s="11"/>
      <c r="NWD17" s="11"/>
      <c r="NWE17" s="11"/>
      <c r="NWF17" s="11"/>
      <c r="NWG17" s="11"/>
      <c r="NWH17" s="11"/>
      <c r="NWI17" s="11"/>
      <c r="NWJ17" s="11"/>
      <c r="NWK17" s="11"/>
      <c r="NWL17" s="11"/>
      <c r="NWM17" s="11"/>
      <c r="NWN17" s="11"/>
      <c r="NWO17" s="11"/>
      <c r="NWP17" s="11"/>
      <c r="NWQ17" s="11"/>
      <c r="NWR17" s="11"/>
      <c r="NWS17" s="11"/>
      <c r="NWT17" s="11"/>
      <c r="NWU17" s="11"/>
      <c r="NWV17" s="11"/>
      <c r="NWW17" s="11"/>
      <c r="NWX17" s="11"/>
      <c r="NWY17" s="11"/>
      <c r="NWZ17" s="11"/>
      <c r="NXA17" s="11"/>
      <c r="NXB17" s="11"/>
      <c r="NXC17" s="11"/>
      <c r="NXD17" s="11"/>
      <c r="NXE17" s="11"/>
      <c r="NXF17" s="11"/>
      <c r="NXG17" s="11"/>
      <c r="NXH17" s="11"/>
      <c r="NXI17" s="11"/>
      <c r="NXJ17" s="11"/>
      <c r="NXK17" s="11"/>
      <c r="NXL17" s="11"/>
      <c r="NXM17" s="11"/>
      <c r="NXN17" s="11"/>
      <c r="NXO17" s="11"/>
      <c r="NXP17" s="11"/>
      <c r="NXQ17" s="11"/>
      <c r="NXR17" s="11"/>
      <c r="NXS17" s="11"/>
      <c r="NXT17" s="11"/>
      <c r="NXU17" s="11"/>
      <c r="NXV17" s="11"/>
      <c r="NXW17" s="11"/>
      <c r="NXX17" s="11"/>
      <c r="NXY17" s="11"/>
      <c r="NXZ17" s="11"/>
      <c r="NYA17" s="11"/>
      <c r="NYB17" s="11"/>
      <c r="NYC17" s="11"/>
      <c r="NYD17" s="11"/>
      <c r="NYE17" s="11"/>
      <c r="NYF17" s="11"/>
      <c r="NYG17" s="11"/>
      <c r="NYH17" s="11"/>
      <c r="NYI17" s="11"/>
      <c r="NYJ17" s="11"/>
      <c r="NYK17" s="11"/>
      <c r="NYL17" s="11"/>
      <c r="NYM17" s="11"/>
      <c r="NYN17" s="11"/>
      <c r="NYO17" s="11"/>
      <c r="NYP17" s="11"/>
      <c r="NYQ17" s="11"/>
      <c r="NYR17" s="11"/>
      <c r="NYS17" s="11"/>
      <c r="NYT17" s="11"/>
      <c r="NYU17" s="11"/>
      <c r="NYV17" s="11"/>
      <c r="NYW17" s="11"/>
      <c r="NYX17" s="11"/>
      <c r="NYY17" s="11"/>
      <c r="NYZ17" s="11"/>
      <c r="NZA17" s="11"/>
      <c r="NZB17" s="11"/>
      <c r="NZC17" s="11"/>
      <c r="NZD17" s="11"/>
      <c r="NZE17" s="11"/>
      <c r="NZF17" s="11"/>
      <c r="NZG17" s="11"/>
      <c r="NZH17" s="11"/>
      <c r="NZI17" s="11"/>
      <c r="NZJ17" s="11"/>
      <c r="NZK17" s="11"/>
      <c r="NZL17" s="11"/>
      <c r="NZM17" s="11"/>
      <c r="NZN17" s="11"/>
      <c r="NZO17" s="11"/>
      <c r="NZP17" s="11"/>
      <c r="NZQ17" s="11"/>
      <c r="NZR17" s="11"/>
      <c r="NZS17" s="11"/>
      <c r="NZT17" s="11"/>
      <c r="NZU17" s="11"/>
      <c r="NZV17" s="11"/>
      <c r="NZW17" s="11"/>
      <c r="NZX17" s="11"/>
      <c r="NZY17" s="11"/>
      <c r="NZZ17" s="11"/>
      <c r="OAA17" s="11"/>
      <c r="OAB17" s="11"/>
      <c r="OAC17" s="11"/>
      <c r="OAD17" s="11"/>
      <c r="OAE17" s="11"/>
      <c r="OAF17" s="11"/>
      <c r="OAG17" s="11"/>
      <c r="OAH17" s="11"/>
      <c r="OAI17" s="11"/>
      <c r="OAJ17" s="11"/>
      <c r="OAK17" s="11"/>
      <c r="OAL17" s="11"/>
      <c r="OAM17" s="11"/>
      <c r="OAN17" s="11"/>
      <c r="OAO17" s="11"/>
      <c r="OAP17" s="11"/>
      <c r="OAQ17" s="11"/>
      <c r="OAR17" s="11"/>
      <c r="OAS17" s="11"/>
      <c r="OAT17" s="11"/>
      <c r="OAU17" s="11"/>
      <c r="OAV17" s="11"/>
      <c r="OAW17" s="11"/>
      <c r="OAX17" s="11"/>
      <c r="OAY17" s="11"/>
      <c r="OAZ17" s="11"/>
      <c r="OBA17" s="11"/>
      <c r="OBB17" s="11"/>
      <c r="OBC17" s="11"/>
      <c r="OBD17" s="11"/>
      <c r="OBE17" s="11"/>
      <c r="OBF17" s="11"/>
      <c r="OBG17" s="11"/>
      <c r="OBH17" s="11"/>
      <c r="OBI17" s="11"/>
      <c r="OBJ17" s="11"/>
      <c r="OBK17" s="11"/>
      <c r="OBL17" s="11"/>
      <c r="OBM17" s="11"/>
      <c r="OBN17" s="11"/>
      <c r="OBO17" s="11"/>
      <c r="OBP17" s="11"/>
      <c r="OBQ17" s="11"/>
      <c r="OBR17" s="11"/>
      <c r="OBS17" s="11"/>
      <c r="OBT17" s="11"/>
      <c r="OBU17" s="11"/>
      <c r="OBV17" s="11"/>
      <c r="OBW17" s="11"/>
      <c r="OBX17" s="11"/>
      <c r="OBY17" s="11"/>
      <c r="OBZ17" s="11"/>
      <c r="OCA17" s="11"/>
      <c r="OCB17" s="11"/>
      <c r="OCC17" s="11"/>
      <c r="OCD17" s="11"/>
      <c r="OCE17" s="11"/>
      <c r="OCF17" s="11"/>
      <c r="OCG17" s="11"/>
      <c r="OCH17" s="11"/>
      <c r="OCI17" s="11"/>
      <c r="OCJ17" s="11"/>
      <c r="OCK17" s="11"/>
      <c r="OCL17" s="11"/>
      <c r="OCM17" s="11"/>
      <c r="OCN17" s="11"/>
      <c r="OCO17" s="11"/>
      <c r="OCP17" s="11"/>
      <c r="OCQ17" s="11"/>
      <c r="OCR17" s="11"/>
      <c r="OCS17" s="11"/>
      <c r="OCT17" s="11"/>
      <c r="OCU17" s="11"/>
      <c r="OCV17" s="11"/>
      <c r="OCW17" s="11"/>
      <c r="OCX17" s="11"/>
      <c r="OCY17" s="11"/>
      <c r="OCZ17" s="11"/>
      <c r="ODA17" s="11"/>
      <c r="ODB17" s="11"/>
      <c r="ODC17" s="11"/>
      <c r="ODD17" s="11"/>
      <c r="ODE17" s="11"/>
      <c r="ODF17" s="11"/>
      <c r="ODG17" s="11"/>
      <c r="ODH17" s="11"/>
      <c r="ODI17" s="11"/>
      <c r="ODJ17" s="11"/>
      <c r="ODK17" s="11"/>
      <c r="ODL17" s="11"/>
      <c r="ODM17" s="11"/>
      <c r="ODN17" s="11"/>
      <c r="ODO17" s="11"/>
      <c r="ODP17" s="11"/>
      <c r="ODQ17" s="11"/>
      <c r="ODR17" s="11"/>
      <c r="ODS17" s="11"/>
      <c r="ODT17" s="11"/>
      <c r="ODU17" s="11"/>
      <c r="ODV17" s="11"/>
      <c r="ODW17" s="11"/>
      <c r="ODX17" s="11"/>
      <c r="ODY17" s="11"/>
      <c r="ODZ17" s="11"/>
      <c r="OEA17" s="11"/>
      <c r="OEB17" s="11"/>
      <c r="OEC17" s="11"/>
      <c r="OED17" s="11"/>
      <c r="OEE17" s="11"/>
      <c r="OEF17" s="11"/>
      <c r="OEG17" s="11"/>
      <c r="OEH17" s="11"/>
      <c r="OEI17" s="11"/>
      <c r="OEJ17" s="11"/>
      <c r="OEK17" s="11"/>
      <c r="OEL17" s="11"/>
      <c r="OEM17" s="11"/>
      <c r="OEN17" s="11"/>
      <c r="OEO17" s="11"/>
      <c r="OEP17" s="11"/>
      <c r="OEQ17" s="11"/>
      <c r="OER17" s="11"/>
      <c r="OES17" s="11"/>
      <c r="OET17" s="11"/>
      <c r="OEU17" s="11"/>
      <c r="OEV17" s="11"/>
      <c r="OEW17" s="11"/>
      <c r="OEX17" s="11"/>
      <c r="OEY17" s="11"/>
      <c r="OEZ17" s="11"/>
      <c r="OFA17" s="11"/>
      <c r="OFB17" s="11"/>
      <c r="OFC17" s="11"/>
      <c r="OFD17" s="11"/>
      <c r="OFE17" s="11"/>
      <c r="OFF17" s="11"/>
      <c r="OFG17" s="11"/>
      <c r="OFH17" s="11"/>
      <c r="OFI17" s="11"/>
      <c r="OFJ17" s="11"/>
      <c r="OFK17" s="11"/>
      <c r="OFL17" s="11"/>
      <c r="OFM17" s="11"/>
      <c r="OFN17" s="11"/>
      <c r="OFO17" s="11"/>
      <c r="OFP17" s="11"/>
      <c r="OFQ17" s="11"/>
      <c r="OFR17" s="11"/>
      <c r="OFS17" s="11"/>
      <c r="OFT17" s="11"/>
      <c r="OFU17" s="11"/>
      <c r="OFV17" s="11"/>
      <c r="OFW17" s="11"/>
      <c r="OFX17" s="11"/>
      <c r="OFY17" s="11"/>
      <c r="OFZ17" s="11"/>
      <c r="OGA17" s="11"/>
      <c r="OGB17" s="11"/>
      <c r="OGC17" s="11"/>
      <c r="OGD17" s="11"/>
      <c r="OGE17" s="11"/>
      <c r="OGF17" s="11"/>
      <c r="OGG17" s="11"/>
      <c r="OGH17" s="11"/>
      <c r="OGI17" s="11"/>
      <c r="OGJ17" s="11"/>
      <c r="OGK17" s="11"/>
      <c r="OGL17" s="11"/>
      <c r="OGM17" s="11"/>
      <c r="OGN17" s="11"/>
      <c r="OGO17" s="11"/>
      <c r="OGP17" s="11"/>
      <c r="OGQ17" s="11"/>
      <c r="OGR17" s="11"/>
      <c r="OGS17" s="11"/>
      <c r="OGT17" s="11"/>
      <c r="OGU17" s="11"/>
      <c r="OGV17" s="11"/>
      <c r="OGW17" s="11"/>
      <c r="OGX17" s="11"/>
      <c r="OGY17" s="11"/>
      <c r="OGZ17" s="11"/>
      <c r="OHA17" s="11"/>
      <c r="OHB17" s="11"/>
      <c r="OHC17" s="11"/>
      <c r="OHD17" s="11"/>
      <c r="OHE17" s="11"/>
      <c r="OHF17" s="11"/>
      <c r="OHG17" s="11"/>
      <c r="OHH17" s="11"/>
      <c r="OHI17" s="11"/>
      <c r="OHJ17" s="11"/>
      <c r="OHK17" s="11"/>
      <c r="OHL17" s="11"/>
      <c r="OHM17" s="11"/>
      <c r="OHN17" s="11"/>
      <c r="OHO17" s="11"/>
      <c r="OHP17" s="11"/>
      <c r="OHQ17" s="11"/>
      <c r="OHR17" s="11"/>
      <c r="OHS17" s="11"/>
      <c r="OHT17" s="11"/>
      <c r="OHU17" s="11"/>
      <c r="OHV17" s="11"/>
      <c r="OHW17" s="11"/>
      <c r="OHX17" s="11"/>
      <c r="OHY17" s="11"/>
      <c r="OHZ17" s="11"/>
      <c r="OIA17" s="11"/>
      <c r="OIB17" s="11"/>
      <c r="OIC17" s="11"/>
      <c r="OID17" s="11"/>
      <c r="OIE17" s="11"/>
      <c r="OIF17" s="11"/>
      <c r="OIG17" s="11"/>
      <c r="OIH17" s="11"/>
      <c r="OII17" s="11"/>
      <c r="OIJ17" s="11"/>
      <c r="OIK17" s="11"/>
      <c r="OIL17" s="11"/>
      <c r="OIM17" s="11"/>
      <c r="OIN17" s="11"/>
      <c r="OIO17" s="11"/>
      <c r="OIP17" s="11"/>
      <c r="OIQ17" s="11"/>
      <c r="OIR17" s="11"/>
      <c r="OIS17" s="11"/>
      <c r="OIT17" s="11"/>
      <c r="OIU17" s="11"/>
      <c r="OIV17" s="11"/>
      <c r="OIW17" s="11"/>
      <c r="OIX17" s="11"/>
      <c r="OIY17" s="11"/>
      <c r="OIZ17" s="11"/>
      <c r="OJA17" s="11"/>
      <c r="OJB17" s="11"/>
      <c r="OJC17" s="11"/>
      <c r="OJD17" s="11"/>
      <c r="OJE17" s="11"/>
      <c r="OJF17" s="11"/>
      <c r="OJG17" s="11"/>
      <c r="OJH17" s="11"/>
      <c r="OJI17" s="11"/>
      <c r="OJJ17" s="11"/>
      <c r="OJK17" s="11"/>
      <c r="OJL17" s="11"/>
      <c r="OJM17" s="11"/>
      <c r="OJN17" s="11"/>
      <c r="OJO17" s="11"/>
      <c r="OJP17" s="11"/>
      <c r="OJQ17" s="11"/>
      <c r="OJR17" s="11"/>
      <c r="OJS17" s="11"/>
      <c r="OJT17" s="11"/>
      <c r="OJU17" s="11"/>
      <c r="OJV17" s="11"/>
      <c r="OJW17" s="11"/>
      <c r="OJX17" s="11"/>
      <c r="OJY17" s="11"/>
      <c r="OJZ17" s="11"/>
      <c r="OKA17" s="11"/>
      <c r="OKB17" s="11"/>
      <c r="OKC17" s="11"/>
      <c r="OKD17" s="11"/>
      <c r="OKE17" s="11"/>
      <c r="OKF17" s="11"/>
      <c r="OKG17" s="11"/>
      <c r="OKH17" s="11"/>
      <c r="OKI17" s="11"/>
      <c r="OKJ17" s="11"/>
      <c r="OKK17" s="11"/>
      <c r="OKL17" s="11"/>
      <c r="OKM17" s="11"/>
      <c r="OKN17" s="11"/>
      <c r="OKO17" s="11"/>
      <c r="OKP17" s="11"/>
      <c r="OKQ17" s="11"/>
      <c r="OKR17" s="11"/>
      <c r="OKS17" s="11"/>
      <c r="OKT17" s="11"/>
      <c r="OKU17" s="11"/>
      <c r="OKV17" s="11"/>
      <c r="OKW17" s="11"/>
      <c r="OKX17" s="11"/>
      <c r="OKY17" s="11"/>
      <c r="OKZ17" s="11"/>
      <c r="OLA17" s="11"/>
      <c r="OLB17" s="11"/>
      <c r="OLC17" s="11"/>
      <c r="OLD17" s="11"/>
      <c r="OLE17" s="11"/>
      <c r="OLF17" s="11"/>
      <c r="OLG17" s="11"/>
      <c r="OLH17" s="11"/>
      <c r="OLI17" s="11"/>
      <c r="OLJ17" s="11"/>
      <c r="OLK17" s="11"/>
      <c r="OLL17" s="11"/>
      <c r="OLM17" s="11"/>
      <c r="OLN17" s="11"/>
      <c r="OLO17" s="11"/>
      <c r="OLP17" s="11"/>
      <c r="OLQ17" s="11"/>
      <c r="OLR17" s="11"/>
      <c r="OLS17" s="11"/>
      <c r="OLT17" s="11"/>
      <c r="OLU17" s="11"/>
      <c r="OLV17" s="11"/>
      <c r="OLW17" s="11"/>
      <c r="OLX17" s="11"/>
      <c r="OLY17" s="11"/>
      <c r="OLZ17" s="11"/>
      <c r="OMA17" s="11"/>
      <c r="OMB17" s="11"/>
      <c r="OMC17" s="11"/>
      <c r="OMD17" s="11"/>
      <c r="OME17" s="11"/>
      <c r="OMF17" s="11"/>
      <c r="OMG17" s="11"/>
      <c r="OMH17" s="11"/>
      <c r="OMI17" s="11"/>
      <c r="OMJ17" s="11"/>
      <c r="OMK17" s="11"/>
      <c r="OML17" s="11"/>
      <c r="OMM17" s="11"/>
      <c r="OMN17" s="11"/>
      <c r="OMO17" s="11"/>
      <c r="OMP17" s="11"/>
      <c r="OMQ17" s="11"/>
      <c r="OMR17" s="11"/>
      <c r="OMS17" s="11"/>
      <c r="OMT17" s="11"/>
      <c r="OMU17" s="11"/>
      <c r="OMV17" s="11"/>
      <c r="OMW17" s="11"/>
      <c r="OMX17" s="11"/>
      <c r="OMY17" s="11"/>
      <c r="OMZ17" s="11"/>
      <c r="ONA17" s="11"/>
      <c r="ONB17" s="11"/>
      <c r="ONC17" s="11"/>
      <c r="OND17" s="11"/>
      <c r="ONE17" s="11"/>
      <c r="ONF17" s="11"/>
      <c r="ONG17" s="11"/>
      <c r="ONH17" s="11"/>
      <c r="ONI17" s="11"/>
      <c r="ONJ17" s="11"/>
      <c r="ONK17" s="11"/>
      <c r="ONL17" s="11"/>
      <c r="ONM17" s="11"/>
      <c r="ONN17" s="11"/>
      <c r="ONO17" s="11"/>
      <c r="ONP17" s="11"/>
      <c r="ONQ17" s="11"/>
      <c r="ONR17" s="11"/>
      <c r="ONS17" s="11"/>
      <c r="ONT17" s="11"/>
      <c r="ONU17" s="11"/>
      <c r="ONV17" s="11"/>
      <c r="ONW17" s="11"/>
      <c r="ONX17" s="11"/>
      <c r="ONY17" s="11"/>
      <c r="ONZ17" s="11"/>
      <c r="OOA17" s="11"/>
      <c r="OOB17" s="11"/>
      <c r="OOC17" s="11"/>
      <c r="OOD17" s="11"/>
      <c r="OOE17" s="11"/>
      <c r="OOF17" s="11"/>
      <c r="OOG17" s="11"/>
      <c r="OOH17" s="11"/>
      <c r="OOI17" s="11"/>
      <c r="OOJ17" s="11"/>
      <c r="OOK17" s="11"/>
      <c r="OOL17" s="11"/>
      <c r="OOM17" s="11"/>
      <c r="OON17" s="11"/>
      <c r="OOO17" s="11"/>
      <c r="OOP17" s="11"/>
      <c r="OOQ17" s="11"/>
      <c r="OOR17" s="11"/>
      <c r="OOS17" s="11"/>
      <c r="OOT17" s="11"/>
      <c r="OOU17" s="11"/>
      <c r="OOV17" s="11"/>
      <c r="OOW17" s="11"/>
      <c r="OOX17" s="11"/>
      <c r="OOY17" s="11"/>
      <c r="OOZ17" s="11"/>
      <c r="OPA17" s="11"/>
      <c r="OPB17" s="11"/>
      <c r="OPC17" s="11"/>
      <c r="OPD17" s="11"/>
      <c r="OPE17" s="11"/>
      <c r="OPF17" s="11"/>
      <c r="OPG17" s="11"/>
      <c r="OPH17" s="11"/>
      <c r="OPI17" s="11"/>
      <c r="OPJ17" s="11"/>
      <c r="OPK17" s="11"/>
      <c r="OPL17" s="11"/>
      <c r="OPM17" s="11"/>
      <c r="OPN17" s="11"/>
      <c r="OPO17" s="11"/>
      <c r="OPP17" s="11"/>
      <c r="OPQ17" s="11"/>
      <c r="OPR17" s="11"/>
      <c r="OPS17" s="11"/>
      <c r="OPT17" s="11"/>
      <c r="OPU17" s="11"/>
      <c r="OPV17" s="11"/>
      <c r="OPW17" s="11"/>
      <c r="OPX17" s="11"/>
      <c r="OPY17" s="11"/>
      <c r="OPZ17" s="11"/>
      <c r="OQA17" s="11"/>
      <c r="OQB17" s="11"/>
      <c r="OQC17" s="11"/>
      <c r="OQD17" s="11"/>
      <c r="OQE17" s="11"/>
      <c r="OQF17" s="11"/>
      <c r="OQG17" s="11"/>
      <c r="OQH17" s="11"/>
      <c r="OQI17" s="11"/>
      <c r="OQJ17" s="11"/>
      <c r="OQK17" s="11"/>
      <c r="OQL17" s="11"/>
      <c r="OQM17" s="11"/>
      <c r="OQN17" s="11"/>
      <c r="OQO17" s="11"/>
      <c r="OQP17" s="11"/>
      <c r="OQQ17" s="11"/>
      <c r="OQR17" s="11"/>
      <c r="OQS17" s="11"/>
      <c r="OQT17" s="11"/>
      <c r="OQU17" s="11"/>
      <c r="OQV17" s="11"/>
      <c r="OQW17" s="11"/>
      <c r="OQX17" s="11"/>
      <c r="OQY17" s="11"/>
      <c r="OQZ17" s="11"/>
      <c r="ORA17" s="11"/>
      <c r="ORB17" s="11"/>
      <c r="ORC17" s="11"/>
      <c r="ORD17" s="11"/>
      <c r="ORE17" s="11"/>
      <c r="ORF17" s="11"/>
      <c r="ORG17" s="11"/>
      <c r="ORH17" s="11"/>
      <c r="ORI17" s="11"/>
      <c r="ORJ17" s="11"/>
      <c r="ORK17" s="11"/>
      <c r="ORL17" s="11"/>
      <c r="ORM17" s="11"/>
      <c r="ORN17" s="11"/>
      <c r="ORO17" s="11"/>
      <c r="ORP17" s="11"/>
      <c r="ORQ17" s="11"/>
      <c r="ORR17" s="11"/>
      <c r="ORS17" s="11"/>
      <c r="ORT17" s="11"/>
      <c r="ORU17" s="11"/>
      <c r="ORV17" s="11"/>
      <c r="ORW17" s="11"/>
      <c r="ORX17" s="11"/>
      <c r="ORY17" s="11"/>
      <c r="ORZ17" s="11"/>
      <c r="OSA17" s="11"/>
      <c r="OSB17" s="11"/>
      <c r="OSC17" s="11"/>
      <c r="OSD17" s="11"/>
      <c r="OSE17" s="11"/>
      <c r="OSF17" s="11"/>
      <c r="OSG17" s="11"/>
      <c r="OSH17" s="11"/>
      <c r="OSI17" s="11"/>
      <c r="OSJ17" s="11"/>
      <c r="OSK17" s="11"/>
      <c r="OSL17" s="11"/>
      <c r="OSM17" s="11"/>
      <c r="OSN17" s="11"/>
      <c r="OSO17" s="11"/>
      <c r="OSP17" s="11"/>
      <c r="OSQ17" s="11"/>
      <c r="OSR17" s="11"/>
      <c r="OSS17" s="11"/>
      <c r="OST17" s="11"/>
      <c r="OSU17" s="11"/>
      <c r="OSV17" s="11"/>
      <c r="OSW17" s="11"/>
      <c r="OSX17" s="11"/>
      <c r="OSY17" s="11"/>
      <c r="OSZ17" s="11"/>
      <c r="OTA17" s="11"/>
      <c r="OTB17" s="11"/>
      <c r="OTC17" s="11"/>
      <c r="OTD17" s="11"/>
      <c r="OTE17" s="11"/>
      <c r="OTF17" s="11"/>
      <c r="OTG17" s="11"/>
      <c r="OTH17" s="11"/>
      <c r="OTI17" s="11"/>
      <c r="OTJ17" s="11"/>
      <c r="OTK17" s="11"/>
      <c r="OTL17" s="11"/>
      <c r="OTM17" s="11"/>
      <c r="OTN17" s="11"/>
      <c r="OTO17" s="11"/>
      <c r="OTP17" s="11"/>
      <c r="OTQ17" s="11"/>
      <c r="OTR17" s="11"/>
      <c r="OTS17" s="11"/>
      <c r="OTT17" s="11"/>
      <c r="OTU17" s="11"/>
      <c r="OTV17" s="11"/>
      <c r="OTW17" s="11"/>
      <c r="OTX17" s="11"/>
      <c r="OTY17" s="11"/>
      <c r="OTZ17" s="11"/>
      <c r="OUA17" s="11"/>
      <c r="OUB17" s="11"/>
      <c r="OUC17" s="11"/>
      <c r="OUD17" s="11"/>
      <c r="OUE17" s="11"/>
      <c r="OUF17" s="11"/>
      <c r="OUG17" s="11"/>
      <c r="OUH17" s="11"/>
      <c r="OUI17" s="11"/>
      <c r="OUJ17" s="11"/>
      <c r="OUK17" s="11"/>
      <c r="OUL17" s="11"/>
      <c r="OUM17" s="11"/>
      <c r="OUN17" s="11"/>
      <c r="OUO17" s="11"/>
      <c r="OUP17" s="11"/>
      <c r="OUQ17" s="11"/>
      <c r="OUR17" s="11"/>
      <c r="OUS17" s="11"/>
      <c r="OUT17" s="11"/>
      <c r="OUU17" s="11"/>
      <c r="OUV17" s="11"/>
      <c r="OUW17" s="11"/>
      <c r="OUX17" s="11"/>
      <c r="OUY17" s="11"/>
      <c r="OUZ17" s="11"/>
      <c r="OVA17" s="11"/>
      <c r="OVB17" s="11"/>
      <c r="OVC17" s="11"/>
      <c r="OVD17" s="11"/>
      <c r="OVE17" s="11"/>
      <c r="OVF17" s="11"/>
      <c r="OVG17" s="11"/>
      <c r="OVH17" s="11"/>
      <c r="OVI17" s="11"/>
      <c r="OVJ17" s="11"/>
      <c r="OVK17" s="11"/>
      <c r="OVL17" s="11"/>
      <c r="OVM17" s="11"/>
      <c r="OVN17" s="11"/>
      <c r="OVO17" s="11"/>
      <c r="OVP17" s="11"/>
      <c r="OVQ17" s="11"/>
      <c r="OVR17" s="11"/>
      <c r="OVS17" s="11"/>
      <c r="OVT17" s="11"/>
      <c r="OVU17" s="11"/>
      <c r="OVV17" s="11"/>
      <c r="OVW17" s="11"/>
      <c r="OVX17" s="11"/>
      <c r="OVY17" s="11"/>
      <c r="OVZ17" s="11"/>
      <c r="OWA17" s="11"/>
      <c r="OWB17" s="11"/>
      <c r="OWC17" s="11"/>
      <c r="OWD17" s="11"/>
      <c r="OWE17" s="11"/>
      <c r="OWF17" s="11"/>
      <c r="OWG17" s="11"/>
      <c r="OWH17" s="11"/>
      <c r="OWI17" s="11"/>
      <c r="OWJ17" s="11"/>
      <c r="OWK17" s="11"/>
      <c r="OWL17" s="11"/>
      <c r="OWM17" s="11"/>
      <c r="OWN17" s="11"/>
      <c r="OWO17" s="11"/>
      <c r="OWP17" s="11"/>
      <c r="OWQ17" s="11"/>
      <c r="OWR17" s="11"/>
      <c r="OWS17" s="11"/>
      <c r="OWT17" s="11"/>
      <c r="OWU17" s="11"/>
      <c r="OWV17" s="11"/>
      <c r="OWW17" s="11"/>
      <c r="OWX17" s="11"/>
      <c r="OWY17" s="11"/>
      <c r="OWZ17" s="11"/>
      <c r="OXA17" s="11"/>
      <c r="OXB17" s="11"/>
      <c r="OXC17" s="11"/>
      <c r="OXD17" s="11"/>
      <c r="OXE17" s="11"/>
      <c r="OXF17" s="11"/>
      <c r="OXG17" s="11"/>
      <c r="OXH17" s="11"/>
      <c r="OXI17" s="11"/>
      <c r="OXJ17" s="11"/>
      <c r="OXK17" s="11"/>
      <c r="OXL17" s="11"/>
      <c r="OXM17" s="11"/>
      <c r="OXN17" s="11"/>
      <c r="OXO17" s="11"/>
      <c r="OXP17" s="11"/>
      <c r="OXQ17" s="11"/>
      <c r="OXR17" s="11"/>
      <c r="OXS17" s="11"/>
      <c r="OXT17" s="11"/>
      <c r="OXU17" s="11"/>
      <c r="OXV17" s="11"/>
      <c r="OXW17" s="11"/>
      <c r="OXX17" s="11"/>
      <c r="OXY17" s="11"/>
      <c r="OXZ17" s="11"/>
      <c r="OYA17" s="11"/>
      <c r="OYB17" s="11"/>
      <c r="OYC17" s="11"/>
      <c r="OYD17" s="11"/>
      <c r="OYE17" s="11"/>
      <c r="OYF17" s="11"/>
      <c r="OYG17" s="11"/>
      <c r="OYH17" s="11"/>
      <c r="OYI17" s="11"/>
      <c r="OYJ17" s="11"/>
      <c r="OYK17" s="11"/>
      <c r="OYL17" s="11"/>
      <c r="OYM17" s="11"/>
      <c r="OYN17" s="11"/>
      <c r="OYO17" s="11"/>
      <c r="OYP17" s="11"/>
      <c r="OYQ17" s="11"/>
      <c r="OYR17" s="11"/>
      <c r="OYS17" s="11"/>
      <c r="OYT17" s="11"/>
      <c r="OYU17" s="11"/>
      <c r="OYV17" s="11"/>
      <c r="OYW17" s="11"/>
      <c r="OYX17" s="11"/>
      <c r="OYY17" s="11"/>
      <c r="OYZ17" s="11"/>
      <c r="OZA17" s="11"/>
      <c r="OZB17" s="11"/>
      <c r="OZC17" s="11"/>
      <c r="OZD17" s="11"/>
      <c r="OZE17" s="11"/>
      <c r="OZF17" s="11"/>
      <c r="OZG17" s="11"/>
      <c r="OZH17" s="11"/>
      <c r="OZI17" s="11"/>
      <c r="OZJ17" s="11"/>
      <c r="OZK17" s="11"/>
      <c r="OZL17" s="11"/>
      <c r="OZM17" s="11"/>
      <c r="OZN17" s="11"/>
      <c r="OZO17" s="11"/>
      <c r="OZP17" s="11"/>
      <c r="OZQ17" s="11"/>
      <c r="OZR17" s="11"/>
      <c r="OZS17" s="11"/>
      <c r="OZT17" s="11"/>
      <c r="OZU17" s="11"/>
      <c r="OZV17" s="11"/>
      <c r="OZW17" s="11"/>
      <c r="OZX17" s="11"/>
      <c r="OZY17" s="11"/>
      <c r="OZZ17" s="11"/>
      <c r="PAA17" s="11"/>
      <c r="PAB17" s="11"/>
      <c r="PAC17" s="11"/>
      <c r="PAD17" s="11"/>
      <c r="PAE17" s="11"/>
      <c r="PAF17" s="11"/>
      <c r="PAG17" s="11"/>
      <c r="PAH17" s="11"/>
      <c r="PAI17" s="11"/>
      <c r="PAJ17" s="11"/>
      <c r="PAK17" s="11"/>
      <c r="PAL17" s="11"/>
      <c r="PAM17" s="11"/>
      <c r="PAN17" s="11"/>
      <c r="PAO17" s="11"/>
      <c r="PAP17" s="11"/>
      <c r="PAQ17" s="11"/>
      <c r="PAR17" s="11"/>
      <c r="PAS17" s="11"/>
      <c r="PAT17" s="11"/>
      <c r="PAU17" s="11"/>
      <c r="PAV17" s="11"/>
      <c r="PAW17" s="11"/>
      <c r="PAX17" s="11"/>
      <c r="PAY17" s="11"/>
      <c r="PAZ17" s="11"/>
      <c r="PBA17" s="11"/>
      <c r="PBB17" s="11"/>
      <c r="PBC17" s="11"/>
      <c r="PBD17" s="11"/>
      <c r="PBE17" s="11"/>
      <c r="PBF17" s="11"/>
      <c r="PBG17" s="11"/>
      <c r="PBH17" s="11"/>
      <c r="PBI17" s="11"/>
      <c r="PBJ17" s="11"/>
      <c r="PBK17" s="11"/>
      <c r="PBL17" s="11"/>
      <c r="PBM17" s="11"/>
      <c r="PBN17" s="11"/>
      <c r="PBO17" s="11"/>
      <c r="PBP17" s="11"/>
      <c r="PBQ17" s="11"/>
      <c r="PBR17" s="11"/>
      <c r="PBS17" s="11"/>
      <c r="PBT17" s="11"/>
      <c r="PBU17" s="11"/>
      <c r="PBV17" s="11"/>
      <c r="PBW17" s="11"/>
      <c r="PBX17" s="11"/>
      <c r="PBY17" s="11"/>
      <c r="PBZ17" s="11"/>
      <c r="PCA17" s="11"/>
      <c r="PCB17" s="11"/>
      <c r="PCC17" s="11"/>
      <c r="PCD17" s="11"/>
      <c r="PCE17" s="11"/>
      <c r="PCF17" s="11"/>
      <c r="PCG17" s="11"/>
      <c r="PCH17" s="11"/>
      <c r="PCI17" s="11"/>
      <c r="PCJ17" s="11"/>
      <c r="PCK17" s="11"/>
      <c r="PCL17" s="11"/>
      <c r="PCM17" s="11"/>
      <c r="PCN17" s="11"/>
      <c r="PCO17" s="11"/>
      <c r="PCP17" s="11"/>
      <c r="PCQ17" s="11"/>
      <c r="PCR17" s="11"/>
      <c r="PCS17" s="11"/>
      <c r="PCT17" s="11"/>
      <c r="PCU17" s="11"/>
      <c r="PCV17" s="11"/>
      <c r="PCW17" s="11"/>
      <c r="PCX17" s="11"/>
      <c r="PCY17" s="11"/>
      <c r="PCZ17" s="11"/>
      <c r="PDA17" s="11"/>
      <c r="PDB17" s="11"/>
      <c r="PDC17" s="11"/>
      <c r="PDD17" s="11"/>
      <c r="PDE17" s="11"/>
      <c r="PDF17" s="11"/>
      <c r="PDG17" s="11"/>
      <c r="PDH17" s="11"/>
      <c r="PDI17" s="11"/>
      <c r="PDJ17" s="11"/>
      <c r="PDK17" s="11"/>
      <c r="PDL17" s="11"/>
      <c r="PDM17" s="11"/>
      <c r="PDN17" s="11"/>
      <c r="PDO17" s="11"/>
      <c r="PDP17" s="11"/>
      <c r="PDQ17" s="11"/>
      <c r="PDR17" s="11"/>
      <c r="PDS17" s="11"/>
      <c r="PDT17" s="11"/>
      <c r="PDU17" s="11"/>
      <c r="PDV17" s="11"/>
      <c r="PDW17" s="11"/>
      <c r="PDX17" s="11"/>
      <c r="PDY17" s="11"/>
      <c r="PDZ17" s="11"/>
      <c r="PEA17" s="11"/>
      <c r="PEB17" s="11"/>
      <c r="PEC17" s="11"/>
      <c r="PED17" s="11"/>
      <c r="PEE17" s="11"/>
      <c r="PEF17" s="11"/>
      <c r="PEG17" s="11"/>
      <c r="PEH17" s="11"/>
      <c r="PEI17" s="11"/>
      <c r="PEJ17" s="11"/>
      <c r="PEK17" s="11"/>
      <c r="PEL17" s="11"/>
      <c r="PEM17" s="11"/>
      <c r="PEN17" s="11"/>
      <c r="PEO17" s="11"/>
      <c r="PEP17" s="11"/>
      <c r="PEQ17" s="11"/>
      <c r="PER17" s="11"/>
      <c r="PES17" s="11"/>
      <c r="PET17" s="11"/>
      <c r="PEU17" s="11"/>
      <c r="PEV17" s="11"/>
      <c r="PEW17" s="11"/>
      <c r="PEX17" s="11"/>
      <c r="PEY17" s="11"/>
      <c r="PEZ17" s="11"/>
      <c r="PFA17" s="11"/>
      <c r="PFB17" s="11"/>
      <c r="PFC17" s="11"/>
      <c r="PFD17" s="11"/>
      <c r="PFE17" s="11"/>
      <c r="PFF17" s="11"/>
      <c r="PFG17" s="11"/>
      <c r="PFH17" s="11"/>
      <c r="PFI17" s="11"/>
      <c r="PFJ17" s="11"/>
      <c r="PFK17" s="11"/>
      <c r="PFL17" s="11"/>
      <c r="PFM17" s="11"/>
      <c r="PFN17" s="11"/>
      <c r="PFO17" s="11"/>
      <c r="PFP17" s="11"/>
      <c r="PFQ17" s="11"/>
      <c r="PFR17" s="11"/>
      <c r="PFS17" s="11"/>
      <c r="PFT17" s="11"/>
      <c r="PFU17" s="11"/>
      <c r="PFV17" s="11"/>
      <c r="PFW17" s="11"/>
      <c r="PFX17" s="11"/>
      <c r="PFY17" s="11"/>
      <c r="PFZ17" s="11"/>
      <c r="PGA17" s="11"/>
      <c r="PGB17" s="11"/>
      <c r="PGC17" s="11"/>
      <c r="PGD17" s="11"/>
      <c r="PGE17" s="11"/>
      <c r="PGF17" s="11"/>
      <c r="PGG17" s="11"/>
      <c r="PGH17" s="11"/>
      <c r="PGI17" s="11"/>
      <c r="PGJ17" s="11"/>
      <c r="PGK17" s="11"/>
      <c r="PGL17" s="11"/>
      <c r="PGM17" s="11"/>
      <c r="PGN17" s="11"/>
      <c r="PGO17" s="11"/>
      <c r="PGP17" s="11"/>
      <c r="PGQ17" s="11"/>
      <c r="PGR17" s="11"/>
      <c r="PGS17" s="11"/>
      <c r="PGT17" s="11"/>
      <c r="PGU17" s="11"/>
      <c r="PGV17" s="11"/>
      <c r="PGW17" s="11"/>
      <c r="PGX17" s="11"/>
      <c r="PGY17" s="11"/>
      <c r="PGZ17" s="11"/>
      <c r="PHA17" s="11"/>
      <c r="PHB17" s="11"/>
      <c r="PHC17" s="11"/>
      <c r="PHD17" s="11"/>
      <c r="PHE17" s="11"/>
      <c r="PHF17" s="11"/>
      <c r="PHG17" s="11"/>
      <c r="PHH17" s="11"/>
      <c r="PHI17" s="11"/>
      <c r="PHJ17" s="11"/>
      <c r="PHK17" s="11"/>
      <c r="PHL17" s="11"/>
      <c r="PHM17" s="11"/>
      <c r="PHN17" s="11"/>
      <c r="PHO17" s="11"/>
      <c r="PHP17" s="11"/>
      <c r="PHQ17" s="11"/>
      <c r="PHR17" s="11"/>
      <c r="PHS17" s="11"/>
      <c r="PHT17" s="11"/>
      <c r="PHU17" s="11"/>
      <c r="PHV17" s="11"/>
      <c r="PHW17" s="11"/>
      <c r="PHX17" s="11"/>
      <c r="PHY17" s="11"/>
      <c r="PHZ17" s="11"/>
      <c r="PIA17" s="11"/>
      <c r="PIB17" s="11"/>
      <c r="PIC17" s="11"/>
      <c r="PID17" s="11"/>
      <c r="PIE17" s="11"/>
      <c r="PIF17" s="11"/>
      <c r="PIG17" s="11"/>
      <c r="PIH17" s="11"/>
      <c r="PII17" s="11"/>
      <c r="PIJ17" s="11"/>
      <c r="PIK17" s="11"/>
      <c r="PIL17" s="11"/>
      <c r="PIM17" s="11"/>
      <c r="PIN17" s="11"/>
      <c r="PIO17" s="11"/>
      <c r="PIP17" s="11"/>
      <c r="PIQ17" s="11"/>
      <c r="PIR17" s="11"/>
      <c r="PIS17" s="11"/>
      <c r="PIT17" s="11"/>
      <c r="PIU17" s="11"/>
      <c r="PIV17" s="11"/>
      <c r="PIW17" s="11"/>
      <c r="PIX17" s="11"/>
      <c r="PIY17" s="11"/>
      <c r="PIZ17" s="11"/>
      <c r="PJA17" s="11"/>
      <c r="PJB17" s="11"/>
      <c r="PJC17" s="11"/>
      <c r="PJD17" s="11"/>
      <c r="PJE17" s="11"/>
      <c r="PJF17" s="11"/>
      <c r="PJG17" s="11"/>
      <c r="PJH17" s="11"/>
      <c r="PJI17" s="11"/>
      <c r="PJJ17" s="11"/>
      <c r="PJK17" s="11"/>
      <c r="PJL17" s="11"/>
      <c r="PJM17" s="11"/>
      <c r="PJN17" s="11"/>
      <c r="PJO17" s="11"/>
      <c r="PJP17" s="11"/>
      <c r="PJQ17" s="11"/>
      <c r="PJR17" s="11"/>
      <c r="PJS17" s="11"/>
      <c r="PJT17" s="11"/>
      <c r="PJU17" s="11"/>
      <c r="PJV17" s="11"/>
      <c r="PJW17" s="11"/>
      <c r="PJX17" s="11"/>
      <c r="PJY17" s="11"/>
      <c r="PJZ17" s="11"/>
      <c r="PKA17" s="11"/>
      <c r="PKB17" s="11"/>
      <c r="PKC17" s="11"/>
      <c r="PKD17" s="11"/>
      <c r="PKE17" s="11"/>
      <c r="PKF17" s="11"/>
      <c r="PKG17" s="11"/>
      <c r="PKH17" s="11"/>
      <c r="PKI17" s="11"/>
      <c r="PKJ17" s="11"/>
      <c r="PKK17" s="11"/>
      <c r="PKL17" s="11"/>
      <c r="PKM17" s="11"/>
      <c r="PKN17" s="11"/>
      <c r="PKO17" s="11"/>
      <c r="PKP17" s="11"/>
      <c r="PKQ17" s="11"/>
      <c r="PKR17" s="11"/>
      <c r="PKS17" s="11"/>
      <c r="PKT17" s="11"/>
      <c r="PKU17" s="11"/>
      <c r="PKV17" s="11"/>
      <c r="PKW17" s="11"/>
      <c r="PKX17" s="11"/>
      <c r="PKY17" s="11"/>
      <c r="PKZ17" s="11"/>
      <c r="PLA17" s="11"/>
      <c r="PLB17" s="11"/>
      <c r="PLC17" s="11"/>
      <c r="PLD17" s="11"/>
      <c r="PLE17" s="11"/>
      <c r="PLF17" s="11"/>
      <c r="PLG17" s="11"/>
      <c r="PLH17" s="11"/>
      <c r="PLI17" s="11"/>
      <c r="PLJ17" s="11"/>
      <c r="PLK17" s="11"/>
      <c r="PLL17" s="11"/>
      <c r="PLM17" s="11"/>
      <c r="PLN17" s="11"/>
      <c r="PLO17" s="11"/>
      <c r="PLP17" s="11"/>
      <c r="PLQ17" s="11"/>
      <c r="PLR17" s="11"/>
      <c r="PLS17" s="11"/>
      <c r="PLT17" s="11"/>
      <c r="PLU17" s="11"/>
      <c r="PLV17" s="11"/>
      <c r="PLW17" s="11"/>
      <c r="PLX17" s="11"/>
      <c r="PLY17" s="11"/>
      <c r="PLZ17" s="11"/>
      <c r="PMA17" s="11"/>
      <c r="PMB17" s="11"/>
      <c r="PMC17" s="11"/>
      <c r="PMD17" s="11"/>
      <c r="PME17" s="11"/>
      <c r="PMF17" s="11"/>
      <c r="PMG17" s="11"/>
      <c r="PMH17" s="11"/>
      <c r="PMI17" s="11"/>
      <c r="PMJ17" s="11"/>
      <c r="PMK17" s="11"/>
      <c r="PML17" s="11"/>
      <c r="PMM17" s="11"/>
      <c r="PMN17" s="11"/>
      <c r="PMO17" s="11"/>
      <c r="PMP17" s="11"/>
      <c r="PMQ17" s="11"/>
      <c r="PMR17" s="11"/>
      <c r="PMS17" s="11"/>
      <c r="PMT17" s="11"/>
      <c r="PMU17" s="11"/>
      <c r="PMV17" s="11"/>
      <c r="PMW17" s="11"/>
      <c r="PMX17" s="11"/>
      <c r="PMY17" s="11"/>
      <c r="PMZ17" s="11"/>
      <c r="PNA17" s="11"/>
      <c r="PNB17" s="11"/>
      <c r="PNC17" s="11"/>
      <c r="PND17" s="11"/>
      <c r="PNE17" s="11"/>
      <c r="PNF17" s="11"/>
      <c r="PNG17" s="11"/>
      <c r="PNH17" s="11"/>
      <c r="PNI17" s="11"/>
      <c r="PNJ17" s="11"/>
      <c r="PNK17" s="11"/>
      <c r="PNL17" s="11"/>
      <c r="PNM17" s="11"/>
      <c r="PNN17" s="11"/>
      <c r="PNO17" s="11"/>
      <c r="PNP17" s="11"/>
      <c r="PNQ17" s="11"/>
      <c r="PNR17" s="11"/>
      <c r="PNS17" s="11"/>
      <c r="PNT17" s="11"/>
      <c r="PNU17" s="11"/>
      <c r="PNV17" s="11"/>
      <c r="PNW17" s="11"/>
      <c r="PNX17" s="11"/>
      <c r="PNY17" s="11"/>
      <c r="PNZ17" s="11"/>
      <c r="POA17" s="11"/>
      <c r="POB17" s="11"/>
      <c r="POC17" s="11"/>
      <c r="POD17" s="11"/>
      <c r="POE17" s="11"/>
      <c r="POF17" s="11"/>
      <c r="POG17" s="11"/>
      <c r="POH17" s="11"/>
      <c r="POI17" s="11"/>
      <c r="POJ17" s="11"/>
      <c r="POK17" s="11"/>
      <c r="POL17" s="11"/>
      <c r="POM17" s="11"/>
      <c r="PON17" s="11"/>
      <c r="POO17" s="11"/>
      <c r="POP17" s="11"/>
      <c r="POQ17" s="11"/>
      <c r="POR17" s="11"/>
      <c r="POS17" s="11"/>
      <c r="POT17" s="11"/>
      <c r="POU17" s="11"/>
      <c r="POV17" s="11"/>
      <c r="POW17" s="11"/>
      <c r="POX17" s="11"/>
      <c r="POY17" s="11"/>
      <c r="POZ17" s="11"/>
      <c r="PPA17" s="11"/>
      <c r="PPB17" s="11"/>
      <c r="PPC17" s="11"/>
      <c r="PPD17" s="11"/>
      <c r="PPE17" s="11"/>
      <c r="PPF17" s="11"/>
      <c r="PPG17" s="11"/>
      <c r="PPH17" s="11"/>
      <c r="PPI17" s="11"/>
      <c r="PPJ17" s="11"/>
      <c r="PPK17" s="11"/>
      <c r="PPL17" s="11"/>
      <c r="PPM17" s="11"/>
      <c r="PPN17" s="11"/>
      <c r="PPO17" s="11"/>
      <c r="PPP17" s="11"/>
      <c r="PPQ17" s="11"/>
      <c r="PPR17" s="11"/>
      <c r="PPS17" s="11"/>
      <c r="PPT17" s="11"/>
      <c r="PPU17" s="11"/>
      <c r="PPV17" s="11"/>
      <c r="PPW17" s="11"/>
      <c r="PPX17" s="11"/>
      <c r="PPY17" s="11"/>
      <c r="PPZ17" s="11"/>
      <c r="PQA17" s="11"/>
      <c r="PQB17" s="11"/>
      <c r="PQC17" s="11"/>
      <c r="PQD17" s="11"/>
      <c r="PQE17" s="11"/>
      <c r="PQF17" s="11"/>
      <c r="PQG17" s="11"/>
      <c r="PQH17" s="11"/>
      <c r="PQI17" s="11"/>
      <c r="PQJ17" s="11"/>
      <c r="PQK17" s="11"/>
      <c r="PQL17" s="11"/>
      <c r="PQM17" s="11"/>
      <c r="PQN17" s="11"/>
      <c r="PQO17" s="11"/>
      <c r="PQP17" s="11"/>
      <c r="PQQ17" s="11"/>
      <c r="PQR17" s="11"/>
      <c r="PQS17" s="11"/>
      <c r="PQT17" s="11"/>
      <c r="PQU17" s="11"/>
      <c r="PQV17" s="11"/>
      <c r="PQW17" s="11"/>
      <c r="PQX17" s="11"/>
      <c r="PQY17" s="11"/>
      <c r="PQZ17" s="11"/>
      <c r="PRA17" s="11"/>
      <c r="PRB17" s="11"/>
      <c r="PRC17" s="11"/>
      <c r="PRD17" s="11"/>
      <c r="PRE17" s="11"/>
      <c r="PRF17" s="11"/>
      <c r="PRG17" s="11"/>
      <c r="PRH17" s="11"/>
      <c r="PRI17" s="11"/>
      <c r="PRJ17" s="11"/>
      <c r="PRK17" s="11"/>
      <c r="PRL17" s="11"/>
      <c r="PRM17" s="11"/>
      <c r="PRN17" s="11"/>
      <c r="PRO17" s="11"/>
      <c r="PRP17" s="11"/>
      <c r="PRQ17" s="11"/>
      <c r="PRR17" s="11"/>
      <c r="PRS17" s="11"/>
      <c r="PRT17" s="11"/>
      <c r="PRU17" s="11"/>
      <c r="PRV17" s="11"/>
      <c r="PRW17" s="11"/>
      <c r="PRX17" s="11"/>
      <c r="PRY17" s="11"/>
      <c r="PRZ17" s="11"/>
      <c r="PSA17" s="11"/>
      <c r="PSB17" s="11"/>
      <c r="PSC17" s="11"/>
      <c r="PSD17" s="11"/>
      <c r="PSE17" s="11"/>
      <c r="PSF17" s="11"/>
      <c r="PSG17" s="11"/>
      <c r="PSH17" s="11"/>
      <c r="PSI17" s="11"/>
      <c r="PSJ17" s="11"/>
      <c r="PSK17" s="11"/>
      <c r="PSL17" s="11"/>
      <c r="PSM17" s="11"/>
      <c r="PSN17" s="11"/>
      <c r="PSO17" s="11"/>
      <c r="PSP17" s="11"/>
      <c r="PSQ17" s="11"/>
      <c r="PSR17" s="11"/>
      <c r="PSS17" s="11"/>
      <c r="PST17" s="11"/>
      <c r="PSU17" s="11"/>
      <c r="PSV17" s="11"/>
      <c r="PSW17" s="11"/>
      <c r="PSX17" s="11"/>
      <c r="PSY17" s="11"/>
      <c r="PSZ17" s="11"/>
      <c r="PTA17" s="11"/>
      <c r="PTB17" s="11"/>
      <c r="PTC17" s="11"/>
      <c r="PTD17" s="11"/>
      <c r="PTE17" s="11"/>
      <c r="PTF17" s="11"/>
      <c r="PTG17" s="11"/>
      <c r="PTH17" s="11"/>
      <c r="PTI17" s="11"/>
      <c r="PTJ17" s="11"/>
      <c r="PTK17" s="11"/>
      <c r="PTL17" s="11"/>
      <c r="PTM17" s="11"/>
      <c r="PTN17" s="11"/>
      <c r="PTO17" s="11"/>
      <c r="PTP17" s="11"/>
      <c r="PTQ17" s="11"/>
      <c r="PTR17" s="11"/>
      <c r="PTS17" s="11"/>
      <c r="PTT17" s="11"/>
      <c r="PTU17" s="11"/>
      <c r="PTV17" s="11"/>
      <c r="PTW17" s="11"/>
      <c r="PTX17" s="11"/>
      <c r="PTY17" s="11"/>
      <c r="PTZ17" s="11"/>
      <c r="PUA17" s="11"/>
      <c r="PUB17" s="11"/>
      <c r="PUC17" s="11"/>
      <c r="PUD17" s="11"/>
      <c r="PUE17" s="11"/>
      <c r="PUF17" s="11"/>
      <c r="PUG17" s="11"/>
      <c r="PUH17" s="11"/>
      <c r="PUI17" s="11"/>
      <c r="PUJ17" s="11"/>
      <c r="PUK17" s="11"/>
      <c r="PUL17" s="11"/>
      <c r="PUM17" s="11"/>
      <c r="PUN17" s="11"/>
      <c r="PUO17" s="11"/>
      <c r="PUP17" s="11"/>
      <c r="PUQ17" s="11"/>
      <c r="PUR17" s="11"/>
      <c r="PUS17" s="11"/>
      <c r="PUT17" s="11"/>
      <c r="PUU17" s="11"/>
      <c r="PUV17" s="11"/>
      <c r="PUW17" s="11"/>
      <c r="PUX17" s="11"/>
      <c r="PUY17" s="11"/>
      <c r="PUZ17" s="11"/>
      <c r="PVA17" s="11"/>
      <c r="PVB17" s="11"/>
      <c r="PVC17" s="11"/>
      <c r="PVD17" s="11"/>
      <c r="PVE17" s="11"/>
      <c r="PVF17" s="11"/>
      <c r="PVG17" s="11"/>
      <c r="PVH17" s="11"/>
      <c r="PVI17" s="11"/>
      <c r="PVJ17" s="11"/>
      <c r="PVK17" s="11"/>
      <c r="PVL17" s="11"/>
      <c r="PVM17" s="11"/>
      <c r="PVN17" s="11"/>
      <c r="PVO17" s="11"/>
      <c r="PVP17" s="11"/>
      <c r="PVQ17" s="11"/>
      <c r="PVR17" s="11"/>
      <c r="PVS17" s="11"/>
      <c r="PVT17" s="11"/>
      <c r="PVU17" s="11"/>
      <c r="PVV17" s="11"/>
      <c r="PVW17" s="11"/>
      <c r="PVX17" s="11"/>
      <c r="PVY17" s="11"/>
      <c r="PVZ17" s="11"/>
      <c r="PWA17" s="11"/>
      <c r="PWB17" s="11"/>
      <c r="PWC17" s="11"/>
      <c r="PWD17" s="11"/>
      <c r="PWE17" s="11"/>
      <c r="PWF17" s="11"/>
      <c r="PWG17" s="11"/>
      <c r="PWH17" s="11"/>
      <c r="PWI17" s="11"/>
      <c r="PWJ17" s="11"/>
      <c r="PWK17" s="11"/>
      <c r="PWL17" s="11"/>
      <c r="PWM17" s="11"/>
      <c r="PWN17" s="11"/>
      <c r="PWO17" s="11"/>
      <c r="PWP17" s="11"/>
      <c r="PWQ17" s="11"/>
      <c r="PWR17" s="11"/>
      <c r="PWS17" s="11"/>
      <c r="PWT17" s="11"/>
      <c r="PWU17" s="11"/>
      <c r="PWV17" s="11"/>
      <c r="PWW17" s="11"/>
      <c r="PWX17" s="11"/>
      <c r="PWY17" s="11"/>
      <c r="PWZ17" s="11"/>
      <c r="PXA17" s="11"/>
      <c r="PXB17" s="11"/>
      <c r="PXC17" s="11"/>
      <c r="PXD17" s="11"/>
      <c r="PXE17" s="11"/>
      <c r="PXF17" s="11"/>
      <c r="PXG17" s="11"/>
      <c r="PXH17" s="11"/>
      <c r="PXI17" s="11"/>
      <c r="PXJ17" s="11"/>
      <c r="PXK17" s="11"/>
      <c r="PXL17" s="11"/>
      <c r="PXM17" s="11"/>
      <c r="PXN17" s="11"/>
      <c r="PXO17" s="11"/>
      <c r="PXP17" s="11"/>
      <c r="PXQ17" s="11"/>
      <c r="PXR17" s="11"/>
      <c r="PXS17" s="11"/>
      <c r="PXT17" s="11"/>
      <c r="PXU17" s="11"/>
      <c r="PXV17" s="11"/>
      <c r="PXW17" s="11"/>
      <c r="PXX17" s="11"/>
      <c r="PXY17" s="11"/>
      <c r="PXZ17" s="11"/>
      <c r="PYA17" s="11"/>
      <c r="PYB17" s="11"/>
      <c r="PYC17" s="11"/>
      <c r="PYD17" s="11"/>
      <c r="PYE17" s="11"/>
      <c r="PYF17" s="11"/>
      <c r="PYG17" s="11"/>
      <c r="PYH17" s="11"/>
      <c r="PYI17" s="11"/>
      <c r="PYJ17" s="11"/>
      <c r="PYK17" s="11"/>
      <c r="PYL17" s="11"/>
      <c r="PYM17" s="11"/>
      <c r="PYN17" s="11"/>
      <c r="PYO17" s="11"/>
      <c r="PYP17" s="11"/>
      <c r="PYQ17" s="11"/>
      <c r="PYR17" s="11"/>
      <c r="PYS17" s="11"/>
      <c r="PYT17" s="11"/>
      <c r="PYU17" s="11"/>
      <c r="PYV17" s="11"/>
      <c r="PYW17" s="11"/>
      <c r="PYX17" s="11"/>
      <c r="PYY17" s="11"/>
      <c r="PYZ17" s="11"/>
      <c r="PZA17" s="11"/>
      <c r="PZB17" s="11"/>
      <c r="PZC17" s="11"/>
      <c r="PZD17" s="11"/>
      <c r="PZE17" s="11"/>
      <c r="PZF17" s="11"/>
      <c r="PZG17" s="11"/>
      <c r="PZH17" s="11"/>
      <c r="PZI17" s="11"/>
      <c r="PZJ17" s="11"/>
      <c r="PZK17" s="11"/>
      <c r="PZL17" s="11"/>
      <c r="PZM17" s="11"/>
      <c r="PZN17" s="11"/>
      <c r="PZO17" s="11"/>
      <c r="PZP17" s="11"/>
      <c r="PZQ17" s="11"/>
      <c r="PZR17" s="11"/>
      <c r="PZS17" s="11"/>
      <c r="PZT17" s="11"/>
      <c r="PZU17" s="11"/>
      <c r="PZV17" s="11"/>
      <c r="PZW17" s="11"/>
      <c r="PZX17" s="11"/>
      <c r="PZY17" s="11"/>
      <c r="PZZ17" s="11"/>
      <c r="QAA17" s="11"/>
      <c r="QAB17" s="11"/>
      <c r="QAC17" s="11"/>
      <c r="QAD17" s="11"/>
      <c r="QAE17" s="11"/>
      <c r="QAF17" s="11"/>
      <c r="QAG17" s="11"/>
      <c r="QAH17" s="11"/>
      <c r="QAI17" s="11"/>
      <c r="QAJ17" s="11"/>
      <c r="QAK17" s="11"/>
      <c r="QAL17" s="11"/>
      <c r="QAM17" s="11"/>
      <c r="QAN17" s="11"/>
      <c r="QAO17" s="11"/>
      <c r="QAP17" s="11"/>
      <c r="QAQ17" s="11"/>
      <c r="QAR17" s="11"/>
      <c r="QAS17" s="11"/>
      <c r="QAT17" s="11"/>
      <c r="QAU17" s="11"/>
      <c r="QAV17" s="11"/>
      <c r="QAW17" s="11"/>
      <c r="QAX17" s="11"/>
      <c r="QAY17" s="11"/>
      <c r="QAZ17" s="11"/>
      <c r="QBA17" s="11"/>
      <c r="QBB17" s="11"/>
      <c r="QBC17" s="11"/>
      <c r="QBD17" s="11"/>
      <c r="QBE17" s="11"/>
      <c r="QBF17" s="11"/>
      <c r="QBG17" s="11"/>
      <c r="QBH17" s="11"/>
      <c r="QBI17" s="11"/>
      <c r="QBJ17" s="11"/>
      <c r="QBK17" s="11"/>
      <c r="QBL17" s="11"/>
      <c r="QBM17" s="11"/>
      <c r="QBN17" s="11"/>
      <c r="QBO17" s="11"/>
      <c r="QBP17" s="11"/>
      <c r="QBQ17" s="11"/>
      <c r="QBR17" s="11"/>
      <c r="QBS17" s="11"/>
      <c r="QBT17" s="11"/>
      <c r="QBU17" s="11"/>
      <c r="QBV17" s="11"/>
      <c r="QBW17" s="11"/>
      <c r="QBX17" s="11"/>
      <c r="QBY17" s="11"/>
      <c r="QBZ17" s="11"/>
      <c r="QCA17" s="11"/>
      <c r="QCB17" s="11"/>
      <c r="QCC17" s="11"/>
      <c r="QCD17" s="11"/>
      <c r="QCE17" s="11"/>
      <c r="QCF17" s="11"/>
      <c r="QCG17" s="11"/>
      <c r="QCH17" s="11"/>
      <c r="QCI17" s="11"/>
      <c r="QCJ17" s="11"/>
      <c r="QCK17" s="11"/>
      <c r="QCL17" s="11"/>
      <c r="QCM17" s="11"/>
      <c r="QCN17" s="11"/>
      <c r="QCO17" s="11"/>
      <c r="QCP17" s="11"/>
      <c r="QCQ17" s="11"/>
      <c r="QCR17" s="11"/>
      <c r="QCS17" s="11"/>
      <c r="QCT17" s="11"/>
      <c r="QCU17" s="11"/>
      <c r="QCV17" s="11"/>
      <c r="QCW17" s="11"/>
      <c r="QCX17" s="11"/>
      <c r="QCY17" s="11"/>
      <c r="QCZ17" s="11"/>
      <c r="QDA17" s="11"/>
      <c r="QDB17" s="11"/>
      <c r="QDC17" s="11"/>
      <c r="QDD17" s="11"/>
      <c r="QDE17" s="11"/>
      <c r="QDF17" s="11"/>
      <c r="QDG17" s="11"/>
      <c r="QDH17" s="11"/>
      <c r="QDI17" s="11"/>
      <c r="QDJ17" s="11"/>
      <c r="QDK17" s="11"/>
      <c r="QDL17" s="11"/>
      <c r="QDM17" s="11"/>
      <c r="QDN17" s="11"/>
      <c r="QDO17" s="11"/>
      <c r="QDP17" s="11"/>
      <c r="QDQ17" s="11"/>
      <c r="QDR17" s="11"/>
      <c r="QDS17" s="11"/>
      <c r="QDT17" s="11"/>
      <c r="QDU17" s="11"/>
      <c r="QDV17" s="11"/>
      <c r="QDW17" s="11"/>
      <c r="QDX17" s="11"/>
      <c r="QDY17" s="11"/>
      <c r="QDZ17" s="11"/>
      <c r="QEA17" s="11"/>
      <c r="QEB17" s="11"/>
      <c r="QEC17" s="11"/>
      <c r="QED17" s="11"/>
      <c r="QEE17" s="11"/>
      <c r="QEF17" s="11"/>
      <c r="QEG17" s="11"/>
      <c r="QEH17" s="11"/>
      <c r="QEI17" s="11"/>
      <c r="QEJ17" s="11"/>
      <c r="QEK17" s="11"/>
      <c r="QEL17" s="11"/>
      <c r="QEM17" s="11"/>
      <c r="QEN17" s="11"/>
      <c r="QEO17" s="11"/>
      <c r="QEP17" s="11"/>
      <c r="QEQ17" s="11"/>
      <c r="QER17" s="11"/>
      <c r="QES17" s="11"/>
      <c r="QET17" s="11"/>
      <c r="QEU17" s="11"/>
      <c r="QEV17" s="11"/>
      <c r="QEW17" s="11"/>
      <c r="QEX17" s="11"/>
      <c r="QEY17" s="11"/>
      <c r="QEZ17" s="11"/>
      <c r="QFA17" s="11"/>
      <c r="QFB17" s="11"/>
      <c r="QFC17" s="11"/>
      <c r="QFD17" s="11"/>
      <c r="QFE17" s="11"/>
      <c r="QFF17" s="11"/>
      <c r="QFG17" s="11"/>
      <c r="QFH17" s="11"/>
      <c r="QFI17" s="11"/>
      <c r="QFJ17" s="11"/>
      <c r="QFK17" s="11"/>
      <c r="QFL17" s="11"/>
      <c r="QFM17" s="11"/>
      <c r="QFN17" s="11"/>
      <c r="QFO17" s="11"/>
      <c r="QFP17" s="11"/>
      <c r="QFQ17" s="11"/>
      <c r="QFR17" s="11"/>
      <c r="QFS17" s="11"/>
      <c r="QFT17" s="11"/>
      <c r="QFU17" s="11"/>
      <c r="QFV17" s="11"/>
      <c r="QFW17" s="11"/>
      <c r="QFX17" s="11"/>
      <c r="QFY17" s="11"/>
      <c r="QFZ17" s="11"/>
      <c r="QGA17" s="11"/>
      <c r="QGB17" s="11"/>
      <c r="QGC17" s="11"/>
      <c r="QGD17" s="11"/>
      <c r="QGE17" s="11"/>
      <c r="QGF17" s="11"/>
      <c r="QGG17" s="11"/>
      <c r="QGH17" s="11"/>
      <c r="QGI17" s="11"/>
      <c r="QGJ17" s="11"/>
      <c r="QGK17" s="11"/>
      <c r="QGL17" s="11"/>
      <c r="QGM17" s="11"/>
      <c r="QGN17" s="11"/>
      <c r="QGO17" s="11"/>
      <c r="QGP17" s="11"/>
      <c r="QGQ17" s="11"/>
      <c r="QGR17" s="11"/>
      <c r="QGS17" s="11"/>
      <c r="QGT17" s="11"/>
      <c r="QGU17" s="11"/>
      <c r="QGV17" s="11"/>
      <c r="QGW17" s="11"/>
      <c r="QGX17" s="11"/>
      <c r="QGY17" s="11"/>
      <c r="QGZ17" s="11"/>
      <c r="QHA17" s="11"/>
      <c r="QHB17" s="11"/>
      <c r="QHC17" s="11"/>
      <c r="QHD17" s="11"/>
      <c r="QHE17" s="11"/>
      <c r="QHF17" s="11"/>
      <c r="QHG17" s="11"/>
      <c r="QHH17" s="11"/>
      <c r="QHI17" s="11"/>
      <c r="QHJ17" s="11"/>
      <c r="QHK17" s="11"/>
      <c r="QHL17" s="11"/>
      <c r="QHM17" s="11"/>
      <c r="QHN17" s="11"/>
      <c r="QHO17" s="11"/>
      <c r="QHP17" s="11"/>
      <c r="QHQ17" s="11"/>
      <c r="QHR17" s="11"/>
      <c r="QHS17" s="11"/>
      <c r="QHT17" s="11"/>
      <c r="QHU17" s="11"/>
      <c r="QHV17" s="11"/>
      <c r="QHW17" s="11"/>
      <c r="QHX17" s="11"/>
      <c r="QHY17" s="11"/>
      <c r="QHZ17" s="11"/>
      <c r="QIA17" s="11"/>
      <c r="QIB17" s="11"/>
      <c r="QIC17" s="11"/>
      <c r="QID17" s="11"/>
      <c r="QIE17" s="11"/>
      <c r="QIF17" s="11"/>
      <c r="QIG17" s="11"/>
      <c r="QIH17" s="11"/>
      <c r="QII17" s="11"/>
      <c r="QIJ17" s="11"/>
      <c r="QIK17" s="11"/>
      <c r="QIL17" s="11"/>
      <c r="QIM17" s="11"/>
      <c r="QIN17" s="11"/>
      <c r="QIO17" s="11"/>
      <c r="QIP17" s="11"/>
      <c r="QIQ17" s="11"/>
      <c r="QIR17" s="11"/>
      <c r="QIS17" s="11"/>
      <c r="QIT17" s="11"/>
      <c r="QIU17" s="11"/>
      <c r="QIV17" s="11"/>
      <c r="QIW17" s="11"/>
      <c r="QIX17" s="11"/>
      <c r="QIY17" s="11"/>
      <c r="QIZ17" s="11"/>
      <c r="QJA17" s="11"/>
      <c r="QJB17" s="11"/>
      <c r="QJC17" s="11"/>
      <c r="QJD17" s="11"/>
      <c r="QJE17" s="11"/>
      <c r="QJF17" s="11"/>
      <c r="QJG17" s="11"/>
      <c r="QJH17" s="11"/>
      <c r="QJI17" s="11"/>
      <c r="QJJ17" s="11"/>
      <c r="QJK17" s="11"/>
      <c r="QJL17" s="11"/>
      <c r="QJM17" s="11"/>
      <c r="QJN17" s="11"/>
      <c r="QJO17" s="11"/>
      <c r="QJP17" s="11"/>
      <c r="QJQ17" s="11"/>
      <c r="QJR17" s="11"/>
      <c r="QJS17" s="11"/>
      <c r="QJT17" s="11"/>
      <c r="QJU17" s="11"/>
      <c r="QJV17" s="11"/>
      <c r="QJW17" s="11"/>
      <c r="QJX17" s="11"/>
      <c r="QJY17" s="11"/>
      <c r="QJZ17" s="11"/>
      <c r="QKA17" s="11"/>
      <c r="QKB17" s="11"/>
      <c r="QKC17" s="11"/>
      <c r="QKD17" s="11"/>
      <c r="QKE17" s="11"/>
      <c r="QKF17" s="11"/>
      <c r="QKG17" s="11"/>
      <c r="QKH17" s="11"/>
      <c r="QKI17" s="11"/>
      <c r="QKJ17" s="11"/>
      <c r="QKK17" s="11"/>
      <c r="QKL17" s="11"/>
      <c r="QKM17" s="11"/>
      <c r="QKN17" s="11"/>
      <c r="QKO17" s="11"/>
      <c r="QKP17" s="11"/>
      <c r="QKQ17" s="11"/>
      <c r="QKR17" s="11"/>
      <c r="QKS17" s="11"/>
      <c r="QKT17" s="11"/>
      <c r="QKU17" s="11"/>
      <c r="QKV17" s="11"/>
      <c r="QKW17" s="11"/>
      <c r="QKX17" s="11"/>
      <c r="QKY17" s="11"/>
      <c r="QKZ17" s="11"/>
      <c r="QLA17" s="11"/>
      <c r="QLB17" s="11"/>
      <c r="QLC17" s="11"/>
      <c r="QLD17" s="11"/>
      <c r="QLE17" s="11"/>
      <c r="QLF17" s="11"/>
      <c r="QLG17" s="11"/>
      <c r="QLH17" s="11"/>
      <c r="QLI17" s="11"/>
      <c r="QLJ17" s="11"/>
      <c r="QLK17" s="11"/>
      <c r="QLL17" s="11"/>
      <c r="QLM17" s="11"/>
      <c r="QLN17" s="11"/>
      <c r="QLO17" s="11"/>
      <c r="QLP17" s="11"/>
      <c r="QLQ17" s="11"/>
      <c r="QLR17" s="11"/>
      <c r="QLS17" s="11"/>
      <c r="QLT17" s="11"/>
      <c r="QLU17" s="11"/>
      <c r="QLV17" s="11"/>
      <c r="QLW17" s="11"/>
      <c r="QLX17" s="11"/>
      <c r="QLY17" s="11"/>
      <c r="QLZ17" s="11"/>
      <c r="QMA17" s="11"/>
      <c r="QMB17" s="11"/>
      <c r="QMC17" s="11"/>
      <c r="QMD17" s="11"/>
      <c r="QME17" s="11"/>
      <c r="QMF17" s="11"/>
      <c r="QMG17" s="11"/>
      <c r="QMH17" s="11"/>
      <c r="QMI17" s="11"/>
      <c r="QMJ17" s="11"/>
      <c r="QMK17" s="11"/>
      <c r="QML17" s="11"/>
      <c r="QMM17" s="11"/>
      <c r="QMN17" s="11"/>
      <c r="QMO17" s="11"/>
      <c r="QMP17" s="11"/>
      <c r="QMQ17" s="11"/>
      <c r="QMR17" s="11"/>
      <c r="QMS17" s="11"/>
      <c r="QMT17" s="11"/>
      <c r="QMU17" s="11"/>
      <c r="QMV17" s="11"/>
      <c r="QMW17" s="11"/>
      <c r="QMX17" s="11"/>
      <c r="QMY17" s="11"/>
      <c r="QMZ17" s="11"/>
      <c r="QNA17" s="11"/>
      <c r="QNB17" s="11"/>
      <c r="QNC17" s="11"/>
      <c r="QND17" s="11"/>
      <c r="QNE17" s="11"/>
      <c r="QNF17" s="11"/>
      <c r="QNG17" s="11"/>
      <c r="QNH17" s="11"/>
      <c r="QNI17" s="11"/>
      <c r="QNJ17" s="11"/>
      <c r="QNK17" s="11"/>
      <c r="QNL17" s="11"/>
      <c r="QNM17" s="11"/>
      <c r="QNN17" s="11"/>
      <c r="QNO17" s="11"/>
      <c r="QNP17" s="11"/>
      <c r="QNQ17" s="11"/>
      <c r="QNR17" s="11"/>
      <c r="QNS17" s="11"/>
      <c r="QNT17" s="11"/>
      <c r="QNU17" s="11"/>
      <c r="QNV17" s="11"/>
      <c r="QNW17" s="11"/>
      <c r="QNX17" s="11"/>
      <c r="QNY17" s="11"/>
      <c r="QNZ17" s="11"/>
      <c r="QOA17" s="11"/>
      <c r="QOB17" s="11"/>
      <c r="QOC17" s="11"/>
      <c r="QOD17" s="11"/>
      <c r="QOE17" s="11"/>
      <c r="QOF17" s="11"/>
      <c r="QOG17" s="11"/>
      <c r="QOH17" s="11"/>
      <c r="QOI17" s="11"/>
      <c r="QOJ17" s="11"/>
      <c r="QOK17" s="11"/>
      <c r="QOL17" s="11"/>
      <c r="QOM17" s="11"/>
      <c r="QON17" s="11"/>
      <c r="QOO17" s="11"/>
      <c r="QOP17" s="11"/>
      <c r="QOQ17" s="11"/>
      <c r="QOR17" s="11"/>
      <c r="QOS17" s="11"/>
      <c r="QOT17" s="11"/>
      <c r="QOU17" s="11"/>
      <c r="QOV17" s="11"/>
      <c r="QOW17" s="11"/>
      <c r="QOX17" s="11"/>
      <c r="QOY17" s="11"/>
      <c r="QOZ17" s="11"/>
      <c r="QPA17" s="11"/>
      <c r="QPB17" s="11"/>
      <c r="QPC17" s="11"/>
      <c r="QPD17" s="11"/>
      <c r="QPE17" s="11"/>
      <c r="QPF17" s="11"/>
      <c r="QPG17" s="11"/>
      <c r="QPH17" s="11"/>
      <c r="QPI17" s="11"/>
      <c r="QPJ17" s="11"/>
      <c r="QPK17" s="11"/>
      <c r="QPL17" s="11"/>
      <c r="QPM17" s="11"/>
      <c r="QPN17" s="11"/>
      <c r="QPO17" s="11"/>
      <c r="QPP17" s="11"/>
      <c r="QPQ17" s="11"/>
      <c r="QPR17" s="11"/>
      <c r="QPS17" s="11"/>
      <c r="QPT17" s="11"/>
      <c r="QPU17" s="11"/>
      <c r="QPV17" s="11"/>
      <c r="QPW17" s="11"/>
      <c r="QPX17" s="11"/>
      <c r="QPY17" s="11"/>
      <c r="QPZ17" s="11"/>
      <c r="QQA17" s="11"/>
      <c r="QQB17" s="11"/>
      <c r="QQC17" s="11"/>
      <c r="QQD17" s="11"/>
      <c r="QQE17" s="11"/>
      <c r="QQF17" s="11"/>
      <c r="QQG17" s="11"/>
      <c r="QQH17" s="11"/>
      <c r="QQI17" s="11"/>
      <c r="QQJ17" s="11"/>
      <c r="QQK17" s="11"/>
      <c r="QQL17" s="11"/>
      <c r="QQM17" s="11"/>
      <c r="QQN17" s="11"/>
      <c r="QQO17" s="11"/>
      <c r="QQP17" s="11"/>
      <c r="QQQ17" s="11"/>
      <c r="QQR17" s="11"/>
      <c r="QQS17" s="11"/>
      <c r="QQT17" s="11"/>
      <c r="QQU17" s="11"/>
      <c r="QQV17" s="11"/>
      <c r="QQW17" s="11"/>
      <c r="QQX17" s="11"/>
      <c r="QQY17" s="11"/>
      <c r="QQZ17" s="11"/>
      <c r="QRA17" s="11"/>
      <c r="QRB17" s="11"/>
      <c r="QRC17" s="11"/>
      <c r="QRD17" s="11"/>
      <c r="QRE17" s="11"/>
      <c r="QRF17" s="11"/>
      <c r="QRG17" s="11"/>
      <c r="QRH17" s="11"/>
      <c r="QRI17" s="11"/>
      <c r="QRJ17" s="11"/>
      <c r="QRK17" s="11"/>
      <c r="QRL17" s="11"/>
      <c r="QRM17" s="11"/>
      <c r="QRN17" s="11"/>
      <c r="QRO17" s="11"/>
      <c r="QRP17" s="11"/>
      <c r="QRQ17" s="11"/>
      <c r="QRR17" s="11"/>
      <c r="QRS17" s="11"/>
      <c r="QRT17" s="11"/>
      <c r="QRU17" s="11"/>
      <c r="QRV17" s="11"/>
      <c r="QRW17" s="11"/>
      <c r="QRX17" s="11"/>
      <c r="QRY17" s="11"/>
      <c r="QRZ17" s="11"/>
      <c r="QSA17" s="11"/>
      <c r="QSB17" s="11"/>
      <c r="QSC17" s="11"/>
      <c r="QSD17" s="11"/>
      <c r="QSE17" s="11"/>
      <c r="QSF17" s="11"/>
      <c r="QSG17" s="11"/>
      <c r="QSH17" s="11"/>
      <c r="QSI17" s="11"/>
      <c r="QSJ17" s="11"/>
      <c r="QSK17" s="11"/>
      <c r="QSL17" s="11"/>
      <c r="QSM17" s="11"/>
      <c r="QSN17" s="11"/>
      <c r="QSO17" s="11"/>
      <c r="QSP17" s="11"/>
      <c r="QSQ17" s="11"/>
      <c r="QSR17" s="11"/>
      <c r="QSS17" s="11"/>
      <c r="QST17" s="11"/>
      <c r="QSU17" s="11"/>
      <c r="QSV17" s="11"/>
      <c r="QSW17" s="11"/>
      <c r="QSX17" s="11"/>
      <c r="QSY17" s="11"/>
      <c r="QSZ17" s="11"/>
      <c r="QTA17" s="11"/>
      <c r="QTB17" s="11"/>
      <c r="QTC17" s="11"/>
      <c r="QTD17" s="11"/>
      <c r="QTE17" s="11"/>
      <c r="QTF17" s="11"/>
      <c r="QTG17" s="11"/>
      <c r="QTH17" s="11"/>
      <c r="QTI17" s="11"/>
      <c r="QTJ17" s="11"/>
      <c r="QTK17" s="11"/>
      <c r="QTL17" s="11"/>
      <c r="QTM17" s="11"/>
      <c r="QTN17" s="11"/>
      <c r="QTO17" s="11"/>
      <c r="QTP17" s="11"/>
      <c r="QTQ17" s="11"/>
      <c r="QTR17" s="11"/>
      <c r="QTS17" s="11"/>
      <c r="QTT17" s="11"/>
      <c r="QTU17" s="11"/>
      <c r="QTV17" s="11"/>
      <c r="QTW17" s="11"/>
      <c r="QTX17" s="11"/>
      <c r="QTY17" s="11"/>
      <c r="QTZ17" s="11"/>
      <c r="QUA17" s="11"/>
      <c r="QUB17" s="11"/>
      <c r="QUC17" s="11"/>
      <c r="QUD17" s="11"/>
      <c r="QUE17" s="11"/>
      <c r="QUF17" s="11"/>
      <c r="QUG17" s="11"/>
      <c r="QUH17" s="11"/>
      <c r="QUI17" s="11"/>
      <c r="QUJ17" s="11"/>
      <c r="QUK17" s="11"/>
      <c r="QUL17" s="11"/>
      <c r="QUM17" s="11"/>
      <c r="QUN17" s="11"/>
      <c r="QUO17" s="11"/>
      <c r="QUP17" s="11"/>
      <c r="QUQ17" s="11"/>
      <c r="QUR17" s="11"/>
      <c r="QUS17" s="11"/>
      <c r="QUT17" s="11"/>
      <c r="QUU17" s="11"/>
      <c r="QUV17" s="11"/>
      <c r="QUW17" s="11"/>
      <c r="QUX17" s="11"/>
      <c r="QUY17" s="11"/>
      <c r="QUZ17" s="11"/>
      <c r="QVA17" s="11"/>
      <c r="QVB17" s="11"/>
      <c r="QVC17" s="11"/>
      <c r="QVD17" s="11"/>
      <c r="QVE17" s="11"/>
      <c r="QVF17" s="11"/>
      <c r="QVG17" s="11"/>
      <c r="QVH17" s="11"/>
      <c r="QVI17" s="11"/>
      <c r="QVJ17" s="11"/>
      <c r="QVK17" s="11"/>
      <c r="QVL17" s="11"/>
      <c r="QVM17" s="11"/>
      <c r="QVN17" s="11"/>
      <c r="QVO17" s="11"/>
      <c r="QVP17" s="11"/>
      <c r="QVQ17" s="11"/>
      <c r="QVR17" s="11"/>
      <c r="QVS17" s="11"/>
      <c r="QVT17" s="11"/>
      <c r="QVU17" s="11"/>
      <c r="QVV17" s="11"/>
      <c r="QVW17" s="11"/>
      <c r="QVX17" s="11"/>
      <c r="QVY17" s="11"/>
      <c r="QVZ17" s="11"/>
      <c r="QWA17" s="11"/>
      <c r="QWB17" s="11"/>
      <c r="QWC17" s="11"/>
      <c r="QWD17" s="11"/>
      <c r="QWE17" s="11"/>
      <c r="QWF17" s="11"/>
      <c r="QWG17" s="11"/>
      <c r="QWH17" s="11"/>
      <c r="QWI17" s="11"/>
      <c r="QWJ17" s="11"/>
      <c r="QWK17" s="11"/>
      <c r="QWL17" s="11"/>
      <c r="QWM17" s="11"/>
      <c r="QWN17" s="11"/>
      <c r="QWO17" s="11"/>
      <c r="QWP17" s="11"/>
      <c r="QWQ17" s="11"/>
      <c r="QWR17" s="11"/>
      <c r="QWS17" s="11"/>
      <c r="QWT17" s="11"/>
      <c r="QWU17" s="11"/>
      <c r="QWV17" s="11"/>
      <c r="QWW17" s="11"/>
      <c r="QWX17" s="11"/>
      <c r="QWY17" s="11"/>
      <c r="QWZ17" s="11"/>
      <c r="QXA17" s="11"/>
      <c r="QXB17" s="11"/>
      <c r="QXC17" s="11"/>
      <c r="QXD17" s="11"/>
      <c r="QXE17" s="11"/>
      <c r="QXF17" s="11"/>
      <c r="QXG17" s="11"/>
      <c r="QXH17" s="11"/>
      <c r="QXI17" s="11"/>
      <c r="QXJ17" s="11"/>
      <c r="QXK17" s="11"/>
      <c r="QXL17" s="11"/>
      <c r="QXM17" s="11"/>
      <c r="QXN17" s="11"/>
      <c r="QXO17" s="11"/>
      <c r="QXP17" s="11"/>
      <c r="QXQ17" s="11"/>
      <c r="QXR17" s="11"/>
      <c r="QXS17" s="11"/>
      <c r="QXT17" s="11"/>
      <c r="QXU17" s="11"/>
      <c r="QXV17" s="11"/>
      <c r="QXW17" s="11"/>
      <c r="QXX17" s="11"/>
      <c r="QXY17" s="11"/>
      <c r="QXZ17" s="11"/>
      <c r="QYA17" s="11"/>
      <c r="QYB17" s="11"/>
      <c r="QYC17" s="11"/>
      <c r="QYD17" s="11"/>
      <c r="QYE17" s="11"/>
      <c r="QYF17" s="11"/>
      <c r="QYG17" s="11"/>
      <c r="QYH17" s="11"/>
      <c r="QYI17" s="11"/>
      <c r="QYJ17" s="11"/>
      <c r="QYK17" s="11"/>
      <c r="QYL17" s="11"/>
      <c r="QYM17" s="11"/>
      <c r="QYN17" s="11"/>
      <c r="QYO17" s="11"/>
      <c r="QYP17" s="11"/>
      <c r="QYQ17" s="11"/>
      <c r="QYR17" s="11"/>
      <c r="QYS17" s="11"/>
      <c r="QYT17" s="11"/>
      <c r="QYU17" s="11"/>
      <c r="QYV17" s="11"/>
      <c r="QYW17" s="11"/>
      <c r="QYX17" s="11"/>
      <c r="QYY17" s="11"/>
      <c r="QYZ17" s="11"/>
      <c r="QZA17" s="11"/>
      <c r="QZB17" s="11"/>
      <c r="QZC17" s="11"/>
      <c r="QZD17" s="11"/>
      <c r="QZE17" s="11"/>
      <c r="QZF17" s="11"/>
      <c r="QZG17" s="11"/>
      <c r="QZH17" s="11"/>
      <c r="QZI17" s="11"/>
      <c r="QZJ17" s="11"/>
      <c r="QZK17" s="11"/>
      <c r="QZL17" s="11"/>
      <c r="QZM17" s="11"/>
      <c r="QZN17" s="11"/>
      <c r="QZO17" s="11"/>
      <c r="QZP17" s="11"/>
      <c r="QZQ17" s="11"/>
      <c r="QZR17" s="11"/>
      <c r="QZS17" s="11"/>
      <c r="QZT17" s="11"/>
      <c r="QZU17" s="11"/>
      <c r="QZV17" s="11"/>
      <c r="QZW17" s="11"/>
      <c r="QZX17" s="11"/>
      <c r="QZY17" s="11"/>
      <c r="QZZ17" s="11"/>
      <c r="RAA17" s="11"/>
      <c r="RAB17" s="11"/>
      <c r="RAC17" s="11"/>
      <c r="RAD17" s="11"/>
      <c r="RAE17" s="11"/>
      <c r="RAF17" s="11"/>
      <c r="RAG17" s="11"/>
      <c r="RAH17" s="11"/>
      <c r="RAI17" s="11"/>
      <c r="RAJ17" s="11"/>
      <c r="RAK17" s="11"/>
      <c r="RAL17" s="11"/>
      <c r="RAM17" s="11"/>
      <c r="RAN17" s="11"/>
      <c r="RAO17" s="11"/>
      <c r="RAP17" s="11"/>
      <c r="RAQ17" s="11"/>
      <c r="RAR17" s="11"/>
      <c r="RAS17" s="11"/>
      <c r="RAT17" s="11"/>
      <c r="RAU17" s="11"/>
      <c r="RAV17" s="11"/>
      <c r="RAW17" s="11"/>
      <c r="RAX17" s="11"/>
      <c r="RAY17" s="11"/>
      <c r="RAZ17" s="11"/>
      <c r="RBA17" s="11"/>
      <c r="RBB17" s="11"/>
      <c r="RBC17" s="11"/>
      <c r="RBD17" s="11"/>
      <c r="RBE17" s="11"/>
      <c r="RBF17" s="11"/>
      <c r="RBG17" s="11"/>
      <c r="RBH17" s="11"/>
      <c r="RBI17" s="11"/>
      <c r="RBJ17" s="11"/>
      <c r="RBK17" s="11"/>
      <c r="RBL17" s="11"/>
      <c r="RBM17" s="11"/>
      <c r="RBN17" s="11"/>
      <c r="RBO17" s="11"/>
      <c r="RBP17" s="11"/>
      <c r="RBQ17" s="11"/>
      <c r="RBR17" s="11"/>
      <c r="RBS17" s="11"/>
      <c r="RBT17" s="11"/>
      <c r="RBU17" s="11"/>
      <c r="RBV17" s="11"/>
      <c r="RBW17" s="11"/>
      <c r="RBX17" s="11"/>
      <c r="RBY17" s="11"/>
      <c r="RBZ17" s="11"/>
      <c r="RCA17" s="11"/>
      <c r="RCB17" s="11"/>
      <c r="RCC17" s="11"/>
      <c r="RCD17" s="11"/>
      <c r="RCE17" s="11"/>
      <c r="RCF17" s="11"/>
      <c r="RCG17" s="11"/>
      <c r="RCH17" s="11"/>
      <c r="RCI17" s="11"/>
      <c r="RCJ17" s="11"/>
      <c r="RCK17" s="11"/>
      <c r="RCL17" s="11"/>
      <c r="RCM17" s="11"/>
      <c r="RCN17" s="11"/>
      <c r="RCO17" s="11"/>
      <c r="RCP17" s="11"/>
      <c r="RCQ17" s="11"/>
      <c r="RCR17" s="11"/>
      <c r="RCS17" s="11"/>
      <c r="RCT17" s="11"/>
      <c r="RCU17" s="11"/>
      <c r="RCV17" s="11"/>
      <c r="RCW17" s="11"/>
      <c r="RCX17" s="11"/>
      <c r="RCY17" s="11"/>
      <c r="RCZ17" s="11"/>
      <c r="RDA17" s="11"/>
      <c r="RDB17" s="11"/>
      <c r="RDC17" s="11"/>
      <c r="RDD17" s="11"/>
      <c r="RDE17" s="11"/>
      <c r="RDF17" s="11"/>
      <c r="RDG17" s="11"/>
      <c r="RDH17" s="11"/>
      <c r="RDI17" s="11"/>
      <c r="RDJ17" s="11"/>
      <c r="RDK17" s="11"/>
      <c r="RDL17" s="11"/>
      <c r="RDM17" s="11"/>
      <c r="RDN17" s="11"/>
      <c r="RDO17" s="11"/>
      <c r="RDP17" s="11"/>
      <c r="RDQ17" s="11"/>
      <c r="RDR17" s="11"/>
      <c r="RDS17" s="11"/>
      <c r="RDT17" s="11"/>
      <c r="RDU17" s="11"/>
      <c r="RDV17" s="11"/>
      <c r="RDW17" s="11"/>
      <c r="RDX17" s="11"/>
      <c r="RDY17" s="11"/>
      <c r="RDZ17" s="11"/>
      <c r="REA17" s="11"/>
      <c r="REB17" s="11"/>
      <c r="REC17" s="11"/>
      <c r="RED17" s="11"/>
      <c r="REE17" s="11"/>
      <c r="REF17" s="11"/>
      <c r="REG17" s="11"/>
      <c r="REH17" s="11"/>
      <c r="REI17" s="11"/>
      <c r="REJ17" s="11"/>
      <c r="REK17" s="11"/>
      <c r="REL17" s="11"/>
      <c r="REM17" s="11"/>
      <c r="REN17" s="11"/>
      <c r="REO17" s="11"/>
      <c r="REP17" s="11"/>
      <c r="REQ17" s="11"/>
      <c r="RER17" s="11"/>
      <c r="RES17" s="11"/>
      <c r="RET17" s="11"/>
      <c r="REU17" s="11"/>
      <c r="REV17" s="11"/>
      <c r="REW17" s="11"/>
      <c r="REX17" s="11"/>
      <c r="REY17" s="11"/>
      <c r="REZ17" s="11"/>
      <c r="RFA17" s="11"/>
      <c r="RFB17" s="11"/>
      <c r="RFC17" s="11"/>
      <c r="RFD17" s="11"/>
      <c r="RFE17" s="11"/>
      <c r="RFF17" s="11"/>
      <c r="RFG17" s="11"/>
      <c r="RFH17" s="11"/>
      <c r="RFI17" s="11"/>
      <c r="RFJ17" s="11"/>
      <c r="RFK17" s="11"/>
      <c r="RFL17" s="11"/>
      <c r="RFM17" s="11"/>
      <c r="RFN17" s="11"/>
      <c r="RFO17" s="11"/>
      <c r="RFP17" s="11"/>
      <c r="RFQ17" s="11"/>
      <c r="RFR17" s="11"/>
      <c r="RFS17" s="11"/>
      <c r="RFT17" s="11"/>
      <c r="RFU17" s="11"/>
      <c r="RFV17" s="11"/>
      <c r="RFW17" s="11"/>
      <c r="RFX17" s="11"/>
      <c r="RFY17" s="11"/>
      <c r="RFZ17" s="11"/>
      <c r="RGA17" s="11"/>
      <c r="RGB17" s="11"/>
      <c r="RGC17" s="11"/>
      <c r="RGD17" s="11"/>
      <c r="RGE17" s="11"/>
      <c r="RGF17" s="11"/>
      <c r="RGG17" s="11"/>
      <c r="RGH17" s="11"/>
      <c r="RGI17" s="11"/>
      <c r="RGJ17" s="11"/>
      <c r="RGK17" s="11"/>
      <c r="RGL17" s="11"/>
      <c r="RGM17" s="11"/>
      <c r="RGN17" s="11"/>
      <c r="RGO17" s="11"/>
      <c r="RGP17" s="11"/>
      <c r="RGQ17" s="11"/>
      <c r="RGR17" s="11"/>
      <c r="RGS17" s="11"/>
      <c r="RGT17" s="11"/>
      <c r="RGU17" s="11"/>
      <c r="RGV17" s="11"/>
      <c r="RGW17" s="11"/>
      <c r="RGX17" s="11"/>
      <c r="RGY17" s="11"/>
      <c r="RGZ17" s="11"/>
      <c r="RHA17" s="11"/>
      <c r="RHB17" s="11"/>
      <c r="RHC17" s="11"/>
      <c r="RHD17" s="11"/>
      <c r="RHE17" s="11"/>
      <c r="RHF17" s="11"/>
      <c r="RHG17" s="11"/>
      <c r="RHH17" s="11"/>
      <c r="RHI17" s="11"/>
      <c r="RHJ17" s="11"/>
      <c r="RHK17" s="11"/>
      <c r="RHL17" s="11"/>
      <c r="RHM17" s="11"/>
      <c r="RHN17" s="11"/>
      <c r="RHO17" s="11"/>
      <c r="RHP17" s="11"/>
      <c r="RHQ17" s="11"/>
      <c r="RHR17" s="11"/>
      <c r="RHS17" s="11"/>
      <c r="RHT17" s="11"/>
      <c r="RHU17" s="11"/>
      <c r="RHV17" s="11"/>
      <c r="RHW17" s="11"/>
      <c r="RHX17" s="11"/>
      <c r="RHY17" s="11"/>
      <c r="RHZ17" s="11"/>
      <c r="RIA17" s="11"/>
      <c r="RIB17" s="11"/>
      <c r="RIC17" s="11"/>
      <c r="RID17" s="11"/>
      <c r="RIE17" s="11"/>
      <c r="RIF17" s="11"/>
      <c r="RIG17" s="11"/>
      <c r="RIH17" s="11"/>
      <c r="RII17" s="11"/>
      <c r="RIJ17" s="11"/>
      <c r="RIK17" s="11"/>
      <c r="RIL17" s="11"/>
      <c r="RIM17" s="11"/>
      <c r="RIN17" s="11"/>
      <c r="RIO17" s="11"/>
      <c r="RIP17" s="11"/>
      <c r="RIQ17" s="11"/>
      <c r="RIR17" s="11"/>
      <c r="RIS17" s="11"/>
      <c r="RIT17" s="11"/>
      <c r="RIU17" s="11"/>
      <c r="RIV17" s="11"/>
      <c r="RIW17" s="11"/>
      <c r="RIX17" s="11"/>
      <c r="RIY17" s="11"/>
      <c r="RIZ17" s="11"/>
      <c r="RJA17" s="11"/>
      <c r="RJB17" s="11"/>
      <c r="RJC17" s="11"/>
      <c r="RJD17" s="11"/>
      <c r="RJE17" s="11"/>
      <c r="RJF17" s="11"/>
      <c r="RJG17" s="11"/>
      <c r="RJH17" s="11"/>
      <c r="RJI17" s="11"/>
      <c r="RJJ17" s="11"/>
      <c r="RJK17" s="11"/>
      <c r="RJL17" s="11"/>
      <c r="RJM17" s="11"/>
      <c r="RJN17" s="11"/>
      <c r="RJO17" s="11"/>
      <c r="RJP17" s="11"/>
      <c r="RJQ17" s="11"/>
      <c r="RJR17" s="11"/>
      <c r="RJS17" s="11"/>
      <c r="RJT17" s="11"/>
      <c r="RJU17" s="11"/>
      <c r="RJV17" s="11"/>
      <c r="RJW17" s="11"/>
      <c r="RJX17" s="11"/>
      <c r="RJY17" s="11"/>
      <c r="RJZ17" s="11"/>
      <c r="RKA17" s="11"/>
      <c r="RKB17" s="11"/>
      <c r="RKC17" s="11"/>
      <c r="RKD17" s="11"/>
      <c r="RKE17" s="11"/>
      <c r="RKF17" s="11"/>
      <c r="RKG17" s="11"/>
      <c r="RKH17" s="11"/>
      <c r="RKI17" s="11"/>
      <c r="RKJ17" s="11"/>
      <c r="RKK17" s="11"/>
      <c r="RKL17" s="11"/>
      <c r="RKM17" s="11"/>
      <c r="RKN17" s="11"/>
      <c r="RKO17" s="11"/>
      <c r="RKP17" s="11"/>
      <c r="RKQ17" s="11"/>
      <c r="RKR17" s="11"/>
      <c r="RKS17" s="11"/>
      <c r="RKT17" s="11"/>
      <c r="RKU17" s="11"/>
      <c r="RKV17" s="11"/>
      <c r="RKW17" s="11"/>
      <c r="RKX17" s="11"/>
      <c r="RKY17" s="11"/>
      <c r="RKZ17" s="11"/>
      <c r="RLA17" s="11"/>
      <c r="RLB17" s="11"/>
      <c r="RLC17" s="11"/>
      <c r="RLD17" s="11"/>
      <c r="RLE17" s="11"/>
      <c r="RLF17" s="11"/>
      <c r="RLG17" s="11"/>
      <c r="RLH17" s="11"/>
      <c r="RLI17" s="11"/>
      <c r="RLJ17" s="11"/>
      <c r="RLK17" s="11"/>
      <c r="RLL17" s="11"/>
      <c r="RLM17" s="11"/>
      <c r="RLN17" s="11"/>
      <c r="RLO17" s="11"/>
      <c r="RLP17" s="11"/>
      <c r="RLQ17" s="11"/>
      <c r="RLR17" s="11"/>
      <c r="RLS17" s="11"/>
      <c r="RLT17" s="11"/>
      <c r="RLU17" s="11"/>
      <c r="RLV17" s="11"/>
      <c r="RLW17" s="11"/>
      <c r="RLX17" s="11"/>
      <c r="RLY17" s="11"/>
      <c r="RLZ17" s="11"/>
      <c r="RMA17" s="11"/>
      <c r="RMB17" s="11"/>
      <c r="RMC17" s="11"/>
      <c r="RMD17" s="11"/>
      <c r="RME17" s="11"/>
      <c r="RMF17" s="11"/>
      <c r="RMG17" s="11"/>
      <c r="RMH17" s="11"/>
      <c r="RMI17" s="11"/>
      <c r="RMJ17" s="11"/>
      <c r="RMK17" s="11"/>
      <c r="RML17" s="11"/>
      <c r="RMM17" s="11"/>
      <c r="RMN17" s="11"/>
      <c r="RMO17" s="11"/>
      <c r="RMP17" s="11"/>
      <c r="RMQ17" s="11"/>
      <c r="RMR17" s="11"/>
      <c r="RMS17" s="11"/>
      <c r="RMT17" s="11"/>
      <c r="RMU17" s="11"/>
      <c r="RMV17" s="11"/>
      <c r="RMW17" s="11"/>
      <c r="RMX17" s="11"/>
      <c r="RMY17" s="11"/>
      <c r="RMZ17" s="11"/>
      <c r="RNA17" s="11"/>
      <c r="RNB17" s="11"/>
      <c r="RNC17" s="11"/>
      <c r="RND17" s="11"/>
      <c r="RNE17" s="11"/>
      <c r="RNF17" s="11"/>
      <c r="RNG17" s="11"/>
      <c r="RNH17" s="11"/>
      <c r="RNI17" s="11"/>
      <c r="RNJ17" s="11"/>
      <c r="RNK17" s="11"/>
      <c r="RNL17" s="11"/>
      <c r="RNM17" s="11"/>
      <c r="RNN17" s="11"/>
      <c r="RNO17" s="11"/>
      <c r="RNP17" s="11"/>
      <c r="RNQ17" s="11"/>
      <c r="RNR17" s="11"/>
      <c r="RNS17" s="11"/>
      <c r="RNT17" s="11"/>
      <c r="RNU17" s="11"/>
      <c r="RNV17" s="11"/>
      <c r="RNW17" s="11"/>
      <c r="RNX17" s="11"/>
      <c r="RNY17" s="11"/>
      <c r="RNZ17" s="11"/>
      <c r="ROA17" s="11"/>
      <c r="ROB17" s="11"/>
      <c r="ROC17" s="11"/>
      <c r="ROD17" s="11"/>
      <c r="ROE17" s="11"/>
      <c r="ROF17" s="11"/>
      <c r="ROG17" s="11"/>
      <c r="ROH17" s="11"/>
      <c r="ROI17" s="11"/>
      <c r="ROJ17" s="11"/>
      <c r="ROK17" s="11"/>
      <c r="ROL17" s="11"/>
      <c r="ROM17" s="11"/>
      <c r="RON17" s="11"/>
      <c r="ROO17" s="11"/>
      <c r="ROP17" s="11"/>
      <c r="ROQ17" s="11"/>
      <c r="ROR17" s="11"/>
      <c r="ROS17" s="11"/>
      <c r="ROT17" s="11"/>
      <c r="ROU17" s="11"/>
      <c r="ROV17" s="11"/>
      <c r="ROW17" s="11"/>
      <c r="ROX17" s="11"/>
      <c r="ROY17" s="11"/>
      <c r="ROZ17" s="11"/>
      <c r="RPA17" s="11"/>
      <c r="RPB17" s="11"/>
      <c r="RPC17" s="11"/>
      <c r="RPD17" s="11"/>
      <c r="RPE17" s="11"/>
      <c r="RPF17" s="11"/>
      <c r="RPG17" s="11"/>
      <c r="RPH17" s="11"/>
      <c r="RPI17" s="11"/>
      <c r="RPJ17" s="11"/>
      <c r="RPK17" s="11"/>
      <c r="RPL17" s="11"/>
      <c r="RPM17" s="11"/>
      <c r="RPN17" s="11"/>
      <c r="RPO17" s="11"/>
      <c r="RPP17" s="11"/>
      <c r="RPQ17" s="11"/>
      <c r="RPR17" s="11"/>
      <c r="RPS17" s="11"/>
      <c r="RPT17" s="11"/>
      <c r="RPU17" s="11"/>
      <c r="RPV17" s="11"/>
      <c r="RPW17" s="11"/>
      <c r="RPX17" s="11"/>
      <c r="RPY17" s="11"/>
      <c r="RPZ17" s="11"/>
      <c r="RQA17" s="11"/>
      <c r="RQB17" s="11"/>
      <c r="RQC17" s="11"/>
      <c r="RQD17" s="11"/>
      <c r="RQE17" s="11"/>
      <c r="RQF17" s="11"/>
      <c r="RQG17" s="11"/>
      <c r="RQH17" s="11"/>
      <c r="RQI17" s="11"/>
      <c r="RQJ17" s="11"/>
      <c r="RQK17" s="11"/>
      <c r="RQL17" s="11"/>
      <c r="RQM17" s="11"/>
      <c r="RQN17" s="11"/>
      <c r="RQO17" s="11"/>
      <c r="RQP17" s="11"/>
      <c r="RQQ17" s="11"/>
      <c r="RQR17" s="11"/>
      <c r="RQS17" s="11"/>
      <c r="RQT17" s="11"/>
      <c r="RQU17" s="11"/>
      <c r="RQV17" s="11"/>
      <c r="RQW17" s="11"/>
      <c r="RQX17" s="11"/>
      <c r="RQY17" s="11"/>
      <c r="RQZ17" s="11"/>
      <c r="RRA17" s="11"/>
      <c r="RRB17" s="11"/>
      <c r="RRC17" s="11"/>
      <c r="RRD17" s="11"/>
      <c r="RRE17" s="11"/>
      <c r="RRF17" s="11"/>
      <c r="RRG17" s="11"/>
      <c r="RRH17" s="11"/>
      <c r="RRI17" s="11"/>
      <c r="RRJ17" s="11"/>
      <c r="RRK17" s="11"/>
      <c r="RRL17" s="11"/>
      <c r="RRM17" s="11"/>
      <c r="RRN17" s="11"/>
      <c r="RRO17" s="11"/>
      <c r="RRP17" s="11"/>
      <c r="RRQ17" s="11"/>
      <c r="RRR17" s="11"/>
      <c r="RRS17" s="11"/>
      <c r="RRT17" s="11"/>
      <c r="RRU17" s="11"/>
      <c r="RRV17" s="11"/>
      <c r="RRW17" s="11"/>
      <c r="RRX17" s="11"/>
      <c r="RRY17" s="11"/>
      <c r="RRZ17" s="11"/>
      <c r="RSA17" s="11"/>
      <c r="RSB17" s="11"/>
      <c r="RSC17" s="11"/>
      <c r="RSD17" s="11"/>
      <c r="RSE17" s="11"/>
      <c r="RSF17" s="11"/>
      <c r="RSG17" s="11"/>
      <c r="RSH17" s="11"/>
      <c r="RSI17" s="11"/>
      <c r="RSJ17" s="11"/>
      <c r="RSK17" s="11"/>
      <c r="RSL17" s="11"/>
      <c r="RSM17" s="11"/>
      <c r="RSN17" s="11"/>
      <c r="RSO17" s="11"/>
      <c r="RSP17" s="11"/>
      <c r="RSQ17" s="11"/>
      <c r="RSR17" s="11"/>
      <c r="RSS17" s="11"/>
      <c r="RST17" s="11"/>
      <c r="RSU17" s="11"/>
      <c r="RSV17" s="11"/>
      <c r="RSW17" s="11"/>
      <c r="RSX17" s="11"/>
      <c r="RSY17" s="11"/>
      <c r="RSZ17" s="11"/>
      <c r="RTA17" s="11"/>
      <c r="RTB17" s="11"/>
      <c r="RTC17" s="11"/>
      <c r="RTD17" s="11"/>
      <c r="RTE17" s="11"/>
      <c r="RTF17" s="11"/>
      <c r="RTG17" s="11"/>
      <c r="RTH17" s="11"/>
      <c r="RTI17" s="11"/>
      <c r="RTJ17" s="11"/>
      <c r="RTK17" s="11"/>
      <c r="RTL17" s="11"/>
      <c r="RTM17" s="11"/>
      <c r="RTN17" s="11"/>
      <c r="RTO17" s="11"/>
      <c r="RTP17" s="11"/>
      <c r="RTQ17" s="11"/>
      <c r="RTR17" s="11"/>
      <c r="RTS17" s="11"/>
      <c r="RTT17" s="11"/>
      <c r="RTU17" s="11"/>
      <c r="RTV17" s="11"/>
      <c r="RTW17" s="11"/>
      <c r="RTX17" s="11"/>
      <c r="RTY17" s="11"/>
      <c r="RTZ17" s="11"/>
      <c r="RUA17" s="11"/>
      <c r="RUB17" s="11"/>
      <c r="RUC17" s="11"/>
      <c r="RUD17" s="11"/>
      <c r="RUE17" s="11"/>
      <c r="RUF17" s="11"/>
      <c r="RUG17" s="11"/>
      <c r="RUH17" s="11"/>
      <c r="RUI17" s="11"/>
      <c r="RUJ17" s="11"/>
      <c r="RUK17" s="11"/>
      <c r="RUL17" s="11"/>
      <c r="RUM17" s="11"/>
      <c r="RUN17" s="11"/>
      <c r="RUO17" s="11"/>
      <c r="RUP17" s="11"/>
      <c r="RUQ17" s="11"/>
      <c r="RUR17" s="11"/>
      <c r="RUS17" s="11"/>
      <c r="RUT17" s="11"/>
      <c r="RUU17" s="11"/>
      <c r="RUV17" s="11"/>
      <c r="RUW17" s="11"/>
      <c r="RUX17" s="11"/>
      <c r="RUY17" s="11"/>
      <c r="RUZ17" s="11"/>
      <c r="RVA17" s="11"/>
      <c r="RVB17" s="11"/>
      <c r="RVC17" s="11"/>
      <c r="RVD17" s="11"/>
      <c r="RVE17" s="11"/>
      <c r="RVF17" s="11"/>
      <c r="RVG17" s="11"/>
      <c r="RVH17" s="11"/>
      <c r="RVI17" s="11"/>
      <c r="RVJ17" s="11"/>
      <c r="RVK17" s="11"/>
      <c r="RVL17" s="11"/>
      <c r="RVM17" s="11"/>
      <c r="RVN17" s="11"/>
      <c r="RVO17" s="11"/>
      <c r="RVP17" s="11"/>
      <c r="RVQ17" s="11"/>
      <c r="RVR17" s="11"/>
      <c r="RVS17" s="11"/>
      <c r="RVT17" s="11"/>
      <c r="RVU17" s="11"/>
      <c r="RVV17" s="11"/>
      <c r="RVW17" s="11"/>
      <c r="RVX17" s="11"/>
      <c r="RVY17" s="11"/>
      <c r="RVZ17" s="11"/>
      <c r="RWA17" s="11"/>
      <c r="RWB17" s="11"/>
      <c r="RWC17" s="11"/>
      <c r="RWD17" s="11"/>
      <c r="RWE17" s="11"/>
      <c r="RWF17" s="11"/>
      <c r="RWG17" s="11"/>
      <c r="RWH17" s="11"/>
      <c r="RWI17" s="11"/>
      <c r="RWJ17" s="11"/>
      <c r="RWK17" s="11"/>
      <c r="RWL17" s="11"/>
      <c r="RWM17" s="11"/>
      <c r="RWN17" s="11"/>
      <c r="RWO17" s="11"/>
      <c r="RWP17" s="11"/>
      <c r="RWQ17" s="11"/>
      <c r="RWR17" s="11"/>
      <c r="RWS17" s="11"/>
      <c r="RWT17" s="11"/>
      <c r="RWU17" s="11"/>
      <c r="RWV17" s="11"/>
      <c r="RWW17" s="11"/>
      <c r="RWX17" s="11"/>
      <c r="RWY17" s="11"/>
      <c r="RWZ17" s="11"/>
      <c r="RXA17" s="11"/>
      <c r="RXB17" s="11"/>
      <c r="RXC17" s="11"/>
      <c r="RXD17" s="11"/>
      <c r="RXE17" s="11"/>
      <c r="RXF17" s="11"/>
      <c r="RXG17" s="11"/>
      <c r="RXH17" s="11"/>
      <c r="RXI17" s="11"/>
      <c r="RXJ17" s="11"/>
      <c r="RXK17" s="11"/>
      <c r="RXL17" s="11"/>
      <c r="RXM17" s="11"/>
      <c r="RXN17" s="11"/>
      <c r="RXO17" s="11"/>
      <c r="RXP17" s="11"/>
      <c r="RXQ17" s="11"/>
      <c r="RXR17" s="11"/>
      <c r="RXS17" s="11"/>
      <c r="RXT17" s="11"/>
      <c r="RXU17" s="11"/>
      <c r="RXV17" s="11"/>
      <c r="RXW17" s="11"/>
      <c r="RXX17" s="11"/>
      <c r="RXY17" s="11"/>
      <c r="RXZ17" s="11"/>
      <c r="RYA17" s="11"/>
      <c r="RYB17" s="11"/>
      <c r="RYC17" s="11"/>
      <c r="RYD17" s="11"/>
      <c r="RYE17" s="11"/>
      <c r="RYF17" s="11"/>
      <c r="RYG17" s="11"/>
      <c r="RYH17" s="11"/>
      <c r="RYI17" s="11"/>
      <c r="RYJ17" s="11"/>
      <c r="RYK17" s="11"/>
      <c r="RYL17" s="11"/>
      <c r="RYM17" s="11"/>
      <c r="RYN17" s="11"/>
      <c r="RYO17" s="11"/>
      <c r="RYP17" s="11"/>
      <c r="RYQ17" s="11"/>
      <c r="RYR17" s="11"/>
      <c r="RYS17" s="11"/>
      <c r="RYT17" s="11"/>
      <c r="RYU17" s="11"/>
      <c r="RYV17" s="11"/>
      <c r="RYW17" s="11"/>
      <c r="RYX17" s="11"/>
      <c r="RYY17" s="11"/>
      <c r="RYZ17" s="11"/>
      <c r="RZA17" s="11"/>
      <c r="RZB17" s="11"/>
      <c r="RZC17" s="11"/>
      <c r="RZD17" s="11"/>
      <c r="RZE17" s="11"/>
      <c r="RZF17" s="11"/>
      <c r="RZG17" s="11"/>
      <c r="RZH17" s="11"/>
      <c r="RZI17" s="11"/>
      <c r="RZJ17" s="11"/>
      <c r="RZK17" s="11"/>
      <c r="RZL17" s="11"/>
      <c r="RZM17" s="11"/>
      <c r="RZN17" s="11"/>
      <c r="RZO17" s="11"/>
      <c r="RZP17" s="11"/>
      <c r="RZQ17" s="11"/>
      <c r="RZR17" s="11"/>
      <c r="RZS17" s="11"/>
      <c r="RZT17" s="11"/>
      <c r="RZU17" s="11"/>
      <c r="RZV17" s="11"/>
      <c r="RZW17" s="11"/>
      <c r="RZX17" s="11"/>
      <c r="RZY17" s="11"/>
      <c r="RZZ17" s="11"/>
      <c r="SAA17" s="11"/>
      <c r="SAB17" s="11"/>
      <c r="SAC17" s="11"/>
      <c r="SAD17" s="11"/>
      <c r="SAE17" s="11"/>
      <c r="SAF17" s="11"/>
      <c r="SAG17" s="11"/>
      <c r="SAH17" s="11"/>
      <c r="SAI17" s="11"/>
      <c r="SAJ17" s="11"/>
      <c r="SAK17" s="11"/>
      <c r="SAL17" s="11"/>
      <c r="SAM17" s="11"/>
      <c r="SAN17" s="11"/>
      <c r="SAO17" s="11"/>
      <c r="SAP17" s="11"/>
      <c r="SAQ17" s="11"/>
      <c r="SAR17" s="11"/>
      <c r="SAS17" s="11"/>
      <c r="SAT17" s="11"/>
      <c r="SAU17" s="11"/>
      <c r="SAV17" s="11"/>
      <c r="SAW17" s="11"/>
      <c r="SAX17" s="11"/>
      <c r="SAY17" s="11"/>
      <c r="SAZ17" s="11"/>
      <c r="SBA17" s="11"/>
      <c r="SBB17" s="11"/>
      <c r="SBC17" s="11"/>
      <c r="SBD17" s="11"/>
      <c r="SBE17" s="11"/>
      <c r="SBF17" s="11"/>
      <c r="SBG17" s="11"/>
      <c r="SBH17" s="11"/>
      <c r="SBI17" s="11"/>
      <c r="SBJ17" s="11"/>
      <c r="SBK17" s="11"/>
      <c r="SBL17" s="11"/>
      <c r="SBM17" s="11"/>
      <c r="SBN17" s="11"/>
      <c r="SBO17" s="11"/>
      <c r="SBP17" s="11"/>
      <c r="SBQ17" s="11"/>
      <c r="SBR17" s="11"/>
      <c r="SBS17" s="11"/>
      <c r="SBT17" s="11"/>
      <c r="SBU17" s="11"/>
      <c r="SBV17" s="11"/>
      <c r="SBW17" s="11"/>
      <c r="SBX17" s="11"/>
      <c r="SBY17" s="11"/>
      <c r="SBZ17" s="11"/>
      <c r="SCA17" s="11"/>
      <c r="SCB17" s="11"/>
      <c r="SCC17" s="11"/>
      <c r="SCD17" s="11"/>
      <c r="SCE17" s="11"/>
      <c r="SCF17" s="11"/>
      <c r="SCG17" s="11"/>
      <c r="SCH17" s="11"/>
      <c r="SCI17" s="11"/>
      <c r="SCJ17" s="11"/>
      <c r="SCK17" s="11"/>
      <c r="SCL17" s="11"/>
      <c r="SCM17" s="11"/>
      <c r="SCN17" s="11"/>
      <c r="SCO17" s="11"/>
      <c r="SCP17" s="11"/>
      <c r="SCQ17" s="11"/>
      <c r="SCR17" s="11"/>
      <c r="SCS17" s="11"/>
      <c r="SCT17" s="11"/>
      <c r="SCU17" s="11"/>
      <c r="SCV17" s="11"/>
      <c r="SCW17" s="11"/>
      <c r="SCX17" s="11"/>
      <c r="SCY17" s="11"/>
      <c r="SCZ17" s="11"/>
      <c r="SDA17" s="11"/>
      <c r="SDB17" s="11"/>
      <c r="SDC17" s="11"/>
      <c r="SDD17" s="11"/>
      <c r="SDE17" s="11"/>
      <c r="SDF17" s="11"/>
      <c r="SDG17" s="11"/>
      <c r="SDH17" s="11"/>
      <c r="SDI17" s="11"/>
      <c r="SDJ17" s="11"/>
      <c r="SDK17" s="11"/>
      <c r="SDL17" s="11"/>
      <c r="SDM17" s="11"/>
      <c r="SDN17" s="11"/>
      <c r="SDO17" s="11"/>
      <c r="SDP17" s="11"/>
      <c r="SDQ17" s="11"/>
      <c r="SDR17" s="11"/>
      <c r="SDS17" s="11"/>
      <c r="SDT17" s="11"/>
      <c r="SDU17" s="11"/>
      <c r="SDV17" s="11"/>
      <c r="SDW17" s="11"/>
      <c r="SDX17" s="11"/>
      <c r="SDY17" s="11"/>
      <c r="SDZ17" s="11"/>
      <c r="SEA17" s="11"/>
      <c r="SEB17" s="11"/>
      <c r="SEC17" s="11"/>
      <c r="SED17" s="11"/>
      <c r="SEE17" s="11"/>
      <c r="SEF17" s="11"/>
      <c r="SEG17" s="11"/>
      <c r="SEH17" s="11"/>
      <c r="SEI17" s="11"/>
      <c r="SEJ17" s="11"/>
      <c r="SEK17" s="11"/>
      <c r="SEL17" s="11"/>
      <c r="SEM17" s="11"/>
      <c r="SEN17" s="11"/>
      <c r="SEO17" s="11"/>
      <c r="SEP17" s="11"/>
      <c r="SEQ17" s="11"/>
      <c r="SER17" s="11"/>
      <c r="SES17" s="11"/>
      <c r="SET17" s="11"/>
      <c r="SEU17" s="11"/>
      <c r="SEV17" s="11"/>
      <c r="SEW17" s="11"/>
      <c r="SEX17" s="11"/>
      <c r="SEY17" s="11"/>
      <c r="SEZ17" s="11"/>
      <c r="SFA17" s="11"/>
      <c r="SFB17" s="11"/>
      <c r="SFC17" s="11"/>
      <c r="SFD17" s="11"/>
      <c r="SFE17" s="11"/>
      <c r="SFF17" s="11"/>
      <c r="SFG17" s="11"/>
      <c r="SFH17" s="11"/>
      <c r="SFI17" s="11"/>
      <c r="SFJ17" s="11"/>
      <c r="SFK17" s="11"/>
      <c r="SFL17" s="11"/>
      <c r="SFM17" s="11"/>
      <c r="SFN17" s="11"/>
      <c r="SFO17" s="11"/>
      <c r="SFP17" s="11"/>
      <c r="SFQ17" s="11"/>
      <c r="SFR17" s="11"/>
      <c r="SFS17" s="11"/>
      <c r="SFT17" s="11"/>
      <c r="SFU17" s="11"/>
      <c r="SFV17" s="11"/>
      <c r="SFW17" s="11"/>
      <c r="SFX17" s="11"/>
      <c r="SFY17" s="11"/>
      <c r="SFZ17" s="11"/>
      <c r="SGA17" s="11"/>
      <c r="SGB17" s="11"/>
      <c r="SGC17" s="11"/>
      <c r="SGD17" s="11"/>
      <c r="SGE17" s="11"/>
      <c r="SGF17" s="11"/>
      <c r="SGG17" s="11"/>
      <c r="SGH17" s="11"/>
      <c r="SGI17" s="11"/>
      <c r="SGJ17" s="11"/>
      <c r="SGK17" s="11"/>
      <c r="SGL17" s="11"/>
      <c r="SGM17" s="11"/>
      <c r="SGN17" s="11"/>
      <c r="SGO17" s="11"/>
      <c r="SGP17" s="11"/>
      <c r="SGQ17" s="11"/>
      <c r="SGR17" s="11"/>
      <c r="SGS17" s="11"/>
      <c r="SGT17" s="11"/>
      <c r="SGU17" s="11"/>
      <c r="SGV17" s="11"/>
      <c r="SGW17" s="11"/>
      <c r="SGX17" s="11"/>
      <c r="SGY17" s="11"/>
      <c r="SGZ17" s="11"/>
      <c r="SHA17" s="11"/>
      <c r="SHB17" s="11"/>
      <c r="SHC17" s="11"/>
      <c r="SHD17" s="11"/>
      <c r="SHE17" s="11"/>
      <c r="SHF17" s="11"/>
      <c r="SHG17" s="11"/>
      <c r="SHH17" s="11"/>
      <c r="SHI17" s="11"/>
      <c r="SHJ17" s="11"/>
      <c r="SHK17" s="11"/>
      <c r="SHL17" s="11"/>
      <c r="SHM17" s="11"/>
      <c r="SHN17" s="11"/>
      <c r="SHO17" s="11"/>
      <c r="SHP17" s="11"/>
      <c r="SHQ17" s="11"/>
      <c r="SHR17" s="11"/>
      <c r="SHS17" s="11"/>
      <c r="SHT17" s="11"/>
      <c r="SHU17" s="11"/>
      <c r="SHV17" s="11"/>
      <c r="SHW17" s="11"/>
      <c r="SHX17" s="11"/>
      <c r="SHY17" s="11"/>
      <c r="SHZ17" s="11"/>
      <c r="SIA17" s="11"/>
      <c r="SIB17" s="11"/>
      <c r="SIC17" s="11"/>
      <c r="SID17" s="11"/>
      <c r="SIE17" s="11"/>
      <c r="SIF17" s="11"/>
      <c r="SIG17" s="11"/>
      <c r="SIH17" s="11"/>
      <c r="SII17" s="11"/>
      <c r="SIJ17" s="11"/>
      <c r="SIK17" s="11"/>
      <c r="SIL17" s="11"/>
      <c r="SIM17" s="11"/>
      <c r="SIN17" s="11"/>
      <c r="SIO17" s="11"/>
      <c r="SIP17" s="11"/>
      <c r="SIQ17" s="11"/>
      <c r="SIR17" s="11"/>
      <c r="SIS17" s="11"/>
      <c r="SIT17" s="11"/>
      <c r="SIU17" s="11"/>
      <c r="SIV17" s="11"/>
      <c r="SIW17" s="11"/>
      <c r="SIX17" s="11"/>
      <c r="SIY17" s="11"/>
      <c r="SIZ17" s="11"/>
      <c r="SJA17" s="11"/>
      <c r="SJB17" s="11"/>
      <c r="SJC17" s="11"/>
      <c r="SJD17" s="11"/>
      <c r="SJE17" s="11"/>
      <c r="SJF17" s="11"/>
      <c r="SJG17" s="11"/>
      <c r="SJH17" s="11"/>
      <c r="SJI17" s="11"/>
      <c r="SJJ17" s="11"/>
      <c r="SJK17" s="11"/>
      <c r="SJL17" s="11"/>
      <c r="SJM17" s="11"/>
      <c r="SJN17" s="11"/>
      <c r="SJO17" s="11"/>
      <c r="SJP17" s="11"/>
      <c r="SJQ17" s="11"/>
      <c r="SJR17" s="11"/>
      <c r="SJS17" s="11"/>
      <c r="SJT17" s="11"/>
      <c r="SJU17" s="11"/>
      <c r="SJV17" s="11"/>
      <c r="SJW17" s="11"/>
      <c r="SJX17" s="11"/>
      <c r="SJY17" s="11"/>
      <c r="SJZ17" s="11"/>
      <c r="SKA17" s="11"/>
      <c r="SKB17" s="11"/>
      <c r="SKC17" s="11"/>
      <c r="SKD17" s="11"/>
      <c r="SKE17" s="11"/>
      <c r="SKF17" s="11"/>
      <c r="SKG17" s="11"/>
      <c r="SKH17" s="11"/>
      <c r="SKI17" s="11"/>
      <c r="SKJ17" s="11"/>
      <c r="SKK17" s="11"/>
      <c r="SKL17" s="11"/>
      <c r="SKM17" s="11"/>
      <c r="SKN17" s="11"/>
      <c r="SKO17" s="11"/>
      <c r="SKP17" s="11"/>
      <c r="SKQ17" s="11"/>
      <c r="SKR17" s="11"/>
      <c r="SKS17" s="11"/>
      <c r="SKT17" s="11"/>
      <c r="SKU17" s="11"/>
      <c r="SKV17" s="11"/>
      <c r="SKW17" s="11"/>
      <c r="SKX17" s="11"/>
      <c r="SKY17" s="11"/>
      <c r="SKZ17" s="11"/>
      <c r="SLA17" s="11"/>
      <c r="SLB17" s="11"/>
      <c r="SLC17" s="11"/>
      <c r="SLD17" s="11"/>
      <c r="SLE17" s="11"/>
      <c r="SLF17" s="11"/>
      <c r="SLG17" s="11"/>
      <c r="SLH17" s="11"/>
      <c r="SLI17" s="11"/>
      <c r="SLJ17" s="11"/>
      <c r="SLK17" s="11"/>
      <c r="SLL17" s="11"/>
      <c r="SLM17" s="11"/>
      <c r="SLN17" s="11"/>
      <c r="SLO17" s="11"/>
      <c r="SLP17" s="11"/>
      <c r="SLQ17" s="11"/>
      <c r="SLR17" s="11"/>
      <c r="SLS17" s="11"/>
      <c r="SLT17" s="11"/>
      <c r="SLU17" s="11"/>
      <c r="SLV17" s="11"/>
      <c r="SLW17" s="11"/>
      <c r="SLX17" s="11"/>
      <c r="SLY17" s="11"/>
      <c r="SLZ17" s="11"/>
      <c r="SMA17" s="11"/>
      <c r="SMB17" s="11"/>
      <c r="SMC17" s="11"/>
      <c r="SMD17" s="11"/>
      <c r="SME17" s="11"/>
      <c r="SMF17" s="11"/>
      <c r="SMG17" s="11"/>
      <c r="SMH17" s="11"/>
      <c r="SMI17" s="11"/>
      <c r="SMJ17" s="11"/>
      <c r="SMK17" s="11"/>
      <c r="SML17" s="11"/>
      <c r="SMM17" s="11"/>
      <c r="SMN17" s="11"/>
      <c r="SMO17" s="11"/>
      <c r="SMP17" s="11"/>
      <c r="SMQ17" s="11"/>
      <c r="SMR17" s="11"/>
      <c r="SMS17" s="11"/>
      <c r="SMT17" s="11"/>
      <c r="SMU17" s="11"/>
      <c r="SMV17" s="11"/>
      <c r="SMW17" s="11"/>
      <c r="SMX17" s="11"/>
      <c r="SMY17" s="11"/>
      <c r="SMZ17" s="11"/>
      <c r="SNA17" s="11"/>
      <c r="SNB17" s="11"/>
      <c r="SNC17" s="11"/>
      <c r="SND17" s="11"/>
      <c r="SNE17" s="11"/>
      <c r="SNF17" s="11"/>
      <c r="SNG17" s="11"/>
      <c r="SNH17" s="11"/>
      <c r="SNI17" s="11"/>
      <c r="SNJ17" s="11"/>
      <c r="SNK17" s="11"/>
      <c r="SNL17" s="11"/>
      <c r="SNM17" s="11"/>
      <c r="SNN17" s="11"/>
      <c r="SNO17" s="11"/>
      <c r="SNP17" s="11"/>
      <c r="SNQ17" s="11"/>
      <c r="SNR17" s="11"/>
      <c r="SNS17" s="11"/>
      <c r="SNT17" s="11"/>
      <c r="SNU17" s="11"/>
      <c r="SNV17" s="11"/>
      <c r="SNW17" s="11"/>
      <c r="SNX17" s="11"/>
      <c r="SNY17" s="11"/>
      <c r="SNZ17" s="11"/>
      <c r="SOA17" s="11"/>
      <c r="SOB17" s="11"/>
      <c r="SOC17" s="11"/>
      <c r="SOD17" s="11"/>
      <c r="SOE17" s="11"/>
      <c r="SOF17" s="11"/>
      <c r="SOG17" s="11"/>
      <c r="SOH17" s="11"/>
      <c r="SOI17" s="11"/>
      <c r="SOJ17" s="11"/>
      <c r="SOK17" s="11"/>
      <c r="SOL17" s="11"/>
      <c r="SOM17" s="11"/>
      <c r="SON17" s="11"/>
      <c r="SOO17" s="11"/>
      <c r="SOP17" s="11"/>
      <c r="SOQ17" s="11"/>
      <c r="SOR17" s="11"/>
      <c r="SOS17" s="11"/>
      <c r="SOT17" s="11"/>
      <c r="SOU17" s="11"/>
      <c r="SOV17" s="11"/>
      <c r="SOW17" s="11"/>
      <c r="SOX17" s="11"/>
      <c r="SOY17" s="11"/>
      <c r="SOZ17" s="11"/>
      <c r="SPA17" s="11"/>
      <c r="SPB17" s="11"/>
      <c r="SPC17" s="11"/>
      <c r="SPD17" s="11"/>
      <c r="SPE17" s="11"/>
      <c r="SPF17" s="11"/>
      <c r="SPG17" s="11"/>
      <c r="SPH17" s="11"/>
      <c r="SPI17" s="11"/>
      <c r="SPJ17" s="11"/>
      <c r="SPK17" s="11"/>
      <c r="SPL17" s="11"/>
      <c r="SPM17" s="11"/>
      <c r="SPN17" s="11"/>
      <c r="SPO17" s="11"/>
      <c r="SPP17" s="11"/>
      <c r="SPQ17" s="11"/>
      <c r="SPR17" s="11"/>
      <c r="SPS17" s="11"/>
      <c r="SPT17" s="11"/>
      <c r="SPU17" s="11"/>
      <c r="SPV17" s="11"/>
      <c r="SPW17" s="11"/>
      <c r="SPX17" s="11"/>
      <c r="SPY17" s="11"/>
      <c r="SPZ17" s="11"/>
      <c r="SQA17" s="11"/>
      <c r="SQB17" s="11"/>
      <c r="SQC17" s="11"/>
      <c r="SQD17" s="11"/>
      <c r="SQE17" s="11"/>
      <c r="SQF17" s="11"/>
      <c r="SQG17" s="11"/>
      <c r="SQH17" s="11"/>
      <c r="SQI17" s="11"/>
      <c r="SQJ17" s="11"/>
      <c r="SQK17" s="11"/>
      <c r="SQL17" s="11"/>
      <c r="SQM17" s="11"/>
      <c r="SQN17" s="11"/>
      <c r="SQO17" s="11"/>
      <c r="SQP17" s="11"/>
      <c r="SQQ17" s="11"/>
      <c r="SQR17" s="11"/>
      <c r="SQS17" s="11"/>
      <c r="SQT17" s="11"/>
      <c r="SQU17" s="11"/>
      <c r="SQV17" s="11"/>
      <c r="SQW17" s="11"/>
      <c r="SQX17" s="11"/>
      <c r="SQY17" s="11"/>
      <c r="SQZ17" s="11"/>
      <c r="SRA17" s="11"/>
      <c r="SRB17" s="11"/>
      <c r="SRC17" s="11"/>
      <c r="SRD17" s="11"/>
      <c r="SRE17" s="11"/>
      <c r="SRF17" s="11"/>
      <c r="SRG17" s="11"/>
      <c r="SRH17" s="11"/>
      <c r="SRI17" s="11"/>
      <c r="SRJ17" s="11"/>
      <c r="SRK17" s="11"/>
      <c r="SRL17" s="11"/>
      <c r="SRM17" s="11"/>
      <c r="SRN17" s="11"/>
      <c r="SRO17" s="11"/>
      <c r="SRP17" s="11"/>
      <c r="SRQ17" s="11"/>
      <c r="SRR17" s="11"/>
      <c r="SRS17" s="11"/>
      <c r="SRT17" s="11"/>
      <c r="SRU17" s="11"/>
      <c r="SRV17" s="11"/>
      <c r="SRW17" s="11"/>
      <c r="SRX17" s="11"/>
      <c r="SRY17" s="11"/>
      <c r="SRZ17" s="11"/>
      <c r="SSA17" s="11"/>
      <c r="SSB17" s="11"/>
      <c r="SSC17" s="11"/>
      <c r="SSD17" s="11"/>
      <c r="SSE17" s="11"/>
      <c r="SSF17" s="11"/>
      <c r="SSG17" s="11"/>
      <c r="SSH17" s="11"/>
      <c r="SSI17" s="11"/>
      <c r="SSJ17" s="11"/>
      <c r="SSK17" s="11"/>
      <c r="SSL17" s="11"/>
      <c r="SSM17" s="11"/>
      <c r="SSN17" s="11"/>
      <c r="SSO17" s="11"/>
      <c r="SSP17" s="11"/>
      <c r="SSQ17" s="11"/>
      <c r="SSR17" s="11"/>
      <c r="SSS17" s="11"/>
      <c r="SST17" s="11"/>
      <c r="SSU17" s="11"/>
      <c r="SSV17" s="11"/>
      <c r="SSW17" s="11"/>
      <c r="SSX17" s="11"/>
      <c r="SSY17" s="11"/>
      <c r="SSZ17" s="11"/>
      <c r="STA17" s="11"/>
      <c r="STB17" s="11"/>
      <c r="STC17" s="11"/>
      <c r="STD17" s="11"/>
      <c r="STE17" s="11"/>
      <c r="STF17" s="11"/>
      <c r="STG17" s="11"/>
      <c r="STH17" s="11"/>
      <c r="STI17" s="11"/>
      <c r="STJ17" s="11"/>
      <c r="STK17" s="11"/>
      <c r="STL17" s="11"/>
      <c r="STM17" s="11"/>
      <c r="STN17" s="11"/>
      <c r="STO17" s="11"/>
      <c r="STP17" s="11"/>
      <c r="STQ17" s="11"/>
      <c r="STR17" s="11"/>
      <c r="STS17" s="11"/>
      <c r="STT17" s="11"/>
      <c r="STU17" s="11"/>
      <c r="STV17" s="11"/>
      <c r="STW17" s="11"/>
      <c r="STX17" s="11"/>
      <c r="STY17" s="11"/>
      <c r="STZ17" s="11"/>
      <c r="SUA17" s="11"/>
      <c r="SUB17" s="11"/>
      <c r="SUC17" s="11"/>
      <c r="SUD17" s="11"/>
      <c r="SUE17" s="11"/>
      <c r="SUF17" s="11"/>
      <c r="SUG17" s="11"/>
      <c r="SUH17" s="11"/>
      <c r="SUI17" s="11"/>
      <c r="SUJ17" s="11"/>
      <c r="SUK17" s="11"/>
      <c r="SUL17" s="11"/>
      <c r="SUM17" s="11"/>
      <c r="SUN17" s="11"/>
      <c r="SUO17" s="11"/>
      <c r="SUP17" s="11"/>
      <c r="SUQ17" s="11"/>
      <c r="SUR17" s="11"/>
      <c r="SUS17" s="11"/>
      <c r="SUT17" s="11"/>
      <c r="SUU17" s="11"/>
      <c r="SUV17" s="11"/>
      <c r="SUW17" s="11"/>
      <c r="SUX17" s="11"/>
      <c r="SUY17" s="11"/>
      <c r="SUZ17" s="11"/>
      <c r="SVA17" s="11"/>
      <c r="SVB17" s="11"/>
      <c r="SVC17" s="11"/>
      <c r="SVD17" s="11"/>
      <c r="SVE17" s="11"/>
      <c r="SVF17" s="11"/>
      <c r="SVG17" s="11"/>
      <c r="SVH17" s="11"/>
      <c r="SVI17" s="11"/>
      <c r="SVJ17" s="11"/>
      <c r="SVK17" s="11"/>
      <c r="SVL17" s="11"/>
      <c r="SVM17" s="11"/>
      <c r="SVN17" s="11"/>
      <c r="SVO17" s="11"/>
      <c r="SVP17" s="11"/>
      <c r="SVQ17" s="11"/>
      <c r="SVR17" s="11"/>
      <c r="SVS17" s="11"/>
      <c r="SVT17" s="11"/>
      <c r="SVU17" s="11"/>
      <c r="SVV17" s="11"/>
      <c r="SVW17" s="11"/>
      <c r="SVX17" s="11"/>
      <c r="SVY17" s="11"/>
      <c r="SVZ17" s="11"/>
      <c r="SWA17" s="11"/>
      <c r="SWB17" s="11"/>
      <c r="SWC17" s="11"/>
      <c r="SWD17" s="11"/>
      <c r="SWE17" s="11"/>
      <c r="SWF17" s="11"/>
      <c r="SWG17" s="11"/>
      <c r="SWH17" s="11"/>
      <c r="SWI17" s="11"/>
      <c r="SWJ17" s="11"/>
      <c r="SWK17" s="11"/>
      <c r="SWL17" s="11"/>
      <c r="SWM17" s="11"/>
      <c r="SWN17" s="11"/>
      <c r="SWO17" s="11"/>
      <c r="SWP17" s="11"/>
      <c r="SWQ17" s="11"/>
      <c r="SWR17" s="11"/>
      <c r="SWS17" s="11"/>
      <c r="SWT17" s="11"/>
      <c r="SWU17" s="11"/>
      <c r="SWV17" s="11"/>
      <c r="SWW17" s="11"/>
      <c r="SWX17" s="11"/>
      <c r="SWY17" s="11"/>
      <c r="SWZ17" s="11"/>
      <c r="SXA17" s="11"/>
      <c r="SXB17" s="11"/>
      <c r="SXC17" s="11"/>
      <c r="SXD17" s="11"/>
      <c r="SXE17" s="11"/>
      <c r="SXF17" s="11"/>
      <c r="SXG17" s="11"/>
      <c r="SXH17" s="11"/>
      <c r="SXI17" s="11"/>
      <c r="SXJ17" s="11"/>
      <c r="SXK17" s="11"/>
      <c r="SXL17" s="11"/>
      <c r="SXM17" s="11"/>
      <c r="SXN17" s="11"/>
      <c r="SXO17" s="11"/>
      <c r="SXP17" s="11"/>
      <c r="SXQ17" s="11"/>
      <c r="SXR17" s="11"/>
      <c r="SXS17" s="11"/>
      <c r="SXT17" s="11"/>
      <c r="SXU17" s="11"/>
      <c r="SXV17" s="11"/>
      <c r="SXW17" s="11"/>
      <c r="SXX17" s="11"/>
      <c r="SXY17" s="11"/>
      <c r="SXZ17" s="11"/>
      <c r="SYA17" s="11"/>
      <c r="SYB17" s="11"/>
      <c r="SYC17" s="11"/>
      <c r="SYD17" s="11"/>
      <c r="SYE17" s="11"/>
      <c r="SYF17" s="11"/>
      <c r="SYG17" s="11"/>
      <c r="SYH17" s="11"/>
      <c r="SYI17" s="11"/>
      <c r="SYJ17" s="11"/>
      <c r="SYK17" s="11"/>
      <c r="SYL17" s="11"/>
      <c r="SYM17" s="11"/>
      <c r="SYN17" s="11"/>
      <c r="SYO17" s="11"/>
      <c r="SYP17" s="11"/>
      <c r="SYQ17" s="11"/>
      <c r="SYR17" s="11"/>
      <c r="SYS17" s="11"/>
      <c r="SYT17" s="11"/>
      <c r="SYU17" s="11"/>
      <c r="SYV17" s="11"/>
      <c r="SYW17" s="11"/>
      <c r="SYX17" s="11"/>
      <c r="SYY17" s="11"/>
      <c r="SYZ17" s="11"/>
      <c r="SZA17" s="11"/>
      <c r="SZB17" s="11"/>
      <c r="SZC17" s="11"/>
      <c r="SZD17" s="11"/>
      <c r="SZE17" s="11"/>
      <c r="SZF17" s="11"/>
      <c r="SZG17" s="11"/>
      <c r="SZH17" s="11"/>
      <c r="SZI17" s="11"/>
      <c r="SZJ17" s="11"/>
      <c r="SZK17" s="11"/>
      <c r="SZL17" s="11"/>
      <c r="SZM17" s="11"/>
      <c r="SZN17" s="11"/>
      <c r="SZO17" s="11"/>
      <c r="SZP17" s="11"/>
      <c r="SZQ17" s="11"/>
      <c r="SZR17" s="11"/>
      <c r="SZS17" s="11"/>
      <c r="SZT17" s="11"/>
      <c r="SZU17" s="11"/>
      <c r="SZV17" s="11"/>
      <c r="SZW17" s="11"/>
      <c r="SZX17" s="11"/>
      <c r="SZY17" s="11"/>
      <c r="SZZ17" s="11"/>
      <c r="TAA17" s="11"/>
      <c r="TAB17" s="11"/>
      <c r="TAC17" s="11"/>
      <c r="TAD17" s="11"/>
      <c r="TAE17" s="11"/>
      <c r="TAF17" s="11"/>
      <c r="TAG17" s="11"/>
      <c r="TAH17" s="11"/>
      <c r="TAI17" s="11"/>
      <c r="TAJ17" s="11"/>
      <c r="TAK17" s="11"/>
      <c r="TAL17" s="11"/>
      <c r="TAM17" s="11"/>
      <c r="TAN17" s="11"/>
      <c r="TAO17" s="11"/>
      <c r="TAP17" s="11"/>
      <c r="TAQ17" s="11"/>
      <c r="TAR17" s="11"/>
      <c r="TAS17" s="11"/>
      <c r="TAT17" s="11"/>
      <c r="TAU17" s="11"/>
      <c r="TAV17" s="11"/>
      <c r="TAW17" s="11"/>
      <c r="TAX17" s="11"/>
      <c r="TAY17" s="11"/>
      <c r="TAZ17" s="11"/>
      <c r="TBA17" s="11"/>
      <c r="TBB17" s="11"/>
      <c r="TBC17" s="11"/>
      <c r="TBD17" s="11"/>
      <c r="TBE17" s="11"/>
      <c r="TBF17" s="11"/>
      <c r="TBG17" s="11"/>
      <c r="TBH17" s="11"/>
      <c r="TBI17" s="11"/>
      <c r="TBJ17" s="11"/>
      <c r="TBK17" s="11"/>
      <c r="TBL17" s="11"/>
      <c r="TBM17" s="11"/>
      <c r="TBN17" s="11"/>
      <c r="TBO17" s="11"/>
      <c r="TBP17" s="11"/>
      <c r="TBQ17" s="11"/>
      <c r="TBR17" s="11"/>
      <c r="TBS17" s="11"/>
      <c r="TBT17" s="11"/>
      <c r="TBU17" s="11"/>
      <c r="TBV17" s="11"/>
      <c r="TBW17" s="11"/>
      <c r="TBX17" s="11"/>
      <c r="TBY17" s="11"/>
      <c r="TBZ17" s="11"/>
      <c r="TCA17" s="11"/>
      <c r="TCB17" s="11"/>
      <c r="TCC17" s="11"/>
      <c r="TCD17" s="11"/>
      <c r="TCE17" s="11"/>
      <c r="TCF17" s="11"/>
      <c r="TCG17" s="11"/>
      <c r="TCH17" s="11"/>
      <c r="TCI17" s="11"/>
      <c r="TCJ17" s="11"/>
      <c r="TCK17" s="11"/>
      <c r="TCL17" s="11"/>
      <c r="TCM17" s="11"/>
      <c r="TCN17" s="11"/>
      <c r="TCO17" s="11"/>
      <c r="TCP17" s="11"/>
      <c r="TCQ17" s="11"/>
      <c r="TCR17" s="11"/>
      <c r="TCS17" s="11"/>
      <c r="TCT17" s="11"/>
      <c r="TCU17" s="11"/>
      <c r="TCV17" s="11"/>
      <c r="TCW17" s="11"/>
      <c r="TCX17" s="11"/>
      <c r="TCY17" s="11"/>
      <c r="TCZ17" s="11"/>
      <c r="TDA17" s="11"/>
      <c r="TDB17" s="11"/>
      <c r="TDC17" s="11"/>
      <c r="TDD17" s="11"/>
      <c r="TDE17" s="11"/>
      <c r="TDF17" s="11"/>
      <c r="TDG17" s="11"/>
      <c r="TDH17" s="11"/>
      <c r="TDI17" s="11"/>
      <c r="TDJ17" s="11"/>
      <c r="TDK17" s="11"/>
      <c r="TDL17" s="11"/>
      <c r="TDM17" s="11"/>
      <c r="TDN17" s="11"/>
      <c r="TDO17" s="11"/>
      <c r="TDP17" s="11"/>
      <c r="TDQ17" s="11"/>
      <c r="TDR17" s="11"/>
      <c r="TDS17" s="11"/>
      <c r="TDT17" s="11"/>
      <c r="TDU17" s="11"/>
      <c r="TDV17" s="11"/>
      <c r="TDW17" s="11"/>
      <c r="TDX17" s="11"/>
      <c r="TDY17" s="11"/>
      <c r="TDZ17" s="11"/>
      <c r="TEA17" s="11"/>
      <c r="TEB17" s="11"/>
      <c r="TEC17" s="11"/>
      <c r="TED17" s="11"/>
      <c r="TEE17" s="11"/>
      <c r="TEF17" s="11"/>
      <c r="TEG17" s="11"/>
      <c r="TEH17" s="11"/>
      <c r="TEI17" s="11"/>
      <c r="TEJ17" s="11"/>
      <c r="TEK17" s="11"/>
      <c r="TEL17" s="11"/>
      <c r="TEM17" s="11"/>
      <c r="TEN17" s="11"/>
      <c r="TEO17" s="11"/>
      <c r="TEP17" s="11"/>
      <c r="TEQ17" s="11"/>
      <c r="TER17" s="11"/>
      <c r="TES17" s="11"/>
      <c r="TET17" s="11"/>
      <c r="TEU17" s="11"/>
      <c r="TEV17" s="11"/>
      <c r="TEW17" s="11"/>
      <c r="TEX17" s="11"/>
      <c r="TEY17" s="11"/>
      <c r="TEZ17" s="11"/>
      <c r="TFA17" s="11"/>
      <c r="TFB17" s="11"/>
      <c r="TFC17" s="11"/>
      <c r="TFD17" s="11"/>
      <c r="TFE17" s="11"/>
      <c r="TFF17" s="11"/>
      <c r="TFG17" s="11"/>
      <c r="TFH17" s="11"/>
      <c r="TFI17" s="11"/>
      <c r="TFJ17" s="11"/>
      <c r="TFK17" s="11"/>
      <c r="TFL17" s="11"/>
      <c r="TFM17" s="11"/>
      <c r="TFN17" s="11"/>
      <c r="TFO17" s="11"/>
      <c r="TFP17" s="11"/>
      <c r="TFQ17" s="11"/>
      <c r="TFR17" s="11"/>
      <c r="TFS17" s="11"/>
      <c r="TFT17" s="11"/>
      <c r="TFU17" s="11"/>
      <c r="TFV17" s="11"/>
      <c r="TFW17" s="11"/>
      <c r="TFX17" s="11"/>
      <c r="TFY17" s="11"/>
      <c r="TFZ17" s="11"/>
      <c r="TGA17" s="11"/>
      <c r="TGB17" s="11"/>
      <c r="TGC17" s="11"/>
      <c r="TGD17" s="11"/>
      <c r="TGE17" s="11"/>
      <c r="TGF17" s="11"/>
      <c r="TGG17" s="11"/>
      <c r="TGH17" s="11"/>
      <c r="TGI17" s="11"/>
      <c r="TGJ17" s="11"/>
      <c r="TGK17" s="11"/>
      <c r="TGL17" s="11"/>
      <c r="TGM17" s="11"/>
      <c r="TGN17" s="11"/>
      <c r="TGO17" s="11"/>
      <c r="TGP17" s="11"/>
      <c r="TGQ17" s="11"/>
      <c r="TGR17" s="11"/>
      <c r="TGS17" s="11"/>
      <c r="TGT17" s="11"/>
      <c r="TGU17" s="11"/>
      <c r="TGV17" s="11"/>
      <c r="TGW17" s="11"/>
      <c r="TGX17" s="11"/>
      <c r="TGY17" s="11"/>
      <c r="TGZ17" s="11"/>
      <c r="THA17" s="11"/>
      <c r="THB17" s="11"/>
      <c r="THC17" s="11"/>
      <c r="THD17" s="11"/>
      <c r="THE17" s="11"/>
      <c r="THF17" s="11"/>
      <c r="THG17" s="11"/>
      <c r="THH17" s="11"/>
      <c r="THI17" s="11"/>
      <c r="THJ17" s="11"/>
      <c r="THK17" s="11"/>
      <c r="THL17" s="11"/>
      <c r="THM17" s="11"/>
      <c r="THN17" s="11"/>
      <c r="THO17" s="11"/>
      <c r="THP17" s="11"/>
      <c r="THQ17" s="11"/>
      <c r="THR17" s="11"/>
      <c r="THS17" s="11"/>
      <c r="THT17" s="11"/>
      <c r="THU17" s="11"/>
      <c r="THV17" s="11"/>
      <c r="THW17" s="11"/>
      <c r="THX17" s="11"/>
      <c r="THY17" s="11"/>
      <c r="THZ17" s="11"/>
      <c r="TIA17" s="11"/>
      <c r="TIB17" s="11"/>
      <c r="TIC17" s="11"/>
      <c r="TID17" s="11"/>
      <c r="TIE17" s="11"/>
      <c r="TIF17" s="11"/>
      <c r="TIG17" s="11"/>
      <c r="TIH17" s="11"/>
      <c r="TII17" s="11"/>
      <c r="TIJ17" s="11"/>
      <c r="TIK17" s="11"/>
      <c r="TIL17" s="11"/>
      <c r="TIM17" s="11"/>
      <c r="TIN17" s="11"/>
      <c r="TIO17" s="11"/>
      <c r="TIP17" s="11"/>
      <c r="TIQ17" s="11"/>
      <c r="TIR17" s="11"/>
      <c r="TIS17" s="11"/>
      <c r="TIT17" s="11"/>
      <c r="TIU17" s="11"/>
      <c r="TIV17" s="11"/>
      <c r="TIW17" s="11"/>
      <c r="TIX17" s="11"/>
      <c r="TIY17" s="11"/>
      <c r="TIZ17" s="11"/>
      <c r="TJA17" s="11"/>
      <c r="TJB17" s="11"/>
      <c r="TJC17" s="11"/>
      <c r="TJD17" s="11"/>
      <c r="TJE17" s="11"/>
      <c r="TJF17" s="11"/>
      <c r="TJG17" s="11"/>
      <c r="TJH17" s="11"/>
      <c r="TJI17" s="11"/>
      <c r="TJJ17" s="11"/>
      <c r="TJK17" s="11"/>
      <c r="TJL17" s="11"/>
      <c r="TJM17" s="11"/>
      <c r="TJN17" s="11"/>
      <c r="TJO17" s="11"/>
      <c r="TJP17" s="11"/>
      <c r="TJQ17" s="11"/>
      <c r="TJR17" s="11"/>
      <c r="TJS17" s="11"/>
      <c r="TJT17" s="11"/>
      <c r="TJU17" s="11"/>
      <c r="TJV17" s="11"/>
      <c r="TJW17" s="11"/>
      <c r="TJX17" s="11"/>
      <c r="TJY17" s="11"/>
      <c r="TJZ17" s="11"/>
      <c r="TKA17" s="11"/>
      <c r="TKB17" s="11"/>
      <c r="TKC17" s="11"/>
      <c r="TKD17" s="11"/>
      <c r="TKE17" s="11"/>
      <c r="TKF17" s="11"/>
      <c r="TKG17" s="11"/>
      <c r="TKH17" s="11"/>
      <c r="TKI17" s="11"/>
      <c r="TKJ17" s="11"/>
      <c r="TKK17" s="11"/>
      <c r="TKL17" s="11"/>
      <c r="TKM17" s="11"/>
      <c r="TKN17" s="11"/>
      <c r="TKO17" s="11"/>
      <c r="TKP17" s="11"/>
      <c r="TKQ17" s="11"/>
      <c r="TKR17" s="11"/>
      <c r="TKS17" s="11"/>
      <c r="TKT17" s="11"/>
      <c r="TKU17" s="11"/>
      <c r="TKV17" s="11"/>
      <c r="TKW17" s="11"/>
      <c r="TKX17" s="11"/>
      <c r="TKY17" s="11"/>
      <c r="TKZ17" s="11"/>
      <c r="TLA17" s="11"/>
      <c r="TLB17" s="11"/>
      <c r="TLC17" s="11"/>
      <c r="TLD17" s="11"/>
      <c r="TLE17" s="11"/>
      <c r="TLF17" s="11"/>
      <c r="TLG17" s="11"/>
      <c r="TLH17" s="11"/>
      <c r="TLI17" s="11"/>
      <c r="TLJ17" s="11"/>
      <c r="TLK17" s="11"/>
      <c r="TLL17" s="11"/>
      <c r="TLM17" s="11"/>
      <c r="TLN17" s="11"/>
      <c r="TLO17" s="11"/>
      <c r="TLP17" s="11"/>
      <c r="TLQ17" s="11"/>
      <c r="TLR17" s="11"/>
      <c r="TLS17" s="11"/>
      <c r="TLT17" s="11"/>
      <c r="TLU17" s="11"/>
      <c r="TLV17" s="11"/>
      <c r="TLW17" s="11"/>
      <c r="TLX17" s="11"/>
      <c r="TLY17" s="11"/>
      <c r="TLZ17" s="11"/>
      <c r="TMA17" s="11"/>
      <c r="TMB17" s="11"/>
      <c r="TMC17" s="11"/>
      <c r="TMD17" s="11"/>
      <c r="TME17" s="11"/>
      <c r="TMF17" s="11"/>
      <c r="TMG17" s="11"/>
      <c r="TMH17" s="11"/>
      <c r="TMI17" s="11"/>
      <c r="TMJ17" s="11"/>
      <c r="TMK17" s="11"/>
      <c r="TML17" s="11"/>
      <c r="TMM17" s="11"/>
      <c r="TMN17" s="11"/>
      <c r="TMO17" s="11"/>
      <c r="TMP17" s="11"/>
      <c r="TMQ17" s="11"/>
      <c r="TMR17" s="11"/>
      <c r="TMS17" s="11"/>
      <c r="TMT17" s="11"/>
      <c r="TMU17" s="11"/>
      <c r="TMV17" s="11"/>
      <c r="TMW17" s="11"/>
      <c r="TMX17" s="11"/>
      <c r="TMY17" s="11"/>
      <c r="TMZ17" s="11"/>
      <c r="TNA17" s="11"/>
      <c r="TNB17" s="11"/>
      <c r="TNC17" s="11"/>
      <c r="TND17" s="11"/>
      <c r="TNE17" s="11"/>
      <c r="TNF17" s="11"/>
      <c r="TNG17" s="11"/>
      <c r="TNH17" s="11"/>
      <c r="TNI17" s="11"/>
      <c r="TNJ17" s="11"/>
      <c r="TNK17" s="11"/>
      <c r="TNL17" s="11"/>
      <c r="TNM17" s="11"/>
      <c r="TNN17" s="11"/>
      <c r="TNO17" s="11"/>
      <c r="TNP17" s="11"/>
      <c r="TNQ17" s="11"/>
      <c r="TNR17" s="11"/>
      <c r="TNS17" s="11"/>
      <c r="TNT17" s="11"/>
      <c r="TNU17" s="11"/>
      <c r="TNV17" s="11"/>
      <c r="TNW17" s="11"/>
      <c r="TNX17" s="11"/>
      <c r="TNY17" s="11"/>
      <c r="TNZ17" s="11"/>
      <c r="TOA17" s="11"/>
      <c r="TOB17" s="11"/>
      <c r="TOC17" s="11"/>
      <c r="TOD17" s="11"/>
      <c r="TOE17" s="11"/>
      <c r="TOF17" s="11"/>
      <c r="TOG17" s="11"/>
      <c r="TOH17" s="11"/>
      <c r="TOI17" s="11"/>
      <c r="TOJ17" s="11"/>
      <c r="TOK17" s="11"/>
      <c r="TOL17" s="11"/>
      <c r="TOM17" s="11"/>
      <c r="TON17" s="11"/>
      <c r="TOO17" s="11"/>
      <c r="TOP17" s="11"/>
      <c r="TOQ17" s="11"/>
      <c r="TOR17" s="11"/>
      <c r="TOS17" s="11"/>
      <c r="TOT17" s="11"/>
      <c r="TOU17" s="11"/>
      <c r="TOV17" s="11"/>
      <c r="TOW17" s="11"/>
      <c r="TOX17" s="11"/>
      <c r="TOY17" s="11"/>
      <c r="TOZ17" s="11"/>
      <c r="TPA17" s="11"/>
      <c r="TPB17" s="11"/>
      <c r="TPC17" s="11"/>
      <c r="TPD17" s="11"/>
      <c r="TPE17" s="11"/>
      <c r="TPF17" s="11"/>
      <c r="TPG17" s="11"/>
      <c r="TPH17" s="11"/>
      <c r="TPI17" s="11"/>
      <c r="TPJ17" s="11"/>
      <c r="TPK17" s="11"/>
      <c r="TPL17" s="11"/>
      <c r="TPM17" s="11"/>
      <c r="TPN17" s="11"/>
      <c r="TPO17" s="11"/>
      <c r="TPP17" s="11"/>
      <c r="TPQ17" s="11"/>
      <c r="TPR17" s="11"/>
      <c r="TPS17" s="11"/>
      <c r="TPT17" s="11"/>
      <c r="TPU17" s="11"/>
      <c r="TPV17" s="11"/>
      <c r="TPW17" s="11"/>
      <c r="TPX17" s="11"/>
      <c r="TPY17" s="11"/>
      <c r="TPZ17" s="11"/>
      <c r="TQA17" s="11"/>
      <c r="TQB17" s="11"/>
      <c r="TQC17" s="11"/>
      <c r="TQD17" s="11"/>
      <c r="TQE17" s="11"/>
      <c r="TQF17" s="11"/>
      <c r="TQG17" s="11"/>
      <c r="TQH17" s="11"/>
      <c r="TQI17" s="11"/>
      <c r="TQJ17" s="11"/>
      <c r="TQK17" s="11"/>
      <c r="TQL17" s="11"/>
      <c r="TQM17" s="11"/>
      <c r="TQN17" s="11"/>
      <c r="TQO17" s="11"/>
      <c r="TQP17" s="11"/>
      <c r="TQQ17" s="11"/>
      <c r="TQR17" s="11"/>
      <c r="TQS17" s="11"/>
      <c r="TQT17" s="11"/>
      <c r="TQU17" s="11"/>
      <c r="TQV17" s="11"/>
      <c r="TQW17" s="11"/>
      <c r="TQX17" s="11"/>
      <c r="TQY17" s="11"/>
      <c r="TQZ17" s="11"/>
      <c r="TRA17" s="11"/>
      <c r="TRB17" s="11"/>
      <c r="TRC17" s="11"/>
      <c r="TRD17" s="11"/>
      <c r="TRE17" s="11"/>
      <c r="TRF17" s="11"/>
      <c r="TRG17" s="11"/>
      <c r="TRH17" s="11"/>
      <c r="TRI17" s="11"/>
      <c r="TRJ17" s="11"/>
      <c r="TRK17" s="11"/>
      <c r="TRL17" s="11"/>
      <c r="TRM17" s="11"/>
      <c r="TRN17" s="11"/>
      <c r="TRO17" s="11"/>
      <c r="TRP17" s="11"/>
      <c r="TRQ17" s="11"/>
      <c r="TRR17" s="11"/>
      <c r="TRS17" s="11"/>
      <c r="TRT17" s="11"/>
      <c r="TRU17" s="11"/>
      <c r="TRV17" s="11"/>
      <c r="TRW17" s="11"/>
      <c r="TRX17" s="11"/>
      <c r="TRY17" s="11"/>
      <c r="TRZ17" s="11"/>
      <c r="TSA17" s="11"/>
      <c r="TSB17" s="11"/>
      <c r="TSC17" s="11"/>
      <c r="TSD17" s="11"/>
      <c r="TSE17" s="11"/>
      <c r="TSF17" s="11"/>
      <c r="TSG17" s="11"/>
      <c r="TSH17" s="11"/>
      <c r="TSI17" s="11"/>
      <c r="TSJ17" s="11"/>
      <c r="TSK17" s="11"/>
      <c r="TSL17" s="11"/>
      <c r="TSM17" s="11"/>
      <c r="TSN17" s="11"/>
      <c r="TSO17" s="11"/>
      <c r="TSP17" s="11"/>
      <c r="TSQ17" s="11"/>
      <c r="TSR17" s="11"/>
      <c r="TSS17" s="11"/>
      <c r="TST17" s="11"/>
      <c r="TSU17" s="11"/>
      <c r="TSV17" s="11"/>
      <c r="TSW17" s="11"/>
      <c r="TSX17" s="11"/>
      <c r="TSY17" s="11"/>
      <c r="TSZ17" s="11"/>
      <c r="TTA17" s="11"/>
      <c r="TTB17" s="11"/>
      <c r="TTC17" s="11"/>
      <c r="TTD17" s="11"/>
      <c r="TTE17" s="11"/>
      <c r="TTF17" s="11"/>
      <c r="TTG17" s="11"/>
      <c r="TTH17" s="11"/>
      <c r="TTI17" s="11"/>
      <c r="TTJ17" s="11"/>
      <c r="TTK17" s="11"/>
      <c r="TTL17" s="11"/>
      <c r="TTM17" s="11"/>
      <c r="TTN17" s="11"/>
      <c r="TTO17" s="11"/>
      <c r="TTP17" s="11"/>
      <c r="TTQ17" s="11"/>
      <c r="TTR17" s="11"/>
      <c r="TTS17" s="11"/>
      <c r="TTT17" s="11"/>
      <c r="TTU17" s="11"/>
      <c r="TTV17" s="11"/>
      <c r="TTW17" s="11"/>
      <c r="TTX17" s="11"/>
      <c r="TTY17" s="11"/>
      <c r="TTZ17" s="11"/>
      <c r="TUA17" s="11"/>
      <c r="TUB17" s="11"/>
      <c r="TUC17" s="11"/>
      <c r="TUD17" s="11"/>
      <c r="TUE17" s="11"/>
      <c r="TUF17" s="11"/>
      <c r="TUG17" s="11"/>
      <c r="TUH17" s="11"/>
      <c r="TUI17" s="11"/>
      <c r="TUJ17" s="11"/>
      <c r="TUK17" s="11"/>
      <c r="TUL17" s="11"/>
      <c r="TUM17" s="11"/>
      <c r="TUN17" s="11"/>
      <c r="TUO17" s="11"/>
      <c r="TUP17" s="11"/>
      <c r="TUQ17" s="11"/>
      <c r="TUR17" s="11"/>
      <c r="TUS17" s="11"/>
      <c r="TUT17" s="11"/>
      <c r="TUU17" s="11"/>
      <c r="TUV17" s="11"/>
      <c r="TUW17" s="11"/>
      <c r="TUX17" s="11"/>
      <c r="TUY17" s="11"/>
      <c r="TUZ17" s="11"/>
      <c r="TVA17" s="11"/>
      <c r="TVB17" s="11"/>
      <c r="TVC17" s="11"/>
      <c r="TVD17" s="11"/>
      <c r="TVE17" s="11"/>
      <c r="TVF17" s="11"/>
      <c r="TVG17" s="11"/>
      <c r="TVH17" s="11"/>
      <c r="TVI17" s="11"/>
      <c r="TVJ17" s="11"/>
      <c r="TVK17" s="11"/>
      <c r="TVL17" s="11"/>
      <c r="TVM17" s="11"/>
      <c r="TVN17" s="11"/>
      <c r="TVO17" s="11"/>
      <c r="TVP17" s="11"/>
      <c r="TVQ17" s="11"/>
      <c r="TVR17" s="11"/>
      <c r="TVS17" s="11"/>
      <c r="TVT17" s="11"/>
      <c r="TVU17" s="11"/>
      <c r="TVV17" s="11"/>
      <c r="TVW17" s="11"/>
      <c r="TVX17" s="11"/>
      <c r="TVY17" s="11"/>
      <c r="TVZ17" s="11"/>
      <c r="TWA17" s="11"/>
      <c r="TWB17" s="11"/>
      <c r="TWC17" s="11"/>
      <c r="TWD17" s="11"/>
      <c r="TWE17" s="11"/>
      <c r="TWF17" s="11"/>
      <c r="TWG17" s="11"/>
      <c r="TWH17" s="11"/>
      <c r="TWI17" s="11"/>
      <c r="TWJ17" s="11"/>
      <c r="TWK17" s="11"/>
      <c r="TWL17" s="11"/>
      <c r="TWM17" s="11"/>
      <c r="TWN17" s="11"/>
      <c r="TWO17" s="11"/>
      <c r="TWP17" s="11"/>
      <c r="TWQ17" s="11"/>
      <c r="TWR17" s="11"/>
      <c r="TWS17" s="11"/>
      <c r="TWT17" s="11"/>
      <c r="TWU17" s="11"/>
      <c r="TWV17" s="11"/>
      <c r="TWW17" s="11"/>
      <c r="TWX17" s="11"/>
      <c r="TWY17" s="11"/>
      <c r="TWZ17" s="11"/>
      <c r="TXA17" s="11"/>
      <c r="TXB17" s="11"/>
      <c r="TXC17" s="11"/>
      <c r="TXD17" s="11"/>
      <c r="TXE17" s="11"/>
      <c r="TXF17" s="11"/>
      <c r="TXG17" s="11"/>
      <c r="TXH17" s="11"/>
      <c r="TXI17" s="11"/>
      <c r="TXJ17" s="11"/>
      <c r="TXK17" s="11"/>
      <c r="TXL17" s="11"/>
      <c r="TXM17" s="11"/>
      <c r="TXN17" s="11"/>
      <c r="TXO17" s="11"/>
      <c r="TXP17" s="11"/>
      <c r="TXQ17" s="11"/>
      <c r="TXR17" s="11"/>
      <c r="TXS17" s="11"/>
      <c r="TXT17" s="11"/>
      <c r="TXU17" s="11"/>
      <c r="TXV17" s="11"/>
      <c r="TXW17" s="11"/>
      <c r="TXX17" s="11"/>
      <c r="TXY17" s="11"/>
      <c r="TXZ17" s="11"/>
      <c r="TYA17" s="11"/>
      <c r="TYB17" s="11"/>
      <c r="TYC17" s="11"/>
      <c r="TYD17" s="11"/>
      <c r="TYE17" s="11"/>
      <c r="TYF17" s="11"/>
      <c r="TYG17" s="11"/>
      <c r="TYH17" s="11"/>
      <c r="TYI17" s="11"/>
      <c r="TYJ17" s="11"/>
      <c r="TYK17" s="11"/>
      <c r="TYL17" s="11"/>
      <c r="TYM17" s="11"/>
      <c r="TYN17" s="11"/>
      <c r="TYO17" s="11"/>
      <c r="TYP17" s="11"/>
      <c r="TYQ17" s="11"/>
      <c r="TYR17" s="11"/>
      <c r="TYS17" s="11"/>
      <c r="TYT17" s="11"/>
      <c r="TYU17" s="11"/>
      <c r="TYV17" s="11"/>
      <c r="TYW17" s="11"/>
      <c r="TYX17" s="11"/>
      <c r="TYY17" s="11"/>
      <c r="TYZ17" s="11"/>
      <c r="TZA17" s="11"/>
      <c r="TZB17" s="11"/>
      <c r="TZC17" s="11"/>
      <c r="TZD17" s="11"/>
      <c r="TZE17" s="11"/>
      <c r="TZF17" s="11"/>
      <c r="TZG17" s="11"/>
      <c r="TZH17" s="11"/>
      <c r="TZI17" s="11"/>
      <c r="TZJ17" s="11"/>
      <c r="TZK17" s="11"/>
      <c r="TZL17" s="11"/>
      <c r="TZM17" s="11"/>
      <c r="TZN17" s="11"/>
      <c r="TZO17" s="11"/>
      <c r="TZP17" s="11"/>
      <c r="TZQ17" s="11"/>
      <c r="TZR17" s="11"/>
      <c r="TZS17" s="11"/>
      <c r="TZT17" s="11"/>
      <c r="TZU17" s="11"/>
      <c r="TZV17" s="11"/>
      <c r="TZW17" s="11"/>
      <c r="TZX17" s="11"/>
      <c r="TZY17" s="11"/>
      <c r="TZZ17" s="11"/>
      <c r="UAA17" s="11"/>
      <c r="UAB17" s="11"/>
      <c r="UAC17" s="11"/>
      <c r="UAD17" s="11"/>
      <c r="UAE17" s="11"/>
      <c r="UAF17" s="11"/>
      <c r="UAG17" s="11"/>
      <c r="UAH17" s="11"/>
      <c r="UAI17" s="11"/>
      <c r="UAJ17" s="11"/>
      <c r="UAK17" s="11"/>
      <c r="UAL17" s="11"/>
      <c r="UAM17" s="11"/>
      <c r="UAN17" s="11"/>
      <c r="UAO17" s="11"/>
      <c r="UAP17" s="11"/>
      <c r="UAQ17" s="11"/>
      <c r="UAR17" s="11"/>
      <c r="UAS17" s="11"/>
      <c r="UAT17" s="11"/>
      <c r="UAU17" s="11"/>
      <c r="UAV17" s="11"/>
      <c r="UAW17" s="11"/>
      <c r="UAX17" s="11"/>
      <c r="UAY17" s="11"/>
      <c r="UAZ17" s="11"/>
      <c r="UBA17" s="11"/>
      <c r="UBB17" s="11"/>
      <c r="UBC17" s="11"/>
      <c r="UBD17" s="11"/>
      <c r="UBE17" s="11"/>
      <c r="UBF17" s="11"/>
      <c r="UBG17" s="11"/>
      <c r="UBH17" s="11"/>
      <c r="UBI17" s="11"/>
      <c r="UBJ17" s="11"/>
      <c r="UBK17" s="11"/>
      <c r="UBL17" s="11"/>
      <c r="UBM17" s="11"/>
      <c r="UBN17" s="11"/>
      <c r="UBO17" s="11"/>
      <c r="UBP17" s="11"/>
      <c r="UBQ17" s="11"/>
      <c r="UBR17" s="11"/>
      <c r="UBS17" s="11"/>
      <c r="UBT17" s="11"/>
      <c r="UBU17" s="11"/>
      <c r="UBV17" s="11"/>
      <c r="UBW17" s="11"/>
      <c r="UBX17" s="11"/>
      <c r="UBY17" s="11"/>
      <c r="UBZ17" s="11"/>
      <c r="UCA17" s="11"/>
      <c r="UCB17" s="11"/>
      <c r="UCC17" s="11"/>
      <c r="UCD17" s="11"/>
      <c r="UCE17" s="11"/>
      <c r="UCF17" s="11"/>
      <c r="UCG17" s="11"/>
      <c r="UCH17" s="11"/>
      <c r="UCI17" s="11"/>
      <c r="UCJ17" s="11"/>
      <c r="UCK17" s="11"/>
      <c r="UCL17" s="11"/>
      <c r="UCM17" s="11"/>
      <c r="UCN17" s="11"/>
      <c r="UCO17" s="11"/>
      <c r="UCP17" s="11"/>
      <c r="UCQ17" s="11"/>
      <c r="UCR17" s="11"/>
      <c r="UCS17" s="11"/>
      <c r="UCT17" s="11"/>
      <c r="UCU17" s="11"/>
      <c r="UCV17" s="11"/>
      <c r="UCW17" s="11"/>
      <c r="UCX17" s="11"/>
      <c r="UCY17" s="11"/>
      <c r="UCZ17" s="11"/>
      <c r="UDA17" s="11"/>
      <c r="UDB17" s="11"/>
      <c r="UDC17" s="11"/>
      <c r="UDD17" s="11"/>
      <c r="UDE17" s="11"/>
      <c r="UDF17" s="11"/>
      <c r="UDG17" s="11"/>
      <c r="UDH17" s="11"/>
      <c r="UDI17" s="11"/>
      <c r="UDJ17" s="11"/>
      <c r="UDK17" s="11"/>
      <c r="UDL17" s="11"/>
      <c r="UDM17" s="11"/>
      <c r="UDN17" s="11"/>
      <c r="UDO17" s="11"/>
      <c r="UDP17" s="11"/>
      <c r="UDQ17" s="11"/>
      <c r="UDR17" s="11"/>
      <c r="UDS17" s="11"/>
      <c r="UDT17" s="11"/>
      <c r="UDU17" s="11"/>
      <c r="UDV17" s="11"/>
      <c r="UDW17" s="11"/>
      <c r="UDX17" s="11"/>
      <c r="UDY17" s="11"/>
      <c r="UDZ17" s="11"/>
      <c r="UEA17" s="11"/>
      <c r="UEB17" s="11"/>
      <c r="UEC17" s="11"/>
      <c r="UED17" s="11"/>
      <c r="UEE17" s="11"/>
      <c r="UEF17" s="11"/>
      <c r="UEG17" s="11"/>
      <c r="UEH17" s="11"/>
      <c r="UEI17" s="11"/>
      <c r="UEJ17" s="11"/>
      <c r="UEK17" s="11"/>
      <c r="UEL17" s="11"/>
      <c r="UEM17" s="11"/>
      <c r="UEN17" s="11"/>
      <c r="UEO17" s="11"/>
      <c r="UEP17" s="11"/>
      <c r="UEQ17" s="11"/>
      <c r="UER17" s="11"/>
      <c r="UES17" s="11"/>
      <c r="UET17" s="11"/>
      <c r="UEU17" s="11"/>
      <c r="UEV17" s="11"/>
      <c r="UEW17" s="11"/>
      <c r="UEX17" s="11"/>
      <c r="UEY17" s="11"/>
      <c r="UEZ17" s="11"/>
      <c r="UFA17" s="11"/>
      <c r="UFB17" s="11"/>
      <c r="UFC17" s="11"/>
      <c r="UFD17" s="11"/>
      <c r="UFE17" s="11"/>
      <c r="UFF17" s="11"/>
      <c r="UFG17" s="11"/>
      <c r="UFH17" s="11"/>
      <c r="UFI17" s="11"/>
      <c r="UFJ17" s="11"/>
      <c r="UFK17" s="11"/>
      <c r="UFL17" s="11"/>
      <c r="UFM17" s="11"/>
      <c r="UFN17" s="11"/>
      <c r="UFO17" s="11"/>
      <c r="UFP17" s="11"/>
      <c r="UFQ17" s="11"/>
      <c r="UFR17" s="11"/>
      <c r="UFS17" s="11"/>
      <c r="UFT17" s="11"/>
      <c r="UFU17" s="11"/>
      <c r="UFV17" s="11"/>
      <c r="UFW17" s="11"/>
      <c r="UFX17" s="11"/>
      <c r="UFY17" s="11"/>
      <c r="UFZ17" s="11"/>
      <c r="UGA17" s="11"/>
      <c r="UGB17" s="11"/>
      <c r="UGC17" s="11"/>
      <c r="UGD17" s="11"/>
      <c r="UGE17" s="11"/>
      <c r="UGF17" s="11"/>
      <c r="UGG17" s="11"/>
      <c r="UGH17" s="11"/>
      <c r="UGI17" s="11"/>
      <c r="UGJ17" s="11"/>
      <c r="UGK17" s="11"/>
      <c r="UGL17" s="11"/>
      <c r="UGM17" s="11"/>
      <c r="UGN17" s="11"/>
      <c r="UGO17" s="11"/>
      <c r="UGP17" s="11"/>
      <c r="UGQ17" s="11"/>
      <c r="UGR17" s="11"/>
      <c r="UGS17" s="11"/>
      <c r="UGT17" s="11"/>
      <c r="UGU17" s="11"/>
      <c r="UGV17" s="11"/>
      <c r="UGW17" s="11"/>
      <c r="UGX17" s="11"/>
      <c r="UGY17" s="11"/>
      <c r="UGZ17" s="11"/>
      <c r="UHA17" s="11"/>
      <c r="UHB17" s="11"/>
      <c r="UHC17" s="11"/>
      <c r="UHD17" s="11"/>
      <c r="UHE17" s="11"/>
      <c r="UHF17" s="11"/>
      <c r="UHG17" s="11"/>
      <c r="UHH17" s="11"/>
      <c r="UHI17" s="11"/>
      <c r="UHJ17" s="11"/>
      <c r="UHK17" s="11"/>
      <c r="UHL17" s="11"/>
      <c r="UHM17" s="11"/>
      <c r="UHN17" s="11"/>
      <c r="UHO17" s="11"/>
      <c r="UHP17" s="11"/>
      <c r="UHQ17" s="11"/>
      <c r="UHR17" s="11"/>
      <c r="UHS17" s="11"/>
      <c r="UHT17" s="11"/>
      <c r="UHU17" s="11"/>
      <c r="UHV17" s="11"/>
      <c r="UHW17" s="11"/>
      <c r="UHX17" s="11"/>
      <c r="UHY17" s="11"/>
      <c r="UHZ17" s="11"/>
      <c r="UIA17" s="11"/>
      <c r="UIB17" s="11"/>
      <c r="UIC17" s="11"/>
      <c r="UID17" s="11"/>
      <c r="UIE17" s="11"/>
      <c r="UIF17" s="11"/>
      <c r="UIG17" s="11"/>
      <c r="UIH17" s="11"/>
      <c r="UII17" s="11"/>
      <c r="UIJ17" s="11"/>
      <c r="UIK17" s="11"/>
      <c r="UIL17" s="11"/>
      <c r="UIM17" s="11"/>
      <c r="UIN17" s="11"/>
      <c r="UIO17" s="11"/>
      <c r="UIP17" s="11"/>
      <c r="UIQ17" s="11"/>
      <c r="UIR17" s="11"/>
      <c r="UIS17" s="11"/>
      <c r="UIT17" s="11"/>
      <c r="UIU17" s="11"/>
      <c r="UIV17" s="11"/>
      <c r="UIW17" s="11"/>
      <c r="UIX17" s="11"/>
      <c r="UIY17" s="11"/>
      <c r="UIZ17" s="11"/>
      <c r="UJA17" s="11"/>
      <c r="UJB17" s="11"/>
      <c r="UJC17" s="11"/>
      <c r="UJD17" s="11"/>
      <c r="UJE17" s="11"/>
      <c r="UJF17" s="11"/>
      <c r="UJG17" s="11"/>
      <c r="UJH17" s="11"/>
      <c r="UJI17" s="11"/>
      <c r="UJJ17" s="11"/>
      <c r="UJK17" s="11"/>
      <c r="UJL17" s="11"/>
      <c r="UJM17" s="11"/>
      <c r="UJN17" s="11"/>
      <c r="UJO17" s="11"/>
      <c r="UJP17" s="11"/>
      <c r="UJQ17" s="11"/>
      <c r="UJR17" s="11"/>
      <c r="UJS17" s="11"/>
      <c r="UJT17" s="11"/>
      <c r="UJU17" s="11"/>
      <c r="UJV17" s="11"/>
      <c r="UJW17" s="11"/>
      <c r="UJX17" s="11"/>
      <c r="UJY17" s="11"/>
      <c r="UJZ17" s="11"/>
      <c r="UKA17" s="11"/>
      <c r="UKB17" s="11"/>
      <c r="UKC17" s="11"/>
      <c r="UKD17" s="11"/>
      <c r="UKE17" s="11"/>
      <c r="UKF17" s="11"/>
      <c r="UKG17" s="11"/>
      <c r="UKH17" s="11"/>
      <c r="UKI17" s="11"/>
      <c r="UKJ17" s="11"/>
      <c r="UKK17" s="11"/>
      <c r="UKL17" s="11"/>
      <c r="UKM17" s="11"/>
      <c r="UKN17" s="11"/>
      <c r="UKO17" s="11"/>
      <c r="UKP17" s="11"/>
      <c r="UKQ17" s="11"/>
      <c r="UKR17" s="11"/>
      <c r="UKS17" s="11"/>
      <c r="UKT17" s="11"/>
      <c r="UKU17" s="11"/>
      <c r="UKV17" s="11"/>
      <c r="UKW17" s="11"/>
      <c r="UKX17" s="11"/>
      <c r="UKY17" s="11"/>
      <c r="UKZ17" s="11"/>
      <c r="ULA17" s="11"/>
      <c r="ULB17" s="11"/>
      <c r="ULC17" s="11"/>
      <c r="ULD17" s="11"/>
      <c r="ULE17" s="11"/>
      <c r="ULF17" s="11"/>
      <c r="ULG17" s="11"/>
      <c r="ULH17" s="11"/>
      <c r="ULI17" s="11"/>
      <c r="ULJ17" s="11"/>
      <c r="ULK17" s="11"/>
      <c r="ULL17" s="11"/>
      <c r="ULM17" s="11"/>
      <c r="ULN17" s="11"/>
      <c r="ULO17" s="11"/>
      <c r="ULP17" s="11"/>
      <c r="ULQ17" s="11"/>
      <c r="ULR17" s="11"/>
      <c r="ULS17" s="11"/>
      <c r="ULT17" s="11"/>
      <c r="ULU17" s="11"/>
      <c r="ULV17" s="11"/>
      <c r="ULW17" s="11"/>
      <c r="ULX17" s="11"/>
      <c r="ULY17" s="11"/>
      <c r="ULZ17" s="11"/>
      <c r="UMA17" s="11"/>
      <c r="UMB17" s="11"/>
      <c r="UMC17" s="11"/>
      <c r="UMD17" s="11"/>
      <c r="UME17" s="11"/>
      <c r="UMF17" s="11"/>
      <c r="UMG17" s="11"/>
      <c r="UMH17" s="11"/>
      <c r="UMI17" s="11"/>
      <c r="UMJ17" s="11"/>
      <c r="UMK17" s="11"/>
      <c r="UML17" s="11"/>
      <c r="UMM17" s="11"/>
      <c r="UMN17" s="11"/>
      <c r="UMO17" s="11"/>
      <c r="UMP17" s="11"/>
      <c r="UMQ17" s="11"/>
      <c r="UMR17" s="11"/>
      <c r="UMS17" s="11"/>
      <c r="UMT17" s="11"/>
      <c r="UMU17" s="11"/>
      <c r="UMV17" s="11"/>
      <c r="UMW17" s="11"/>
      <c r="UMX17" s="11"/>
      <c r="UMY17" s="11"/>
      <c r="UMZ17" s="11"/>
      <c r="UNA17" s="11"/>
      <c r="UNB17" s="11"/>
      <c r="UNC17" s="11"/>
      <c r="UND17" s="11"/>
      <c r="UNE17" s="11"/>
      <c r="UNF17" s="11"/>
      <c r="UNG17" s="11"/>
      <c r="UNH17" s="11"/>
      <c r="UNI17" s="11"/>
      <c r="UNJ17" s="11"/>
      <c r="UNK17" s="11"/>
      <c r="UNL17" s="11"/>
      <c r="UNM17" s="11"/>
      <c r="UNN17" s="11"/>
      <c r="UNO17" s="11"/>
      <c r="UNP17" s="11"/>
      <c r="UNQ17" s="11"/>
      <c r="UNR17" s="11"/>
      <c r="UNS17" s="11"/>
      <c r="UNT17" s="11"/>
      <c r="UNU17" s="11"/>
      <c r="UNV17" s="11"/>
      <c r="UNW17" s="11"/>
      <c r="UNX17" s="11"/>
      <c r="UNY17" s="11"/>
      <c r="UNZ17" s="11"/>
      <c r="UOA17" s="11"/>
      <c r="UOB17" s="11"/>
      <c r="UOC17" s="11"/>
      <c r="UOD17" s="11"/>
      <c r="UOE17" s="11"/>
      <c r="UOF17" s="11"/>
      <c r="UOG17" s="11"/>
      <c r="UOH17" s="11"/>
      <c r="UOI17" s="11"/>
      <c r="UOJ17" s="11"/>
      <c r="UOK17" s="11"/>
      <c r="UOL17" s="11"/>
      <c r="UOM17" s="11"/>
      <c r="UON17" s="11"/>
      <c r="UOO17" s="11"/>
      <c r="UOP17" s="11"/>
      <c r="UOQ17" s="11"/>
      <c r="UOR17" s="11"/>
      <c r="UOS17" s="11"/>
      <c r="UOT17" s="11"/>
      <c r="UOU17" s="11"/>
      <c r="UOV17" s="11"/>
      <c r="UOW17" s="11"/>
      <c r="UOX17" s="11"/>
      <c r="UOY17" s="11"/>
      <c r="UOZ17" s="11"/>
      <c r="UPA17" s="11"/>
      <c r="UPB17" s="11"/>
      <c r="UPC17" s="11"/>
      <c r="UPD17" s="11"/>
      <c r="UPE17" s="11"/>
      <c r="UPF17" s="11"/>
      <c r="UPG17" s="11"/>
      <c r="UPH17" s="11"/>
      <c r="UPI17" s="11"/>
      <c r="UPJ17" s="11"/>
      <c r="UPK17" s="11"/>
      <c r="UPL17" s="11"/>
      <c r="UPM17" s="11"/>
      <c r="UPN17" s="11"/>
      <c r="UPO17" s="11"/>
      <c r="UPP17" s="11"/>
      <c r="UPQ17" s="11"/>
      <c r="UPR17" s="11"/>
      <c r="UPS17" s="11"/>
      <c r="UPT17" s="11"/>
      <c r="UPU17" s="11"/>
      <c r="UPV17" s="11"/>
      <c r="UPW17" s="11"/>
      <c r="UPX17" s="11"/>
      <c r="UPY17" s="11"/>
      <c r="UPZ17" s="11"/>
      <c r="UQA17" s="11"/>
      <c r="UQB17" s="11"/>
      <c r="UQC17" s="11"/>
      <c r="UQD17" s="11"/>
      <c r="UQE17" s="11"/>
      <c r="UQF17" s="11"/>
      <c r="UQG17" s="11"/>
      <c r="UQH17" s="11"/>
      <c r="UQI17" s="11"/>
      <c r="UQJ17" s="11"/>
      <c r="UQK17" s="11"/>
      <c r="UQL17" s="11"/>
      <c r="UQM17" s="11"/>
      <c r="UQN17" s="11"/>
      <c r="UQO17" s="11"/>
      <c r="UQP17" s="11"/>
      <c r="UQQ17" s="11"/>
      <c r="UQR17" s="11"/>
      <c r="UQS17" s="11"/>
      <c r="UQT17" s="11"/>
      <c r="UQU17" s="11"/>
      <c r="UQV17" s="11"/>
      <c r="UQW17" s="11"/>
      <c r="UQX17" s="11"/>
      <c r="UQY17" s="11"/>
      <c r="UQZ17" s="11"/>
      <c r="URA17" s="11"/>
      <c r="URB17" s="11"/>
      <c r="URC17" s="11"/>
      <c r="URD17" s="11"/>
      <c r="URE17" s="11"/>
      <c r="URF17" s="11"/>
      <c r="URG17" s="11"/>
      <c r="URH17" s="11"/>
      <c r="URI17" s="11"/>
      <c r="URJ17" s="11"/>
      <c r="URK17" s="11"/>
      <c r="URL17" s="11"/>
      <c r="URM17" s="11"/>
      <c r="URN17" s="11"/>
      <c r="URO17" s="11"/>
      <c r="URP17" s="11"/>
      <c r="URQ17" s="11"/>
      <c r="URR17" s="11"/>
      <c r="URS17" s="11"/>
      <c r="URT17" s="11"/>
      <c r="URU17" s="11"/>
      <c r="URV17" s="11"/>
      <c r="URW17" s="11"/>
      <c r="URX17" s="11"/>
      <c r="URY17" s="11"/>
      <c r="URZ17" s="11"/>
      <c r="USA17" s="11"/>
      <c r="USB17" s="11"/>
      <c r="USC17" s="11"/>
      <c r="USD17" s="11"/>
      <c r="USE17" s="11"/>
      <c r="USF17" s="11"/>
      <c r="USG17" s="11"/>
      <c r="USH17" s="11"/>
      <c r="USI17" s="11"/>
      <c r="USJ17" s="11"/>
      <c r="USK17" s="11"/>
      <c r="USL17" s="11"/>
      <c r="USM17" s="11"/>
      <c r="USN17" s="11"/>
      <c r="USO17" s="11"/>
      <c r="USP17" s="11"/>
      <c r="USQ17" s="11"/>
      <c r="USR17" s="11"/>
      <c r="USS17" s="11"/>
      <c r="UST17" s="11"/>
      <c r="USU17" s="11"/>
      <c r="USV17" s="11"/>
      <c r="USW17" s="11"/>
      <c r="USX17" s="11"/>
      <c r="USY17" s="11"/>
      <c r="USZ17" s="11"/>
      <c r="UTA17" s="11"/>
      <c r="UTB17" s="11"/>
      <c r="UTC17" s="11"/>
      <c r="UTD17" s="11"/>
      <c r="UTE17" s="11"/>
      <c r="UTF17" s="11"/>
      <c r="UTG17" s="11"/>
      <c r="UTH17" s="11"/>
      <c r="UTI17" s="11"/>
      <c r="UTJ17" s="11"/>
      <c r="UTK17" s="11"/>
      <c r="UTL17" s="11"/>
      <c r="UTM17" s="11"/>
      <c r="UTN17" s="11"/>
      <c r="UTO17" s="11"/>
      <c r="UTP17" s="11"/>
      <c r="UTQ17" s="11"/>
      <c r="UTR17" s="11"/>
      <c r="UTS17" s="11"/>
      <c r="UTT17" s="11"/>
      <c r="UTU17" s="11"/>
      <c r="UTV17" s="11"/>
      <c r="UTW17" s="11"/>
      <c r="UTX17" s="11"/>
      <c r="UTY17" s="11"/>
      <c r="UTZ17" s="11"/>
      <c r="UUA17" s="11"/>
      <c r="UUB17" s="11"/>
      <c r="UUC17" s="11"/>
      <c r="UUD17" s="11"/>
      <c r="UUE17" s="11"/>
      <c r="UUF17" s="11"/>
      <c r="UUG17" s="11"/>
      <c r="UUH17" s="11"/>
      <c r="UUI17" s="11"/>
      <c r="UUJ17" s="11"/>
      <c r="UUK17" s="11"/>
      <c r="UUL17" s="11"/>
      <c r="UUM17" s="11"/>
      <c r="UUN17" s="11"/>
      <c r="UUO17" s="11"/>
      <c r="UUP17" s="11"/>
      <c r="UUQ17" s="11"/>
      <c r="UUR17" s="11"/>
      <c r="UUS17" s="11"/>
      <c r="UUT17" s="11"/>
      <c r="UUU17" s="11"/>
      <c r="UUV17" s="11"/>
      <c r="UUW17" s="11"/>
      <c r="UUX17" s="11"/>
      <c r="UUY17" s="11"/>
      <c r="UUZ17" s="11"/>
      <c r="UVA17" s="11"/>
      <c r="UVB17" s="11"/>
      <c r="UVC17" s="11"/>
      <c r="UVD17" s="11"/>
      <c r="UVE17" s="11"/>
      <c r="UVF17" s="11"/>
      <c r="UVG17" s="11"/>
      <c r="UVH17" s="11"/>
      <c r="UVI17" s="11"/>
      <c r="UVJ17" s="11"/>
      <c r="UVK17" s="11"/>
      <c r="UVL17" s="11"/>
      <c r="UVM17" s="11"/>
      <c r="UVN17" s="11"/>
      <c r="UVO17" s="11"/>
      <c r="UVP17" s="11"/>
      <c r="UVQ17" s="11"/>
      <c r="UVR17" s="11"/>
      <c r="UVS17" s="11"/>
      <c r="UVT17" s="11"/>
      <c r="UVU17" s="11"/>
      <c r="UVV17" s="11"/>
      <c r="UVW17" s="11"/>
      <c r="UVX17" s="11"/>
      <c r="UVY17" s="11"/>
      <c r="UVZ17" s="11"/>
      <c r="UWA17" s="11"/>
      <c r="UWB17" s="11"/>
      <c r="UWC17" s="11"/>
      <c r="UWD17" s="11"/>
      <c r="UWE17" s="11"/>
      <c r="UWF17" s="11"/>
      <c r="UWG17" s="11"/>
      <c r="UWH17" s="11"/>
      <c r="UWI17" s="11"/>
      <c r="UWJ17" s="11"/>
      <c r="UWK17" s="11"/>
      <c r="UWL17" s="11"/>
      <c r="UWM17" s="11"/>
      <c r="UWN17" s="11"/>
      <c r="UWO17" s="11"/>
      <c r="UWP17" s="11"/>
      <c r="UWQ17" s="11"/>
      <c r="UWR17" s="11"/>
      <c r="UWS17" s="11"/>
      <c r="UWT17" s="11"/>
      <c r="UWU17" s="11"/>
      <c r="UWV17" s="11"/>
      <c r="UWW17" s="11"/>
      <c r="UWX17" s="11"/>
      <c r="UWY17" s="11"/>
      <c r="UWZ17" s="11"/>
      <c r="UXA17" s="11"/>
      <c r="UXB17" s="11"/>
      <c r="UXC17" s="11"/>
      <c r="UXD17" s="11"/>
      <c r="UXE17" s="11"/>
      <c r="UXF17" s="11"/>
      <c r="UXG17" s="11"/>
      <c r="UXH17" s="11"/>
      <c r="UXI17" s="11"/>
      <c r="UXJ17" s="11"/>
      <c r="UXK17" s="11"/>
      <c r="UXL17" s="11"/>
      <c r="UXM17" s="11"/>
      <c r="UXN17" s="11"/>
      <c r="UXO17" s="11"/>
      <c r="UXP17" s="11"/>
      <c r="UXQ17" s="11"/>
      <c r="UXR17" s="11"/>
      <c r="UXS17" s="11"/>
      <c r="UXT17" s="11"/>
      <c r="UXU17" s="11"/>
      <c r="UXV17" s="11"/>
      <c r="UXW17" s="11"/>
      <c r="UXX17" s="11"/>
      <c r="UXY17" s="11"/>
      <c r="UXZ17" s="11"/>
      <c r="UYA17" s="11"/>
      <c r="UYB17" s="11"/>
      <c r="UYC17" s="11"/>
      <c r="UYD17" s="11"/>
      <c r="UYE17" s="11"/>
      <c r="UYF17" s="11"/>
      <c r="UYG17" s="11"/>
      <c r="UYH17" s="11"/>
      <c r="UYI17" s="11"/>
      <c r="UYJ17" s="11"/>
      <c r="UYK17" s="11"/>
      <c r="UYL17" s="11"/>
      <c r="UYM17" s="11"/>
      <c r="UYN17" s="11"/>
      <c r="UYO17" s="11"/>
      <c r="UYP17" s="11"/>
      <c r="UYQ17" s="11"/>
      <c r="UYR17" s="11"/>
      <c r="UYS17" s="11"/>
      <c r="UYT17" s="11"/>
      <c r="UYU17" s="11"/>
      <c r="UYV17" s="11"/>
      <c r="UYW17" s="11"/>
      <c r="UYX17" s="11"/>
      <c r="UYY17" s="11"/>
      <c r="UYZ17" s="11"/>
      <c r="UZA17" s="11"/>
      <c r="UZB17" s="11"/>
      <c r="UZC17" s="11"/>
      <c r="UZD17" s="11"/>
      <c r="UZE17" s="11"/>
      <c r="UZF17" s="11"/>
      <c r="UZG17" s="11"/>
      <c r="UZH17" s="11"/>
      <c r="UZI17" s="11"/>
      <c r="UZJ17" s="11"/>
      <c r="UZK17" s="11"/>
      <c r="UZL17" s="11"/>
      <c r="UZM17" s="11"/>
      <c r="UZN17" s="11"/>
      <c r="UZO17" s="11"/>
      <c r="UZP17" s="11"/>
      <c r="UZQ17" s="11"/>
      <c r="UZR17" s="11"/>
      <c r="UZS17" s="11"/>
      <c r="UZT17" s="11"/>
      <c r="UZU17" s="11"/>
      <c r="UZV17" s="11"/>
      <c r="UZW17" s="11"/>
      <c r="UZX17" s="11"/>
      <c r="UZY17" s="11"/>
      <c r="UZZ17" s="11"/>
      <c r="VAA17" s="11"/>
      <c r="VAB17" s="11"/>
      <c r="VAC17" s="11"/>
      <c r="VAD17" s="11"/>
      <c r="VAE17" s="11"/>
      <c r="VAF17" s="11"/>
      <c r="VAG17" s="11"/>
      <c r="VAH17" s="11"/>
      <c r="VAI17" s="11"/>
      <c r="VAJ17" s="11"/>
      <c r="VAK17" s="11"/>
      <c r="VAL17" s="11"/>
      <c r="VAM17" s="11"/>
      <c r="VAN17" s="11"/>
      <c r="VAO17" s="11"/>
      <c r="VAP17" s="11"/>
      <c r="VAQ17" s="11"/>
      <c r="VAR17" s="11"/>
      <c r="VAS17" s="11"/>
      <c r="VAT17" s="11"/>
      <c r="VAU17" s="11"/>
      <c r="VAV17" s="11"/>
      <c r="VAW17" s="11"/>
      <c r="VAX17" s="11"/>
      <c r="VAY17" s="11"/>
      <c r="VAZ17" s="11"/>
      <c r="VBA17" s="11"/>
      <c r="VBB17" s="11"/>
      <c r="VBC17" s="11"/>
      <c r="VBD17" s="11"/>
      <c r="VBE17" s="11"/>
      <c r="VBF17" s="11"/>
      <c r="VBG17" s="11"/>
      <c r="VBH17" s="11"/>
      <c r="VBI17" s="11"/>
      <c r="VBJ17" s="11"/>
      <c r="VBK17" s="11"/>
      <c r="VBL17" s="11"/>
      <c r="VBM17" s="11"/>
      <c r="VBN17" s="11"/>
      <c r="VBO17" s="11"/>
      <c r="VBP17" s="11"/>
      <c r="VBQ17" s="11"/>
      <c r="VBR17" s="11"/>
      <c r="VBS17" s="11"/>
      <c r="VBT17" s="11"/>
      <c r="VBU17" s="11"/>
      <c r="VBV17" s="11"/>
      <c r="VBW17" s="11"/>
      <c r="VBX17" s="11"/>
      <c r="VBY17" s="11"/>
      <c r="VBZ17" s="11"/>
      <c r="VCA17" s="11"/>
      <c r="VCB17" s="11"/>
      <c r="VCC17" s="11"/>
      <c r="VCD17" s="11"/>
      <c r="VCE17" s="11"/>
      <c r="VCF17" s="11"/>
      <c r="VCG17" s="11"/>
      <c r="VCH17" s="11"/>
      <c r="VCI17" s="11"/>
      <c r="VCJ17" s="11"/>
      <c r="VCK17" s="11"/>
      <c r="VCL17" s="11"/>
      <c r="VCM17" s="11"/>
      <c r="VCN17" s="11"/>
      <c r="VCO17" s="11"/>
      <c r="VCP17" s="11"/>
      <c r="VCQ17" s="11"/>
      <c r="VCR17" s="11"/>
      <c r="VCS17" s="11"/>
      <c r="VCT17" s="11"/>
      <c r="VCU17" s="11"/>
      <c r="VCV17" s="11"/>
      <c r="VCW17" s="11"/>
      <c r="VCX17" s="11"/>
      <c r="VCY17" s="11"/>
      <c r="VCZ17" s="11"/>
      <c r="VDA17" s="11"/>
      <c r="VDB17" s="11"/>
      <c r="VDC17" s="11"/>
      <c r="VDD17" s="11"/>
      <c r="VDE17" s="11"/>
      <c r="VDF17" s="11"/>
      <c r="VDG17" s="11"/>
      <c r="VDH17" s="11"/>
      <c r="VDI17" s="11"/>
      <c r="VDJ17" s="11"/>
      <c r="VDK17" s="11"/>
      <c r="VDL17" s="11"/>
      <c r="VDM17" s="11"/>
      <c r="VDN17" s="11"/>
      <c r="VDO17" s="11"/>
      <c r="VDP17" s="11"/>
      <c r="VDQ17" s="11"/>
      <c r="VDR17" s="11"/>
      <c r="VDS17" s="11"/>
      <c r="VDT17" s="11"/>
      <c r="VDU17" s="11"/>
      <c r="VDV17" s="11"/>
      <c r="VDW17" s="11"/>
      <c r="VDX17" s="11"/>
      <c r="VDY17" s="11"/>
      <c r="VDZ17" s="11"/>
      <c r="VEA17" s="11"/>
      <c r="VEB17" s="11"/>
      <c r="VEC17" s="11"/>
      <c r="VED17" s="11"/>
      <c r="VEE17" s="11"/>
      <c r="VEF17" s="11"/>
      <c r="VEG17" s="11"/>
      <c r="VEH17" s="11"/>
      <c r="VEI17" s="11"/>
      <c r="VEJ17" s="11"/>
      <c r="VEK17" s="11"/>
      <c r="VEL17" s="11"/>
      <c r="VEM17" s="11"/>
      <c r="VEN17" s="11"/>
      <c r="VEO17" s="11"/>
      <c r="VEP17" s="11"/>
      <c r="VEQ17" s="11"/>
      <c r="VER17" s="11"/>
      <c r="VES17" s="11"/>
      <c r="VET17" s="11"/>
      <c r="VEU17" s="11"/>
      <c r="VEV17" s="11"/>
      <c r="VEW17" s="11"/>
      <c r="VEX17" s="11"/>
      <c r="VEY17" s="11"/>
      <c r="VEZ17" s="11"/>
      <c r="VFA17" s="11"/>
      <c r="VFB17" s="11"/>
      <c r="VFC17" s="11"/>
      <c r="VFD17" s="11"/>
      <c r="VFE17" s="11"/>
      <c r="VFF17" s="11"/>
      <c r="VFG17" s="11"/>
      <c r="VFH17" s="11"/>
      <c r="VFI17" s="11"/>
      <c r="VFJ17" s="11"/>
      <c r="VFK17" s="11"/>
      <c r="VFL17" s="11"/>
      <c r="VFM17" s="11"/>
      <c r="VFN17" s="11"/>
      <c r="VFO17" s="11"/>
      <c r="VFP17" s="11"/>
      <c r="VFQ17" s="11"/>
      <c r="VFR17" s="11"/>
      <c r="VFS17" s="11"/>
      <c r="VFT17" s="11"/>
      <c r="VFU17" s="11"/>
      <c r="VFV17" s="11"/>
      <c r="VFW17" s="11"/>
      <c r="VFX17" s="11"/>
      <c r="VFY17" s="11"/>
      <c r="VFZ17" s="11"/>
      <c r="VGA17" s="11"/>
      <c r="VGB17" s="11"/>
      <c r="VGC17" s="11"/>
      <c r="VGD17" s="11"/>
      <c r="VGE17" s="11"/>
      <c r="VGF17" s="11"/>
      <c r="VGG17" s="11"/>
      <c r="VGH17" s="11"/>
      <c r="VGI17" s="11"/>
      <c r="VGJ17" s="11"/>
      <c r="VGK17" s="11"/>
      <c r="VGL17" s="11"/>
      <c r="VGM17" s="11"/>
      <c r="VGN17" s="11"/>
      <c r="VGO17" s="11"/>
      <c r="VGP17" s="11"/>
      <c r="VGQ17" s="11"/>
      <c r="VGR17" s="11"/>
      <c r="VGS17" s="11"/>
      <c r="VGT17" s="11"/>
      <c r="VGU17" s="11"/>
      <c r="VGV17" s="11"/>
      <c r="VGW17" s="11"/>
      <c r="VGX17" s="11"/>
      <c r="VGY17" s="11"/>
      <c r="VGZ17" s="11"/>
      <c r="VHA17" s="11"/>
      <c r="VHB17" s="11"/>
      <c r="VHC17" s="11"/>
      <c r="VHD17" s="11"/>
      <c r="VHE17" s="11"/>
      <c r="VHF17" s="11"/>
      <c r="VHG17" s="11"/>
      <c r="VHH17" s="11"/>
      <c r="VHI17" s="11"/>
      <c r="VHJ17" s="11"/>
      <c r="VHK17" s="11"/>
      <c r="VHL17" s="11"/>
      <c r="VHM17" s="11"/>
      <c r="VHN17" s="11"/>
      <c r="VHO17" s="11"/>
      <c r="VHP17" s="11"/>
      <c r="VHQ17" s="11"/>
      <c r="VHR17" s="11"/>
      <c r="VHS17" s="11"/>
      <c r="VHT17" s="11"/>
      <c r="VHU17" s="11"/>
      <c r="VHV17" s="11"/>
      <c r="VHW17" s="11"/>
      <c r="VHX17" s="11"/>
      <c r="VHY17" s="11"/>
      <c r="VHZ17" s="11"/>
      <c r="VIA17" s="11"/>
      <c r="VIB17" s="11"/>
      <c r="VIC17" s="11"/>
      <c r="VID17" s="11"/>
      <c r="VIE17" s="11"/>
      <c r="VIF17" s="11"/>
      <c r="VIG17" s="11"/>
      <c r="VIH17" s="11"/>
      <c r="VII17" s="11"/>
      <c r="VIJ17" s="11"/>
      <c r="VIK17" s="11"/>
      <c r="VIL17" s="11"/>
      <c r="VIM17" s="11"/>
      <c r="VIN17" s="11"/>
      <c r="VIO17" s="11"/>
      <c r="VIP17" s="11"/>
      <c r="VIQ17" s="11"/>
      <c r="VIR17" s="11"/>
      <c r="VIS17" s="11"/>
      <c r="VIT17" s="11"/>
      <c r="VIU17" s="11"/>
      <c r="VIV17" s="11"/>
      <c r="VIW17" s="11"/>
      <c r="VIX17" s="11"/>
      <c r="VIY17" s="11"/>
      <c r="VIZ17" s="11"/>
      <c r="VJA17" s="11"/>
      <c r="VJB17" s="11"/>
      <c r="VJC17" s="11"/>
      <c r="VJD17" s="11"/>
      <c r="VJE17" s="11"/>
      <c r="VJF17" s="11"/>
      <c r="VJG17" s="11"/>
      <c r="VJH17" s="11"/>
      <c r="VJI17" s="11"/>
      <c r="VJJ17" s="11"/>
      <c r="VJK17" s="11"/>
      <c r="VJL17" s="11"/>
      <c r="VJM17" s="11"/>
      <c r="VJN17" s="11"/>
      <c r="VJO17" s="11"/>
      <c r="VJP17" s="11"/>
      <c r="VJQ17" s="11"/>
      <c r="VJR17" s="11"/>
      <c r="VJS17" s="11"/>
      <c r="VJT17" s="11"/>
      <c r="VJU17" s="11"/>
      <c r="VJV17" s="11"/>
      <c r="VJW17" s="11"/>
      <c r="VJX17" s="11"/>
      <c r="VJY17" s="11"/>
      <c r="VJZ17" s="11"/>
      <c r="VKA17" s="11"/>
      <c r="VKB17" s="11"/>
      <c r="VKC17" s="11"/>
      <c r="VKD17" s="11"/>
      <c r="VKE17" s="11"/>
      <c r="VKF17" s="11"/>
      <c r="VKG17" s="11"/>
      <c r="VKH17" s="11"/>
      <c r="VKI17" s="11"/>
      <c r="VKJ17" s="11"/>
      <c r="VKK17" s="11"/>
      <c r="VKL17" s="11"/>
      <c r="VKM17" s="11"/>
      <c r="VKN17" s="11"/>
      <c r="VKO17" s="11"/>
      <c r="VKP17" s="11"/>
      <c r="VKQ17" s="11"/>
      <c r="VKR17" s="11"/>
      <c r="VKS17" s="11"/>
      <c r="VKT17" s="11"/>
      <c r="VKU17" s="11"/>
      <c r="VKV17" s="11"/>
      <c r="VKW17" s="11"/>
      <c r="VKX17" s="11"/>
      <c r="VKY17" s="11"/>
      <c r="VKZ17" s="11"/>
      <c r="VLA17" s="11"/>
      <c r="VLB17" s="11"/>
      <c r="VLC17" s="11"/>
      <c r="VLD17" s="11"/>
      <c r="VLE17" s="11"/>
      <c r="VLF17" s="11"/>
      <c r="VLG17" s="11"/>
      <c r="VLH17" s="11"/>
      <c r="VLI17" s="11"/>
      <c r="VLJ17" s="11"/>
      <c r="VLK17" s="11"/>
      <c r="VLL17" s="11"/>
      <c r="VLM17" s="11"/>
      <c r="VLN17" s="11"/>
      <c r="VLO17" s="11"/>
      <c r="VLP17" s="11"/>
      <c r="VLQ17" s="11"/>
      <c r="VLR17" s="11"/>
      <c r="VLS17" s="11"/>
      <c r="VLT17" s="11"/>
      <c r="VLU17" s="11"/>
      <c r="VLV17" s="11"/>
      <c r="VLW17" s="11"/>
      <c r="VLX17" s="11"/>
      <c r="VLY17" s="11"/>
      <c r="VLZ17" s="11"/>
      <c r="VMA17" s="11"/>
      <c r="VMB17" s="11"/>
      <c r="VMC17" s="11"/>
      <c r="VMD17" s="11"/>
      <c r="VME17" s="11"/>
      <c r="VMF17" s="11"/>
      <c r="VMG17" s="11"/>
      <c r="VMH17" s="11"/>
      <c r="VMI17" s="11"/>
      <c r="VMJ17" s="11"/>
      <c r="VMK17" s="11"/>
      <c r="VML17" s="11"/>
      <c r="VMM17" s="11"/>
      <c r="VMN17" s="11"/>
      <c r="VMO17" s="11"/>
      <c r="VMP17" s="11"/>
      <c r="VMQ17" s="11"/>
      <c r="VMR17" s="11"/>
      <c r="VMS17" s="11"/>
      <c r="VMT17" s="11"/>
      <c r="VMU17" s="11"/>
      <c r="VMV17" s="11"/>
      <c r="VMW17" s="11"/>
      <c r="VMX17" s="11"/>
      <c r="VMY17" s="11"/>
      <c r="VMZ17" s="11"/>
      <c r="VNA17" s="11"/>
      <c r="VNB17" s="11"/>
      <c r="VNC17" s="11"/>
      <c r="VND17" s="11"/>
      <c r="VNE17" s="11"/>
      <c r="VNF17" s="11"/>
      <c r="VNG17" s="11"/>
      <c r="VNH17" s="11"/>
      <c r="VNI17" s="11"/>
      <c r="VNJ17" s="11"/>
      <c r="VNK17" s="11"/>
      <c r="VNL17" s="11"/>
      <c r="VNM17" s="11"/>
      <c r="VNN17" s="11"/>
      <c r="VNO17" s="11"/>
      <c r="VNP17" s="11"/>
      <c r="VNQ17" s="11"/>
      <c r="VNR17" s="11"/>
      <c r="VNS17" s="11"/>
      <c r="VNT17" s="11"/>
      <c r="VNU17" s="11"/>
      <c r="VNV17" s="11"/>
      <c r="VNW17" s="11"/>
      <c r="VNX17" s="11"/>
      <c r="VNY17" s="11"/>
      <c r="VNZ17" s="11"/>
      <c r="VOA17" s="11"/>
      <c r="VOB17" s="11"/>
      <c r="VOC17" s="11"/>
      <c r="VOD17" s="11"/>
      <c r="VOE17" s="11"/>
      <c r="VOF17" s="11"/>
      <c r="VOG17" s="11"/>
      <c r="VOH17" s="11"/>
      <c r="VOI17" s="11"/>
      <c r="VOJ17" s="11"/>
      <c r="VOK17" s="11"/>
      <c r="VOL17" s="11"/>
      <c r="VOM17" s="11"/>
      <c r="VON17" s="11"/>
      <c r="VOO17" s="11"/>
      <c r="VOP17" s="11"/>
      <c r="VOQ17" s="11"/>
      <c r="VOR17" s="11"/>
      <c r="VOS17" s="11"/>
      <c r="VOT17" s="11"/>
      <c r="VOU17" s="11"/>
      <c r="VOV17" s="11"/>
      <c r="VOW17" s="11"/>
      <c r="VOX17" s="11"/>
      <c r="VOY17" s="11"/>
      <c r="VOZ17" s="11"/>
      <c r="VPA17" s="11"/>
      <c r="VPB17" s="11"/>
      <c r="VPC17" s="11"/>
      <c r="VPD17" s="11"/>
      <c r="VPE17" s="11"/>
      <c r="VPF17" s="11"/>
      <c r="VPG17" s="11"/>
      <c r="VPH17" s="11"/>
      <c r="VPI17" s="11"/>
      <c r="VPJ17" s="11"/>
      <c r="VPK17" s="11"/>
      <c r="VPL17" s="11"/>
      <c r="VPM17" s="11"/>
      <c r="VPN17" s="11"/>
      <c r="VPO17" s="11"/>
      <c r="VPP17" s="11"/>
      <c r="VPQ17" s="11"/>
      <c r="VPR17" s="11"/>
      <c r="VPS17" s="11"/>
      <c r="VPT17" s="11"/>
      <c r="VPU17" s="11"/>
      <c r="VPV17" s="11"/>
      <c r="VPW17" s="11"/>
      <c r="VPX17" s="11"/>
      <c r="VPY17" s="11"/>
      <c r="VPZ17" s="11"/>
      <c r="VQA17" s="11"/>
      <c r="VQB17" s="11"/>
      <c r="VQC17" s="11"/>
      <c r="VQD17" s="11"/>
      <c r="VQE17" s="11"/>
      <c r="VQF17" s="11"/>
      <c r="VQG17" s="11"/>
      <c r="VQH17" s="11"/>
      <c r="VQI17" s="11"/>
      <c r="VQJ17" s="11"/>
      <c r="VQK17" s="11"/>
      <c r="VQL17" s="11"/>
      <c r="VQM17" s="11"/>
      <c r="VQN17" s="11"/>
      <c r="VQO17" s="11"/>
      <c r="VQP17" s="11"/>
      <c r="VQQ17" s="11"/>
      <c r="VQR17" s="11"/>
      <c r="VQS17" s="11"/>
      <c r="VQT17" s="11"/>
      <c r="VQU17" s="11"/>
      <c r="VQV17" s="11"/>
      <c r="VQW17" s="11"/>
      <c r="VQX17" s="11"/>
      <c r="VQY17" s="11"/>
      <c r="VQZ17" s="11"/>
      <c r="VRA17" s="11"/>
      <c r="VRB17" s="11"/>
      <c r="VRC17" s="11"/>
      <c r="VRD17" s="11"/>
      <c r="VRE17" s="11"/>
      <c r="VRF17" s="11"/>
      <c r="VRG17" s="11"/>
      <c r="VRH17" s="11"/>
      <c r="VRI17" s="11"/>
      <c r="VRJ17" s="11"/>
      <c r="VRK17" s="11"/>
      <c r="VRL17" s="11"/>
      <c r="VRM17" s="11"/>
      <c r="VRN17" s="11"/>
      <c r="VRO17" s="11"/>
      <c r="VRP17" s="11"/>
      <c r="VRQ17" s="11"/>
      <c r="VRR17" s="11"/>
      <c r="VRS17" s="11"/>
      <c r="VRT17" s="11"/>
      <c r="VRU17" s="11"/>
      <c r="VRV17" s="11"/>
      <c r="VRW17" s="11"/>
      <c r="VRX17" s="11"/>
      <c r="VRY17" s="11"/>
      <c r="VRZ17" s="11"/>
      <c r="VSA17" s="11"/>
      <c r="VSB17" s="11"/>
      <c r="VSC17" s="11"/>
      <c r="VSD17" s="11"/>
      <c r="VSE17" s="11"/>
      <c r="VSF17" s="11"/>
      <c r="VSG17" s="11"/>
      <c r="VSH17" s="11"/>
      <c r="VSI17" s="11"/>
      <c r="VSJ17" s="11"/>
      <c r="VSK17" s="11"/>
      <c r="VSL17" s="11"/>
      <c r="VSM17" s="11"/>
      <c r="VSN17" s="11"/>
      <c r="VSO17" s="11"/>
      <c r="VSP17" s="11"/>
      <c r="VSQ17" s="11"/>
      <c r="VSR17" s="11"/>
      <c r="VSS17" s="11"/>
      <c r="VST17" s="11"/>
      <c r="VSU17" s="11"/>
      <c r="VSV17" s="11"/>
      <c r="VSW17" s="11"/>
      <c r="VSX17" s="11"/>
      <c r="VSY17" s="11"/>
      <c r="VSZ17" s="11"/>
      <c r="VTA17" s="11"/>
      <c r="VTB17" s="11"/>
      <c r="VTC17" s="11"/>
      <c r="VTD17" s="11"/>
      <c r="VTE17" s="11"/>
      <c r="VTF17" s="11"/>
      <c r="VTG17" s="11"/>
      <c r="VTH17" s="11"/>
      <c r="VTI17" s="11"/>
      <c r="VTJ17" s="11"/>
      <c r="VTK17" s="11"/>
      <c r="VTL17" s="11"/>
      <c r="VTM17" s="11"/>
      <c r="VTN17" s="11"/>
      <c r="VTO17" s="11"/>
      <c r="VTP17" s="11"/>
      <c r="VTQ17" s="11"/>
      <c r="VTR17" s="11"/>
      <c r="VTS17" s="11"/>
      <c r="VTT17" s="11"/>
      <c r="VTU17" s="11"/>
      <c r="VTV17" s="11"/>
      <c r="VTW17" s="11"/>
      <c r="VTX17" s="11"/>
      <c r="VTY17" s="11"/>
      <c r="VTZ17" s="11"/>
      <c r="VUA17" s="11"/>
      <c r="VUB17" s="11"/>
      <c r="VUC17" s="11"/>
      <c r="VUD17" s="11"/>
      <c r="VUE17" s="11"/>
      <c r="VUF17" s="11"/>
      <c r="VUG17" s="11"/>
      <c r="VUH17" s="11"/>
      <c r="VUI17" s="11"/>
      <c r="VUJ17" s="11"/>
      <c r="VUK17" s="11"/>
      <c r="VUL17" s="11"/>
      <c r="VUM17" s="11"/>
      <c r="VUN17" s="11"/>
      <c r="VUO17" s="11"/>
      <c r="VUP17" s="11"/>
      <c r="VUQ17" s="11"/>
      <c r="VUR17" s="11"/>
      <c r="VUS17" s="11"/>
      <c r="VUT17" s="11"/>
      <c r="VUU17" s="11"/>
      <c r="VUV17" s="11"/>
      <c r="VUW17" s="11"/>
      <c r="VUX17" s="11"/>
      <c r="VUY17" s="11"/>
      <c r="VUZ17" s="11"/>
      <c r="VVA17" s="11"/>
      <c r="VVB17" s="11"/>
      <c r="VVC17" s="11"/>
      <c r="VVD17" s="11"/>
      <c r="VVE17" s="11"/>
      <c r="VVF17" s="11"/>
      <c r="VVG17" s="11"/>
      <c r="VVH17" s="11"/>
      <c r="VVI17" s="11"/>
      <c r="VVJ17" s="11"/>
      <c r="VVK17" s="11"/>
      <c r="VVL17" s="11"/>
      <c r="VVM17" s="11"/>
      <c r="VVN17" s="11"/>
      <c r="VVO17" s="11"/>
      <c r="VVP17" s="11"/>
      <c r="VVQ17" s="11"/>
      <c r="VVR17" s="11"/>
      <c r="VVS17" s="11"/>
      <c r="VVT17" s="11"/>
      <c r="VVU17" s="11"/>
      <c r="VVV17" s="11"/>
      <c r="VVW17" s="11"/>
      <c r="VVX17" s="11"/>
      <c r="VVY17" s="11"/>
      <c r="VVZ17" s="11"/>
      <c r="VWA17" s="11"/>
      <c r="VWB17" s="11"/>
      <c r="VWC17" s="11"/>
      <c r="VWD17" s="11"/>
      <c r="VWE17" s="11"/>
      <c r="VWF17" s="11"/>
      <c r="VWG17" s="11"/>
      <c r="VWH17" s="11"/>
      <c r="VWI17" s="11"/>
      <c r="VWJ17" s="11"/>
      <c r="VWK17" s="11"/>
      <c r="VWL17" s="11"/>
      <c r="VWM17" s="11"/>
      <c r="VWN17" s="11"/>
      <c r="VWO17" s="11"/>
      <c r="VWP17" s="11"/>
      <c r="VWQ17" s="11"/>
      <c r="VWR17" s="11"/>
      <c r="VWS17" s="11"/>
      <c r="VWT17" s="11"/>
      <c r="VWU17" s="11"/>
      <c r="VWV17" s="11"/>
      <c r="VWW17" s="11"/>
      <c r="VWX17" s="11"/>
      <c r="VWY17" s="11"/>
      <c r="VWZ17" s="11"/>
      <c r="VXA17" s="11"/>
      <c r="VXB17" s="11"/>
      <c r="VXC17" s="11"/>
      <c r="VXD17" s="11"/>
      <c r="VXE17" s="11"/>
      <c r="VXF17" s="11"/>
      <c r="VXG17" s="11"/>
      <c r="VXH17" s="11"/>
      <c r="VXI17" s="11"/>
      <c r="VXJ17" s="11"/>
      <c r="VXK17" s="11"/>
      <c r="VXL17" s="11"/>
      <c r="VXM17" s="11"/>
      <c r="VXN17" s="11"/>
      <c r="VXO17" s="11"/>
      <c r="VXP17" s="11"/>
      <c r="VXQ17" s="11"/>
      <c r="VXR17" s="11"/>
      <c r="VXS17" s="11"/>
      <c r="VXT17" s="11"/>
      <c r="VXU17" s="11"/>
      <c r="VXV17" s="11"/>
      <c r="VXW17" s="11"/>
      <c r="VXX17" s="11"/>
      <c r="VXY17" s="11"/>
      <c r="VXZ17" s="11"/>
      <c r="VYA17" s="11"/>
      <c r="VYB17" s="11"/>
      <c r="VYC17" s="11"/>
      <c r="VYD17" s="11"/>
      <c r="VYE17" s="11"/>
      <c r="VYF17" s="11"/>
      <c r="VYG17" s="11"/>
      <c r="VYH17" s="11"/>
      <c r="VYI17" s="11"/>
      <c r="VYJ17" s="11"/>
      <c r="VYK17" s="11"/>
      <c r="VYL17" s="11"/>
      <c r="VYM17" s="11"/>
      <c r="VYN17" s="11"/>
      <c r="VYO17" s="11"/>
      <c r="VYP17" s="11"/>
      <c r="VYQ17" s="11"/>
      <c r="VYR17" s="11"/>
      <c r="VYS17" s="11"/>
      <c r="VYT17" s="11"/>
      <c r="VYU17" s="11"/>
      <c r="VYV17" s="11"/>
      <c r="VYW17" s="11"/>
      <c r="VYX17" s="11"/>
      <c r="VYY17" s="11"/>
      <c r="VYZ17" s="11"/>
      <c r="VZA17" s="11"/>
      <c r="VZB17" s="11"/>
      <c r="VZC17" s="11"/>
      <c r="VZD17" s="11"/>
      <c r="VZE17" s="11"/>
      <c r="VZF17" s="11"/>
      <c r="VZG17" s="11"/>
      <c r="VZH17" s="11"/>
      <c r="VZI17" s="11"/>
      <c r="VZJ17" s="11"/>
      <c r="VZK17" s="11"/>
      <c r="VZL17" s="11"/>
      <c r="VZM17" s="11"/>
      <c r="VZN17" s="11"/>
      <c r="VZO17" s="11"/>
      <c r="VZP17" s="11"/>
      <c r="VZQ17" s="11"/>
      <c r="VZR17" s="11"/>
      <c r="VZS17" s="11"/>
      <c r="VZT17" s="11"/>
      <c r="VZU17" s="11"/>
      <c r="VZV17" s="11"/>
      <c r="VZW17" s="11"/>
      <c r="VZX17" s="11"/>
      <c r="VZY17" s="11"/>
      <c r="VZZ17" s="11"/>
      <c r="WAA17" s="11"/>
      <c r="WAB17" s="11"/>
      <c r="WAC17" s="11"/>
      <c r="WAD17" s="11"/>
      <c r="WAE17" s="11"/>
      <c r="WAF17" s="11"/>
      <c r="WAG17" s="11"/>
      <c r="WAH17" s="11"/>
      <c r="WAI17" s="11"/>
      <c r="WAJ17" s="11"/>
      <c r="WAK17" s="11"/>
      <c r="WAL17" s="11"/>
      <c r="WAM17" s="11"/>
      <c r="WAN17" s="11"/>
      <c r="WAO17" s="11"/>
      <c r="WAP17" s="11"/>
      <c r="WAQ17" s="11"/>
      <c r="WAR17" s="11"/>
      <c r="WAS17" s="11"/>
      <c r="WAT17" s="11"/>
      <c r="WAU17" s="11"/>
      <c r="WAV17" s="11"/>
      <c r="WAW17" s="11"/>
      <c r="WAX17" s="11"/>
      <c r="WAY17" s="11"/>
      <c r="WAZ17" s="11"/>
      <c r="WBA17" s="11"/>
      <c r="WBB17" s="11"/>
      <c r="WBC17" s="11"/>
      <c r="WBD17" s="11"/>
      <c r="WBE17" s="11"/>
      <c r="WBF17" s="11"/>
      <c r="WBG17" s="11"/>
      <c r="WBH17" s="11"/>
      <c r="WBI17" s="11"/>
      <c r="WBJ17" s="11"/>
      <c r="WBK17" s="11"/>
      <c r="WBL17" s="11"/>
      <c r="WBM17" s="11"/>
      <c r="WBN17" s="11"/>
      <c r="WBO17" s="11"/>
      <c r="WBP17" s="11"/>
      <c r="WBQ17" s="11"/>
      <c r="WBR17" s="11"/>
      <c r="WBS17" s="11"/>
      <c r="WBT17" s="11"/>
      <c r="WBU17" s="11"/>
      <c r="WBV17" s="11"/>
      <c r="WBW17" s="11"/>
      <c r="WBX17" s="11"/>
      <c r="WBY17" s="11"/>
      <c r="WBZ17" s="11"/>
      <c r="WCA17" s="11"/>
      <c r="WCB17" s="11"/>
      <c r="WCC17" s="11"/>
      <c r="WCD17" s="11"/>
      <c r="WCE17" s="11"/>
      <c r="WCF17" s="11"/>
      <c r="WCG17" s="11"/>
      <c r="WCH17" s="11"/>
      <c r="WCI17" s="11"/>
      <c r="WCJ17" s="11"/>
      <c r="WCK17" s="11"/>
      <c r="WCL17" s="11"/>
      <c r="WCM17" s="11"/>
      <c r="WCN17" s="11"/>
      <c r="WCO17" s="11"/>
      <c r="WCP17" s="11"/>
      <c r="WCQ17" s="11"/>
      <c r="WCR17" s="11"/>
      <c r="WCS17" s="11"/>
      <c r="WCT17" s="11"/>
      <c r="WCU17" s="11"/>
      <c r="WCV17" s="11"/>
      <c r="WCW17" s="11"/>
      <c r="WCX17" s="11"/>
      <c r="WCY17" s="11"/>
      <c r="WCZ17" s="11"/>
      <c r="WDA17" s="11"/>
      <c r="WDB17" s="11"/>
      <c r="WDC17" s="11"/>
      <c r="WDD17" s="11"/>
      <c r="WDE17" s="11"/>
      <c r="WDF17" s="11"/>
      <c r="WDG17" s="11"/>
      <c r="WDH17" s="11"/>
      <c r="WDI17" s="11"/>
      <c r="WDJ17" s="11"/>
      <c r="WDK17" s="11"/>
      <c r="WDL17" s="11"/>
      <c r="WDM17" s="11"/>
      <c r="WDN17" s="11"/>
      <c r="WDO17" s="11"/>
      <c r="WDP17" s="11"/>
      <c r="WDQ17" s="11"/>
      <c r="WDR17" s="11"/>
      <c r="WDS17" s="11"/>
      <c r="WDT17" s="11"/>
      <c r="WDU17" s="11"/>
      <c r="WDV17" s="11"/>
      <c r="WDW17" s="11"/>
      <c r="WDX17" s="11"/>
      <c r="WDY17" s="11"/>
      <c r="WDZ17" s="11"/>
      <c r="WEA17" s="11"/>
      <c r="WEB17" s="11"/>
      <c r="WEC17" s="11"/>
      <c r="WED17" s="11"/>
      <c r="WEE17" s="11"/>
      <c r="WEF17" s="11"/>
      <c r="WEG17" s="11"/>
      <c r="WEH17" s="11"/>
      <c r="WEI17" s="11"/>
      <c r="WEJ17" s="11"/>
      <c r="WEK17" s="11"/>
      <c r="WEL17" s="11"/>
      <c r="WEM17" s="11"/>
      <c r="WEN17" s="11"/>
      <c r="WEO17" s="11"/>
      <c r="WEP17" s="11"/>
      <c r="WEQ17" s="11"/>
      <c r="WER17" s="11"/>
      <c r="WES17" s="11"/>
      <c r="WET17" s="11"/>
      <c r="WEU17" s="11"/>
      <c r="WEV17" s="11"/>
      <c r="WEW17" s="11"/>
      <c r="WEX17" s="11"/>
      <c r="WEY17" s="11"/>
      <c r="WEZ17" s="11"/>
      <c r="WFA17" s="11"/>
      <c r="WFB17" s="11"/>
      <c r="WFC17" s="11"/>
      <c r="WFD17" s="11"/>
      <c r="WFE17" s="11"/>
      <c r="WFF17" s="11"/>
      <c r="WFG17" s="11"/>
      <c r="WFH17" s="11"/>
      <c r="WFI17" s="11"/>
      <c r="WFJ17" s="11"/>
      <c r="WFK17" s="11"/>
      <c r="WFL17" s="11"/>
      <c r="WFM17" s="11"/>
      <c r="WFN17" s="11"/>
      <c r="WFO17" s="11"/>
      <c r="WFP17" s="11"/>
      <c r="WFQ17" s="11"/>
      <c r="WFR17" s="11"/>
      <c r="WFS17" s="11"/>
      <c r="WFT17" s="11"/>
      <c r="WFU17" s="11"/>
      <c r="WFV17" s="11"/>
      <c r="WFW17" s="11"/>
      <c r="WFX17" s="11"/>
      <c r="WFY17" s="11"/>
      <c r="WFZ17" s="11"/>
      <c r="WGA17" s="11"/>
      <c r="WGB17" s="11"/>
      <c r="WGC17" s="11"/>
      <c r="WGD17" s="11"/>
      <c r="WGE17" s="11"/>
      <c r="WGF17" s="11"/>
      <c r="WGG17" s="11"/>
      <c r="WGH17" s="11"/>
      <c r="WGI17" s="11"/>
      <c r="WGJ17" s="11"/>
      <c r="WGK17" s="11"/>
      <c r="WGL17" s="11"/>
      <c r="WGM17" s="11"/>
      <c r="WGN17" s="11"/>
      <c r="WGO17" s="11"/>
      <c r="WGP17" s="11"/>
      <c r="WGQ17" s="11"/>
      <c r="WGR17" s="11"/>
      <c r="WGS17" s="11"/>
      <c r="WGT17" s="11"/>
      <c r="WGU17" s="11"/>
      <c r="WGV17" s="11"/>
      <c r="WGW17" s="11"/>
      <c r="WGX17" s="11"/>
      <c r="WGY17" s="11"/>
      <c r="WGZ17" s="11"/>
      <c r="WHA17" s="11"/>
      <c r="WHB17" s="11"/>
      <c r="WHC17" s="11"/>
      <c r="WHD17" s="11"/>
      <c r="WHE17" s="11"/>
      <c r="WHF17" s="11"/>
      <c r="WHG17" s="11"/>
      <c r="WHH17" s="11"/>
      <c r="WHI17" s="11"/>
      <c r="WHJ17" s="11"/>
      <c r="WHK17" s="11"/>
      <c r="WHL17" s="11"/>
      <c r="WHM17" s="11"/>
      <c r="WHN17" s="11"/>
      <c r="WHO17" s="11"/>
      <c r="WHP17" s="11"/>
      <c r="WHQ17" s="11"/>
      <c r="WHR17" s="11"/>
      <c r="WHS17" s="11"/>
      <c r="WHT17" s="11"/>
      <c r="WHU17" s="11"/>
      <c r="WHV17" s="11"/>
      <c r="WHW17" s="11"/>
      <c r="WHX17" s="11"/>
      <c r="WHY17" s="11"/>
      <c r="WHZ17" s="11"/>
      <c r="WIA17" s="11"/>
      <c r="WIB17" s="11"/>
      <c r="WIC17" s="11"/>
      <c r="WID17" s="11"/>
      <c r="WIE17" s="11"/>
      <c r="WIF17" s="11"/>
      <c r="WIG17" s="11"/>
      <c r="WIH17" s="11"/>
      <c r="WII17" s="11"/>
      <c r="WIJ17" s="11"/>
      <c r="WIK17" s="11"/>
      <c r="WIL17" s="11"/>
      <c r="WIM17" s="11"/>
      <c r="WIN17" s="11"/>
      <c r="WIO17" s="11"/>
      <c r="WIP17" s="11"/>
      <c r="WIQ17" s="11"/>
      <c r="WIR17" s="11"/>
      <c r="WIS17" s="11"/>
      <c r="WIT17" s="11"/>
      <c r="WIU17" s="11"/>
      <c r="WIV17" s="11"/>
      <c r="WIW17" s="11"/>
      <c r="WIX17" s="11"/>
      <c r="WIY17" s="11"/>
      <c r="WIZ17" s="11"/>
      <c r="WJA17" s="11"/>
      <c r="WJB17" s="11"/>
      <c r="WJC17" s="11"/>
      <c r="WJD17" s="11"/>
      <c r="WJE17" s="11"/>
      <c r="WJF17" s="11"/>
      <c r="WJG17" s="11"/>
      <c r="WJH17" s="11"/>
      <c r="WJI17" s="11"/>
      <c r="WJJ17" s="11"/>
      <c r="WJK17" s="11"/>
      <c r="WJL17" s="11"/>
      <c r="WJM17" s="11"/>
      <c r="WJN17" s="11"/>
      <c r="WJO17" s="11"/>
      <c r="WJP17" s="11"/>
      <c r="WJQ17" s="11"/>
      <c r="WJR17" s="11"/>
      <c r="WJS17" s="11"/>
      <c r="WJT17" s="11"/>
      <c r="WJU17" s="11"/>
      <c r="WJV17" s="11"/>
      <c r="WJW17" s="11"/>
      <c r="WJX17" s="11"/>
      <c r="WJY17" s="11"/>
      <c r="WJZ17" s="11"/>
      <c r="WKA17" s="11"/>
      <c r="WKB17" s="11"/>
      <c r="WKC17" s="11"/>
      <c r="WKD17" s="11"/>
      <c r="WKE17" s="11"/>
      <c r="WKF17" s="11"/>
      <c r="WKG17" s="11"/>
      <c r="WKH17" s="11"/>
      <c r="WKI17" s="11"/>
      <c r="WKJ17" s="11"/>
      <c r="WKK17" s="11"/>
      <c r="WKL17" s="11"/>
      <c r="WKM17" s="11"/>
      <c r="WKN17" s="11"/>
      <c r="WKO17" s="11"/>
      <c r="WKP17" s="11"/>
      <c r="WKQ17" s="11"/>
      <c r="WKR17" s="11"/>
      <c r="WKS17" s="11"/>
      <c r="WKT17" s="11"/>
      <c r="WKU17" s="11"/>
      <c r="WKV17" s="11"/>
      <c r="WKW17" s="11"/>
      <c r="WKX17" s="11"/>
      <c r="WKY17" s="11"/>
      <c r="WKZ17" s="11"/>
      <c r="WLA17" s="11"/>
      <c r="WLB17" s="11"/>
      <c r="WLC17" s="11"/>
      <c r="WLD17" s="11"/>
      <c r="WLE17" s="11"/>
      <c r="WLF17" s="11"/>
      <c r="WLG17" s="11"/>
      <c r="WLH17" s="11"/>
      <c r="WLI17" s="11"/>
      <c r="WLJ17" s="11"/>
      <c r="WLK17" s="11"/>
      <c r="WLL17" s="11"/>
      <c r="WLM17" s="11"/>
      <c r="WLN17" s="11"/>
      <c r="WLO17" s="11"/>
      <c r="WLP17" s="11"/>
      <c r="WLQ17" s="11"/>
      <c r="WLR17" s="11"/>
      <c r="WLS17" s="11"/>
      <c r="WLT17" s="11"/>
      <c r="WLU17" s="11"/>
      <c r="WLV17" s="11"/>
      <c r="WLW17" s="11"/>
      <c r="WLX17" s="11"/>
      <c r="WLY17" s="11"/>
      <c r="WLZ17" s="11"/>
      <c r="WMA17" s="11"/>
      <c r="WMB17" s="11"/>
      <c r="WMC17" s="11"/>
      <c r="WMD17" s="11"/>
      <c r="WME17" s="11"/>
      <c r="WMF17" s="11"/>
      <c r="WMG17" s="11"/>
      <c r="WMH17" s="11"/>
      <c r="WMI17" s="11"/>
      <c r="WMJ17" s="11"/>
      <c r="WMK17" s="11"/>
      <c r="WML17" s="11"/>
      <c r="WMM17" s="11"/>
      <c r="WMN17" s="11"/>
      <c r="WMO17" s="11"/>
      <c r="WMP17" s="11"/>
      <c r="WMQ17" s="11"/>
      <c r="WMR17" s="11"/>
      <c r="WMS17" s="11"/>
      <c r="WMT17" s="11"/>
      <c r="WMU17" s="11"/>
      <c r="WMV17" s="11"/>
      <c r="WMW17" s="11"/>
      <c r="WMX17" s="11"/>
      <c r="WMY17" s="11"/>
      <c r="WMZ17" s="11"/>
      <c r="WNA17" s="11"/>
      <c r="WNB17" s="11"/>
      <c r="WNC17" s="11"/>
      <c r="WND17" s="11"/>
      <c r="WNE17" s="11"/>
      <c r="WNF17" s="11"/>
      <c r="WNG17" s="11"/>
      <c r="WNH17" s="11"/>
      <c r="WNI17" s="11"/>
      <c r="WNJ17" s="11"/>
      <c r="WNK17" s="11"/>
      <c r="WNL17" s="11"/>
      <c r="WNM17" s="11"/>
      <c r="WNN17" s="11"/>
      <c r="WNO17" s="11"/>
      <c r="WNP17" s="11"/>
      <c r="WNQ17" s="11"/>
      <c r="WNR17" s="11"/>
      <c r="WNS17" s="11"/>
      <c r="WNT17" s="11"/>
      <c r="WNU17" s="11"/>
      <c r="WNV17" s="11"/>
      <c r="WNW17" s="11"/>
      <c r="WNX17" s="11"/>
      <c r="WNY17" s="11"/>
      <c r="WNZ17" s="11"/>
      <c r="WOA17" s="11"/>
      <c r="WOB17" s="11"/>
      <c r="WOC17" s="11"/>
      <c r="WOD17" s="11"/>
      <c r="WOE17" s="11"/>
      <c r="WOF17" s="11"/>
      <c r="WOG17" s="11"/>
      <c r="WOH17" s="11"/>
      <c r="WOI17" s="11"/>
      <c r="WOJ17" s="11"/>
      <c r="WOK17" s="11"/>
      <c r="WOL17" s="11"/>
      <c r="WOM17" s="11"/>
      <c r="WON17" s="11"/>
      <c r="WOO17" s="11"/>
      <c r="WOP17" s="11"/>
      <c r="WOQ17" s="11"/>
      <c r="WOR17" s="11"/>
      <c r="WOS17" s="11"/>
      <c r="WOT17" s="11"/>
      <c r="WOU17" s="11"/>
      <c r="WOV17" s="11"/>
      <c r="WOW17" s="11"/>
      <c r="WOX17" s="11"/>
      <c r="WOY17" s="11"/>
      <c r="WOZ17" s="11"/>
      <c r="WPA17" s="11"/>
      <c r="WPB17" s="11"/>
      <c r="WPC17" s="11"/>
      <c r="WPD17" s="11"/>
      <c r="WPE17" s="11"/>
      <c r="WPF17" s="11"/>
      <c r="WPG17" s="11"/>
      <c r="WPH17" s="11"/>
      <c r="WPI17" s="11"/>
      <c r="WPJ17" s="11"/>
      <c r="WPK17" s="11"/>
      <c r="WPL17" s="11"/>
      <c r="WPM17" s="11"/>
      <c r="WPN17" s="11"/>
      <c r="WPO17" s="11"/>
      <c r="WPP17" s="11"/>
      <c r="WPQ17" s="11"/>
      <c r="WPR17" s="11"/>
      <c r="WPS17" s="11"/>
      <c r="WPT17" s="11"/>
      <c r="WPU17" s="11"/>
      <c r="WPV17" s="11"/>
      <c r="WPW17" s="11"/>
      <c r="WPX17" s="11"/>
      <c r="WPY17" s="11"/>
      <c r="WPZ17" s="11"/>
      <c r="WQA17" s="11"/>
      <c r="WQB17" s="11"/>
      <c r="WQC17" s="11"/>
      <c r="WQD17" s="11"/>
      <c r="WQE17" s="11"/>
      <c r="WQF17" s="11"/>
      <c r="WQG17" s="11"/>
      <c r="WQH17" s="11"/>
      <c r="WQI17" s="11"/>
      <c r="WQJ17" s="11"/>
      <c r="WQK17" s="11"/>
      <c r="WQL17" s="11"/>
      <c r="WQM17" s="11"/>
      <c r="WQN17" s="11"/>
      <c r="WQO17" s="11"/>
      <c r="WQP17" s="11"/>
      <c r="WQQ17" s="11"/>
      <c r="WQR17" s="11"/>
      <c r="WQS17" s="11"/>
      <c r="WQT17" s="11"/>
      <c r="WQU17" s="11"/>
      <c r="WQV17" s="11"/>
      <c r="WQW17" s="11"/>
      <c r="WQX17" s="11"/>
      <c r="WQY17" s="11"/>
      <c r="WQZ17" s="11"/>
      <c r="WRA17" s="11"/>
      <c r="WRB17" s="11"/>
      <c r="WRC17" s="11"/>
      <c r="WRD17" s="11"/>
      <c r="WRE17" s="11"/>
      <c r="WRF17" s="11"/>
      <c r="WRG17" s="11"/>
      <c r="WRH17" s="11"/>
      <c r="WRI17" s="11"/>
      <c r="WRJ17" s="11"/>
      <c r="WRK17" s="11"/>
      <c r="WRL17" s="11"/>
      <c r="WRM17" s="11"/>
      <c r="WRN17" s="11"/>
      <c r="WRO17" s="11"/>
      <c r="WRP17" s="11"/>
      <c r="WRQ17" s="11"/>
      <c r="WRR17" s="11"/>
      <c r="WRS17" s="11"/>
      <c r="WRT17" s="11"/>
      <c r="WRU17" s="11"/>
      <c r="WRV17" s="11"/>
      <c r="WRW17" s="11"/>
      <c r="WRX17" s="11"/>
      <c r="WRY17" s="11"/>
      <c r="WRZ17" s="11"/>
      <c r="WSA17" s="11"/>
      <c r="WSB17" s="11"/>
      <c r="WSC17" s="11"/>
      <c r="WSD17" s="11"/>
      <c r="WSE17" s="11"/>
      <c r="WSF17" s="11"/>
      <c r="WSG17" s="11"/>
      <c r="WSH17" s="11"/>
      <c r="WSI17" s="11"/>
      <c r="WSJ17" s="11"/>
      <c r="WSK17" s="11"/>
      <c r="WSL17" s="11"/>
      <c r="WSM17" s="11"/>
      <c r="WSN17" s="11"/>
      <c r="WSO17" s="11"/>
      <c r="WSP17" s="11"/>
      <c r="WSQ17" s="11"/>
      <c r="WSR17" s="11"/>
      <c r="WSS17" s="11"/>
      <c r="WST17" s="11"/>
      <c r="WSU17" s="11"/>
      <c r="WSV17" s="11"/>
      <c r="WSW17" s="11"/>
      <c r="WSX17" s="11"/>
      <c r="WSY17" s="11"/>
      <c r="WSZ17" s="11"/>
      <c r="WTA17" s="11"/>
      <c r="WTB17" s="11"/>
      <c r="WTC17" s="11"/>
      <c r="WTD17" s="11"/>
      <c r="WTE17" s="11"/>
      <c r="WTF17" s="11"/>
      <c r="WTG17" s="11"/>
      <c r="WTH17" s="11"/>
      <c r="WTI17" s="11"/>
      <c r="WTJ17" s="11"/>
      <c r="WTK17" s="11"/>
      <c r="WTL17" s="11"/>
      <c r="WTM17" s="11"/>
      <c r="WTN17" s="11"/>
      <c r="WTO17" s="11"/>
      <c r="WTP17" s="11"/>
      <c r="WTQ17" s="11"/>
      <c r="WTR17" s="11"/>
      <c r="WTS17" s="11"/>
      <c r="WTT17" s="11"/>
      <c r="WTU17" s="11"/>
      <c r="WTV17" s="11"/>
      <c r="WTW17" s="11"/>
      <c r="WTX17" s="11"/>
      <c r="WTY17" s="11"/>
      <c r="WTZ17" s="11"/>
      <c r="WUA17" s="11"/>
      <c r="WUB17" s="11"/>
      <c r="WUC17" s="11"/>
      <c r="WUD17" s="11"/>
      <c r="WUE17" s="11"/>
      <c r="WUF17" s="11"/>
      <c r="WUG17" s="11"/>
      <c r="WUH17" s="11"/>
      <c r="WUI17" s="11"/>
      <c r="WUJ17" s="11"/>
      <c r="WUK17" s="11"/>
      <c r="WUL17" s="11"/>
      <c r="WUM17" s="11"/>
      <c r="WUN17" s="11"/>
      <c r="WUO17" s="11"/>
      <c r="WUP17" s="11"/>
      <c r="WUQ17" s="11"/>
      <c r="WUR17" s="11"/>
      <c r="WUS17" s="11"/>
      <c r="WUT17" s="11"/>
      <c r="WUU17" s="11"/>
      <c r="WUV17" s="11"/>
      <c r="WUW17" s="11"/>
      <c r="WUX17" s="11"/>
      <c r="WUY17" s="11"/>
      <c r="WUZ17" s="11"/>
      <c r="WVA17" s="11"/>
      <c r="WVB17" s="11"/>
      <c r="WVC17" s="11"/>
      <c r="WVD17" s="11"/>
      <c r="WVE17" s="11"/>
      <c r="WVF17" s="11"/>
      <c r="WVG17" s="11"/>
      <c r="WVH17" s="11"/>
      <c r="WVI17" s="11"/>
      <c r="WVJ17" s="11"/>
      <c r="WVK17" s="11"/>
      <c r="WVL17" s="11"/>
      <c r="WVM17" s="11"/>
      <c r="WVN17" s="11"/>
      <c r="WVO17" s="11"/>
      <c r="WVP17" s="11"/>
      <c r="WVQ17" s="11"/>
      <c r="WVR17" s="11"/>
      <c r="WVS17" s="11"/>
      <c r="WVT17" s="11"/>
      <c r="WVU17" s="11"/>
      <c r="WVV17" s="11"/>
      <c r="WVW17" s="11"/>
      <c r="WVX17" s="11"/>
      <c r="WVY17" s="11"/>
      <c r="WVZ17" s="11"/>
      <c r="WWA17" s="11"/>
      <c r="WWB17" s="11"/>
      <c r="WWC17" s="11"/>
      <c r="WWD17" s="11"/>
      <c r="WWE17" s="11"/>
      <c r="WWF17" s="11"/>
      <c r="WWG17" s="11"/>
      <c r="WWH17" s="11"/>
      <c r="WWI17" s="11"/>
      <c r="WWJ17" s="11"/>
      <c r="WWK17" s="11"/>
      <c r="WWL17" s="11"/>
      <c r="WWM17" s="11"/>
      <c r="WWN17" s="11"/>
      <c r="WWO17" s="11"/>
      <c r="WWP17" s="11"/>
      <c r="WWQ17" s="11"/>
      <c r="WWR17" s="11"/>
      <c r="WWS17" s="11"/>
      <c r="WWT17" s="11"/>
      <c r="WWU17" s="11"/>
      <c r="WWV17" s="11"/>
      <c r="WWW17" s="11"/>
      <c r="WWX17" s="11"/>
      <c r="WWY17" s="11"/>
      <c r="WWZ17" s="11"/>
      <c r="WXA17" s="11"/>
      <c r="WXB17" s="11"/>
      <c r="WXC17" s="11"/>
      <c r="WXD17" s="11"/>
      <c r="WXE17" s="11"/>
      <c r="WXF17" s="11"/>
      <c r="WXG17" s="11"/>
      <c r="WXH17" s="11"/>
      <c r="WXI17" s="11"/>
      <c r="WXJ17" s="11"/>
      <c r="WXK17" s="11"/>
      <c r="WXL17" s="11"/>
      <c r="WXM17" s="11"/>
      <c r="WXN17" s="11"/>
      <c r="WXO17" s="11"/>
      <c r="WXP17" s="11"/>
      <c r="WXQ17" s="11"/>
      <c r="WXR17" s="11"/>
      <c r="WXS17" s="11"/>
      <c r="WXT17" s="11"/>
      <c r="WXU17" s="11"/>
      <c r="WXV17" s="11"/>
      <c r="WXW17" s="11"/>
      <c r="WXX17" s="11"/>
      <c r="WXY17" s="11"/>
      <c r="WXZ17" s="11"/>
      <c r="WYA17" s="11"/>
      <c r="WYB17" s="11"/>
      <c r="WYC17" s="11"/>
      <c r="WYD17" s="11"/>
      <c r="WYE17" s="11"/>
      <c r="WYF17" s="11"/>
      <c r="WYG17" s="11"/>
      <c r="WYH17" s="11"/>
      <c r="WYI17" s="11"/>
      <c r="WYJ17" s="11"/>
      <c r="WYK17" s="11"/>
      <c r="WYL17" s="11"/>
      <c r="WYM17" s="11"/>
      <c r="WYN17" s="11"/>
      <c r="WYO17" s="11"/>
      <c r="WYP17" s="11"/>
      <c r="WYQ17" s="11"/>
      <c r="WYR17" s="11"/>
      <c r="WYS17" s="11"/>
      <c r="WYT17" s="11"/>
      <c r="WYU17" s="11"/>
      <c r="WYV17" s="11"/>
      <c r="WYW17" s="11"/>
      <c r="WYX17" s="11"/>
      <c r="WYY17" s="11"/>
      <c r="WYZ17" s="11"/>
      <c r="WZA17" s="11"/>
      <c r="WZB17" s="11"/>
      <c r="WZC17" s="11"/>
      <c r="WZD17" s="11"/>
      <c r="WZE17" s="11"/>
      <c r="WZF17" s="11"/>
      <c r="WZG17" s="11"/>
      <c r="WZH17" s="11"/>
      <c r="WZI17" s="11"/>
      <c r="WZJ17" s="11"/>
      <c r="WZK17" s="11"/>
      <c r="WZL17" s="11"/>
      <c r="WZM17" s="11"/>
      <c r="WZN17" s="11"/>
      <c r="WZO17" s="11"/>
      <c r="WZP17" s="11"/>
      <c r="WZQ17" s="11"/>
      <c r="WZR17" s="11"/>
      <c r="WZS17" s="11"/>
      <c r="WZT17" s="11"/>
      <c r="WZU17" s="11"/>
      <c r="WZV17" s="11"/>
      <c r="WZW17" s="11"/>
      <c r="WZX17" s="11"/>
      <c r="WZY17" s="11"/>
      <c r="WZZ17" s="11"/>
      <c r="XAA17" s="11"/>
      <c r="XAB17" s="11"/>
      <c r="XAC17" s="11"/>
      <c r="XAD17" s="11"/>
      <c r="XAE17" s="11"/>
      <c r="XAF17" s="11"/>
      <c r="XAG17" s="11"/>
      <c r="XAH17" s="11"/>
      <c r="XAI17" s="11"/>
      <c r="XAJ17" s="11"/>
      <c r="XAK17" s="11"/>
      <c r="XAL17" s="11"/>
      <c r="XAM17" s="11"/>
      <c r="XAN17" s="11"/>
      <c r="XAO17" s="11"/>
      <c r="XAP17" s="11"/>
      <c r="XAQ17" s="11"/>
      <c r="XAR17" s="11"/>
      <c r="XAS17" s="11"/>
      <c r="XAT17" s="11"/>
      <c r="XAU17" s="11"/>
      <c r="XAV17" s="11"/>
      <c r="XAW17" s="11"/>
      <c r="XAX17" s="11"/>
      <c r="XAY17" s="11"/>
      <c r="XAZ17" s="11"/>
      <c r="XBA17" s="11"/>
      <c r="XBB17" s="11"/>
      <c r="XBC17" s="11"/>
      <c r="XBD17" s="11"/>
      <c r="XBE17" s="11"/>
      <c r="XBF17" s="11"/>
      <c r="XBG17" s="11"/>
      <c r="XBH17" s="11"/>
      <c r="XBI17" s="11"/>
      <c r="XBJ17" s="11"/>
      <c r="XBK17" s="11"/>
      <c r="XBL17" s="11"/>
      <c r="XBM17" s="11"/>
      <c r="XBN17" s="11"/>
      <c r="XBO17" s="11"/>
      <c r="XBP17" s="11"/>
      <c r="XBQ17" s="11"/>
      <c r="XBR17" s="11"/>
      <c r="XBS17" s="11"/>
      <c r="XBT17" s="11"/>
      <c r="XBU17" s="11"/>
      <c r="XBV17" s="11"/>
      <c r="XBW17" s="11"/>
      <c r="XBX17" s="11"/>
      <c r="XBY17" s="11"/>
      <c r="XBZ17" s="11"/>
      <c r="XCA17" s="11"/>
      <c r="XCB17" s="11"/>
      <c r="XCC17" s="11"/>
      <c r="XCD17" s="11"/>
      <c r="XCE17" s="11"/>
      <c r="XCF17" s="11"/>
      <c r="XCG17" s="11"/>
      <c r="XCH17" s="11"/>
      <c r="XCI17" s="11"/>
      <c r="XCJ17" s="11"/>
      <c r="XCK17" s="11"/>
      <c r="XCL17" s="11"/>
      <c r="XCM17" s="11"/>
      <c r="XCN17" s="11"/>
      <c r="XCO17" s="11"/>
      <c r="XCP17" s="11"/>
      <c r="XCQ17" s="11"/>
      <c r="XCR17" s="11"/>
      <c r="XCS17" s="11"/>
      <c r="XCT17" s="11"/>
      <c r="XCU17" s="11"/>
      <c r="XCV17" s="11"/>
      <c r="XCW17" s="11"/>
      <c r="XCX17" s="11"/>
      <c r="XCY17" s="11"/>
      <c r="XCZ17" s="11"/>
      <c r="XDA17" s="11"/>
      <c r="XDB17" s="11"/>
      <c r="XDC17" s="11"/>
      <c r="XDD17" s="11"/>
      <c r="XDE17" s="11"/>
      <c r="XDF17" s="11"/>
      <c r="XDG17" s="11"/>
      <c r="XDH17" s="11"/>
      <c r="XDI17" s="11"/>
      <c r="XDJ17" s="11"/>
      <c r="XDK17" s="11"/>
      <c r="XDL17" s="11"/>
      <c r="XDM17" s="11"/>
      <c r="XDN17" s="11"/>
      <c r="XDO17" s="11"/>
      <c r="XDP17" s="11"/>
      <c r="XDQ17" s="11"/>
      <c r="XDR17" s="11"/>
      <c r="XDS17" s="11"/>
      <c r="XDT17" s="11"/>
      <c r="XDU17" s="11"/>
      <c r="XDV17" s="11"/>
      <c r="XDW17" s="11"/>
      <c r="XDX17" s="11"/>
      <c r="XDY17" s="11"/>
      <c r="XDZ17" s="11"/>
      <c r="XEA17" s="11"/>
      <c r="XEB17" s="11"/>
      <c r="XEC17" s="11"/>
      <c r="XED17" s="11"/>
      <c r="XEE17" s="11"/>
      <c r="XEF17" s="11"/>
      <c r="XEG17" s="11"/>
      <c r="XEH17" s="11"/>
      <c r="XEI17" s="11"/>
      <c r="XEJ17" s="11"/>
      <c r="XEK17" s="11"/>
      <c r="XEL17" s="11"/>
      <c r="XEM17" s="11"/>
      <c r="XEN17" s="11"/>
      <c r="XEO17" s="11"/>
      <c r="XEP17" s="11"/>
      <c r="XEQ17" s="11"/>
      <c r="XER17" s="11"/>
      <c r="XES17" s="11"/>
      <c r="XET17" s="11"/>
      <c r="XEU17" s="11"/>
      <c r="XEV17" s="11"/>
      <c r="XEW17" s="11"/>
      <c r="XEX17" s="11"/>
      <c r="XEY17" s="11"/>
      <c r="XEZ17" s="11"/>
      <c r="XFA17" s="11"/>
      <c r="XFB17" s="11"/>
      <c r="XFC17" s="11"/>
    </row>
    <row r="18" spans="1:16383" s="3" customFormat="1">
      <c r="A18" s="7" t="s">
        <v>2608</v>
      </c>
      <c r="B18" s="7" t="s">
        <v>2609</v>
      </c>
      <c r="C18" s="7" t="s">
        <v>2610</v>
      </c>
      <c r="D18" s="7" t="s">
        <v>2541</v>
      </c>
      <c r="E18" s="7">
        <v>28262.59</v>
      </c>
      <c r="F18" s="7">
        <v>28262.59</v>
      </c>
      <c r="G18" s="7" t="s">
        <v>2583</v>
      </c>
      <c r="H18" s="7" t="s">
        <v>2544</v>
      </c>
      <c r="I18" s="7" t="s">
        <v>2541</v>
      </c>
      <c r="J18" s="10">
        <v>45056.0004976852</v>
      </c>
      <c r="K18" s="7" t="s">
        <v>2545</v>
      </c>
      <c r="L18" s="7" t="s">
        <v>2611</v>
      </c>
      <c r="M18" s="7">
        <v>402.71</v>
      </c>
      <c r="N18" s="7">
        <v>142.47999999999999</v>
      </c>
      <c r="O18" s="7">
        <v>9.5</v>
      </c>
      <c r="P18" s="7">
        <v>142</v>
      </c>
      <c r="Q18" s="7">
        <v>0</v>
      </c>
      <c r="R18" s="7" t="s">
        <v>2547</v>
      </c>
    </row>
    <row r="19" spans="1:16383" s="3" customFormat="1">
      <c r="A19" s="7" t="s">
        <v>2612</v>
      </c>
      <c r="B19" s="7" t="s">
        <v>2613</v>
      </c>
      <c r="C19" s="7" t="s">
        <v>2614</v>
      </c>
      <c r="D19" s="7" t="s">
        <v>2541</v>
      </c>
      <c r="E19" s="7">
        <v>26670.720000000001</v>
      </c>
      <c r="F19" s="7">
        <v>26670.720000000001</v>
      </c>
      <c r="G19" s="7" t="s">
        <v>2583</v>
      </c>
      <c r="H19" s="7" t="s">
        <v>2544</v>
      </c>
      <c r="I19" s="7" t="s">
        <v>2541</v>
      </c>
      <c r="J19" s="10">
        <v>45056.0004976852</v>
      </c>
      <c r="K19" s="7" t="s">
        <v>2545</v>
      </c>
      <c r="L19" s="7" t="s">
        <v>2615</v>
      </c>
      <c r="M19" s="7">
        <v>380.1</v>
      </c>
      <c r="N19" s="7">
        <v>142.51</v>
      </c>
      <c r="O19" s="7">
        <v>9.5</v>
      </c>
      <c r="P19" s="7">
        <v>143</v>
      </c>
      <c r="Q19" s="7">
        <v>0</v>
      </c>
      <c r="R19" s="7" t="s">
        <v>2547</v>
      </c>
    </row>
    <row r="20" spans="1:16383" s="1" customFormat="1">
      <c r="A20" s="4" t="s">
        <v>2616</v>
      </c>
      <c r="B20" s="4" t="s">
        <v>2617</v>
      </c>
      <c r="C20" s="4" t="s">
        <v>2618</v>
      </c>
      <c r="D20" s="4" t="s">
        <v>2541</v>
      </c>
      <c r="E20" s="4">
        <v>37398.18</v>
      </c>
      <c r="F20" s="4">
        <v>37398.18</v>
      </c>
      <c r="G20" s="4" t="s">
        <v>2583</v>
      </c>
      <c r="H20" s="4" t="s">
        <v>2544</v>
      </c>
      <c r="I20" s="4" t="s">
        <v>2541</v>
      </c>
      <c r="J20" s="8">
        <v>44973.0004976852</v>
      </c>
      <c r="K20" s="4" t="s">
        <v>2545</v>
      </c>
      <c r="L20" s="4" t="s">
        <v>2619</v>
      </c>
      <c r="M20" s="4">
        <v>532.95000000000005</v>
      </c>
      <c r="N20" s="4">
        <v>142.5</v>
      </c>
      <c r="O20" s="4">
        <v>9.5</v>
      </c>
      <c r="P20" s="4">
        <v>143</v>
      </c>
      <c r="Q20" s="4">
        <v>0</v>
      </c>
      <c r="R20" s="4" t="s">
        <v>2547</v>
      </c>
    </row>
    <row r="21" spans="1:16383" s="1" customFormat="1">
      <c r="A21" s="4" t="s">
        <v>2620</v>
      </c>
      <c r="B21" s="4" t="s">
        <v>2621</v>
      </c>
      <c r="C21" s="4" t="s">
        <v>2622</v>
      </c>
      <c r="D21" s="4" t="s">
        <v>2541</v>
      </c>
      <c r="E21" s="4">
        <v>348933.26</v>
      </c>
      <c r="F21" s="4">
        <v>523399.89</v>
      </c>
      <c r="G21" s="4" t="s">
        <v>2623</v>
      </c>
      <c r="H21" s="4" t="s">
        <v>2559</v>
      </c>
      <c r="I21" s="4" t="s">
        <v>2541</v>
      </c>
      <c r="J21" s="8">
        <v>44924.0004976852</v>
      </c>
      <c r="K21" s="4" t="s">
        <v>2545</v>
      </c>
      <c r="L21" s="4" t="s">
        <v>2624</v>
      </c>
      <c r="M21" s="4">
        <v>4972.3</v>
      </c>
      <c r="N21" s="4">
        <v>142.5</v>
      </c>
      <c r="O21" s="4">
        <v>9.5</v>
      </c>
      <c r="P21" s="4">
        <v>95</v>
      </c>
      <c r="Q21" s="4">
        <v>0</v>
      </c>
      <c r="R21" s="4" t="s">
        <v>2547</v>
      </c>
    </row>
    <row r="22" spans="1:16383" s="1" customFormat="1">
      <c r="A22" s="4" t="s">
        <v>2625</v>
      </c>
      <c r="B22" s="4" t="s">
        <v>2626</v>
      </c>
      <c r="C22" s="4" t="s">
        <v>2627</v>
      </c>
      <c r="D22" s="4" t="s">
        <v>2541</v>
      </c>
      <c r="E22" s="4">
        <v>38681.5</v>
      </c>
      <c r="F22" s="4">
        <v>58022.25</v>
      </c>
      <c r="G22" s="4" t="s">
        <v>2623</v>
      </c>
      <c r="H22" s="4" t="s">
        <v>2559</v>
      </c>
      <c r="I22" s="4" t="s">
        <v>2541</v>
      </c>
      <c r="J22" s="8">
        <v>44924.0004976852</v>
      </c>
      <c r="K22" s="4" t="s">
        <v>2545</v>
      </c>
      <c r="L22" s="4" t="s">
        <v>2628</v>
      </c>
      <c r="M22" s="4">
        <v>1172.05</v>
      </c>
      <c r="N22" s="4">
        <v>303</v>
      </c>
      <c r="O22" s="4">
        <v>20.2</v>
      </c>
      <c r="P22" s="4">
        <v>202</v>
      </c>
      <c r="Q22" s="4">
        <v>0</v>
      </c>
      <c r="R22" s="4">
        <v>50</v>
      </c>
    </row>
    <row r="23" spans="1:16383" s="1" customFormat="1">
      <c r="A23" s="4" t="s">
        <v>2629</v>
      </c>
      <c r="B23" s="4" t="s">
        <v>2630</v>
      </c>
      <c r="C23" s="4" t="s">
        <v>2631</v>
      </c>
      <c r="D23" s="4" t="s">
        <v>2541</v>
      </c>
      <c r="E23" s="4">
        <v>18693.98</v>
      </c>
      <c r="F23" s="4">
        <v>28040.97</v>
      </c>
      <c r="G23" s="4" t="s">
        <v>2588</v>
      </c>
      <c r="H23" s="4" t="s">
        <v>2559</v>
      </c>
      <c r="I23" s="4" t="s">
        <v>2541</v>
      </c>
      <c r="J23" s="8">
        <v>44924.0004976852</v>
      </c>
      <c r="K23" s="4" t="s">
        <v>2545</v>
      </c>
      <c r="L23" s="4" t="s">
        <v>2632</v>
      </c>
      <c r="M23" s="4">
        <v>336.49</v>
      </c>
      <c r="N23" s="4">
        <v>179.99</v>
      </c>
      <c r="O23" s="4">
        <v>12</v>
      </c>
      <c r="P23" s="4">
        <v>120</v>
      </c>
      <c r="Q23" s="4">
        <v>0</v>
      </c>
      <c r="R23" s="4" t="s">
        <v>2547</v>
      </c>
    </row>
    <row r="24" spans="1:16383" s="3" customFormat="1">
      <c r="A24" s="7" t="s">
        <v>2633</v>
      </c>
      <c r="B24" s="7" t="s">
        <v>2634</v>
      </c>
      <c r="C24" s="7" t="s">
        <v>2635</v>
      </c>
      <c r="D24" s="7" t="s">
        <v>2541</v>
      </c>
      <c r="E24" s="7">
        <v>9487.57</v>
      </c>
      <c r="F24" s="7">
        <v>9487.57</v>
      </c>
      <c r="G24" s="7" t="s">
        <v>2583</v>
      </c>
      <c r="H24" s="7" t="s">
        <v>2559</v>
      </c>
      <c r="I24" s="7" t="s">
        <v>2541</v>
      </c>
      <c r="J24" s="10">
        <v>44918.0004976852</v>
      </c>
      <c r="K24" s="7" t="s">
        <v>2545</v>
      </c>
      <c r="L24" s="7" t="s">
        <v>2636</v>
      </c>
      <c r="M24" s="7">
        <v>187.84</v>
      </c>
      <c r="N24" s="7">
        <v>197.98</v>
      </c>
      <c r="O24" s="7">
        <v>13.2</v>
      </c>
      <c r="P24" s="7">
        <v>198</v>
      </c>
      <c r="Q24" s="7">
        <v>0</v>
      </c>
      <c r="R24" s="7" t="s">
        <v>2547</v>
      </c>
    </row>
    <row r="25" spans="1:16383" s="1" customFormat="1">
      <c r="A25" s="4" t="s">
        <v>2637</v>
      </c>
      <c r="B25" s="4" t="s">
        <v>2638</v>
      </c>
      <c r="C25" s="4" t="s">
        <v>2639</v>
      </c>
      <c r="D25" s="4" t="s">
        <v>2541</v>
      </c>
      <c r="E25" s="4">
        <v>6622.66</v>
      </c>
      <c r="F25" s="4">
        <v>6622.66</v>
      </c>
      <c r="G25" s="4" t="s">
        <v>2583</v>
      </c>
      <c r="H25" s="4" t="s">
        <v>2559</v>
      </c>
      <c r="I25" s="4" t="s">
        <v>2541</v>
      </c>
      <c r="J25" s="8">
        <v>44918.0004976852</v>
      </c>
      <c r="K25" s="4" t="s">
        <v>2545</v>
      </c>
      <c r="L25" s="4" t="s">
        <v>2640</v>
      </c>
      <c r="M25" s="4">
        <v>235.34</v>
      </c>
      <c r="N25" s="4">
        <v>355.35</v>
      </c>
      <c r="O25" s="4">
        <v>23.69</v>
      </c>
      <c r="P25" s="4">
        <v>355</v>
      </c>
      <c r="Q25" s="4">
        <v>0</v>
      </c>
      <c r="R25" s="4" t="s">
        <v>2547</v>
      </c>
    </row>
    <row r="26" spans="1:16383" s="1" customFormat="1">
      <c r="A26" s="4" t="s">
        <v>2641</v>
      </c>
      <c r="B26" s="4" t="s">
        <v>2642</v>
      </c>
      <c r="C26" s="4" t="s">
        <v>2643</v>
      </c>
      <c r="D26" s="4" t="s">
        <v>2541</v>
      </c>
      <c r="E26" s="4">
        <v>26689.54</v>
      </c>
      <c r="F26" s="4">
        <v>26689.54</v>
      </c>
      <c r="G26" s="4" t="s">
        <v>2583</v>
      </c>
      <c r="H26" s="4" t="s">
        <v>2559</v>
      </c>
      <c r="I26" s="4" t="s">
        <v>2541</v>
      </c>
      <c r="J26" s="8">
        <v>44918.0004976852</v>
      </c>
      <c r="K26" s="4" t="s">
        <v>2545</v>
      </c>
      <c r="L26" s="4" t="s">
        <v>2640</v>
      </c>
      <c r="M26" s="4">
        <v>948.71</v>
      </c>
      <c r="N26" s="4">
        <v>355.46</v>
      </c>
      <c r="O26" s="4">
        <v>23.7</v>
      </c>
      <c r="P26" s="4">
        <v>355</v>
      </c>
      <c r="Q26" s="4">
        <v>0</v>
      </c>
      <c r="R26" s="4" t="s">
        <v>2547</v>
      </c>
    </row>
    <row r="27" spans="1:16383" s="1" customFormat="1">
      <c r="A27" s="4" t="s">
        <v>2644</v>
      </c>
      <c r="B27" s="4" t="s">
        <v>2645</v>
      </c>
      <c r="C27" s="4" t="s">
        <v>2646</v>
      </c>
      <c r="D27" s="4" t="s">
        <v>2541</v>
      </c>
      <c r="E27" s="4">
        <v>42577.919999999998</v>
      </c>
      <c r="F27" s="4">
        <v>63866.879999999997</v>
      </c>
      <c r="G27" s="4" t="s">
        <v>2588</v>
      </c>
      <c r="H27" s="4" t="s">
        <v>2559</v>
      </c>
      <c r="I27" s="4" t="s">
        <v>2541</v>
      </c>
      <c r="J27" s="8">
        <v>44890.0004976852</v>
      </c>
      <c r="K27" s="4" t="s">
        <v>2545</v>
      </c>
      <c r="L27" s="4" t="s">
        <v>2647</v>
      </c>
      <c r="M27" s="4">
        <v>676.99</v>
      </c>
      <c r="N27" s="4">
        <v>159</v>
      </c>
      <c r="O27" s="4">
        <v>10.6</v>
      </c>
      <c r="P27" s="4">
        <v>106</v>
      </c>
      <c r="Q27" s="4">
        <v>0</v>
      </c>
      <c r="R27" s="4" t="s">
        <v>2547</v>
      </c>
    </row>
    <row r="28" spans="1:16383" s="1" customFormat="1">
      <c r="A28" s="4" t="s">
        <v>2648</v>
      </c>
      <c r="B28" s="4" t="s">
        <v>2649</v>
      </c>
      <c r="C28" s="4" t="s">
        <v>2650</v>
      </c>
      <c r="D28" s="4" t="s">
        <v>2541</v>
      </c>
      <c r="E28" s="4">
        <v>18667.22</v>
      </c>
      <c r="F28" s="4">
        <v>28000.83</v>
      </c>
      <c r="G28" s="4" t="s">
        <v>2623</v>
      </c>
      <c r="H28" s="4" t="s">
        <v>2559</v>
      </c>
      <c r="I28" s="4" t="s">
        <v>2541</v>
      </c>
      <c r="J28" s="8">
        <v>44890.0004976852</v>
      </c>
      <c r="K28" s="4" t="s">
        <v>2545</v>
      </c>
      <c r="L28" s="4" t="s">
        <v>2651</v>
      </c>
      <c r="M28" s="4">
        <v>644.02</v>
      </c>
      <c r="N28" s="4">
        <v>345</v>
      </c>
      <c r="O28" s="4">
        <v>23</v>
      </c>
      <c r="P28" s="4">
        <v>230</v>
      </c>
      <c r="Q28" s="4">
        <v>0</v>
      </c>
      <c r="R28" s="4" t="s">
        <v>2547</v>
      </c>
    </row>
    <row r="29" spans="1:16383" s="1" customFormat="1">
      <c r="A29" s="4" t="s">
        <v>2625</v>
      </c>
      <c r="B29" s="4" t="s">
        <v>2652</v>
      </c>
      <c r="C29" s="4" t="s">
        <v>2627</v>
      </c>
      <c r="D29" s="4" t="s">
        <v>2541</v>
      </c>
      <c r="E29" s="4">
        <v>27993.37</v>
      </c>
      <c r="F29" s="4">
        <v>41990.06</v>
      </c>
      <c r="G29" s="4" t="s">
        <v>2653</v>
      </c>
      <c r="H29" s="4" t="s">
        <v>2559</v>
      </c>
      <c r="I29" s="4" t="s">
        <v>2541</v>
      </c>
      <c r="J29" s="8">
        <v>44859.0004976852</v>
      </c>
      <c r="K29" s="4" t="s">
        <v>2545</v>
      </c>
      <c r="L29" s="4" t="s">
        <v>2654</v>
      </c>
      <c r="M29" s="4">
        <v>848.2</v>
      </c>
      <c r="N29" s="4">
        <v>303</v>
      </c>
      <c r="O29" s="4">
        <v>20.2</v>
      </c>
      <c r="P29" s="4">
        <v>202</v>
      </c>
      <c r="Q29" s="4">
        <v>0</v>
      </c>
      <c r="R29" s="4" t="s">
        <v>2547</v>
      </c>
    </row>
    <row r="30" spans="1:16383" s="3" customFormat="1">
      <c r="A30" s="7" t="s">
        <v>2655</v>
      </c>
      <c r="B30" s="7" t="s">
        <v>2656</v>
      </c>
      <c r="C30" s="7" t="s">
        <v>2657</v>
      </c>
      <c r="D30" s="7" t="s">
        <v>2541</v>
      </c>
      <c r="E30" s="7">
        <v>9731.59</v>
      </c>
      <c r="F30" s="7">
        <v>9731.59</v>
      </c>
      <c r="G30" s="7" t="s">
        <v>2583</v>
      </c>
      <c r="H30" s="7" t="s">
        <v>2544</v>
      </c>
      <c r="I30" s="7" t="s">
        <v>2541</v>
      </c>
      <c r="J30" s="10">
        <v>44860.0004976852</v>
      </c>
      <c r="K30" s="7" t="s">
        <v>2545</v>
      </c>
      <c r="L30" s="7" t="s">
        <v>2658</v>
      </c>
      <c r="M30" s="7">
        <v>192.72</v>
      </c>
      <c r="N30" s="7">
        <v>198.03</v>
      </c>
      <c r="O30" s="7">
        <v>13.2</v>
      </c>
      <c r="P30" s="7">
        <v>198</v>
      </c>
      <c r="Q30" s="7">
        <v>0</v>
      </c>
      <c r="R30" s="7" t="s">
        <v>2547</v>
      </c>
    </row>
    <row r="31" spans="1:16383" s="1" customFormat="1">
      <c r="A31" s="4" t="s">
        <v>2659</v>
      </c>
      <c r="B31" s="4" t="s">
        <v>2660</v>
      </c>
      <c r="C31" s="4" t="s">
        <v>2661</v>
      </c>
      <c r="D31" s="4" t="s">
        <v>2541</v>
      </c>
      <c r="E31" s="4">
        <v>30952.95</v>
      </c>
      <c r="F31" s="4">
        <v>46429.43</v>
      </c>
      <c r="G31" s="4" t="s">
        <v>2653</v>
      </c>
      <c r="H31" s="4" t="s">
        <v>2559</v>
      </c>
      <c r="I31" s="4" t="s">
        <v>2541</v>
      </c>
      <c r="J31" s="8">
        <v>44843.0004976852</v>
      </c>
      <c r="K31" s="4" t="s">
        <v>2545</v>
      </c>
      <c r="L31" s="4" t="s">
        <v>2662</v>
      </c>
      <c r="M31" s="4">
        <v>1072.52</v>
      </c>
      <c r="N31" s="4">
        <v>346.5</v>
      </c>
      <c r="O31" s="4">
        <v>23.1</v>
      </c>
      <c r="P31" s="4">
        <v>231</v>
      </c>
      <c r="Q31" s="4">
        <v>0.43</v>
      </c>
      <c r="R31" s="4" t="s">
        <v>2547</v>
      </c>
    </row>
    <row r="32" spans="1:16383" s="1" customFormat="1">
      <c r="A32" s="4" t="s">
        <v>2659</v>
      </c>
      <c r="B32" s="4" t="s">
        <v>2663</v>
      </c>
      <c r="C32" s="4" t="s">
        <v>2661</v>
      </c>
      <c r="D32" s="4" t="s">
        <v>2541</v>
      </c>
      <c r="E32" s="4">
        <v>19996.689999999999</v>
      </c>
      <c r="F32" s="4">
        <v>29995.03</v>
      </c>
      <c r="G32" s="4" t="s">
        <v>2653</v>
      </c>
      <c r="H32" s="4" t="s">
        <v>2559</v>
      </c>
      <c r="I32" s="4" t="s">
        <v>2541</v>
      </c>
      <c r="J32" s="8">
        <v>44843.0004976852</v>
      </c>
      <c r="K32" s="4" t="s">
        <v>2545</v>
      </c>
      <c r="L32" s="4" t="s">
        <v>2664</v>
      </c>
      <c r="M32" s="4">
        <v>1253.79</v>
      </c>
      <c r="N32" s="4">
        <v>626.99</v>
      </c>
      <c r="O32" s="4">
        <v>41.8</v>
      </c>
      <c r="P32" s="4">
        <v>418</v>
      </c>
      <c r="Q32" s="4">
        <v>81.739999999999995</v>
      </c>
      <c r="R32" s="4" t="s">
        <v>2547</v>
      </c>
    </row>
    <row r="33" spans="1:18" s="3" customFormat="1">
      <c r="A33" s="7" t="s">
        <v>2665</v>
      </c>
      <c r="B33" s="7" t="s">
        <v>2666</v>
      </c>
      <c r="C33" s="7" t="s">
        <v>2667</v>
      </c>
      <c r="D33" s="7" t="s">
        <v>2541</v>
      </c>
      <c r="E33" s="7">
        <v>33338.480000000003</v>
      </c>
      <c r="F33" s="7">
        <v>33338.480000000003</v>
      </c>
      <c r="G33" s="7" t="s">
        <v>2583</v>
      </c>
      <c r="H33" s="7" t="s">
        <v>2544</v>
      </c>
      <c r="I33" s="7" t="s">
        <v>2541</v>
      </c>
      <c r="J33" s="10">
        <v>44825.0004976852</v>
      </c>
      <c r="K33" s="7" t="s">
        <v>2545</v>
      </c>
      <c r="L33" s="7" t="s">
        <v>2668</v>
      </c>
      <c r="M33" s="7">
        <v>475.1</v>
      </c>
      <c r="N33" s="7">
        <v>142.5</v>
      </c>
      <c r="O33" s="7">
        <v>9.5</v>
      </c>
      <c r="P33" s="7">
        <v>143</v>
      </c>
      <c r="Q33" s="7">
        <v>0</v>
      </c>
      <c r="R33" s="7" t="s">
        <v>2547</v>
      </c>
    </row>
    <row r="34" spans="1:18" s="3" customFormat="1">
      <c r="A34" s="7" t="s">
        <v>2669</v>
      </c>
      <c r="B34" s="7" t="s">
        <v>2670</v>
      </c>
      <c r="C34" s="7" t="s">
        <v>2671</v>
      </c>
      <c r="D34" s="7" t="s">
        <v>2541</v>
      </c>
      <c r="E34" s="7">
        <v>67005.7</v>
      </c>
      <c r="F34" s="7">
        <v>67005.7</v>
      </c>
      <c r="G34" s="7" t="s">
        <v>2583</v>
      </c>
      <c r="H34" s="7" t="s">
        <v>2544</v>
      </c>
      <c r="I34" s="7" t="s">
        <v>2541</v>
      </c>
      <c r="J34" s="10">
        <v>44825.0004976852</v>
      </c>
      <c r="K34" s="7" t="s">
        <v>2545</v>
      </c>
      <c r="L34" s="7" t="s">
        <v>2672</v>
      </c>
      <c r="M34" s="7">
        <v>1326.73</v>
      </c>
      <c r="N34" s="7">
        <v>198</v>
      </c>
      <c r="O34" s="7">
        <v>13.2</v>
      </c>
      <c r="P34" s="7">
        <v>198</v>
      </c>
      <c r="Q34" s="7">
        <v>0</v>
      </c>
      <c r="R34" s="7" t="s">
        <v>2547</v>
      </c>
    </row>
    <row r="35" spans="1:18" s="3" customFormat="1">
      <c r="A35" s="7" t="s">
        <v>2673</v>
      </c>
      <c r="B35" s="7" t="s">
        <v>2674</v>
      </c>
      <c r="C35" s="7" t="s">
        <v>2675</v>
      </c>
      <c r="D35" s="7" t="s">
        <v>2541</v>
      </c>
      <c r="E35" s="7">
        <v>33339.449999999997</v>
      </c>
      <c r="F35" s="7">
        <v>33339.449999999997</v>
      </c>
      <c r="G35" s="7" t="s">
        <v>2583</v>
      </c>
      <c r="H35" s="7" t="s">
        <v>2544</v>
      </c>
      <c r="I35" s="7" t="s">
        <v>2541</v>
      </c>
      <c r="J35" s="10">
        <v>44825.0004976852</v>
      </c>
      <c r="K35" s="7" t="s">
        <v>2545</v>
      </c>
      <c r="L35" s="7" t="s">
        <v>2676</v>
      </c>
      <c r="M35" s="7">
        <v>475.1</v>
      </c>
      <c r="N35" s="7">
        <v>142.5</v>
      </c>
      <c r="O35" s="7">
        <v>9.5</v>
      </c>
      <c r="P35" s="7">
        <v>143</v>
      </c>
      <c r="Q35" s="7">
        <v>0</v>
      </c>
      <c r="R35" s="7" t="s">
        <v>2547</v>
      </c>
    </row>
    <row r="36" spans="1:18" s="3" customFormat="1">
      <c r="A36" s="7" t="s">
        <v>2677</v>
      </c>
      <c r="B36" s="7" t="s">
        <v>2678</v>
      </c>
      <c r="C36" s="7" t="s">
        <v>2679</v>
      </c>
      <c r="D36" s="7" t="s">
        <v>2541</v>
      </c>
      <c r="E36" s="7">
        <v>68012.97</v>
      </c>
      <c r="F36" s="7">
        <v>68012.97</v>
      </c>
      <c r="G36" s="7" t="s">
        <v>2583</v>
      </c>
      <c r="H36" s="7" t="s">
        <v>2544</v>
      </c>
      <c r="I36" s="7" t="s">
        <v>2541</v>
      </c>
      <c r="J36" s="10">
        <v>44825.0004976852</v>
      </c>
      <c r="K36" s="7" t="s">
        <v>2545</v>
      </c>
      <c r="L36" s="7" t="s">
        <v>2672</v>
      </c>
      <c r="M36" s="7">
        <v>1346.66</v>
      </c>
      <c r="N36" s="7">
        <v>198</v>
      </c>
      <c r="O36" s="7">
        <v>13.2</v>
      </c>
      <c r="P36" s="7">
        <v>198</v>
      </c>
      <c r="Q36" s="7">
        <v>0</v>
      </c>
      <c r="R36" s="7" t="s">
        <v>2547</v>
      </c>
    </row>
    <row r="37" spans="1:18" s="3" customFormat="1">
      <c r="A37" s="7" t="s">
        <v>2680</v>
      </c>
      <c r="B37" s="7" t="s">
        <v>2681</v>
      </c>
      <c r="C37" s="7" t="s">
        <v>2682</v>
      </c>
      <c r="D37" s="7" t="s">
        <v>2541</v>
      </c>
      <c r="E37" s="7">
        <v>68012.97</v>
      </c>
      <c r="F37" s="7">
        <v>68012.97</v>
      </c>
      <c r="G37" s="7" t="s">
        <v>2583</v>
      </c>
      <c r="H37" s="7" t="s">
        <v>2544</v>
      </c>
      <c r="I37" s="7" t="s">
        <v>2541</v>
      </c>
      <c r="J37" s="10">
        <v>44825.0004976852</v>
      </c>
      <c r="K37" s="7" t="s">
        <v>2545</v>
      </c>
      <c r="L37" s="7" t="s">
        <v>2672</v>
      </c>
      <c r="M37" s="7">
        <v>1346.66</v>
      </c>
      <c r="N37" s="7">
        <v>198</v>
      </c>
      <c r="O37" s="7">
        <v>13.2</v>
      </c>
      <c r="P37" s="7">
        <v>198</v>
      </c>
      <c r="Q37" s="7">
        <v>0</v>
      </c>
      <c r="R37" s="7" t="s">
        <v>2547</v>
      </c>
    </row>
    <row r="38" spans="1:18" s="3" customFormat="1">
      <c r="A38" s="7" t="s">
        <v>2683</v>
      </c>
      <c r="B38" s="7" t="s">
        <v>2684</v>
      </c>
      <c r="C38" s="7" t="s">
        <v>2685</v>
      </c>
      <c r="D38" s="7" t="s">
        <v>2541</v>
      </c>
      <c r="E38" s="7">
        <v>40005.17</v>
      </c>
      <c r="F38" s="7">
        <v>40005.17</v>
      </c>
      <c r="G38" s="7" t="s">
        <v>2583</v>
      </c>
      <c r="H38" s="7" t="s">
        <v>2544</v>
      </c>
      <c r="I38" s="7" t="s">
        <v>2541</v>
      </c>
      <c r="J38" s="10">
        <v>44825.0004976852</v>
      </c>
      <c r="K38" s="7" t="s">
        <v>2545</v>
      </c>
      <c r="L38" s="7" t="s">
        <v>2686</v>
      </c>
      <c r="M38" s="7">
        <v>792.13</v>
      </c>
      <c r="N38" s="7">
        <v>198</v>
      </c>
      <c r="O38" s="7">
        <v>13.2</v>
      </c>
      <c r="P38" s="7">
        <v>198</v>
      </c>
      <c r="Q38" s="7">
        <v>0</v>
      </c>
      <c r="R38" s="7" t="s">
        <v>2547</v>
      </c>
    </row>
    <row r="39" spans="1:18" s="3" customFormat="1">
      <c r="A39" s="7" t="s">
        <v>2687</v>
      </c>
      <c r="B39" s="7" t="s">
        <v>2688</v>
      </c>
      <c r="C39" s="7" t="s">
        <v>2689</v>
      </c>
      <c r="D39" s="7" t="s">
        <v>2541</v>
      </c>
      <c r="E39" s="7">
        <v>80007.61</v>
      </c>
      <c r="F39" s="7">
        <v>80007.61</v>
      </c>
      <c r="G39" s="7" t="s">
        <v>2583</v>
      </c>
      <c r="H39" s="7" t="s">
        <v>2544</v>
      </c>
      <c r="I39" s="7" t="s">
        <v>2541</v>
      </c>
      <c r="J39" s="10">
        <v>44803.0004976852</v>
      </c>
      <c r="K39" s="7" t="s">
        <v>2545</v>
      </c>
      <c r="L39" s="7" t="s">
        <v>2690</v>
      </c>
      <c r="M39" s="7">
        <v>1140.1099999999999</v>
      </c>
      <c r="N39" s="7">
        <v>142.5</v>
      </c>
      <c r="O39" s="7">
        <v>9.5</v>
      </c>
      <c r="P39" s="7">
        <v>143</v>
      </c>
      <c r="Q39" s="7">
        <v>0</v>
      </c>
      <c r="R39" s="7" t="s">
        <v>2547</v>
      </c>
    </row>
    <row r="40" spans="1:18" s="3" customFormat="1">
      <c r="A40" s="7" t="s">
        <v>2691</v>
      </c>
      <c r="B40" s="7" t="s">
        <v>2692</v>
      </c>
      <c r="C40" s="7" t="s">
        <v>2693</v>
      </c>
      <c r="D40" s="7" t="s">
        <v>2541</v>
      </c>
      <c r="E40" s="7">
        <v>45276.53</v>
      </c>
      <c r="F40" s="7">
        <v>45276.53</v>
      </c>
      <c r="G40" s="7" t="s">
        <v>2583</v>
      </c>
      <c r="H40" s="7" t="s">
        <v>2544</v>
      </c>
      <c r="I40" s="7" t="s">
        <v>2541</v>
      </c>
      <c r="J40" s="10">
        <v>44803.0004976852</v>
      </c>
      <c r="K40" s="7" t="s">
        <v>2545</v>
      </c>
      <c r="L40" s="7" t="s">
        <v>2694</v>
      </c>
      <c r="M40" s="7">
        <v>645.19000000000005</v>
      </c>
      <c r="N40" s="7">
        <v>142.49</v>
      </c>
      <c r="O40" s="7">
        <v>9.5</v>
      </c>
      <c r="P40" s="7">
        <v>143</v>
      </c>
      <c r="Q40" s="7">
        <v>0</v>
      </c>
      <c r="R40" s="7" t="s">
        <v>2547</v>
      </c>
    </row>
    <row r="41" spans="1:18" s="3" customFormat="1">
      <c r="A41" s="7" t="s">
        <v>2695</v>
      </c>
      <c r="B41" s="7" t="s">
        <v>2696</v>
      </c>
      <c r="C41" s="7" t="s">
        <v>2697</v>
      </c>
      <c r="D41" s="7" t="s">
        <v>2541</v>
      </c>
      <c r="E41" s="7">
        <v>30880.89</v>
      </c>
      <c r="F41" s="7">
        <v>30880.89</v>
      </c>
      <c r="G41" s="7" t="s">
        <v>2583</v>
      </c>
      <c r="H41" s="7" t="s">
        <v>2544</v>
      </c>
      <c r="I41" s="7" t="s">
        <v>2541</v>
      </c>
      <c r="J41" s="10">
        <v>44803.0004976852</v>
      </c>
      <c r="K41" s="7" t="s">
        <v>2545</v>
      </c>
      <c r="L41" s="7" t="s">
        <v>2698</v>
      </c>
      <c r="M41" s="7">
        <v>440.05</v>
      </c>
      <c r="N41" s="7">
        <v>142.49</v>
      </c>
      <c r="O41" s="7">
        <v>9.5</v>
      </c>
      <c r="P41" s="7">
        <v>143</v>
      </c>
      <c r="Q41" s="7">
        <v>0</v>
      </c>
      <c r="R41" s="7" t="s">
        <v>2547</v>
      </c>
    </row>
    <row r="42" spans="1:18" s="3" customFormat="1">
      <c r="A42" s="7" t="s">
        <v>2699</v>
      </c>
      <c r="B42" s="7" t="s">
        <v>2700</v>
      </c>
      <c r="C42" s="7" t="s">
        <v>2701</v>
      </c>
      <c r="D42" s="7" t="s">
        <v>2541</v>
      </c>
      <c r="E42" s="7">
        <v>35204.870000000003</v>
      </c>
      <c r="F42" s="7">
        <v>35204.870000000003</v>
      </c>
      <c r="G42" s="7" t="s">
        <v>2583</v>
      </c>
      <c r="H42" s="7" t="s">
        <v>2544</v>
      </c>
      <c r="I42" s="7" t="s">
        <v>2541</v>
      </c>
      <c r="J42" s="10">
        <v>44803.0004976852</v>
      </c>
      <c r="K42" s="7" t="s">
        <v>2545</v>
      </c>
      <c r="L42" s="7" t="s">
        <v>2702</v>
      </c>
      <c r="M42" s="7">
        <v>501.7</v>
      </c>
      <c r="N42" s="7">
        <v>142.5</v>
      </c>
      <c r="O42" s="7">
        <v>9.5</v>
      </c>
      <c r="P42" s="7">
        <v>143</v>
      </c>
      <c r="Q42" s="7">
        <v>0</v>
      </c>
      <c r="R42" s="7" t="s">
        <v>2547</v>
      </c>
    </row>
    <row r="43" spans="1:18" s="3" customFormat="1">
      <c r="A43" s="7" t="s">
        <v>2703</v>
      </c>
      <c r="B43" s="7" t="s">
        <v>2704</v>
      </c>
      <c r="C43" s="7" t="s">
        <v>2705</v>
      </c>
      <c r="D43" s="7" t="s">
        <v>2541</v>
      </c>
      <c r="E43" s="7">
        <v>70013.55</v>
      </c>
      <c r="F43" s="7">
        <v>70013.55</v>
      </c>
      <c r="G43" s="7" t="s">
        <v>2583</v>
      </c>
      <c r="H43" s="7" t="s">
        <v>2544</v>
      </c>
      <c r="I43" s="7" t="s">
        <v>2541</v>
      </c>
      <c r="J43" s="10">
        <v>44803.0004976852</v>
      </c>
      <c r="K43" s="7" t="s">
        <v>2545</v>
      </c>
      <c r="L43" s="7" t="s">
        <v>2706</v>
      </c>
      <c r="M43" s="7">
        <v>945.18</v>
      </c>
      <c r="N43" s="7">
        <v>134.99</v>
      </c>
      <c r="O43" s="7">
        <v>9</v>
      </c>
      <c r="P43" s="7">
        <v>135</v>
      </c>
      <c r="Q43" s="7">
        <v>0</v>
      </c>
      <c r="R43" s="7" t="s">
        <v>2547</v>
      </c>
    </row>
    <row r="44" spans="1:18" s="3" customFormat="1">
      <c r="A44" s="7" t="s">
        <v>2707</v>
      </c>
      <c r="B44" s="7" t="s">
        <v>2708</v>
      </c>
      <c r="C44" s="7" t="s">
        <v>2709</v>
      </c>
      <c r="D44" s="7" t="s">
        <v>2541</v>
      </c>
      <c r="E44" s="7">
        <v>24778.78</v>
      </c>
      <c r="F44" s="7">
        <v>24778.78</v>
      </c>
      <c r="G44" s="7" t="s">
        <v>2583</v>
      </c>
      <c r="H44" s="7" t="s">
        <v>2544</v>
      </c>
      <c r="I44" s="7" t="s">
        <v>2541</v>
      </c>
      <c r="J44" s="10">
        <v>44803.0004976852</v>
      </c>
      <c r="K44" s="7" t="s">
        <v>2545</v>
      </c>
      <c r="L44" s="7" t="s">
        <v>2607</v>
      </c>
      <c r="M44" s="7">
        <v>353.12</v>
      </c>
      <c r="N44" s="7">
        <v>142.5</v>
      </c>
      <c r="O44" s="7">
        <v>9.5</v>
      </c>
      <c r="P44" s="7">
        <v>143</v>
      </c>
      <c r="Q44" s="7">
        <v>0</v>
      </c>
      <c r="R44" s="7" t="s">
        <v>2547</v>
      </c>
    </row>
    <row r="45" spans="1:18" s="1" customFormat="1">
      <c r="A45" s="4" t="s">
        <v>2710</v>
      </c>
      <c r="B45" s="4" t="s">
        <v>2711</v>
      </c>
      <c r="C45" s="4" t="s">
        <v>2712</v>
      </c>
      <c r="D45" s="4" t="s">
        <v>2541</v>
      </c>
      <c r="E45" s="4">
        <v>223848.95</v>
      </c>
      <c r="F45" s="4">
        <v>223848.95</v>
      </c>
      <c r="G45" s="4" t="s">
        <v>2713</v>
      </c>
      <c r="H45" s="4" t="s">
        <v>2559</v>
      </c>
      <c r="I45" s="4" t="s">
        <v>2714</v>
      </c>
      <c r="J45" s="8">
        <v>44743.0004976852</v>
      </c>
      <c r="K45" s="4" t="s">
        <v>2545</v>
      </c>
      <c r="L45" s="4" t="s">
        <v>2584</v>
      </c>
      <c r="M45" s="4">
        <v>6749.05</v>
      </c>
      <c r="N45" s="4">
        <v>301.5</v>
      </c>
      <c r="O45" s="4">
        <v>20.100000000000001</v>
      </c>
      <c r="P45" s="4">
        <v>302</v>
      </c>
      <c r="Q45" s="4">
        <v>0.5</v>
      </c>
      <c r="R45" s="4" t="s">
        <v>2547</v>
      </c>
    </row>
    <row r="46" spans="1:18" s="1" customFormat="1">
      <c r="A46" s="4" t="s">
        <v>2715</v>
      </c>
      <c r="B46" s="4" t="s">
        <v>2716</v>
      </c>
      <c r="C46" s="4" t="s">
        <v>2717</v>
      </c>
      <c r="D46" s="4" t="s">
        <v>2541</v>
      </c>
      <c r="E46" s="4">
        <v>55680</v>
      </c>
      <c r="F46" s="4">
        <v>33408</v>
      </c>
      <c r="G46" s="4" t="s">
        <v>2718</v>
      </c>
      <c r="H46" s="4" t="s">
        <v>2559</v>
      </c>
      <c r="I46" s="4" t="s">
        <v>2714</v>
      </c>
      <c r="J46" s="8">
        <v>44732.0004976852</v>
      </c>
      <c r="K46" s="4" t="s">
        <v>2545</v>
      </c>
      <c r="L46" s="4" t="s">
        <v>2719</v>
      </c>
      <c r="M46" s="4">
        <v>2680.99</v>
      </c>
      <c r="N46" s="4">
        <v>481.49</v>
      </c>
      <c r="O46" s="4">
        <v>32.1</v>
      </c>
      <c r="P46" s="4">
        <v>803</v>
      </c>
      <c r="Q46" s="4">
        <v>167.5</v>
      </c>
      <c r="R46" s="4" t="s">
        <v>2547</v>
      </c>
    </row>
    <row r="47" spans="1:18" s="1" customFormat="1">
      <c r="A47" s="4" t="s">
        <v>2720</v>
      </c>
      <c r="B47" s="4" t="s">
        <v>2721</v>
      </c>
      <c r="C47" s="4" t="s">
        <v>2722</v>
      </c>
      <c r="D47" s="4" t="s">
        <v>2541</v>
      </c>
      <c r="E47" s="4">
        <v>154388.68</v>
      </c>
      <c r="F47" s="4">
        <v>154388.68</v>
      </c>
      <c r="G47" s="4" t="s">
        <v>2583</v>
      </c>
      <c r="H47" s="4" t="s">
        <v>2559</v>
      </c>
      <c r="I47" s="4" t="s">
        <v>2541</v>
      </c>
      <c r="J47" s="8">
        <v>44732.0004976852</v>
      </c>
      <c r="K47" s="4" t="s">
        <v>2545</v>
      </c>
      <c r="L47" s="4" t="s">
        <v>2723</v>
      </c>
      <c r="M47" s="4">
        <v>2894.79</v>
      </c>
      <c r="N47" s="4">
        <v>187.5</v>
      </c>
      <c r="O47" s="4">
        <v>12.5</v>
      </c>
      <c r="P47" s="4">
        <v>188</v>
      </c>
      <c r="Q47" s="4">
        <v>0.79</v>
      </c>
      <c r="R47" s="4" t="s">
        <v>2547</v>
      </c>
    </row>
    <row r="48" spans="1:18" s="3" customFormat="1">
      <c r="A48" s="7" t="s">
        <v>2724</v>
      </c>
      <c r="B48" s="7" t="s">
        <v>2725</v>
      </c>
      <c r="C48" s="7" t="s">
        <v>2726</v>
      </c>
      <c r="D48" s="7" t="s">
        <v>2541</v>
      </c>
      <c r="E48" s="7">
        <v>23000.01</v>
      </c>
      <c r="F48" s="7">
        <v>18400.009999999998</v>
      </c>
      <c r="G48" s="7" t="s">
        <v>2727</v>
      </c>
      <c r="H48" s="7" t="s">
        <v>2544</v>
      </c>
      <c r="I48" s="7" t="s">
        <v>2541</v>
      </c>
      <c r="J48" s="10">
        <v>44713.0004976852</v>
      </c>
      <c r="K48" s="7" t="s">
        <v>2545</v>
      </c>
      <c r="L48" s="7" t="s">
        <v>2728</v>
      </c>
      <c r="M48" s="7">
        <v>455.4</v>
      </c>
      <c r="N48" s="7">
        <v>197.99</v>
      </c>
      <c r="O48" s="7">
        <v>13.2</v>
      </c>
      <c r="P48" s="7">
        <v>248</v>
      </c>
      <c r="Q48" s="7">
        <v>0</v>
      </c>
      <c r="R48" s="7" t="s">
        <v>2547</v>
      </c>
    </row>
    <row r="49" spans="1:18" s="3" customFormat="1">
      <c r="A49" s="7" t="s">
        <v>2729</v>
      </c>
      <c r="B49" s="7" t="s">
        <v>2730</v>
      </c>
      <c r="C49" s="7" t="s">
        <v>2731</v>
      </c>
      <c r="D49" s="7" t="s">
        <v>2541</v>
      </c>
      <c r="E49" s="7">
        <v>19791.77</v>
      </c>
      <c r="F49" s="7">
        <v>15833.42</v>
      </c>
      <c r="G49" s="7" t="s">
        <v>2727</v>
      </c>
      <c r="H49" s="7" t="s">
        <v>2544</v>
      </c>
      <c r="I49" s="7" t="s">
        <v>2541</v>
      </c>
      <c r="J49" s="10">
        <v>44713.0004976852</v>
      </c>
      <c r="K49" s="7" t="s">
        <v>2545</v>
      </c>
      <c r="L49" s="7" t="s">
        <v>2732</v>
      </c>
      <c r="M49" s="7">
        <v>391.91</v>
      </c>
      <c r="N49" s="7">
        <v>198.01</v>
      </c>
      <c r="O49" s="7">
        <v>13.2</v>
      </c>
      <c r="P49" s="7">
        <v>248</v>
      </c>
      <c r="Q49" s="7">
        <v>0</v>
      </c>
      <c r="R49" s="7" t="s">
        <v>2547</v>
      </c>
    </row>
    <row r="50" spans="1:18" s="3" customFormat="1">
      <c r="A50" s="7" t="s">
        <v>2733</v>
      </c>
      <c r="B50" s="7" t="s">
        <v>2734</v>
      </c>
      <c r="C50" s="7" t="s">
        <v>2735</v>
      </c>
      <c r="D50" s="7" t="s">
        <v>2541</v>
      </c>
      <c r="E50" s="7">
        <v>21623.87</v>
      </c>
      <c r="F50" s="7">
        <v>17299.099999999999</v>
      </c>
      <c r="G50" s="7" t="s">
        <v>2727</v>
      </c>
      <c r="H50" s="7" t="s">
        <v>2544</v>
      </c>
      <c r="I50" s="7" t="s">
        <v>2541</v>
      </c>
      <c r="J50" s="10">
        <v>44713.0004976852</v>
      </c>
      <c r="K50" s="7" t="s">
        <v>2545</v>
      </c>
      <c r="L50" s="7" t="s">
        <v>2728</v>
      </c>
      <c r="M50" s="7">
        <v>428.21</v>
      </c>
      <c r="N50" s="7">
        <v>198.02</v>
      </c>
      <c r="O50" s="7">
        <v>13.2</v>
      </c>
      <c r="P50" s="7">
        <v>248</v>
      </c>
      <c r="Q50" s="7">
        <v>0</v>
      </c>
      <c r="R50" s="7" t="s">
        <v>2547</v>
      </c>
    </row>
    <row r="51" spans="1:18" s="3" customFormat="1">
      <c r="A51" s="7" t="s">
        <v>2736</v>
      </c>
      <c r="B51" s="7" t="s">
        <v>2737</v>
      </c>
      <c r="C51" s="7" t="s">
        <v>2738</v>
      </c>
      <c r="D51" s="7" t="s">
        <v>2541</v>
      </c>
      <c r="E51" s="7">
        <v>54052.78</v>
      </c>
      <c r="F51" s="7">
        <v>54052.78</v>
      </c>
      <c r="G51" s="7" t="s">
        <v>2583</v>
      </c>
      <c r="H51" s="7" t="s">
        <v>2544</v>
      </c>
      <c r="I51" s="7" t="s">
        <v>2541</v>
      </c>
      <c r="J51" s="10">
        <v>44713.0004976852</v>
      </c>
      <c r="K51" s="7" t="s">
        <v>2545</v>
      </c>
      <c r="L51" s="7" t="s">
        <v>2739</v>
      </c>
      <c r="M51" s="7">
        <v>1070.26</v>
      </c>
      <c r="N51" s="7">
        <v>198</v>
      </c>
      <c r="O51" s="7">
        <v>13.2</v>
      </c>
      <c r="P51" s="7">
        <v>198</v>
      </c>
      <c r="Q51" s="7">
        <v>0</v>
      </c>
      <c r="R51" s="7" t="s">
        <v>2547</v>
      </c>
    </row>
  </sheetData>
  <phoneticPr fontId="254" type="noConversion"/>
  <pageMargins left="0.75" right="0.75" top="1" bottom="1" header="0.5" footer="0.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workbookViewId="0">
      <selection activeCell="A6" sqref="A6:Q6"/>
    </sheetView>
  </sheetViews>
  <sheetFormatPr defaultColWidth="9" defaultRowHeight="13.5"/>
  <cols>
    <col min="1" max="1" width="7.875" customWidth="1"/>
    <col min="2" max="2" width="6.5" customWidth="1"/>
    <col min="4" max="4" width="7.125" customWidth="1"/>
    <col min="5" max="7" width="7.5" customWidth="1"/>
    <col min="8" max="10" width="6.375" customWidth="1"/>
  </cols>
  <sheetData>
    <row r="1" spans="1:18" ht="18.75">
      <c r="A1" s="3649" t="s">
        <v>98</v>
      </c>
      <c r="B1" s="3649"/>
      <c r="C1" s="3649"/>
      <c r="D1" s="3649"/>
      <c r="E1" s="3649"/>
      <c r="F1" s="3649"/>
      <c r="G1" s="3649"/>
      <c r="H1" s="3649"/>
      <c r="I1" s="3649"/>
      <c r="J1" s="3649"/>
      <c r="K1" s="3649"/>
      <c r="L1" s="3649"/>
      <c r="M1" s="3649"/>
      <c r="N1" s="3649"/>
      <c r="O1" s="3649"/>
      <c r="P1" s="3649"/>
      <c r="Q1" s="3649"/>
      <c r="R1" s="3649"/>
    </row>
    <row r="2" spans="1:18">
      <c r="A2" s="3580" t="s">
        <v>99</v>
      </c>
      <c r="B2" s="3580"/>
      <c r="C2" s="3580"/>
      <c r="D2" s="3580"/>
      <c r="E2" s="3580"/>
      <c r="F2" s="3580"/>
      <c r="G2" s="3580"/>
      <c r="H2" s="3580"/>
      <c r="I2" s="3593"/>
      <c r="J2" s="3593"/>
      <c r="K2" s="3594" t="str">
        <f>"估价期日："&amp;TEXT(项目基本情况!D3,"yyyy年m月d日;;")</f>
        <v>估价期日：2023年11月30日</v>
      </c>
      <c r="L2" s="3580"/>
      <c r="M2" s="3580"/>
      <c r="N2" s="3580"/>
      <c r="O2" s="3580"/>
      <c r="P2" s="3580"/>
      <c r="Q2" s="3580"/>
      <c r="R2" s="3594" t="str">
        <f>"估价期日的国有建设用地使用权性质："&amp;项目基本情况!A17</f>
        <v>估价期日的国有建设用地使用权性质：出让</v>
      </c>
    </row>
    <row r="3" spans="1:18" ht="23.25" customHeight="1">
      <c r="A3" s="3654" t="s">
        <v>100</v>
      </c>
      <c r="B3" s="3654" t="s">
        <v>101</v>
      </c>
      <c r="C3" s="3655" t="s">
        <v>102</v>
      </c>
      <c r="D3" s="3654" t="s">
        <v>103</v>
      </c>
      <c r="E3" s="3650" t="s">
        <v>104</v>
      </c>
      <c r="F3" s="3650"/>
      <c r="G3" s="3650"/>
      <c r="H3" s="3650" t="s">
        <v>105</v>
      </c>
      <c r="I3" s="3650"/>
      <c r="J3" s="3650"/>
      <c r="K3" s="3655" t="s">
        <v>106</v>
      </c>
      <c r="L3" s="3655" t="s">
        <v>107</v>
      </c>
      <c r="M3" s="3654" t="s">
        <v>108</v>
      </c>
      <c r="N3" s="3656" t="str">
        <f>"（分摊）"&amp;项目基本情况!A17&amp;"国有建设用地使用权面积/㎡"</f>
        <v>（分摊）出让国有建设用地使用权面积/㎡</v>
      </c>
      <c r="O3" s="3654" t="s">
        <v>109</v>
      </c>
      <c r="P3" s="3655" t="s">
        <v>110</v>
      </c>
      <c r="Q3" s="3655" t="s">
        <v>111</v>
      </c>
      <c r="R3" s="3655" t="s">
        <v>112</v>
      </c>
    </row>
    <row r="4" spans="1:18" ht="36.75" customHeight="1">
      <c r="A4" s="3654"/>
      <c r="B4" s="3654"/>
      <c r="C4" s="3655"/>
      <c r="D4" s="3654"/>
      <c r="E4" s="3582" t="s">
        <v>113</v>
      </c>
      <c r="F4" s="3582" t="s">
        <v>114</v>
      </c>
      <c r="G4" s="3582" t="s">
        <v>115</v>
      </c>
      <c r="H4" s="3582" t="s">
        <v>116</v>
      </c>
      <c r="I4" s="3582" t="s">
        <v>117</v>
      </c>
      <c r="J4" s="3582" t="s">
        <v>115</v>
      </c>
      <c r="K4" s="3655"/>
      <c r="L4" s="3655"/>
      <c r="M4" s="3654"/>
      <c r="N4" s="3656"/>
      <c r="O4" s="3654"/>
      <c r="P4" s="3655"/>
      <c r="Q4" s="3655"/>
      <c r="R4" s="3655"/>
    </row>
    <row r="5" spans="1:18" ht="135" customHeight="1">
      <c r="A5" s="3583" t="s">
        <v>118</v>
      </c>
      <c r="B5" s="3584" t="s">
        <v>119</v>
      </c>
      <c r="C5" s="3585">
        <v>22</v>
      </c>
      <c r="D5" s="3581" t="s">
        <v>120</v>
      </c>
      <c r="E5" s="3586">
        <f>项目基本情况!B12</f>
        <v>0</v>
      </c>
      <c r="F5" s="3581">
        <v>258</v>
      </c>
      <c r="G5" s="3586">
        <f>项目基本情况!B13</f>
        <v>0</v>
      </c>
      <c r="H5" s="3581">
        <v>1.5</v>
      </c>
      <c r="I5" s="3581">
        <v>1.5</v>
      </c>
      <c r="J5" s="3581">
        <v>1.5</v>
      </c>
      <c r="K5" s="3586" t="str">
        <f>"红线外"&amp;项目基本情况!T40&amp;"、宗地红线内"&amp;项目基本情况!B35</f>
        <v>红线外七通、宗地红线内</v>
      </c>
      <c r="L5" s="3586" t="str">
        <f>"红线外"&amp;项目基本情况!T40&amp;"、宗地红线内场地"&amp;项目基本情况!D36</f>
        <v>红线外七通、宗地红线内场地</v>
      </c>
      <c r="M5" s="3586">
        <f>IF(项目基本情况!A17="出让",项目基本情况!D20,"——")</f>
        <v>0</v>
      </c>
      <c r="N5" s="3586">
        <f>项目基本情况!C22</f>
        <v>200000</v>
      </c>
      <c r="O5" s="3586">
        <f>项目基本情况!C21</f>
        <v>74800</v>
      </c>
      <c r="P5" s="3586">
        <f ca="1">结果表!E42</f>
        <v>104</v>
      </c>
      <c r="Q5" s="3586">
        <f ca="1">结果表!D42</f>
        <v>279</v>
      </c>
      <c r="R5" s="3595">
        <f ca="1">结果表!C42</f>
        <v>2086</v>
      </c>
    </row>
    <row r="6" spans="1:18">
      <c r="A6" s="3651" t="str">
        <f>IF(项目基本情况!B9="市场价格","——","抵押价格")</f>
        <v>抵押价格</v>
      </c>
      <c r="B6" s="3652"/>
      <c r="C6" s="3652"/>
      <c r="D6" s="3652"/>
      <c r="E6" s="3652"/>
      <c r="F6" s="3652"/>
      <c r="G6" s="3652"/>
      <c r="H6" s="3652"/>
      <c r="I6" s="3652"/>
      <c r="J6" s="3652"/>
      <c r="K6" s="3652"/>
      <c r="L6" s="3652"/>
      <c r="M6" s="3652"/>
      <c r="N6" s="3652"/>
      <c r="O6" s="3652"/>
      <c r="P6" s="3652"/>
      <c r="Q6" s="3653"/>
      <c r="R6" s="3596">
        <f ca="1">结果表!O39</f>
        <v>2086</v>
      </c>
    </row>
    <row r="7" spans="1:18">
      <c r="A7" s="3651" t="str">
        <f>IF(项目基本情况!B9="市场价格","——",IF(项目基本情况!E8="已注销及未注销","抵押担保权已注销时的抵押价格","——"))</f>
        <v>——</v>
      </c>
      <c r="B7" s="3652"/>
      <c r="C7" s="3652"/>
      <c r="D7" s="3652"/>
      <c r="E7" s="3652"/>
      <c r="F7" s="3652"/>
      <c r="G7" s="3652"/>
      <c r="H7" s="3652"/>
      <c r="I7" s="3652"/>
      <c r="J7" s="3652"/>
      <c r="K7" s="3652"/>
      <c r="L7" s="3652"/>
      <c r="M7" s="3652"/>
      <c r="N7" s="3652"/>
      <c r="O7" s="3652"/>
      <c r="P7" s="3652"/>
      <c r="Q7" s="3653"/>
      <c r="R7" s="3596" t="str">
        <f>结果表!O40</f>
        <v>——</v>
      </c>
    </row>
    <row r="8" spans="1:18">
      <c r="A8" s="3651">
        <f>IF(项目基本情况!B9="市场价格","——",项目基本情况!E9)</f>
        <v>0</v>
      </c>
      <c r="B8" s="3652"/>
      <c r="C8" s="3652"/>
      <c r="D8" s="3652"/>
      <c r="E8" s="3652"/>
      <c r="F8" s="3652"/>
      <c r="G8" s="3652"/>
      <c r="H8" s="3652"/>
      <c r="I8" s="3652"/>
      <c r="J8" s="3652"/>
      <c r="K8" s="3652"/>
      <c r="L8" s="3652"/>
      <c r="M8" s="3652"/>
      <c r="N8" s="3652"/>
      <c r="O8" s="3652"/>
      <c r="P8" s="3652"/>
      <c r="Q8" s="3653"/>
      <c r="R8" s="3596" t="str">
        <f>结果表!O41</f>
        <v>——</v>
      </c>
    </row>
    <row r="9" spans="1:18">
      <c r="A9" s="3587" t="s">
        <v>121</v>
      </c>
      <c r="B9" s="3580"/>
      <c r="C9" s="3580"/>
      <c r="D9" s="3580"/>
      <c r="E9" s="3580"/>
      <c r="F9" s="3580"/>
      <c r="G9" s="3580"/>
      <c r="H9" s="3580"/>
      <c r="I9" s="3580"/>
      <c r="J9" s="3580"/>
      <c r="K9" s="3580"/>
      <c r="L9" s="3580"/>
      <c r="M9" s="3580"/>
      <c r="N9" s="3580"/>
      <c r="O9" s="3580"/>
      <c r="P9" s="3580"/>
      <c r="Q9" s="3580"/>
      <c r="R9" s="3580"/>
    </row>
    <row r="10" spans="1:18">
      <c r="A10" s="3588"/>
      <c r="B10" s="3580"/>
      <c r="C10" s="3580"/>
      <c r="D10" s="3580"/>
      <c r="E10" s="3580"/>
      <c r="F10" s="3580"/>
      <c r="G10" s="3580"/>
      <c r="H10" s="3580"/>
      <c r="I10" s="3580"/>
      <c r="J10" s="3580"/>
      <c r="K10" s="3580"/>
      <c r="L10" s="3580"/>
      <c r="M10" s="3580"/>
      <c r="N10" s="3580"/>
      <c r="O10" s="3580"/>
      <c r="P10" s="3580"/>
      <c r="Q10" s="3580"/>
      <c r="R10" s="3580"/>
    </row>
    <row r="11" spans="1:18">
      <c r="A11" s="3588" t="s">
        <v>94</v>
      </c>
      <c r="B11" s="3589"/>
      <c r="C11" s="3589"/>
      <c r="D11" s="3589"/>
      <c r="E11" s="3589"/>
      <c r="F11" s="3589"/>
      <c r="G11" s="3589"/>
      <c r="H11" s="3589"/>
      <c r="I11" s="3589"/>
      <c r="J11" s="3589"/>
      <c r="K11" s="3589"/>
      <c r="L11" s="3589"/>
      <c r="M11" s="3589"/>
      <c r="N11" s="3589"/>
      <c r="O11" s="3589"/>
      <c r="P11" s="3589"/>
      <c r="Q11" s="3589"/>
      <c r="R11" s="3589"/>
    </row>
    <row r="12" spans="1:18">
      <c r="A12" s="3590"/>
      <c r="B12" s="3590"/>
      <c r="C12" s="3590"/>
      <c r="D12" s="3590"/>
      <c r="E12" s="3590"/>
      <c r="F12" s="3590"/>
      <c r="G12" s="3590"/>
      <c r="H12" s="3590"/>
      <c r="I12" s="3590"/>
      <c r="J12" s="3590"/>
      <c r="K12" s="3590"/>
      <c r="L12" s="3590"/>
      <c r="M12" s="3590"/>
      <c r="N12" s="3590"/>
      <c r="O12" s="3590"/>
      <c r="P12" s="3590"/>
      <c r="Q12" s="3590"/>
      <c r="R12" s="3590"/>
    </row>
    <row r="13" spans="1:18" ht="16.5" customHeight="1">
      <c r="A13" s="3590"/>
      <c r="B13" s="3590"/>
      <c r="C13" s="3590"/>
      <c r="D13" s="3590"/>
      <c r="E13" s="3590"/>
      <c r="F13" s="3590"/>
      <c r="G13" s="3590"/>
      <c r="H13" s="3590"/>
      <c r="I13" s="3590"/>
      <c r="J13" s="3590"/>
      <c r="K13" s="3590"/>
      <c r="L13" s="3590"/>
      <c r="M13" s="3590"/>
      <c r="N13" s="3590"/>
      <c r="O13" s="3590"/>
      <c r="P13" s="3590"/>
      <c r="Q13" s="3590"/>
      <c r="R13" s="3590"/>
    </row>
    <row r="14" spans="1:18">
      <c r="A14" s="3591"/>
      <c r="B14" s="3590"/>
      <c r="C14" s="3590"/>
      <c r="D14" s="3590"/>
      <c r="E14" s="3590"/>
      <c r="F14" s="3590"/>
      <c r="G14" s="3590"/>
      <c r="H14" s="3590"/>
      <c r="I14" s="3590"/>
      <c r="J14" s="3590"/>
      <c r="K14" s="3590"/>
      <c r="L14" s="3590"/>
      <c r="M14" s="3590"/>
      <c r="N14" s="3590"/>
      <c r="O14" s="3590"/>
      <c r="P14" s="3590"/>
      <c r="Q14" s="3590"/>
      <c r="R14" s="3590"/>
    </row>
    <row r="15" spans="1:18">
      <c r="A15" s="1506"/>
    </row>
    <row r="16" spans="1:18">
      <c r="A16" s="1506"/>
    </row>
    <row r="17" spans="1:1">
      <c r="A17" s="1506"/>
    </row>
    <row r="18" spans="1:1">
      <c r="A18" s="1506"/>
    </row>
    <row r="19" spans="1:1">
      <c r="A19" s="1506"/>
    </row>
    <row r="20" spans="1:1">
      <c r="A20" s="3592"/>
    </row>
    <row r="21" spans="1:1">
      <c r="A21" s="3592"/>
    </row>
    <row r="22" spans="1:1">
      <c r="A22" s="1506"/>
    </row>
    <row r="23" spans="1:1">
      <c r="A23" s="1506"/>
    </row>
    <row r="24" spans="1:1">
      <c r="A24" s="1506"/>
    </row>
    <row r="25" spans="1:1">
      <c r="A25" s="1506"/>
    </row>
    <row r="26" spans="1:1">
      <c r="A26" s="1506"/>
    </row>
    <row r="27" spans="1:1">
      <c r="A27" s="1506"/>
    </row>
    <row r="28" spans="1:1">
      <c r="A28" s="1506"/>
    </row>
    <row r="29" spans="1:1">
      <c r="A29" s="1506"/>
    </row>
    <row r="30" spans="1:1">
      <c r="A30" s="1506"/>
    </row>
    <row r="31" spans="1:1">
      <c r="A31" s="1506"/>
    </row>
    <row r="32" spans="1:1">
      <c r="A32" s="1506"/>
    </row>
    <row r="33" spans="1:1">
      <c r="A33" s="1506"/>
    </row>
    <row r="34" spans="1:1">
      <c r="A34" s="1506"/>
    </row>
    <row r="35" spans="1:1">
      <c r="A35" s="1506"/>
    </row>
    <row r="36" spans="1:1">
      <c r="A36" s="1506"/>
    </row>
    <row r="37" spans="1:1">
      <c r="A37" s="1506"/>
    </row>
  </sheetData>
  <mergeCells count="18">
    <mergeCell ref="A8:Q8"/>
    <mergeCell ref="A3:A4"/>
    <mergeCell ref="B3:B4"/>
    <mergeCell ref="C3:C4"/>
    <mergeCell ref="D3:D4"/>
    <mergeCell ref="K3:K4"/>
    <mergeCell ref="L3:L4"/>
    <mergeCell ref="M3:M4"/>
    <mergeCell ref="N3:N4"/>
    <mergeCell ref="O3:O4"/>
    <mergeCell ref="P3:P4"/>
    <mergeCell ref="Q3:Q4"/>
    <mergeCell ref="A1:R1"/>
    <mergeCell ref="E3:G3"/>
    <mergeCell ref="H3:J3"/>
    <mergeCell ref="A6:Q6"/>
    <mergeCell ref="A7:Q7"/>
    <mergeCell ref="R3:R4"/>
  </mergeCells>
  <phoneticPr fontId="254" type="noConversion"/>
  <printOptions horizontalCentered="1"/>
  <pageMargins left="0.118110236220472" right="0.118110236220472" top="1.1811023622047201" bottom="0.98425196850393704" header="0.78740157480314998"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workbookViewId="0">
      <selection activeCell="A17" sqref="A17:D17"/>
    </sheetView>
  </sheetViews>
  <sheetFormatPr defaultColWidth="9" defaultRowHeight="14.25"/>
  <cols>
    <col min="1" max="1" width="15.75" style="3573" customWidth="1"/>
    <col min="2" max="3" width="21.375" style="3573" customWidth="1"/>
    <col min="4" max="4" width="19.875" style="3573" customWidth="1"/>
    <col min="5" max="16384" width="9" style="3573"/>
  </cols>
  <sheetData>
    <row r="1" spans="1:4">
      <c r="A1" s="3657" t="s">
        <v>122</v>
      </c>
      <c r="B1" s="3657"/>
      <c r="C1" s="3657"/>
      <c r="D1" s="3657"/>
    </row>
    <row r="2" spans="1:4" ht="47.25" customHeight="1">
      <c r="A2" s="3658" t="str">
        <f>"1.权利限制："&amp;项目基本情况!L24&amp;"未设定租赁等其他他项权利。"</f>
        <v>1.权利限制：根据估价对象《不动产权证书》原件、《国有土地使用权》复印件，截至估价期日，估价对象抵押权未见登记。未设定租赁等其他他项权利。</v>
      </c>
      <c r="B2" s="3658"/>
      <c r="C2" s="3658"/>
      <c r="D2" s="3658"/>
    </row>
    <row r="3" spans="1:4" ht="48" customHeight="1">
      <c r="A3" s="3657"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657"/>
      <c r="C3" s="3657"/>
      <c r="D3" s="3657"/>
    </row>
    <row r="4" spans="1:4" ht="36.75" customHeight="1">
      <c r="A4" s="3657" t="str">
        <f>"3.估价规划限制条件：详见"&amp;项目基本情况!E21&amp;"。"</f>
        <v>3.估价规划限制条件：详见《建设工程规划许可证》[]、《出让合同》[]。</v>
      </c>
      <c r="B4" s="3657"/>
      <c r="C4" s="3657"/>
      <c r="D4" s="3657"/>
    </row>
    <row r="5" spans="1:4">
      <c r="A5" s="3659" t="s">
        <v>123</v>
      </c>
      <c r="B5" s="3659"/>
      <c r="C5" s="3659"/>
      <c r="D5" s="3659"/>
    </row>
    <row r="6" spans="1:4">
      <c r="A6" s="3657" t="s">
        <v>124</v>
      </c>
      <c r="B6" s="3657"/>
      <c r="C6" s="3657"/>
      <c r="D6" s="3657"/>
    </row>
    <row r="7" spans="1:4" ht="33" customHeight="1">
      <c r="A7" s="3657" t="s">
        <v>125</v>
      </c>
      <c r="B7" s="3657"/>
      <c r="C7" s="3657"/>
      <c r="D7" s="3657"/>
    </row>
    <row r="8" spans="1:4" ht="32.25" customHeight="1">
      <c r="A8" s="3657"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657"/>
      <c r="C8" s="3657"/>
      <c r="D8" s="3657"/>
    </row>
    <row r="9" spans="1:4" ht="33.75" customHeight="1">
      <c r="A9" s="3657"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657"/>
      <c r="C9" s="3657"/>
      <c r="D9" s="3657"/>
    </row>
    <row r="10" spans="1:4">
      <c r="A10" s="3657" t="str">
        <f>IF(项目基本情况!B8="抵押","4.估价师所知悉的法定优先受偿款情况为：","——")</f>
        <v>4.估价师所知悉的法定优先受偿款情况为：</v>
      </c>
      <c r="B10" s="3657"/>
      <c r="C10" s="3657"/>
      <c r="D10" s="3657"/>
    </row>
    <row r="11" spans="1:4" ht="37.5" customHeight="1">
      <c r="A11" s="3660"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660"/>
      <c r="C11" s="3660"/>
      <c r="D11" s="3660"/>
    </row>
    <row r="12" spans="1:4" ht="168" customHeight="1">
      <c r="A12" s="3659" t="s">
        <v>126</v>
      </c>
      <c r="B12" s="3659"/>
      <c r="C12" s="3659"/>
      <c r="D12" s="3659"/>
    </row>
    <row r="13" spans="1:4">
      <c r="A13" s="3661" t="s">
        <v>127</v>
      </c>
      <c r="B13" s="3661"/>
      <c r="C13" s="3661"/>
      <c r="D13" s="3661"/>
    </row>
    <row r="14" spans="1:4">
      <c r="A14" s="3660" t="str">
        <f>IF(项目基本情况!B8="抵押","综上，"&amp;结果表!K47,"——")</f>
        <v>综上，本次评估不存在估价师知悉的法定优先受偿款</v>
      </c>
      <c r="B14" s="3660"/>
      <c r="C14" s="3660"/>
      <c r="D14" s="3660"/>
    </row>
    <row r="15" spans="1:4" ht="58.5" customHeight="1">
      <c r="A15" s="3657"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657"/>
      <c r="C15" s="3657"/>
      <c r="D15" s="3657"/>
    </row>
    <row r="16" spans="1:4" ht="70.5" customHeight="1">
      <c r="A16" s="3657"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657"/>
      <c r="C16" s="3657"/>
      <c r="D16" s="3657"/>
    </row>
    <row r="17" spans="1:4">
      <c r="A17" s="3657" t="s">
        <v>128</v>
      </c>
      <c r="B17" s="3657"/>
      <c r="C17" s="3657"/>
      <c r="D17" s="3657"/>
    </row>
    <row r="18" spans="1:4">
      <c r="A18" s="3657" t="s">
        <v>129</v>
      </c>
      <c r="B18" s="3657"/>
      <c r="C18" s="3657"/>
      <c r="D18" s="3657"/>
    </row>
    <row r="19" spans="1:4">
      <c r="A19" s="3574" t="s">
        <v>130</v>
      </c>
      <c r="B19" s="3574" t="s">
        <v>131</v>
      </c>
      <c r="C19" s="3574" t="s">
        <v>132</v>
      </c>
      <c r="D19" s="3574" t="s">
        <v>133</v>
      </c>
    </row>
    <row r="20" spans="1:4">
      <c r="A20" s="3574" t="str">
        <f>项目基本情况!B4</f>
        <v>土地估价师</v>
      </c>
      <c r="B20" s="3574">
        <f>项目基本情况!C4</f>
        <v>0</v>
      </c>
      <c r="C20" s="3575"/>
      <c r="D20" s="3576" t="s">
        <v>134</v>
      </c>
    </row>
    <row r="21" spans="1:4">
      <c r="A21" s="3574" t="str">
        <f>项目基本情况!D4</f>
        <v>土地估价师</v>
      </c>
      <c r="B21" s="3574">
        <f>项目基本情况!E4</f>
        <v>0</v>
      </c>
      <c r="C21" s="3575"/>
      <c r="D21" s="3576" t="s">
        <v>134</v>
      </c>
    </row>
    <row r="23" spans="1:4">
      <c r="A23" s="3657" t="s">
        <v>135</v>
      </c>
      <c r="B23" s="3657"/>
      <c r="C23" s="3657"/>
      <c r="D23" s="3657"/>
    </row>
    <row r="24" spans="1:4">
      <c r="A24" s="3574" t="s">
        <v>130</v>
      </c>
      <c r="B24" s="3574" t="s">
        <v>136</v>
      </c>
      <c r="C24" s="3574" t="s">
        <v>132</v>
      </c>
      <c r="D24" s="3574" t="s">
        <v>133</v>
      </c>
    </row>
    <row r="25" spans="1:4">
      <c r="A25" s="3577" t="s">
        <v>137</v>
      </c>
      <c r="B25" s="3574" t="s">
        <v>138</v>
      </c>
      <c r="C25" s="3575"/>
      <c r="D25" s="3576" t="s">
        <v>134</v>
      </c>
    </row>
    <row r="29" spans="1:4">
      <c r="D29" s="3578" t="s">
        <v>99</v>
      </c>
    </row>
    <row r="30" spans="1:4">
      <c r="D30" s="3579">
        <v>42558</v>
      </c>
    </row>
  </sheetData>
  <sheetProtection formatCells="0" formatRows="0" insertRows="0" deleteRows="0"/>
  <mergeCells count="19">
    <mergeCell ref="A16:D16"/>
    <mergeCell ref="A17:D17"/>
    <mergeCell ref="A18:D18"/>
    <mergeCell ref="A23:D23"/>
    <mergeCell ref="A11:D11"/>
    <mergeCell ref="A12:D12"/>
    <mergeCell ref="A13:D13"/>
    <mergeCell ref="A14:D14"/>
    <mergeCell ref="A15:D15"/>
    <mergeCell ref="A6:D6"/>
    <mergeCell ref="A7:D7"/>
    <mergeCell ref="A8:D8"/>
    <mergeCell ref="A9:D9"/>
    <mergeCell ref="A10:D10"/>
    <mergeCell ref="A1:D1"/>
    <mergeCell ref="A2:D2"/>
    <mergeCell ref="A3:D3"/>
    <mergeCell ref="A4:D4"/>
    <mergeCell ref="A5:D5"/>
  </mergeCells>
  <phoneticPr fontId="254"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3552" customWidth="1"/>
    <col min="2" max="16384" width="14.5" style="3497"/>
  </cols>
  <sheetData>
    <row r="1" spans="1:7" s="3551" customFormat="1" ht="18.75">
      <c r="A1" s="3553" t="s">
        <v>139</v>
      </c>
    </row>
    <row r="3" spans="1:7" ht="14.25">
      <c r="A3" s="3554" t="s">
        <v>140</v>
      </c>
      <c r="B3" s="3497" t="s">
        <v>141</v>
      </c>
      <c r="G3" s="3555"/>
    </row>
    <row r="4" spans="1:7">
      <c r="G4" s="3555"/>
    </row>
    <row r="5" spans="1:7" ht="14.25">
      <c r="A5" s="3556" t="s">
        <v>142</v>
      </c>
      <c r="B5" s="3497" t="s">
        <v>143</v>
      </c>
      <c r="G5" s="3555"/>
    </row>
    <row r="6" spans="1:7">
      <c r="G6" s="3555"/>
    </row>
    <row r="7" spans="1:7" ht="14.25">
      <c r="A7" s="3557" t="s">
        <v>144</v>
      </c>
      <c r="B7" s="3497" t="s">
        <v>145</v>
      </c>
      <c r="G7" s="3555"/>
    </row>
    <row r="8" spans="1:7">
      <c r="G8" s="3555"/>
    </row>
    <row r="9" spans="1:7">
      <c r="A9" s="3558" t="s">
        <v>146</v>
      </c>
      <c r="B9" s="3497" t="s">
        <v>147</v>
      </c>
    </row>
    <row r="11" spans="1:7">
      <c r="A11" s="3559" t="s">
        <v>148</v>
      </c>
      <c r="B11" s="3560" t="s">
        <v>149</v>
      </c>
    </row>
    <row r="13" spans="1:7">
      <c r="A13" s="3561" t="s">
        <v>150</v>
      </c>
    </row>
    <row r="15" spans="1:7" ht="14.25">
      <c r="A15" s="3665" t="s">
        <v>151</v>
      </c>
      <c r="B15" s="3662" t="s">
        <v>152</v>
      </c>
      <c r="C15" s="3663"/>
    </row>
    <row r="16" spans="1:7" ht="14.25">
      <c r="A16" s="3665"/>
      <c r="B16" s="3667" t="s">
        <v>153</v>
      </c>
      <c r="C16" s="3562" t="s">
        <v>151</v>
      </c>
    </row>
    <row r="17" spans="1:3" ht="14.25">
      <c r="A17" s="3665"/>
      <c r="B17" s="3667"/>
      <c r="C17" s="3562" t="s">
        <v>154</v>
      </c>
    </row>
    <row r="18" spans="1:3" ht="14.25">
      <c r="A18" s="3665"/>
      <c r="B18" s="3667"/>
      <c r="C18" s="3562" t="s">
        <v>155</v>
      </c>
    </row>
    <row r="19" spans="1:3" ht="14.25">
      <c r="A19" s="3665"/>
      <c r="B19" s="3664" t="s">
        <v>156</v>
      </c>
      <c r="C19" s="3663"/>
    </row>
    <row r="20" spans="1:3" ht="14.25">
      <c r="A20" s="3563" t="s">
        <v>157</v>
      </c>
      <c r="B20" s="3564"/>
      <c r="C20" s="3565"/>
    </row>
    <row r="21" spans="1:3" ht="14.25">
      <c r="A21" s="3666" t="s">
        <v>158</v>
      </c>
      <c r="B21" s="3664" t="s">
        <v>159</v>
      </c>
      <c r="C21" s="3663"/>
    </row>
    <row r="22" spans="1:3" ht="14.25">
      <c r="A22" s="3666"/>
      <c r="B22" s="3664" t="s">
        <v>160</v>
      </c>
      <c r="C22" s="3663"/>
    </row>
    <row r="23" spans="1:3" ht="14.25">
      <c r="A23" s="3666"/>
      <c r="B23" s="3664" t="s">
        <v>161</v>
      </c>
      <c r="C23" s="3663"/>
    </row>
    <row r="24" spans="1:3" ht="14.25">
      <c r="A24" s="3666"/>
      <c r="B24" s="3668" t="s">
        <v>162</v>
      </c>
      <c r="C24" s="3566" t="s">
        <v>163</v>
      </c>
    </row>
    <row r="25" spans="1:3" ht="14.25">
      <c r="A25" s="3666"/>
      <c r="B25" s="3669"/>
      <c r="C25" s="3566" t="s">
        <v>164</v>
      </c>
    </row>
    <row r="26" spans="1:3" ht="14.25">
      <c r="A26" s="3666"/>
      <c r="B26" s="3669"/>
      <c r="C26" s="3566" t="s">
        <v>165</v>
      </c>
    </row>
    <row r="27" spans="1:3" ht="14.25">
      <c r="A27" s="3666"/>
      <c r="B27" s="3669"/>
      <c r="C27" s="3566" t="s">
        <v>166</v>
      </c>
    </row>
    <row r="28" spans="1:3" ht="14.25">
      <c r="A28" s="3666"/>
      <c r="B28" s="3669"/>
      <c r="C28" s="3566" t="s">
        <v>167</v>
      </c>
    </row>
    <row r="29" spans="1:3" ht="14.25">
      <c r="A29" s="3666"/>
      <c r="B29" s="3669"/>
      <c r="C29" s="3566" t="s">
        <v>168</v>
      </c>
    </row>
    <row r="30" spans="1:3" ht="14.25">
      <c r="A30" s="3666"/>
      <c r="B30" s="3669"/>
      <c r="C30" s="3566" t="s">
        <v>169</v>
      </c>
    </row>
    <row r="31" spans="1:3" ht="14.25">
      <c r="A31" s="3666"/>
      <c r="B31" s="3669"/>
      <c r="C31" s="3566" t="s">
        <v>170</v>
      </c>
    </row>
    <row r="32" spans="1:3" ht="14.25">
      <c r="A32" s="3666"/>
      <c r="B32" s="3669"/>
      <c r="C32" s="3566" t="s">
        <v>171</v>
      </c>
    </row>
    <row r="33" spans="1:3" ht="14.25">
      <c r="A33" s="3666"/>
      <c r="B33" s="3670" t="s">
        <v>172</v>
      </c>
      <c r="C33" s="3566" t="s">
        <v>173</v>
      </c>
    </row>
    <row r="34" spans="1:3" ht="14.25">
      <c r="A34" s="3666"/>
      <c r="B34" s="3671"/>
      <c r="C34" s="3567" t="s">
        <v>174</v>
      </c>
    </row>
    <row r="35" spans="1:3" ht="14.25">
      <c r="A35" s="3666"/>
      <c r="B35" s="3671"/>
      <c r="C35" s="3568" t="s">
        <v>175</v>
      </c>
    </row>
    <row r="36" spans="1:3" ht="14.25">
      <c r="A36" s="3666"/>
      <c r="B36" s="3671"/>
      <c r="C36" s="3568" t="s">
        <v>176</v>
      </c>
    </row>
    <row r="37" spans="1:3" ht="14.25">
      <c r="A37" s="3666"/>
      <c r="B37" s="3672"/>
      <c r="C37" s="3569" t="s">
        <v>177</v>
      </c>
    </row>
    <row r="38" spans="1:3">
      <c r="A38" s="3570" t="s">
        <v>178</v>
      </c>
    </row>
    <row r="41" spans="1:3">
      <c r="A41" s="3570" t="s">
        <v>179</v>
      </c>
    </row>
    <row r="42" spans="1:3" ht="14.25">
      <c r="A42" s="3571" t="s">
        <v>180</v>
      </c>
    </row>
    <row r="43" spans="1:3" ht="14.25">
      <c r="A43" s="3571" t="s">
        <v>181</v>
      </c>
    </row>
    <row r="44" spans="1:3" ht="14.25">
      <c r="A44" s="3571" t="s">
        <v>182</v>
      </c>
    </row>
    <row r="45" spans="1:3" ht="14.25">
      <c r="A45" s="3572" t="s">
        <v>183</v>
      </c>
    </row>
    <row r="46" spans="1:3" ht="14.25">
      <c r="A46" s="3571" t="s">
        <v>184</v>
      </c>
    </row>
  </sheetData>
  <sheetProtection password="CEE9" sheet="1" objects="1" scenarios="1" formatCells="0" formatColumns="0" formatRows="0"/>
  <mergeCells count="10">
    <mergeCell ref="A15:A19"/>
    <mergeCell ref="A21:A37"/>
    <mergeCell ref="B16:B18"/>
    <mergeCell ref="B24:B32"/>
    <mergeCell ref="B33:B37"/>
    <mergeCell ref="B15:C15"/>
    <mergeCell ref="B19:C19"/>
    <mergeCell ref="B21:C21"/>
    <mergeCell ref="B22:C22"/>
    <mergeCell ref="B23:C23"/>
  </mergeCells>
  <phoneticPr fontId="25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3"/>
  <sheetViews>
    <sheetView view="pageBreakPreview" zoomScale="80" zoomScaleNormal="100" workbookViewId="0">
      <selection activeCell="C22" sqref="C22"/>
    </sheetView>
  </sheetViews>
  <sheetFormatPr defaultColWidth="22.625" defaultRowHeight="20.25" customHeight="1"/>
  <cols>
    <col min="1" max="1" width="24.75" style="3524" customWidth="1"/>
    <col min="2" max="2" width="22.75" style="3524" customWidth="1"/>
    <col min="3" max="3" width="25.75" style="3524" customWidth="1"/>
    <col min="4" max="4" width="22.625" style="3524"/>
    <col min="5" max="5" width="22.75" style="3524" customWidth="1"/>
    <col min="6" max="6" width="25.625" style="3524" customWidth="1"/>
    <col min="7" max="16384" width="22.625" style="3524"/>
  </cols>
  <sheetData>
    <row r="1" spans="1:7" ht="20.25" customHeight="1">
      <c r="A1" s="3525"/>
      <c r="B1" s="3525"/>
      <c r="C1" s="3525"/>
      <c r="D1" s="3525"/>
      <c r="E1" s="3525"/>
      <c r="F1" s="3525"/>
      <c r="G1" s="3525"/>
    </row>
    <row r="2" spans="1:7" ht="20.25" customHeight="1">
      <c r="A2" s="3526" t="s">
        <v>185</v>
      </c>
      <c r="B2" s="3527">
        <f ca="1">TODAY()</f>
        <v>45265</v>
      </c>
      <c r="C2" s="3528" t="s">
        <v>186</v>
      </c>
      <c r="D2" s="3528"/>
      <c r="E2" s="3525"/>
      <c r="F2" s="3525"/>
      <c r="G2" s="3525"/>
    </row>
    <row r="3" spans="1:7" ht="20.25" customHeight="1">
      <c r="A3" s="3529" t="s">
        <v>129</v>
      </c>
      <c r="B3" s="3530" t="s">
        <v>187</v>
      </c>
      <c r="C3" s="3531" t="s">
        <v>188</v>
      </c>
      <c r="D3" s="3532" t="s">
        <v>189</v>
      </c>
      <c r="E3" s="3530" t="s">
        <v>190</v>
      </c>
      <c r="F3" s="3530" t="s">
        <v>188</v>
      </c>
      <c r="G3" s="3525"/>
    </row>
    <row r="4" spans="1:7" ht="20.25" customHeight="1">
      <c r="A4" s="3530" t="s">
        <v>191</v>
      </c>
      <c r="B4" s="3530">
        <f ca="1">IF(C4&lt;B2,"已过期",1119970066)</f>
        <v>1119970066</v>
      </c>
      <c r="C4" s="3533">
        <v>45937</v>
      </c>
      <c r="D4" s="3534" t="s">
        <v>191</v>
      </c>
      <c r="E4" s="3530">
        <f ca="1">IF(F4&lt;B2,"已过期",96010014)</f>
        <v>96010014</v>
      </c>
      <c r="F4" s="3535">
        <v>47118</v>
      </c>
      <c r="G4" s="3525"/>
    </row>
    <row r="5" spans="1:7" ht="20.25" customHeight="1">
      <c r="A5" s="3530" t="s">
        <v>192</v>
      </c>
      <c r="B5" s="3530">
        <f ca="1">IF(C5&lt;B2,"已过期",1119970111)</f>
        <v>1119970111</v>
      </c>
      <c r="C5" s="3533">
        <v>45937</v>
      </c>
      <c r="D5" s="3534" t="s">
        <v>192</v>
      </c>
      <c r="E5" s="3530">
        <f ca="1">IF(F5&lt;B2,"已过期",94010078)</f>
        <v>94010078</v>
      </c>
      <c r="F5" s="3535">
        <v>46387</v>
      </c>
      <c r="G5" s="3525"/>
    </row>
    <row r="6" spans="1:7" ht="20.25" customHeight="1">
      <c r="A6" s="3530" t="s">
        <v>193</v>
      </c>
      <c r="B6" s="3530">
        <f ca="1">IF(C6&lt;B2,"已过期",1120050019)</f>
        <v>1120050019</v>
      </c>
      <c r="C6" s="3533">
        <v>45410</v>
      </c>
      <c r="D6" s="3534" t="s">
        <v>193</v>
      </c>
      <c r="E6" s="3530">
        <f ca="1">IF(F6&lt;B2,"已过期",2002110030)</f>
        <v>2002110030</v>
      </c>
      <c r="F6" s="3535">
        <v>46387</v>
      </c>
      <c r="G6" s="3525"/>
    </row>
    <row r="7" spans="1:7" ht="20.25" customHeight="1">
      <c r="A7" s="3530" t="s">
        <v>194</v>
      </c>
      <c r="B7" s="3530">
        <f ca="1">IF(C7&lt;B2,"已过期",1120000080)</f>
        <v>1120000080</v>
      </c>
      <c r="C7" s="3533">
        <v>45937</v>
      </c>
      <c r="D7" s="3534" t="s">
        <v>194</v>
      </c>
      <c r="E7" s="3530">
        <f ca="1">IF(F7&lt;B2,"已过期",2000110082)</f>
        <v>2000110082</v>
      </c>
      <c r="F7" s="3535">
        <v>46387</v>
      </c>
      <c r="G7" s="3525"/>
    </row>
    <row r="8" spans="1:7" ht="20.25" customHeight="1">
      <c r="A8" s="3530" t="s">
        <v>195</v>
      </c>
      <c r="B8" s="3530">
        <f ca="1">IF(C8&lt;B2,"已过期",1419970001)</f>
        <v>1419970001</v>
      </c>
      <c r="C8" s="3533">
        <v>45937</v>
      </c>
      <c r="D8" s="3534" t="s">
        <v>195</v>
      </c>
      <c r="E8" s="3530">
        <f ca="1">IF(F8&lt;B2,"已过期",2002110125)</f>
        <v>2002110125</v>
      </c>
      <c r="F8" s="3535">
        <v>47118</v>
      </c>
      <c r="G8" s="3525"/>
    </row>
    <row r="9" spans="1:7" ht="20.25" customHeight="1">
      <c r="A9" s="3530" t="s">
        <v>196</v>
      </c>
      <c r="B9" s="3530">
        <f ca="1">IF(C9&lt;B2,"已过期",1120060040)</f>
        <v>1120060040</v>
      </c>
      <c r="C9" s="3533">
        <v>45592</v>
      </c>
      <c r="D9" s="3534" t="s">
        <v>196</v>
      </c>
      <c r="E9" s="3530">
        <f ca="1">IF(F9&lt;B2,"已过期",2004110096)</f>
        <v>2004110096</v>
      </c>
      <c r="F9" s="3535">
        <v>47118</v>
      </c>
      <c r="G9" s="3525"/>
    </row>
    <row r="10" spans="1:7" ht="20.25" customHeight="1">
      <c r="A10" s="3530" t="s">
        <v>197</v>
      </c>
      <c r="B10" s="3530">
        <f ca="1">IF(C10&lt;B2,"已过期",1120100036)</f>
        <v>1120100036</v>
      </c>
      <c r="C10" s="3533">
        <v>45752</v>
      </c>
      <c r="D10" s="3534" t="s">
        <v>197</v>
      </c>
      <c r="E10" s="3530">
        <f ca="1">IF(F10&lt;B2,"已过期",2010110070)</f>
        <v>2010110070</v>
      </c>
      <c r="F10" s="3535">
        <v>47907</v>
      </c>
      <c r="G10" s="3525"/>
    </row>
    <row r="11" spans="1:7" ht="20.25" customHeight="1">
      <c r="A11" s="3530" t="s">
        <v>198</v>
      </c>
      <c r="B11" s="3530">
        <f ca="1">IF(C11&lt;B2,"已过期",1120070131)</f>
        <v>1120070131</v>
      </c>
      <c r="C11" s="3533">
        <v>45937</v>
      </c>
      <c r="D11" s="3534" t="s">
        <v>198</v>
      </c>
      <c r="E11" s="3530">
        <f ca="1">IF(F11&lt;B2,"已过期",2014110011)</f>
        <v>2014110011</v>
      </c>
      <c r="F11" s="3535">
        <v>49302</v>
      </c>
      <c r="G11" s="3525"/>
    </row>
    <row r="12" spans="1:7" ht="20.25" customHeight="1">
      <c r="A12" s="3530" t="s">
        <v>199</v>
      </c>
      <c r="B12" s="3530">
        <f ca="1">IF(C12&lt;B2,"已过期",1120040230)</f>
        <v>1120040230</v>
      </c>
      <c r="C12" s="3533">
        <v>45937</v>
      </c>
      <c r="D12" s="3534" t="s">
        <v>199</v>
      </c>
      <c r="E12" s="3530">
        <f ca="1">IF(F12&lt;B2,"已过期",98030020)</f>
        <v>98030020</v>
      </c>
      <c r="F12" s="3535">
        <v>47118</v>
      </c>
      <c r="G12" s="3525"/>
    </row>
    <row r="13" spans="1:7" ht="20.25" customHeight="1">
      <c r="A13" s="3530"/>
      <c r="B13" s="3530"/>
      <c r="C13" s="3533"/>
      <c r="D13" s="3534" t="s">
        <v>200</v>
      </c>
      <c r="E13" s="3530">
        <f ca="1">IF(F13&lt;B2,"已过期",2011110090)</f>
        <v>2011110090</v>
      </c>
      <c r="F13" s="3535">
        <v>48302</v>
      </c>
      <c r="G13" s="3525"/>
    </row>
    <row r="14" spans="1:7" ht="20.25" customHeight="1">
      <c r="A14" s="3530" t="s">
        <v>201</v>
      </c>
      <c r="B14" s="3530">
        <f ca="1">IF(C14&lt;B2,"已过期",1120020033)</f>
        <v>1120020033</v>
      </c>
      <c r="C14" s="3533">
        <v>45375</v>
      </c>
      <c r="D14" s="3534" t="s">
        <v>201</v>
      </c>
      <c r="E14" s="3530">
        <f ca="1">IF(F14&lt;B2,"已过期",2000110137)</f>
        <v>2000110137</v>
      </c>
      <c r="F14" s="3535">
        <v>46387</v>
      </c>
      <c r="G14" s="3525"/>
    </row>
    <row r="15" spans="1:7" ht="20.25" customHeight="1">
      <c r="A15" s="3530" t="s">
        <v>202</v>
      </c>
      <c r="B15" s="3530" t="str">
        <f ca="1">IF(C15&lt;B2,"已过期",1119980106)</f>
        <v>已过期</v>
      </c>
      <c r="C15" s="3533">
        <v>44969</v>
      </c>
      <c r="D15" s="3534"/>
      <c r="E15" s="3530"/>
      <c r="F15" s="3530"/>
      <c r="G15" s="3525"/>
    </row>
    <row r="16" spans="1:7" ht="20.25" customHeight="1">
      <c r="A16" s="3536" t="s">
        <v>203</v>
      </c>
      <c r="B16" s="3536">
        <v>1120210056</v>
      </c>
      <c r="C16" s="3533">
        <v>45410</v>
      </c>
      <c r="D16" s="3534"/>
      <c r="E16" s="3530"/>
      <c r="F16" s="3530"/>
      <c r="G16" s="3525"/>
    </row>
    <row r="17" spans="1:7" s="3522" customFormat="1" ht="20.25" customHeight="1">
      <c r="A17" s="3536" t="s">
        <v>138</v>
      </c>
      <c r="B17" s="3536" t="s">
        <v>138</v>
      </c>
      <c r="C17" s="3533"/>
      <c r="D17" s="3537" t="s">
        <v>138</v>
      </c>
      <c r="E17" s="3530" t="s">
        <v>138</v>
      </c>
      <c r="F17" s="3535"/>
      <c r="G17" s="3538"/>
    </row>
    <row r="18" spans="1:7" ht="20.25" customHeight="1">
      <c r="A18" s="3673" t="s">
        <v>204</v>
      </c>
      <c r="B18" s="3674"/>
      <c r="C18" s="3674"/>
      <c r="D18" s="3674"/>
      <c r="E18" s="3674"/>
      <c r="F18" s="3674"/>
      <c r="G18" s="3538"/>
    </row>
    <row r="19" spans="1:7" ht="20.25" customHeight="1">
      <c r="A19" s="3675" t="s">
        <v>205</v>
      </c>
      <c r="B19" s="3675"/>
      <c r="C19" s="3676"/>
      <c r="D19" s="3677" t="s">
        <v>206</v>
      </c>
      <c r="E19" s="3675"/>
      <c r="F19" s="3675"/>
      <c r="G19" s="3538"/>
    </row>
    <row r="20" spans="1:7" s="3523" customFormat="1" ht="20.25" customHeight="1">
      <c r="A20" s="3541" t="s">
        <v>207</v>
      </c>
      <c r="B20" s="3539" t="s">
        <v>208</v>
      </c>
      <c r="C20" s="3540" t="s">
        <v>188</v>
      </c>
      <c r="D20" s="3534" t="s">
        <v>207</v>
      </c>
      <c r="E20" s="3539" t="s">
        <v>208</v>
      </c>
      <c r="F20" s="3539" t="s">
        <v>188</v>
      </c>
      <c r="G20" s="3526"/>
    </row>
    <row r="21" spans="1:7" s="3523" customFormat="1" ht="20.25" customHeight="1">
      <c r="A21" s="3542" t="s">
        <v>209</v>
      </c>
      <c r="B21" s="3542" t="s">
        <v>210</v>
      </c>
      <c r="C21" s="3543">
        <v>45898</v>
      </c>
      <c r="D21" s="3544" t="s">
        <v>211</v>
      </c>
      <c r="E21" s="3542" t="s">
        <v>212</v>
      </c>
      <c r="F21" s="3545">
        <v>44926</v>
      </c>
      <c r="G21" s="3526"/>
    </row>
    <row r="22" spans="1:7" s="3523" customFormat="1" ht="20.25" customHeight="1">
      <c r="A22" s="3542"/>
      <c r="B22" s="3542"/>
      <c r="C22" s="3546"/>
      <c r="D22" s="3544"/>
      <c r="E22" s="3542"/>
      <c r="F22" s="3545"/>
      <c r="G22" s="3526"/>
    </row>
    <row r="23" spans="1:7" ht="20.25" customHeight="1">
      <c r="A23" s="3525"/>
      <c r="B23" s="3525"/>
      <c r="C23" s="3547"/>
      <c r="D23" s="3548"/>
      <c r="E23" s="3549"/>
      <c r="F23" s="3550"/>
      <c r="G23" s="3525"/>
    </row>
  </sheetData>
  <sheetProtection password="CEE9" sheet="1" objects="1" scenarios="1"/>
  <mergeCells count="3">
    <mergeCell ref="A18:F18"/>
    <mergeCell ref="A19:C19"/>
    <mergeCell ref="D19:F19"/>
  </mergeCells>
  <phoneticPr fontId="254" type="noConversion"/>
  <conditionalFormatting sqref="C4">
    <cfRule type="expression" dxfId="224" priority="3">
      <formula>AND($C4-TODAY()&lt;30,TODAY()&lt;$C4)</formula>
    </cfRule>
    <cfRule type="cellIs" dxfId="223" priority="4" stopIfTrue="1" operator="lessThan">
      <formula>$B$2</formula>
    </cfRule>
  </conditionalFormatting>
  <conditionalFormatting sqref="C6">
    <cfRule type="expression" dxfId="222" priority="84">
      <formula>AND($C6-TODAY()&lt;30,TODAY()&lt;$C6)</formula>
    </cfRule>
    <cfRule type="cellIs" dxfId="221" priority="85" stopIfTrue="1" operator="lessThan">
      <formula>$B$2</formula>
    </cfRule>
  </conditionalFormatting>
  <conditionalFormatting sqref="F11">
    <cfRule type="cellIs" dxfId="220" priority="81" stopIfTrue="1" operator="lessThan">
      <formula>$B$2</formula>
    </cfRule>
  </conditionalFormatting>
  <conditionalFormatting sqref="B12">
    <cfRule type="cellIs" dxfId="219" priority="50" stopIfTrue="1" operator="equal">
      <formula>"已过期"</formula>
    </cfRule>
  </conditionalFormatting>
  <conditionalFormatting sqref="C12">
    <cfRule type="cellIs" dxfId="218" priority="56" stopIfTrue="1" operator="lessThan">
      <formula>$B$2</formula>
    </cfRule>
    <cfRule type="expression" dxfId="217" priority="53">
      <formula>AND($C12-TODAY()&lt;30,TODAY()&lt;$C12)</formula>
    </cfRule>
    <cfRule type="cellIs" dxfId="216" priority="54" stopIfTrue="1" operator="lessThan">
      <formula>$B$2</formula>
    </cfRule>
  </conditionalFormatting>
  <conditionalFormatting sqref="E12">
    <cfRule type="cellIs" dxfId="215" priority="40" stopIfTrue="1" operator="equal">
      <formula>"已过期"</formula>
    </cfRule>
  </conditionalFormatting>
  <conditionalFormatting sqref="F12">
    <cfRule type="cellIs" dxfId="214" priority="39" stopIfTrue="1" operator="lessThan">
      <formula>$B$2</formula>
    </cfRule>
  </conditionalFormatting>
  <conditionalFormatting sqref="F13">
    <cfRule type="cellIs" dxfId="213" priority="115" stopIfTrue="1" operator="lessThan">
      <formula>$B$2</formula>
    </cfRule>
  </conditionalFormatting>
  <conditionalFormatting sqref="C14">
    <cfRule type="expression" dxfId="212" priority="62">
      <formula>AND($C14-TODAY()&lt;30,TODAY()&lt;$C14)</formula>
    </cfRule>
    <cfRule type="cellIs" dxfId="211" priority="63" stopIfTrue="1" operator="lessThan">
      <formula>$B$2</formula>
    </cfRule>
  </conditionalFormatting>
  <conditionalFormatting sqref="F14">
    <cfRule type="cellIs" dxfId="210" priority="116" stopIfTrue="1" operator="lessThan">
      <formula>$B$2</formula>
    </cfRule>
  </conditionalFormatting>
  <conditionalFormatting sqref="C17:D17">
    <cfRule type="expression" dxfId="209" priority="144">
      <formula>AND($C17-TODAY()&lt;30,TODAY()&lt;$C17)</formula>
    </cfRule>
  </conditionalFormatting>
  <conditionalFormatting sqref="C21">
    <cfRule type="expression" dxfId="208" priority="150">
      <formula>AND($C21-TODAY()&lt;30,TODAY()&lt;$C21)</formula>
    </cfRule>
  </conditionalFormatting>
  <conditionalFormatting sqref="F21">
    <cfRule type="cellIs" dxfId="207" priority="1" stopIfTrue="1" operator="lessThan">
      <formula>$B$2</formula>
    </cfRule>
    <cfRule type="expression" dxfId="206" priority="2">
      <formula>AND($E21-TODAY()&lt;30,TODAY()&lt;$E21)</formula>
    </cfRule>
  </conditionalFormatting>
  <conditionalFormatting sqref="F22">
    <cfRule type="cellIs" dxfId="205" priority="15" stopIfTrue="1" operator="lessThan">
      <formula>$B$2</formula>
    </cfRule>
    <cfRule type="expression" dxfId="204" priority="16">
      <formula>AND($E22-TODAY()&lt;30,TODAY()&lt;$E22)</formula>
    </cfRule>
  </conditionalFormatting>
  <conditionalFormatting sqref="C7:C8">
    <cfRule type="expression" dxfId="203" priority="7">
      <formula>AND($C7-TODAY()&lt;30,TODAY()&lt;$C7)</formula>
    </cfRule>
    <cfRule type="cellIs" dxfId="202" priority="8" stopIfTrue="1" operator="lessThan">
      <formula>$B$2</formula>
    </cfRule>
    <cfRule type="expression" dxfId="201" priority="5">
      <formula>AND($C7-TODAY()&lt;30,TODAY()&lt;$C7)</formula>
    </cfRule>
    <cfRule type="cellIs" dxfId="200" priority="6" stopIfTrue="1" operator="lessThan">
      <formula>$B$2</formula>
    </cfRule>
  </conditionalFormatting>
  <conditionalFormatting sqref="C9:C10">
    <cfRule type="expression" dxfId="199" priority="35">
      <formula>AND($C9-TODAY()&lt;30,TODAY()&lt;$C9)</formula>
    </cfRule>
    <cfRule type="cellIs" dxfId="198" priority="36" stopIfTrue="1" operator="lessThan">
      <formula>$B$2</formula>
    </cfRule>
  </conditionalFormatting>
  <conditionalFormatting sqref="B4:B11 E4:E11 E13:E16 B13:B16">
    <cfRule type="cellIs" dxfId="197" priority="113" stopIfTrue="1" operator="equal">
      <formula>"已过期"</formula>
    </cfRule>
  </conditionalFormatting>
  <conditionalFormatting sqref="C21 F4 C5 C13">
    <cfRule type="cellIs" dxfId="196" priority="152" stopIfTrue="1" operator="lessThan">
      <formula>$B$2</formula>
    </cfRule>
  </conditionalFormatting>
  <conditionalFormatting sqref="C17:D17 C5 C12:C13">
    <cfRule type="expression" dxfId="195" priority="151">
      <formula>AND($C5-TODAY()&lt;30,TODAY()&lt;$C5)</formula>
    </cfRule>
  </conditionalFormatting>
  <conditionalFormatting sqref="F5 F7 F9">
    <cfRule type="cellIs" dxfId="194" priority="146" stopIfTrue="1" operator="lessThan">
      <formula>$B$2</formula>
    </cfRule>
  </conditionalFormatting>
  <conditionalFormatting sqref="F6 F8 F10 C17:D17">
    <cfRule type="cellIs" dxfId="193" priority="145" stopIfTrue="1" operator="lessThan">
      <formula>$B$2</formula>
    </cfRule>
  </conditionalFormatting>
  <conditionalFormatting sqref="C11 C15:C16">
    <cfRule type="expression" dxfId="192" priority="82">
      <formula>AND($C11-TODAY()&lt;30,TODAY()&lt;$C11)</formula>
    </cfRule>
    <cfRule type="cellIs" dxfId="191" priority="83"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C22" sqref="C22"/>
    </sheetView>
  </sheetViews>
  <sheetFormatPr defaultColWidth="9" defaultRowHeight="14.25"/>
  <cols>
    <col min="1" max="1" width="10.375" style="3496" customWidth="1"/>
    <col min="2" max="2" width="18.875" style="3497" customWidth="1"/>
    <col min="3" max="3" width="18.875" style="2618" customWidth="1"/>
    <col min="4" max="4" width="5.5" style="3498" customWidth="1"/>
    <col min="5" max="5" width="7.125" style="3498" customWidth="1"/>
    <col min="6" max="6" width="10.625" style="3498" customWidth="1"/>
    <col min="7" max="7" width="7.5" style="3498" customWidth="1"/>
    <col min="8" max="8" width="9" style="2618" customWidth="1"/>
    <col min="9" max="9" width="11.625" style="2618" customWidth="1"/>
    <col min="10" max="10" width="9" style="2618" customWidth="1"/>
    <col min="11" max="19" width="9" style="3498" customWidth="1"/>
    <col min="20" max="23" width="9" style="2618" customWidth="1"/>
    <col min="24" max="24" width="14.625" style="3497" customWidth="1"/>
    <col min="25" max="25" width="7.25" style="3497" customWidth="1"/>
    <col min="26" max="16384" width="9" style="3497"/>
  </cols>
  <sheetData>
    <row r="1" spans="1:23" s="3495" customFormat="1" ht="40.5">
      <c r="A1" s="3499" t="s">
        <v>213</v>
      </c>
      <c r="B1" s="3500" t="s">
        <v>214</v>
      </c>
      <c r="C1" s="3501" t="s">
        <v>215</v>
      </c>
      <c r="D1" s="3502" t="s">
        <v>216</v>
      </c>
      <c r="E1" s="3503" t="s">
        <v>217</v>
      </c>
      <c r="F1" s="3503" t="s">
        <v>218</v>
      </c>
      <c r="G1" s="3503" t="s">
        <v>219</v>
      </c>
      <c r="H1" s="3503" t="s">
        <v>220</v>
      </c>
      <c r="I1" s="3503" t="s">
        <v>221</v>
      </c>
      <c r="J1" s="3503" t="s">
        <v>222</v>
      </c>
      <c r="K1" s="3503" t="s">
        <v>223</v>
      </c>
      <c r="L1" s="3503" t="s">
        <v>224</v>
      </c>
      <c r="M1" s="3503" t="s">
        <v>225</v>
      </c>
      <c r="N1" s="3503" t="s">
        <v>226</v>
      </c>
      <c r="O1" s="3503" t="s">
        <v>227</v>
      </c>
      <c r="P1" s="3503" t="s">
        <v>228</v>
      </c>
      <c r="Q1" s="3502" t="s">
        <v>229</v>
      </c>
      <c r="R1" s="3519" t="s">
        <v>230</v>
      </c>
      <c r="S1" s="3503" t="s">
        <v>231</v>
      </c>
      <c r="T1" s="3520" t="s">
        <v>232</v>
      </c>
      <c r="U1" s="3503" t="s">
        <v>233</v>
      </c>
      <c r="V1" s="3503" t="s">
        <v>234</v>
      </c>
      <c r="W1" s="3521" t="s">
        <v>235</v>
      </c>
    </row>
    <row r="2" spans="1:23">
      <c r="A2" s="3504" t="s">
        <v>236</v>
      </c>
      <c r="B2" s="3504" t="s">
        <v>237</v>
      </c>
      <c r="C2" s="3505" t="s">
        <v>238</v>
      </c>
      <c r="D2" s="3498" t="s">
        <v>239</v>
      </c>
      <c r="E2" s="3498" t="s">
        <v>240</v>
      </c>
      <c r="F2" s="3498" t="s">
        <v>241</v>
      </c>
      <c r="G2" s="3503">
        <v>20</v>
      </c>
      <c r="H2" s="3498" t="s">
        <v>241</v>
      </c>
      <c r="I2" s="3498" t="s">
        <v>242</v>
      </c>
      <c r="J2" s="3498" t="s">
        <v>243</v>
      </c>
      <c r="K2" s="3498" t="s">
        <v>244</v>
      </c>
      <c r="L2" s="3498" t="s">
        <v>244</v>
      </c>
      <c r="M2" s="3498" t="s">
        <v>244</v>
      </c>
      <c r="N2" s="3498" t="s">
        <v>244</v>
      </c>
      <c r="O2" s="3498" t="s">
        <v>244</v>
      </c>
      <c r="P2" s="3518" t="s">
        <v>244</v>
      </c>
      <c r="Q2" s="3498" t="s">
        <v>244</v>
      </c>
      <c r="R2" s="3518" t="s">
        <v>245</v>
      </c>
      <c r="S2" s="3498" t="s">
        <v>244</v>
      </c>
      <c r="T2" s="3498" t="s">
        <v>246</v>
      </c>
      <c r="U2" s="3498" t="s">
        <v>244</v>
      </c>
      <c r="V2" s="3498" t="s">
        <v>247</v>
      </c>
      <c r="W2" s="3498" t="s">
        <v>248</v>
      </c>
    </row>
    <row r="3" spans="1:23">
      <c r="A3" s="3504" t="s">
        <v>249</v>
      </c>
      <c r="B3" s="3506" t="s">
        <v>250</v>
      </c>
      <c r="C3" s="3507" t="s">
        <v>251</v>
      </c>
      <c r="D3" s="3498" t="s">
        <v>252</v>
      </c>
      <c r="E3" s="3498" t="s">
        <v>138</v>
      </c>
      <c r="F3" s="3498" t="s">
        <v>253</v>
      </c>
      <c r="G3" s="3498">
        <v>40</v>
      </c>
      <c r="H3" s="3498" t="s">
        <v>253</v>
      </c>
      <c r="I3" s="3498" t="s">
        <v>254</v>
      </c>
      <c r="J3" s="3498" t="s">
        <v>255</v>
      </c>
      <c r="K3" s="3498" t="s">
        <v>256</v>
      </c>
      <c r="L3" s="3498" t="s">
        <v>256</v>
      </c>
      <c r="M3" s="3498" t="s">
        <v>256</v>
      </c>
      <c r="N3" s="3498" t="s">
        <v>256</v>
      </c>
      <c r="O3" s="3498" t="s">
        <v>256</v>
      </c>
      <c r="P3" s="3518" t="s">
        <v>256</v>
      </c>
      <c r="Q3" s="3498" t="s">
        <v>256</v>
      </c>
      <c r="R3" s="3518" t="s">
        <v>257</v>
      </c>
      <c r="S3" s="3498" t="s">
        <v>256</v>
      </c>
      <c r="T3" s="3498" t="s">
        <v>258</v>
      </c>
      <c r="U3" s="3498" t="s">
        <v>256</v>
      </c>
      <c r="V3" s="3498" t="s">
        <v>259</v>
      </c>
      <c r="W3" s="3498" t="s">
        <v>260</v>
      </c>
    </row>
    <row r="4" spans="1:23">
      <c r="A4" s="3504" t="s">
        <v>261</v>
      </c>
      <c r="B4" s="3504" t="s">
        <v>262</v>
      </c>
      <c r="C4" s="3505" t="s">
        <v>263</v>
      </c>
      <c r="D4" s="3498" t="s">
        <v>138</v>
      </c>
      <c r="E4" s="3498" t="s">
        <v>264</v>
      </c>
      <c r="F4" s="3498" t="s">
        <v>265</v>
      </c>
      <c r="G4" s="3498">
        <v>50</v>
      </c>
      <c r="H4" s="3498" t="s">
        <v>265</v>
      </c>
      <c r="I4" s="3498" t="s">
        <v>266</v>
      </c>
      <c r="K4" s="3498" t="s">
        <v>267</v>
      </c>
      <c r="L4" s="3498" t="s">
        <v>267</v>
      </c>
      <c r="M4" s="3498" t="s">
        <v>267</v>
      </c>
      <c r="N4" s="3498" t="s">
        <v>267</v>
      </c>
      <c r="O4" s="3498" t="s">
        <v>267</v>
      </c>
      <c r="P4" s="3518" t="s">
        <v>267</v>
      </c>
      <c r="Q4" s="3498" t="s">
        <v>267</v>
      </c>
      <c r="R4" s="3518" t="s">
        <v>268</v>
      </c>
      <c r="S4" s="3498" t="s">
        <v>267</v>
      </c>
      <c r="T4" s="3498" t="s">
        <v>269</v>
      </c>
      <c r="U4" s="3498" t="s">
        <v>267</v>
      </c>
      <c r="W4" s="3498" t="s">
        <v>270</v>
      </c>
    </row>
    <row r="5" spans="1:23">
      <c r="A5" s="3504" t="s">
        <v>271</v>
      </c>
      <c r="B5" s="3504" t="s">
        <v>272</v>
      </c>
      <c r="C5" s="3505" t="s">
        <v>273</v>
      </c>
      <c r="F5" s="3498" t="s">
        <v>274</v>
      </c>
      <c r="G5" s="3498">
        <v>70</v>
      </c>
      <c r="H5" s="3498" t="s">
        <v>275</v>
      </c>
      <c r="I5" s="3498" t="s">
        <v>276</v>
      </c>
      <c r="K5" s="3498" t="s">
        <v>277</v>
      </c>
      <c r="L5" s="3498" t="s">
        <v>277</v>
      </c>
      <c r="M5" s="3498" t="s">
        <v>277</v>
      </c>
      <c r="N5" s="3498" t="s">
        <v>277</v>
      </c>
      <c r="O5" s="3498" t="s">
        <v>277</v>
      </c>
      <c r="P5" s="3518" t="s">
        <v>277</v>
      </c>
      <c r="Q5" s="3498" t="s">
        <v>277</v>
      </c>
      <c r="R5" s="3518" t="s">
        <v>278</v>
      </c>
      <c r="S5" s="3498" t="s">
        <v>277</v>
      </c>
      <c r="T5" s="3498" t="s">
        <v>279</v>
      </c>
      <c r="U5" s="3498" t="s">
        <v>277</v>
      </c>
      <c r="W5" s="3498" t="s">
        <v>280</v>
      </c>
    </row>
    <row r="6" spans="1:23">
      <c r="A6" s="3504" t="s">
        <v>281</v>
      </c>
      <c r="B6" s="3508" t="s">
        <v>173</v>
      </c>
      <c r="C6" s="3509" t="s">
        <v>282</v>
      </c>
      <c r="F6" s="3498" t="s">
        <v>275</v>
      </c>
      <c r="H6" s="3498" t="s">
        <v>283</v>
      </c>
      <c r="I6" s="3498" t="s">
        <v>284</v>
      </c>
      <c r="K6" s="3498" t="s">
        <v>285</v>
      </c>
      <c r="L6" s="3498" t="s">
        <v>285</v>
      </c>
      <c r="M6" s="3498" t="s">
        <v>285</v>
      </c>
      <c r="N6" s="3498" t="s">
        <v>285</v>
      </c>
      <c r="O6" s="3498" t="s">
        <v>285</v>
      </c>
      <c r="P6" s="3518" t="s">
        <v>285</v>
      </c>
      <c r="Q6" s="3498" t="s">
        <v>285</v>
      </c>
      <c r="R6" s="3518" t="s">
        <v>286</v>
      </c>
      <c r="S6" s="3498" t="s">
        <v>285</v>
      </c>
      <c r="T6" s="3498"/>
      <c r="U6" s="3498" t="s">
        <v>285</v>
      </c>
      <c r="W6" s="3498" t="s">
        <v>287</v>
      </c>
    </row>
    <row r="7" spans="1:23">
      <c r="A7" s="3504" t="s">
        <v>288</v>
      </c>
      <c r="B7" s="3504" t="s">
        <v>289</v>
      </c>
      <c r="C7" s="3505" t="s">
        <v>290</v>
      </c>
      <c r="F7" s="3498" t="s">
        <v>291</v>
      </c>
      <c r="H7" s="3498" t="s">
        <v>274</v>
      </c>
      <c r="I7" s="3498" t="s">
        <v>292</v>
      </c>
    </row>
    <row r="8" spans="1:23">
      <c r="A8" s="3504" t="s">
        <v>293</v>
      </c>
      <c r="B8" s="3504" t="s">
        <v>294</v>
      </c>
      <c r="C8" s="3505" t="s">
        <v>295</v>
      </c>
      <c r="F8" s="3498" t="s">
        <v>296</v>
      </c>
      <c r="H8" s="3510" t="s">
        <v>297</v>
      </c>
      <c r="I8" s="3498" t="s">
        <v>298</v>
      </c>
    </row>
    <row r="9" spans="1:23">
      <c r="A9" s="3504" t="s">
        <v>299</v>
      </c>
      <c r="B9" s="3504" t="s">
        <v>300</v>
      </c>
      <c r="C9" s="3505" t="s">
        <v>301</v>
      </c>
      <c r="F9" s="3498" t="s">
        <v>283</v>
      </c>
      <c r="H9" s="3498"/>
      <c r="I9" s="3498" t="s">
        <v>302</v>
      </c>
    </row>
    <row r="10" spans="1:23">
      <c r="A10" s="3504" t="s">
        <v>303</v>
      </c>
      <c r="B10" s="3504" t="s">
        <v>304</v>
      </c>
      <c r="C10" s="3505" t="s">
        <v>305</v>
      </c>
      <c r="F10" s="3510" t="s">
        <v>297</v>
      </c>
      <c r="I10" s="3498" t="s">
        <v>306</v>
      </c>
    </row>
    <row r="11" spans="1:23">
      <c r="A11" s="3504" t="s">
        <v>307</v>
      </c>
      <c r="B11" s="3504" t="s">
        <v>308</v>
      </c>
      <c r="C11" s="3505" t="s">
        <v>309</v>
      </c>
      <c r="I11" s="3498" t="s">
        <v>310</v>
      </c>
    </row>
    <row r="12" spans="1:23">
      <c r="A12" s="3504" t="s">
        <v>311</v>
      </c>
      <c r="B12" s="3504" t="s">
        <v>312</v>
      </c>
      <c r="C12" s="3505" t="s">
        <v>313</v>
      </c>
      <c r="I12" s="3498" t="s">
        <v>314</v>
      </c>
    </row>
    <row r="13" spans="1:23">
      <c r="A13" s="3504" t="s">
        <v>315</v>
      </c>
      <c r="B13" s="3504" t="s">
        <v>316</v>
      </c>
      <c r="C13" s="3505" t="s">
        <v>317</v>
      </c>
      <c r="I13" s="3498" t="s">
        <v>318</v>
      </c>
    </row>
    <row r="14" spans="1:23">
      <c r="A14" s="3504" t="s">
        <v>319</v>
      </c>
      <c r="B14" s="3504" t="s">
        <v>320</v>
      </c>
      <c r="C14" s="3511" t="s">
        <v>138</v>
      </c>
      <c r="I14" s="3498" t="s">
        <v>321</v>
      </c>
    </row>
    <row r="15" spans="1:23">
      <c r="A15" s="3504" t="s">
        <v>322</v>
      </c>
      <c r="B15" s="3504" t="s">
        <v>323</v>
      </c>
      <c r="C15" s="3511"/>
      <c r="I15" s="3498" t="s">
        <v>324</v>
      </c>
    </row>
    <row r="16" spans="1:23">
      <c r="A16" s="3504" t="s">
        <v>325</v>
      </c>
      <c r="B16" s="3504" t="s">
        <v>326</v>
      </c>
      <c r="C16" s="3511"/>
    </row>
    <row r="17" spans="1:3">
      <c r="A17" s="3504" t="s">
        <v>327</v>
      </c>
      <c r="B17" s="3504" t="s">
        <v>328</v>
      </c>
      <c r="C17" s="3511"/>
    </row>
    <row r="18" spans="1:3">
      <c r="A18" s="3504" t="s">
        <v>329</v>
      </c>
      <c r="B18" s="3512" t="s">
        <v>330</v>
      </c>
      <c r="C18" s="3511"/>
    </row>
    <row r="19" spans="1:3">
      <c r="A19" s="3504" t="s">
        <v>331</v>
      </c>
      <c r="B19" s="3512" t="s">
        <v>332</v>
      </c>
      <c r="C19" s="3511"/>
    </row>
    <row r="20" spans="1:3">
      <c r="A20" s="3504" t="s">
        <v>275</v>
      </c>
      <c r="B20" s="3512" t="s">
        <v>171</v>
      </c>
      <c r="C20" s="3511"/>
    </row>
    <row r="21" spans="1:3">
      <c r="A21" s="3504" t="s">
        <v>333</v>
      </c>
      <c r="B21" s="3504" t="s">
        <v>334</v>
      </c>
      <c r="C21" s="3511"/>
    </row>
    <row r="22" spans="1:3">
      <c r="A22" s="3504" t="s">
        <v>335</v>
      </c>
      <c r="B22" s="3504" t="s">
        <v>336</v>
      </c>
      <c r="C22" s="3511"/>
    </row>
    <row r="23" spans="1:3">
      <c r="A23" s="3504" t="s">
        <v>337</v>
      </c>
      <c r="B23" s="3504" t="s">
        <v>336</v>
      </c>
      <c r="C23" s="3511"/>
    </row>
    <row r="24" spans="1:3">
      <c r="A24" s="3504" t="s">
        <v>138</v>
      </c>
      <c r="B24" s="3504" t="s">
        <v>336</v>
      </c>
      <c r="C24" s="3511"/>
    </row>
    <row r="25" spans="1:3">
      <c r="A25" s="3504" t="s">
        <v>338</v>
      </c>
      <c r="B25" s="3504" t="s">
        <v>336</v>
      </c>
      <c r="C25" s="3511"/>
    </row>
    <row r="26" spans="1:3">
      <c r="A26" s="3504" t="s">
        <v>339</v>
      </c>
      <c r="B26" s="3504" t="s">
        <v>336</v>
      </c>
      <c r="C26" s="3511"/>
    </row>
    <row r="27" spans="1:3">
      <c r="A27" s="3504" t="s">
        <v>336</v>
      </c>
      <c r="B27" s="3504" t="s">
        <v>336</v>
      </c>
      <c r="C27" s="3511"/>
    </row>
    <row r="28" spans="1:3">
      <c r="A28" s="3504" t="s">
        <v>336</v>
      </c>
      <c r="B28" s="3504" t="s">
        <v>336</v>
      </c>
      <c r="C28" s="3511"/>
    </row>
    <row r="29" spans="1:3">
      <c r="A29" s="3504" t="s">
        <v>336</v>
      </c>
      <c r="B29" s="3504" t="s">
        <v>336</v>
      </c>
      <c r="C29" s="3511"/>
    </row>
    <row r="30" spans="1:3">
      <c r="A30" s="3504" t="s">
        <v>336</v>
      </c>
      <c r="B30" s="3504" t="s">
        <v>336</v>
      </c>
      <c r="C30" s="3511"/>
    </row>
    <row r="31" spans="1:3">
      <c r="A31" s="3504" t="s">
        <v>336</v>
      </c>
      <c r="B31" s="3504" t="s">
        <v>336</v>
      </c>
      <c r="C31" s="3511"/>
    </row>
    <row r="32" spans="1:3">
      <c r="A32" s="3504" t="s">
        <v>336</v>
      </c>
      <c r="B32" s="3504" t="s">
        <v>336</v>
      </c>
      <c r="C32" s="3511"/>
    </row>
    <row r="33" spans="1:3">
      <c r="A33" s="3504" t="s">
        <v>336</v>
      </c>
      <c r="B33" s="3504" t="s">
        <v>336</v>
      </c>
      <c r="C33" s="3511"/>
    </row>
    <row r="34" spans="1:3">
      <c r="A34" s="3504" t="s">
        <v>336</v>
      </c>
      <c r="B34" s="3504" t="s">
        <v>336</v>
      </c>
      <c r="C34" s="3511"/>
    </row>
    <row r="35" spans="1:3">
      <c r="A35" s="3504" t="s">
        <v>336</v>
      </c>
      <c r="B35" s="3504" t="s">
        <v>336</v>
      </c>
      <c r="C35" s="3511"/>
    </row>
    <row r="36" spans="1:3">
      <c r="A36" s="3504" t="s">
        <v>336</v>
      </c>
      <c r="B36" s="3504" t="s">
        <v>336</v>
      </c>
      <c r="C36" s="3511"/>
    </row>
    <row r="37" spans="1:3">
      <c r="A37" s="3504" t="s">
        <v>336</v>
      </c>
      <c r="B37" s="3504" t="s">
        <v>336</v>
      </c>
      <c r="C37" s="3511"/>
    </row>
    <row r="38" spans="1:3">
      <c r="A38" s="3504" t="s">
        <v>336</v>
      </c>
      <c r="B38" s="3504" t="s">
        <v>336</v>
      </c>
      <c r="C38" s="3511"/>
    </row>
    <row r="39" spans="1:3">
      <c r="A39" s="3504" t="s">
        <v>336</v>
      </c>
      <c r="B39" s="3504" t="s">
        <v>336</v>
      </c>
      <c r="C39" s="3511"/>
    </row>
    <row r="40" spans="1:3">
      <c r="A40" s="3504" t="s">
        <v>336</v>
      </c>
      <c r="B40" s="3504" t="s">
        <v>336</v>
      </c>
      <c r="C40" s="3511"/>
    </row>
    <row r="41" spans="1:3">
      <c r="A41" s="3504" t="s">
        <v>336</v>
      </c>
      <c r="B41" s="3504" t="s">
        <v>336</v>
      </c>
      <c r="C41" s="3511"/>
    </row>
    <row r="42" spans="1:3">
      <c r="A42" s="3504" t="s">
        <v>336</v>
      </c>
      <c r="B42" s="3504" t="s">
        <v>336</v>
      </c>
      <c r="C42" s="3511"/>
    </row>
    <row r="43" spans="1:3">
      <c r="A43" s="3504" t="s">
        <v>336</v>
      </c>
      <c r="B43" s="3504" t="s">
        <v>336</v>
      </c>
      <c r="C43" s="3511"/>
    </row>
    <row r="44" spans="1:3">
      <c r="A44" s="3504" t="s">
        <v>336</v>
      </c>
      <c r="B44" s="3504" t="s">
        <v>336</v>
      </c>
      <c r="C44" s="3511"/>
    </row>
    <row r="45" spans="1:3">
      <c r="A45" s="3504" t="s">
        <v>336</v>
      </c>
      <c r="B45" s="3504" t="s">
        <v>336</v>
      </c>
      <c r="C45" s="3511"/>
    </row>
    <row r="46" spans="1:3">
      <c r="A46" s="3504" t="s">
        <v>336</v>
      </c>
      <c r="B46" s="3504" t="s">
        <v>336</v>
      </c>
      <c r="C46" s="3511"/>
    </row>
    <row r="47" spans="1:3">
      <c r="A47" s="3504" t="s">
        <v>336</v>
      </c>
      <c r="B47" s="3504" t="s">
        <v>336</v>
      </c>
      <c r="C47" s="3511"/>
    </row>
    <row r="48" spans="1:3">
      <c r="A48" s="3504" t="s">
        <v>336</v>
      </c>
      <c r="B48" s="3504" t="s">
        <v>336</v>
      </c>
      <c r="C48" s="3511"/>
    </row>
    <row r="49" spans="1:5">
      <c r="A49" s="3504" t="s">
        <v>336</v>
      </c>
      <c r="B49" s="3504" t="s">
        <v>336</v>
      </c>
      <c r="C49" s="3511"/>
    </row>
    <row r="50" spans="1:5">
      <c r="A50" s="3504" t="s">
        <v>336</v>
      </c>
      <c r="B50" s="3504" t="s">
        <v>336</v>
      </c>
      <c r="C50" s="3511"/>
    </row>
    <row r="51" spans="1:5">
      <c r="A51" s="3513" t="s">
        <v>340</v>
      </c>
      <c r="B51" s="3514"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3514"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3515"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3515"/>
    </row>
    <row r="52" spans="1:5">
      <c r="A52" s="3513" t="s">
        <v>341</v>
      </c>
      <c r="B52" s="3516" t="s">
        <v>342</v>
      </c>
      <c r="C52" s="3514" t="s">
        <v>343</v>
      </c>
      <c r="D52" s="3514" t="s">
        <v>344</v>
      </c>
      <c r="E52" s="3515"/>
    </row>
    <row r="53" spans="1:5">
      <c r="A53" s="3678" t="s">
        <v>345</v>
      </c>
      <c r="B53" s="3514" t="s">
        <v>346</v>
      </c>
      <c r="C53" s="3514"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2023年11月30日，在规划利用条件下、设定土地开发程度为红线外“七通”、宗地内场地，设定用途为，剩余土地使用年限为的出让国有建设用地使用权价格。</v>
      </c>
      <c r="D53" s="3515"/>
      <c r="E53" s="3515"/>
    </row>
    <row r="54" spans="1:5">
      <c r="A54" s="3678"/>
      <c r="B54" s="3514" t="s">
        <v>347</v>
      </c>
      <c r="C54" s="3514"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515"/>
      <c r="E54" s="3515"/>
    </row>
    <row r="55" spans="1:5">
      <c r="A55" s="3678"/>
      <c r="B55" s="3514" t="s">
        <v>348</v>
      </c>
      <c r="C55" s="3514"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515"/>
      <c r="E55" s="3515"/>
    </row>
    <row r="56" spans="1:5">
      <c r="A56" s="3678"/>
      <c r="B56" s="3514" t="s">
        <v>349</v>
      </c>
      <c r="C56" s="3514"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515"/>
      <c r="E56" s="3515"/>
    </row>
    <row r="57" spans="1:5">
      <c r="A57" s="3678"/>
      <c r="B57" s="3514" t="s">
        <v>350</v>
      </c>
      <c r="C57" s="3514"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515"/>
      <c r="E57" s="3515"/>
    </row>
    <row r="58" spans="1:5">
      <c r="A58" s="3517" t="s">
        <v>351</v>
      </c>
      <c r="B58" s="3514" t="s">
        <v>352</v>
      </c>
      <c r="C58" s="2618" t="s">
        <v>353</v>
      </c>
      <c r="D58" s="2712" t="s">
        <v>354</v>
      </c>
    </row>
  </sheetData>
  <sheetProtection password="CEE9" sheet="1" objects="1" scenarios="1" formatCells="0" formatColumns="0" formatRows="0"/>
  <mergeCells count="1">
    <mergeCell ref="A53:A57"/>
  </mergeCells>
  <phoneticPr fontId="254" type="noConversion"/>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152</vt:i4>
      </vt:variant>
    </vt:vector>
  </HeadingPairs>
  <TitlesOfParts>
    <vt:vector size="195"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区片价-范围</vt:lpstr>
      <vt:lpstr>容积率修正</vt:lpstr>
      <vt:lpstr>因素修正幅度</vt:lpstr>
      <vt:lpstr>地价</vt:lpstr>
      <vt:lpstr>地价-分区</vt:lpstr>
      <vt:lpstr>基准地价（汇总）</vt:lpstr>
      <vt:lpstr>收益还原法</vt:lpstr>
      <vt:lpstr>不动产收益法</vt:lpstr>
      <vt:lpstr>不动产收益法-酒店模型</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土地案例</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2017-03-09T08:11:00Z</cp:lastPrinted>
  <dcterms:created xsi:type="dcterms:W3CDTF">2015-07-13T07:17:00Z</dcterms:created>
  <dcterms:modified xsi:type="dcterms:W3CDTF">2023-12-05T01:40:26Z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2052-12.1.0.15990</vt:lpwstr>
  </property>
  <property fmtid="{D5CDD505-2E9C-101B-9397-08002B2CF9AE}" pid="3" name="ICV">
    <vt:lpwstr>C78CD3CCA7494AE8ACA92026FC2142DD_12</vt:lpwstr>
  </property>
</Properties>
</file>